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4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hidePivotFieldList="1"/>
  <mc:AlternateContent xmlns:mc="http://schemas.openxmlformats.org/markup-compatibility/2006">
    <mc:Choice Requires="x15">
      <x15ac:absPath xmlns:x15ac="http://schemas.microsoft.com/office/spreadsheetml/2010/11/ac" url="J:\GrpRevnu\PUBLIC\Schedules\Schedule 141LNG\2025 Filing\"/>
    </mc:Choice>
  </mc:AlternateContent>
  <xr:revisionPtr revIDLastSave="0" documentId="13_ncr:1_{264EC991-B4FF-433E-ABDD-8804BD8317AC}" xr6:coauthVersionLast="47" xr6:coauthVersionMax="47" xr10:uidLastSave="{00000000-0000-0000-0000-000000000000}"/>
  <bookViews>
    <workbookView xWindow="-108" yWindow="-108" windowWidth="41496" windowHeight="16776" tabRatio="731" xr2:uid="{00000000-000D-0000-FFFF-FFFF00000000}"/>
  </bookViews>
  <sheets>
    <sheet name="Rev Req" sheetId="32" r:id="rId1"/>
    <sheet name="Tracker Monthly True-up Detail" sheetId="24" r:id="rId2"/>
    <sheet name="Monthly Return Cals" sheetId="43" r:id="rId3"/>
    <sheet name="Actual O&amp;M" sheetId="44" r:id="rId4"/>
    <sheet name="LNG Forecast O&amp;M" sheetId="40" r:id="rId5"/>
    <sheet name="Plant Additions thr Oct 2026" sheetId="26" r:id="rId6"/>
    <sheet name="Total Deferrals Summary " sheetId="41" r:id="rId7"/>
    <sheet name="Post Oct 23 LNG Retrn Def" sheetId="37" r:id="rId8"/>
    <sheet name="Post Oct 23 LNG Depr Deferra " sheetId="36" r:id="rId9"/>
    <sheet name="Post Oct 23 LNG O&amp;M Deferral " sheetId="35" r:id="rId10"/>
    <sheet name="Updated LNG O&amp;M Deferral" sheetId="29" r:id="rId11"/>
    <sheet name="UpdateLNG Depreciation Deferral" sheetId="30" r:id="rId12"/>
    <sheet name="Updated LNG Return Deferral" sheetId="31" r:id="rId13"/>
    <sheet name="One-time deferral transfer" sheetId="45" r:id="rId14"/>
    <sheet name="Actls Depr Deferral" sheetId="46" r:id="rId15"/>
    <sheet name="Gas Con Factor" sheetId="38" r:id="rId16"/>
    <sheet name="approved COC" sheetId="39" r:id="rId17"/>
    <sheet name="Prior frm Cmply Filing -&gt;&gt; " sheetId="42" r:id="rId18"/>
    <sheet name="Cmply. Filed" sheetId="3" r:id="rId19"/>
    <sheet name="Plant Additions" sheetId="17" r:id="rId20"/>
    <sheet name="Deferrals ---&gt;" sheetId="15" r:id="rId21"/>
    <sheet name="Total Deferrals" sheetId="22" r:id="rId22"/>
    <sheet name="LNG O&amp;M Deferral" sheetId="13" r:id="rId23"/>
    <sheet name="LNG Depreciation Deferral" sheetId="8" r:id="rId24"/>
    <sheet name="LNG Return Deferral" sheetId="10" r:id="rId25"/>
    <sheet name="ROR" sheetId="4" r:id="rId26"/>
    <sheet name="O&amp;M" sheetId="16" r:id="rId27"/>
    <sheet name="Gas Conv Factor" sheetId="5" r:id="rId28"/>
  </sheets>
  <definedNames>
    <definedName name="\T">#REF!</definedName>
    <definedName name="___www1" localSheetId="2" hidden="1">{#N/A,#N/A,FALSE,"schA"}</definedName>
    <definedName name="___www1" localSheetId="5" hidden="1">{#N/A,#N/A,FALSE,"schA"}</definedName>
    <definedName name="___www1" hidden="1">{#N/A,#N/A,FALSE,"schA"}</definedName>
    <definedName name="__123Graph_A" localSheetId="2" hidden="1">#REF!</definedName>
    <definedName name="__123Graph_A" localSheetId="13" hidden="1">#REF!</definedName>
    <definedName name="__123Graph_A" localSheetId="5" hidden="1">#REF!</definedName>
    <definedName name="__123Graph_A" hidden="1">#REF!</definedName>
    <definedName name="__123Graph_ABUDG6_DSCRPR" localSheetId="2" hidden="1">#REF!</definedName>
    <definedName name="__123Graph_ABUDG6_DSCRPR" hidden="1">#REF!</definedName>
    <definedName name="__123Graph_ABUDG6_ESCRPR1" localSheetId="2" hidden="1">#REF!</definedName>
    <definedName name="__123Graph_ABUDG6_ESCRPR1" hidden="1">#REF!</definedName>
    <definedName name="__123Graph_B" localSheetId="2" hidden="1">#REF!</definedName>
    <definedName name="__123Graph_B" localSheetId="13" hidden="1">#REF!</definedName>
    <definedName name="__123Graph_B" localSheetId="5" hidden="1">#REF!</definedName>
    <definedName name="__123Graph_B" hidden="1">#REF!</definedName>
    <definedName name="__123Graph_BBUDG6_DSCRPR" localSheetId="2" hidden="1">#REF!</definedName>
    <definedName name="__123Graph_BBUDG6_DSCRPR" hidden="1">#REF!</definedName>
    <definedName name="__123Graph_BBUDG6_ESCRPR1" localSheetId="2" hidden="1">#REF!</definedName>
    <definedName name="__123Graph_BBUDG6_ESCRPR1" hidden="1">#REF!</definedName>
    <definedName name="__123Graph_D" localSheetId="13" hidden="1">#REF!</definedName>
    <definedName name="__123Graph_D" hidden="1">#REF!</definedName>
    <definedName name="__123Graph_E" localSheetId="13" hidden="1">#REF!</definedName>
    <definedName name="__123Graph_E" hidden="1">#REF!</definedName>
    <definedName name="__123Graph_ECURRENT" localSheetId="2" hidden="1">#REF!</definedName>
    <definedName name="__123Graph_ECURRENT" localSheetId="13" hidden="1">#REF!</definedName>
    <definedName name="__123Graph_ECURRENT" localSheetId="19" hidden="1">#REF!</definedName>
    <definedName name="__123Graph_ECURRENT" hidden="1">#REF!</definedName>
    <definedName name="__123Graph_F" localSheetId="13" hidden="1">#REF!</definedName>
    <definedName name="__123Graph_F" hidden="1">#REF!</definedName>
    <definedName name="__123Graph_X" localSheetId="2" hidden="1">#REF!</definedName>
    <definedName name="__123Graph_X" hidden="1">#REF!</definedName>
    <definedName name="__123Graph_XBUDG6_DSCRPR" localSheetId="2" hidden="1">#REF!</definedName>
    <definedName name="__123Graph_XBUDG6_DSCRPR" hidden="1">#REF!</definedName>
    <definedName name="__123Graph_XBUDG6_ESCRPR1" localSheetId="2" hidden="1">#REF!</definedName>
    <definedName name="__123Graph_XBUDG6_ESCRPR1" hidden="1">#REF!</definedName>
    <definedName name="__IntlFixup" hidden="1">TRUE</definedName>
    <definedName name="__www1" localSheetId="2" hidden="1">{#N/A,#N/A,FALSE,"schA"}</definedName>
    <definedName name="__www1" localSheetId="5" hidden="1">{#N/A,#N/A,FALSE,"schA"}</definedName>
    <definedName name="__www1" hidden="1">{#N/A,#N/A,FALSE,"schA"}</definedName>
    <definedName name="_1__123Graph_ABUDG6_D_ESCRPR" localSheetId="2" hidden="1">#REF!</definedName>
    <definedName name="_1__123Graph_ABUDG6_D_ESCRPR" hidden="1">#REF!</definedName>
    <definedName name="_10_9_BT_DECEMB">#REF!</definedName>
    <definedName name="_10_9_BT_FEBRUA">#REF!</definedName>
    <definedName name="_10_9_BT_NOVEMB">#REF!</definedName>
    <definedName name="_10_9_BT_SEPTEM">#REF!</definedName>
    <definedName name="_10_9_BTU_ANNUA">#REF!</definedName>
    <definedName name="_10_9_BTU_APRIL">#REF!</definedName>
    <definedName name="_10_9_BTU_AUGUS">#REF!</definedName>
    <definedName name="_10_9_BTU_JANUA">#REF!</definedName>
    <definedName name="_10_9_BTU_JULY">#REF!</definedName>
    <definedName name="_10_9_BTU_JUNE">#REF!</definedName>
    <definedName name="_10_9_BTU_MARCH">#REF!</definedName>
    <definedName name="_10_9_BTU_MAY">#REF!</definedName>
    <definedName name="_10_9_BTU_OCTOB">#REF!</definedName>
    <definedName name="_2__123Graph_ABUDG6_Dtons_inv" localSheetId="2" hidden="1">#REF!</definedName>
    <definedName name="_2__123Graph_ABUDG6_Dtons_inv" hidden="1">#REF!</definedName>
    <definedName name="_3__123Graph_ABUDG6_Dtons_inv" localSheetId="2" hidden="1">#REF!</definedName>
    <definedName name="_3__123Graph_ABUDG6_Dtons_inv" hidden="1">#REF!</definedName>
    <definedName name="_3__123Graph_BBUDG6_D_ESCRPR" localSheetId="2" hidden="1">#REF!</definedName>
    <definedName name="_3__123Graph_BBUDG6_D_ESCRPR" hidden="1">#REF!</definedName>
    <definedName name="_4__123Graph_ABUDG6_Dtons_inv" localSheetId="2" hidden="1">#REF!</definedName>
    <definedName name="_4__123Graph_ABUDG6_Dtons_inv" hidden="1">#REF!</definedName>
    <definedName name="_4__123Graph_BBUDG6_Dtons_inv" localSheetId="2" hidden="1">#REF!</definedName>
    <definedName name="_4__123Graph_BBUDG6_Dtons_inv" hidden="1">#REF!</definedName>
    <definedName name="_5__123Graph_CBUDG6_D_ESCRPR" localSheetId="2" hidden="1">#REF!</definedName>
    <definedName name="_5__123Graph_CBUDG6_D_ESCRPR" hidden="1">#REF!</definedName>
    <definedName name="_6__123Graph_CBUDG6_D_ESCRPR" localSheetId="2" hidden="1">#REF!</definedName>
    <definedName name="_6__123Graph_CBUDG6_D_ESCRPR" hidden="1">#REF!</definedName>
    <definedName name="_6__123Graph_DBUDG6_D_ESCRPR" localSheetId="2" hidden="1">#REF!</definedName>
    <definedName name="_6__123Graph_DBUDG6_D_ESCRPR" hidden="1">#REF!</definedName>
    <definedName name="_7__123Graph_CBUDG6_D_ESCRPR" localSheetId="2" hidden="1">#REF!</definedName>
    <definedName name="_7__123Graph_CBUDG6_D_ESCRPR" hidden="1">#REF!</definedName>
    <definedName name="_7__123Graph_DBUDG6_D_ESCRPR" localSheetId="2" hidden="1">#REF!</definedName>
    <definedName name="_7__123Graph_DBUDG6_D_ESCRPR" hidden="1">#REF!</definedName>
    <definedName name="_7__123Graph_XBUDG6_D_ESCRPR" localSheetId="2" hidden="1">#REF!</definedName>
    <definedName name="_7__123Graph_XBUDG6_D_ESCRPR" hidden="1">#REF!</definedName>
    <definedName name="_8__123Graph_DBUDG6_D_ESCRPR" localSheetId="2" hidden="1">#REF!</definedName>
    <definedName name="_8__123Graph_DBUDG6_D_ESCRPR" hidden="1">#REF!</definedName>
    <definedName name="_8__123Graph_XBUDG6_Dtons_inv" localSheetId="2" hidden="1">#REF!</definedName>
    <definedName name="_8__123Graph_XBUDG6_Dtons_inv" hidden="1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d1" localSheetId="13" hidden="1">{"annual",#N/A,FALSE,"Pro Forma";#N/A,#N/A,FALSE,"Golf Operations"}</definedName>
    <definedName name="_cd1" hidden="1">{"annual",#N/A,FALSE,"Pro Forma";#N/A,#N/A,FALSE,"Golf Operations"}</definedName>
    <definedName name="_Dist_Values" hidden="1">#REF!</definedName>
    <definedName name="_Fill" hidden="1">#REF!</definedName>
    <definedName name="_xlnm._FilterDatabase" hidden="1">#REF!</definedName>
    <definedName name="_gr1" localSheetId="13" hidden="1">{"three",#N/A,FALSE,"Capital";"four",#N/A,FALSE,"Capital"}</definedName>
    <definedName name="_gr1" hidden="1">{"three",#N/A,FALSE,"Capital";"four",#N/A,FALSE,"Capital"}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localSheetId="13" hidden="1">#REF!</definedName>
    <definedName name="_Key1" localSheetId="5" hidden="1">#REF!</definedName>
    <definedName name="_Key1" hidden="1">#REF!</definedName>
    <definedName name="_Key2" hidden="1">#REF!</definedName>
    <definedName name="_OM1" localSheetId="13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Parse_In" hidden="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ix6" localSheetId="2" hidden="1">{#N/A,#N/A,FALSE,"CRPT";#N/A,#N/A,FALSE,"TREND";#N/A,#N/A,FALSE,"%Curve"}</definedName>
    <definedName name="_six6" localSheetId="13" hidden="1">{#N/A,#N/A,FALSE,"CRPT";#N/A,#N/A,FALSE,"TREND";#N/A,#N/A,FALSE,"%Curve"}</definedName>
    <definedName name="_six6" localSheetId="19" hidden="1">{#N/A,#N/A,FALSE,"CRPT";#N/A,#N/A,FALSE,"TREND";#N/A,#N/A,FALSE,"%Curve"}</definedName>
    <definedName name="_six6" localSheetId="5" hidden="1">{#N/A,#N/A,FALSE,"CRPT";#N/A,#N/A,FALSE,"TREND";#N/A,#N/A,FALSE,"%Curve"}</definedName>
    <definedName name="_six6" hidden="1">{#N/A,#N/A,FALSE,"CRPT";#N/A,#N/A,FALSE,"TREND";#N/A,#N/A,FALSE,"%Curve"}</definedName>
    <definedName name="_Sort" hidden="1">#REF!</definedName>
    <definedName name="_Table2_Out" hidden="1">#REF!</definedName>
    <definedName name="_wr1" localSheetId="13" hidden="1">{"Output-3Column",#N/A,FALSE,"Output"}</definedName>
    <definedName name="_wr1" hidden="1">{"Output-3Column",#N/A,FALSE,"Output"}</definedName>
    <definedName name="_wrn1" localSheetId="13" hidden="1">{"Inflation-BaseYear",#N/A,FALSE,"Inputs"}</definedName>
    <definedName name="_wrn1" hidden="1">{"Inflation-BaseYear",#N/A,FALSE,"Inputs"}</definedName>
    <definedName name="_www1" localSheetId="2" hidden="1">{#N/A,#N/A,FALSE,"schA"}</definedName>
    <definedName name="_www1" localSheetId="5" hidden="1">{#N/A,#N/A,FALSE,"schA"}</definedName>
    <definedName name="_www1" hidden="1">{#N/A,#N/A,FALSE,"schA"}</definedName>
    <definedName name="a" localSheetId="2" hidden="1">{#N/A,#N/A,FALSE,"Coversheet";#N/A,#N/A,FALSE,"QA"}</definedName>
    <definedName name="a" localSheetId="13" hidden="1">{"Print_Detail",#N/A,FALSE,"Redemption_Maturity Extract"}</definedName>
    <definedName name="a" localSheetId="19" hidden="1">{#N/A,#N/A,FALSE,"Coversheet";#N/A,#N/A,FALSE,"QA"}</definedName>
    <definedName name="a" localSheetId="5" hidden="1">{#N/A,#N/A,FALSE,"Coversheet";#N/A,#N/A,FALSE,"QA"}</definedName>
    <definedName name="a" hidden="1">{"Print_Detail",#N/A,FALSE,"Redemption_Maturity Extract"}</definedName>
    <definedName name="aaa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ccess_Button1" hidden="1">"Headcount_Workbook_Schedules_List"</definedName>
    <definedName name="AccessCode" hidden="1">""""</definedName>
    <definedName name="AccessDatabase" localSheetId="2" hidden="1">"I:\COMTREL\FINICLE\TradeSummary.mdb"</definedName>
    <definedName name="AccessDatabase" localSheetId="19" hidden="1">"I:\COMTREL\FINICLE\TradeSummary.mdb"</definedName>
    <definedName name="AccessDatabase" localSheetId="5" hidden="1">"I:\COMTREL\FINICLE\TradeSummary.mdb"</definedName>
    <definedName name="AccessDatabase" hidden="1">"C:\ncux\bud\rms_inv.mdb"</definedName>
    <definedName name="Account">#REF!</definedName>
    <definedName name="ACwvu.allocations." hidden="1">#REF!</definedName>
    <definedName name="ACwvu.annual._.hotel." localSheetId="13" hidden="1">#REF!</definedName>
    <definedName name="ACwvu.annual._.hotel." hidden="1">#REF!</definedName>
    <definedName name="ACwvu.bottom._.line." localSheetId="13" hidden="1">#REF!</definedName>
    <definedName name="ACwvu.bottom._.line." hidden="1">#REF!</definedName>
    <definedName name="ACwvu.cash._.flow." hidden="1">#REF!</definedName>
    <definedName name="ACwvu.combo." localSheetId="13" hidden="1">#REF!</definedName>
    <definedName name="ACwvu.combo." hidden="1">#REF!</definedName>
    <definedName name="ACwvu.full." hidden="1">#REF!</definedName>
    <definedName name="ACwvu.offsite." hidden="1">#REF!</definedName>
    <definedName name="ACwvu.onsite." hidden="1">#REF!</definedName>
    <definedName name="anscount" hidden="1">2</definedName>
    <definedName name="APRDATA?">#REF!</definedName>
    <definedName name="AS2DocOpenMode" hidden="1">"AS2DocumentEdit"</definedName>
    <definedName name="asa" localSheetId="13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UGDATA?">#REF!</definedName>
    <definedName name="AUTOPRINT_1">#REF!</definedName>
    <definedName name="AUTOPRINT_2">#REF!</definedName>
    <definedName name="b" localSheetId="2" hidden="1">{#N/A,#N/A,FALSE,"Coversheet";#N/A,#N/A,FALSE,"QA"}</definedName>
    <definedName name="b" localSheetId="13" hidden="1">{"One",#N/A,FALSE,"CClub";"Two",#N/A,FALSE,"CClub";"Three",#N/A,FALSE,"CClub";"Four",#N/A,FALSE,"CClub";"Five",#N/A,FALSE,"CClub"}</definedName>
    <definedName name="b" localSheetId="19" hidden="1">{#N/A,#N/A,FALSE,"Coversheet";#N/A,#N/A,FALSE,"QA"}</definedName>
    <definedName name="b" localSheetId="5" hidden="1">{#N/A,#N/A,FALSE,"Coversheet";#N/A,#N/A,FALSE,"QA"}</definedName>
    <definedName name="b" hidden="1">{"One",#N/A,FALSE,"CClub";"Two",#N/A,FALSE,"CClub";"Three",#N/A,FALSE,"CClub";"Four",#N/A,FALSE,"CClub";"Five",#N/A,FALSE,"CClub"}</definedName>
    <definedName name="BASIS_YEAR">#REF!</definedName>
    <definedName name="bi" localSheetId="13" hidden="1">{#N/A,#N/A,FALSE,"BidCo Assumptions";#N/A,#N/A,FALSE,"Credit Stats";#N/A,#N/A,FALSE,"Bidco Summary";#N/A,#N/A,FALSE,"BIDCO Consolidated"}</definedName>
    <definedName name="bi" hidden="1">{#N/A,#N/A,FALSE,"BidCo Assumptions";#N/A,#N/A,FALSE,"Credit Stats";#N/A,#N/A,FALSE,"Bidco Summary";#N/A,#N/A,FALSE,"BIDCO Consolidated"}</definedName>
    <definedName name="BL" localSheetId="2" hidden="1">{#N/A,#N/A,FALSE,"Cover Sheet";"Use of Equipment",#N/A,FALSE,"Area C";"Equipment Hours",#N/A,FALSE,"All";"Summary",#N/A,FALSE,"All"}</definedName>
    <definedName name="BL" localSheetId="5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2" hidden="1">{#N/A,#N/A,FALSE,"Cover Sheet";"Use of Equipment",#N/A,FALSE,"Area C";"Equipment Hours",#N/A,FALSE,"All";"Summary",#N/A,FALSE,"All"}</definedName>
    <definedName name="blet" localSheetId="5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2" hidden="1">{#N/A,#N/A,FALSE,"Cover Sheet";"Use of Equipment",#N/A,FALSE,"Area C";"Equipment Hours",#N/A,FALSE,"All";"Summary",#N/A,FALSE,"All"}</definedName>
    <definedName name="bleth" localSheetId="5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NE_MESSAGES_HIDDEN" hidden="1">#REF!</definedName>
    <definedName name="BUDGET_YEAR">#REF!</definedName>
    <definedName name="Building_and_Grounds">#REF!</definedName>
    <definedName name="Burden">#REF!</definedName>
    <definedName name="Category">#REF!</definedName>
    <definedName name="CATEGORY_HEADER">#REF!</definedName>
    <definedName name="CBWorkbookPriority" hidden="1">-2060790043</definedName>
    <definedName name="cd" localSheetId="13" hidden="1">{"annual",#N/A,FALSE,"Pro Forma";#N/A,#N/A,FALSE,"Golf Operations"}</definedName>
    <definedName name="cd" hidden="1">{"annual",#N/A,FALSE,"Pro Forma";#N/A,#N/A,FALSE,"Golf Operations"}</definedName>
    <definedName name="cgf" localSheetId="13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ombined1" localSheetId="13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MGENLIAB">#REF!</definedName>
    <definedName name="COMM_L_MONTHS">#REF!</definedName>
    <definedName name="Company">#REF!</definedName>
    <definedName name="Consumables">#REF!</definedName>
    <definedName name="CurAct">#REF!</definedName>
    <definedName name="Currency">#REF!</definedName>
    <definedName name="Cwvu.annual." hidden="1">#REF!,#REF!,#REF!,#REF!,#REF!,#REF!,#REF!,#REF!,#REF!,#REF!,#REF!,#REF!,#REF!,#REF!,#REF!,#REF!,#REF!,#REF!,#REF!,#REF!,#REF!,#REF!,#REF!,#REF!</definedName>
    <definedName name="Cwvu.annual._.hotel." localSheetId="13" hidden="1">#REF!,#REF!,#REF!,#REF!,#REF!,#REF!,#REF!,#REF!,#REF!,#REF!,#REF!,#REF!,#REF!,#REF!,#REF!,#REF!,#REF!,#REF!,#REF!</definedName>
    <definedName name="Cwvu.annual._.hotel." hidden="1">#REF!,#REF!,#REF!,#REF!,#REF!,#REF!,#REF!,#REF!,#REF!,#REF!,#REF!,#REF!,#REF!,#REF!,#REF!,#REF!,#REF!,#REF!,#REF!</definedName>
    <definedName name="Cwvu.bottom._.line." localSheetId="13" hidden="1">#REF!,#REF!,#REF!,#REF!,#REF!,#REF!,#REF!,#REF!,#REF!,#REF!,#REF!,#REF!,#REF!,#REF!,#REF!,#REF!,#REF!,#REF!,#REF!,#REF!,#REF!,#REF!</definedName>
    <definedName name="Cwvu.bottom._.line." hidden="1">#REF!,#REF!,#REF!,#REF!,#REF!,#REF!,#REF!,#REF!,#REF!,#REF!,#REF!,#REF!,#REF!,#REF!,#REF!,#REF!,#REF!,#REF!,#REF!,#REF!,#REF!,#REF!</definedName>
    <definedName name="Cwvu.cash._.flow.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ombo." localSheetId="13" hidden="1">#REF!,#REF!,#REF!,#REF!,#REF!,#REF!,#REF!,#REF!,#REF!,#REF!,#REF!,#REF!,#REF!,#REF!,#REF!,#REF!,#REF!,#REF!,#REF!,#REF!,#REF!,#REF!</definedName>
    <definedName name="Cwvu.combo." hidden="1">#REF!,#REF!,#REF!,#REF!,#REF!,#REF!,#REF!,#REF!,#REF!,#REF!,#REF!,#REF!,#REF!,#REF!,#REF!,#REF!,#REF!,#REF!,#REF!,#REF!,#REF!,#REF!</definedName>
    <definedName name="Cwvu.GREY_ALL." hidden="1">#REF!</definedName>
    <definedName name="data">#REF!</definedName>
    <definedName name="dd" localSheetId="13" hidden="1">{"Print_Detail",#N/A,FALSE,"Redemption_Maturity Extract"}</definedName>
    <definedName name="dd" hidden="1">{"Print_Detail",#N/A,FALSE,"Redemption_Maturity Extract"}</definedName>
    <definedName name="ddd" localSheetId="13" hidden="1">{"Full",#N/A,FALSE,"Sec MTN B Summary"}</definedName>
    <definedName name="ddd" hidden="1">{"Full",#N/A,FALSE,"Sec MTN B Summary"}</definedName>
    <definedName name="dddd" localSheetId="13" hidden="1">{"RedPrem_InitRed View",#N/A,FALSE,"Sec MTN B Summary"}</definedName>
    <definedName name="dddd" hidden="1">{"RedPrem_InitRed View",#N/A,FALSE,"Sec MTN B Summary"}</definedName>
    <definedName name="dddddd" localSheetId="13" hidden="1">{"Pivot1",#N/A,FALSE,"Redemption_Maturity Extract"}</definedName>
    <definedName name="dddddd" hidden="1">{"Pivot1",#N/A,FALSE,"Redemption_Maturity Extract"}</definedName>
    <definedName name="dddddddd" localSheetId="13" hidden="1">{"Pivot2",#N/A,FALSE,"Redemption_Maturity Extract"}</definedName>
    <definedName name="dddddddd" hidden="1">{"Pivot2",#N/A,FALSE,"Redemption_Maturity Extract"}</definedName>
    <definedName name="DECDATA?">#REF!</definedName>
    <definedName name="DELETE01" localSheetId="2" hidden="1">{#N/A,#N/A,FALSE,"Coversheet";#N/A,#N/A,FALSE,"QA"}</definedName>
    <definedName name="DELETE01" localSheetId="13" hidden="1">{#N/A,#N/A,FALSE,"Coversheet";#N/A,#N/A,FALSE,"QA"}</definedName>
    <definedName name="DELETE01" localSheetId="19" hidden="1">{#N/A,#N/A,FALSE,"Coversheet";#N/A,#N/A,FALSE,"QA"}</definedName>
    <definedName name="DELETE01" localSheetId="5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localSheetId="13" hidden="1">{#N/A,#N/A,FALSE,"Schedule F";#N/A,#N/A,FALSE,"Schedule G"}</definedName>
    <definedName name="DELETE02" localSheetId="19" hidden="1">{#N/A,#N/A,FALSE,"Schedule F";#N/A,#N/A,FALSE,"Schedule G"}</definedName>
    <definedName name="DELETE02" localSheetId="5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localSheetId="13" hidden="1">{#N/A,#N/A,FALSE,"Coversheet";#N/A,#N/A,FALSE,"QA"}</definedName>
    <definedName name="Delete06" localSheetId="19" hidden="1">{#N/A,#N/A,FALSE,"Coversheet";#N/A,#N/A,FALSE,"QA"}</definedName>
    <definedName name="Delete06" localSheetId="5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localSheetId="13" hidden="1">{#N/A,#N/A,FALSE,"Coversheet";#N/A,#N/A,FALSE,"QA"}</definedName>
    <definedName name="Delete09" localSheetId="19" hidden="1">{#N/A,#N/A,FALSE,"Coversheet";#N/A,#N/A,FALSE,"QA"}</definedName>
    <definedName name="Delete09" localSheetId="5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localSheetId="13" hidden="1">{#N/A,#N/A,FALSE,"Coversheet";#N/A,#N/A,FALSE,"QA"}</definedName>
    <definedName name="Delete1" localSheetId="19" hidden="1">{#N/A,#N/A,FALSE,"Coversheet";#N/A,#N/A,FALSE,"QA"}</definedName>
    <definedName name="Delete1" localSheetId="5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localSheetId="13" hidden="1">{#N/A,#N/A,FALSE,"Schedule F";#N/A,#N/A,FALSE,"Schedule G"}</definedName>
    <definedName name="Delete10" localSheetId="19" hidden="1">{#N/A,#N/A,FALSE,"Schedule F";#N/A,#N/A,FALSE,"Schedule G"}</definedName>
    <definedName name="Delete10" localSheetId="5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localSheetId="13" hidden="1">{#N/A,#N/A,FALSE,"Coversheet";#N/A,#N/A,FALSE,"QA"}</definedName>
    <definedName name="Delete21" localSheetId="19" hidden="1">{#N/A,#N/A,FALSE,"Coversheet";#N/A,#N/A,FALSE,"QA"}</definedName>
    <definedName name="Delete21" localSheetId="5" hidden="1">{#N/A,#N/A,FALSE,"Coversheet";#N/A,#N/A,FALSE,"QA"}</definedName>
    <definedName name="Delete21" hidden="1">{#N/A,#N/A,FALSE,"Coversheet";#N/A,#N/A,FALSE,"QA"}</definedName>
    <definedName name="detail">#REF!</definedName>
    <definedName name="DFIT" localSheetId="2" hidden="1">{#N/A,#N/A,FALSE,"Coversheet";#N/A,#N/A,FALSE,"QA"}</definedName>
    <definedName name="DFIT" localSheetId="13" hidden="1">{#N/A,#N/A,FALSE,"Coversheet";#N/A,#N/A,FALSE,"QA"}</definedName>
    <definedName name="DFIT" localSheetId="19" hidden="1">{#N/A,#N/A,FALSE,"Coversheet";#N/A,#N/A,FALSE,"QA"}</definedName>
    <definedName name="DFIT" localSheetId="5" hidden="1">{#N/A,#N/A,FALSE,"Coversheet";#N/A,#N/A,FALSE,"QA"}</definedName>
    <definedName name="DFIT" hidden="1">{#N/A,#N/A,FALSE,"Coversheet";#N/A,#N/A,FALSE,"QA"}</definedName>
    <definedName name="DISTRIBUTORS">#REF!</definedName>
    <definedName name="DUDE" hidden="1">#REF!</definedName>
    <definedName name="ee" localSheetId="2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hidden="1">{#N/A,#N/A,FALSE,"Month ";#N/A,#N/A,FALSE,"YTD";#N/A,#N/A,FALSE,"12 mo ended"}</definedName>
    <definedName name="enrgy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tity">#REF!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quipment_Rental">#REF!</definedName>
    <definedName name="Estimate" localSheetId="2" hidden="1">{#N/A,#N/A,FALSE,"Summ";#N/A,#N/A,FALSE,"General"}</definedName>
    <definedName name="Estimate" localSheetId="13" hidden="1">{#N/A,#N/A,FALSE,"Summ";#N/A,#N/A,FALSE,"General"}</definedName>
    <definedName name="Estimate" localSheetId="19" hidden="1">{#N/A,#N/A,FALSE,"Summ";#N/A,#N/A,FALSE,"General"}</definedName>
    <definedName name="Estimate" localSheetId="5" hidden="1">{#N/A,#N/A,FALSE,"Summ";#N/A,#N/A,FALSE,"General"}</definedName>
    <definedName name="Estimate" hidden="1">{#N/A,#N/A,FALSE,"Summ";#N/A,#N/A,FALSE,"General"}</definedName>
    <definedName name="EV__ALLOWSTOPEXPAND__" hidden="1">1</definedName>
    <definedName name="EV__EVCOM_OPTIONS__" hidden="1">8</definedName>
    <definedName name="EV__EXPOPTIONS__" hidden="1">0</definedName>
    <definedName name="EV__LASTREFTIME__" localSheetId="1" hidden="1">38911.5125925926</definedName>
    <definedName name="EV__LASTREFTIME__" hidden="1">40535.431400463</definedName>
    <definedName name="EV__MAXEXPCOLS__" hidden="1">100</definedName>
    <definedName name="EV__MAXEXPROWS__" hidden="1">2000</definedName>
    <definedName name="EV__MEMORYCVW__" hidden="1">0</definedName>
    <definedName name="EV__WBEVMODE__" hidden="1">0</definedName>
    <definedName name="EV__WBREFOPTIONS__" hidden="1">55</definedName>
    <definedName name="EV__WBVERSION__" hidden="1">0</definedName>
    <definedName name="EV__WSINFO__" hidden="1">"kab"</definedName>
    <definedName name="ex" localSheetId="2" hidden="1">{#N/A,#N/A,FALSE,"Summ";#N/A,#N/A,FALSE,"General"}</definedName>
    <definedName name="ex" localSheetId="13" hidden="1">{#N/A,#N/A,FALSE,"Summ";#N/A,#N/A,FALSE,"General"}</definedName>
    <definedName name="ex" localSheetId="19" hidden="1">{#N/A,#N/A,FALSE,"Summ";#N/A,#N/A,FALSE,"General"}</definedName>
    <definedName name="ex" localSheetId="5" hidden="1">{#N/A,#N/A,FALSE,"Summ";#N/A,#N/A,FALSE,"General"}</definedName>
    <definedName name="ex" hidden="1">{#N/A,#N/A,FALSE,"Summ";#N/A,#N/A,FALSE,"General"}</definedName>
    <definedName name="_xlnm.Extract">#REF!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hidden="1">{#N/A,#N/A,FALSE,"Month ";#N/A,#N/A,FALSE,"YTD";#N/A,#N/A,FALSE,"12 mo ended"}</definedName>
    <definedName name="FEBDATA?">#REF!</definedName>
    <definedName name="fffff" localSheetId="13" hidden="1">{"ALL",#N/A,FALSE,"A"}</definedName>
    <definedName name="fffff" hidden="1">{"ALL",#N/A,FALSE,"A"}</definedName>
    <definedName name="foo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iend" localSheetId="13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dfsad" localSheetId="13" hidden="1">{"ALL",#N/A,FALSE,"A"}</definedName>
    <definedName name="fsdfsad" hidden="1">{"ALL",#N/A,FALSE,"A"}</definedName>
    <definedName name="gary" localSheetId="2" hidden="1">{#N/A,#N/A,FALSE,"Cover Sheet";"Use of Equipment",#N/A,FALSE,"Area C";"Equipment Hours",#N/A,FALSE,"All";"Summary",#N/A,FALSE,"All"}</definedName>
    <definedName name="gary" localSheetId="5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r" localSheetId="13" hidden="1">{"three",#N/A,FALSE,"Capital";"four",#N/A,FALSE,"Capital"}</definedName>
    <definedName name="gr" hidden="1">{"three",#N/A,FALSE,"Capital";"four",#N/A,FALSE,"Capital"}</definedName>
    <definedName name="help" localSheetId="13" hidden="1">{"ALL",#N/A,FALSE,"A"}</definedName>
    <definedName name="help" hidden="1">{"ALL",#N/A,FALSE,"A"}</definedName>
    <definedName name="Hr_Start">#REF!</definedName>
    <definedName name="HROptim" localSheetId="13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TML_CodePage" hidden="1">1252</definedName>
    <definedName name="HTML_Control" localSheetId="2" hidden="1">{"'Sheet1'!$A$1:$J$121"}</definedName>
    <definedName name="HTML_Control" localSheetId="5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Incentive_Fees">#REF!</definedName>
    <definedName name="InflCS">#REF!</definedName>
    <definedName name="InflInland">#REF!</definedName>
    <definedName name="InflIns">#REF!</definedName>
    <definedName name="InflLabor">#REF!</definedName>
    <definedName name="InflOther">#REF!</definedName>
    <definedName name="InflRM">#REF!</definedName>
    <definedName name="Insurance">#REF!</definedName>
    <definedName name="inventory" localSheetId="13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ANDATA?">#REF!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IM" localSheetId="13" hidden="1">{#N/A,#N/A,FALSE,"Sheet5"}</definedName>
    <definedName name="JIM" hidden="1">{#N/A,#N/A,FALSE,"Sheet5"}</definedName>
    <definedName name="JULDATA?">#REF!</definedName>
    <definedName name="JUNDATA?">#REF!</definedName>
    <definedName name="June" localSheetId="13" hidden="1">{"three",#N/A,FALSE,"Capital";"four",#N/A,FALSE,"Capital"}</definedName>
    <definedName name="June" hidden="1">{"three",#N/A,FALSE,"Capital";"four",#N/A,FALSE,"Capital"}</definedName>
    <definedName name="junk" localSheetId="13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localSheetId="13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13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1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2_WBEVMODE" localSheetId="1" hidden="1">-1</definedName>
    <definedName name="K2_WBEVMODE" hidden="1">0</definedName>
    <definedName name="Keep" localSheetId="13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localSheetId="13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 hidden="1">3</definedName>
    <definedName name="lookup" localSheetId="2" hidden="1">{#N/A,#N/A,FALSE,"Coversheet";#N/A,#N/A,FALSE,"QA"}</definedName>
    <definedName name="lookup" localSheetId="5" hidden="1">{#N/A,#N/A,FALSE,"Coversheet";#N/A,#N/A,FALSE,"QA"}</definedName>
    <definedName name="lookup" hidden="1">{#N/A,#N/A,FALSE,"Coversheet";#N/A,#N/A,FALSE,"QA"}</definedName>
    <definedName name="maint_cost_act">#REF!</definedName>
    <definedName name="Maintenance_Equipment">#REF!</definedName>
    <definedName name="Management_Fee">#REF!</definedName>
    <definedName name="MARDATA?">#REF!</definedName>
    <definedName name="Master" localSheetId="13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YDATA?">#REF!</definedName>
    <definedName name="Measures">#REF!</definedName>
    <definedName name="Miller" localSheetId="2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MLB_SO_DECEMBE">#REF!</definedName>
    <definedName name="MMLB_SO_FEBRUAR">#REF!</definedName>
    <definedName name="MMLB_SO_JANUARY">#REF!</definedName>
    <definedName name="MMLB_SO_NOVEMBE">#REF!</definedName>
    <definedName name="MMLB_SO_OCTOBER">#REF!</definedName>
    <definedName name="MMLB_SO_SEPTEMB">#REF!</definedName>
    <definedName name="MMLB_SOLD_ANNUA">#REF!</definedName>
    <definedName name="MMLB_SOLD_APRIL">#REF!</definedName>
    <definedName name="MMLB_SOLD_AUGUS">#REF!</definedName>
    <definedName name="MMLB_SOLD_JULY">#REF!</definedName>
    <definedName name="MMLB_SOLD_JUNE">#REF!</definedName>
    <definedName name="MMLB_SOLD_MARCH">#REF!</definedName>
    <definedName name="MMLB_SOLD_MAY">#REF!</definedName>
    <definedName name="mmm" localSheetId="13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new" localSheetId="2" hidden="1">{#N/A,#N/A,FALSE,"Summ";#N/A,#N/A,FALSE,"General"}</definedName>
    <definedName name="new" localSheetId="13" hidden="1">{#N/A,#N/A,FALSE,"Summ";#N/A,#N/A,FALSE,"General"}</definedName>
    <definedName name="new" localSheetId="19" hidden="1">{#N/A,#N/A,FALSE,"Summ";#N/A,#N/A,FALSE,"General"}</definedName>
    <definedName name="new" localSheetId="5" hidden="1">{#N/A,#N/A,FALSE,"Summ";#N/A,#N/A,FALSE,"General"}</definedName>
    <definedName name="new" hidden="1">{#N/A,#N/A,FALSE,"Summ";#N/A,#N/A,FALSE,"General"}</definedName>
    <definedName name="NMWH_ANNUAL">#REF!</definedName>
    <definedName name="NMWH_APRIL">#REF!</definedName>
    <definedName name="NMWH_AUGUST">#REF!</definedName>
    <definedName name="NMWH_DECEMBER">#REF!</definedName>
    <definedName name="NMWH_FEBRUARY">#REF!</definedName>
    <definedName name="NMWH_JANUARY">#REF!</definedName>
    <definedName name="NMWH_JULY">#REF!</definedName>
    <definedName name="NMWH_JUNE">#REF!</definedName>
    <definedName name="NMWH_MARCH">#REF!</definedName>
    <definedName name="NMWH_MAY">#REF!</definedName>
    <definedName name="NMWH_NOVEMBER">#REF!</definedName>
    <definedName name="NMWH_OCTOBER">#REF!</definedName>
    <definedName name="NMWH_SEPTEMBER">#REF!</definedName>
    <definedName name="NOVDATA?">#REF!</definedName>
    <definedName name="NOYT" localSheetId="2" hidden="1">{#N/A,#N/A,FALSE,"Cover Sheet";"Use of Equipment",#N/A,FALSE,"Area C";"Equipment Hours",#N/A,FALSE,"All";"Summary",#N/A,FALSE,"All"}</definedName>
    <definedName name="NOYT" localSheetId="5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umber">#REF!</definedName>
    <definedName name="OCTDATA?">#REF!</definedName>
    <definedName name="Office_Equipment_and_Furnishings">#REF!</definedName>
    <definedName name="Office_Supplies_and_Expenses">#REF!</definedName>
    <definedName name="OHSch10YR" localSheetId="13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localSheetId="13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ther_cost_act">#REF!</definedName>
    <definedName name="others" localSheetId="13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utside_Consulting_Services">#REF!</definedName>
    <definedName name="Outside_Maintenance_Services">#REF!</definedName>
    <definedName name="Pal_Workbook_GUID" hidden="1">"VX3CWJGNQX2CCGI81U4N2V76"</definedName>
    <definedName name="Personnel_cost">#REF!</definedName>
    <definedName name="pete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lant_Labor">#REF!</definedName>
    <definedName name="Plant_Spares">#REF!</definedName>
    <definedName name="PPPPPPPPPPPPPPPP" localSheetId="13" hidden="1">{#N/A,#N/A,FALSE,"Sheet5"}</definedName>
    <definedName name="PPPPPPPPPPPPPPPP" hidden="1">{#N/A,#N/A,FALSE,"Sheet5"}</definedName>
    <definedName name="Prevfcst">#REF!</definedName>
    <definedName name="PrevPrevFcst">#REF!</definedName>
    <definedName name="Price_per">#REF!</definedName>
    <definedName name="PricingInfo" localSheetId="13" hidden="1">#REF!</definedName>
    <definedName name="PricingInfo" hidden="1">#REF!</definedName>
    <definedName name="_xlnm.Print_Area" localSheetId="14">'Actls Depr Deferral'!$A$1:$X$35</definedName>
    <definedName name="_xlnm.Print_Area" localSheetId="27">'Gas Conv Factor'!$B$4:$F$23</definedName>
    <definedName name="_xlnm.Print_Area" localSheetId="2">'Monthly Return Cals'!$A$1:$Y$26</definedName>
    <definedName name="_xlnm.Print_Area" localSheetId="25">ROR!$H$5:$R$23</definedName>
    <definedName name="_xlnm.Print_Area" localSheetId="1">'Tracker Monthly True-up Detail'!$A$1:$V$35</definedName>
    <definedName name="PRINT_CATEGS">#REF!</definedName>
    <definedName name="_xlnm.Print_Titles" localSheetId="23">'LNG Depreciation Deferral'!$1:$10</definedName>
    <definedName name="_xlnm.Print_Titles" localSheetId="22">'LNG O&amp;M Deferral'!$1:$10</definedName>
    <definedName name="_xlnm.Print_Titles" localSheetId="24">'LNG Return Deferral'!$1:$10</definedName>
    <definedName name="_xlnm.Print_Titles" localSheetId="26">'O&amp;M'!$A:$A</definedName>
    <definedName name="_xlnm.Print_Titles" localSheetId="8">'Post Oct 23 LNG Depr Deferra '!$1:$10</definedName>
    <definedName name="_xlnm.Print_Titles" localSheetId="9">'Post Oct 23 LNG O&amp;M Deferral '!$1:$10</definedName>
    <definedName name="_xlnm.Print_Titles" localSheetId="7">'Post Oct 23 LNG Retrn Def'!$1:$10</definedName>
    <definedName name="_xlnm.Print_Titles" localSheetId="10">'Updated LNG O&amp;M Deferral'!$1:$10</definedName>
    <definedName name="_xlnm.Print_Titles" localSheetId="12">'Updated LNG Return Deferral'!$1:$10</definedName>
    <definedName name="_xlnm.Print_Titles" localSheetId="11">'UpdateLNG Depreciation Deferral'!$1:$10</definedName>
    <definedName name="Project">#REF!</definedName>
    <definedName name="Project_Management">#REF!</definedName>
    <definedName name="PROJECT_NAME">#REF!</definedName>
    <definedName name="Ptas">#REF!</definedName>
    <definedName name="qqq" localSheetId="2" hidden="1">{#N/A,#N/A,FALSE,"schA"}</definedName>
    <definedName name="qqq" localSheetId="5" hidden="1">{#N/A,#N/A,FALSE,"schA"}</definedName>
    <definedName name="qqq" hidden="1">{#N/A,#N/A,FALSE,"schA"}</definedName>
    <definedName name="QtdAct">#REF!</definedName>
    <definedName name="rec_weco_gl_contract_aug99" localSheetId="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tail" localSheetId="13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1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1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rr" localSheetId="13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wvu.allocations." hidden="1">#REF!</definedName>
    <definedName name="Rwvu.annual._.hotel." localSheetId="13" hidden="1">#REF!</definedName>
    <definedName name="Rwvu.annual._.hotel." hidden="1">#REF!</definedName>
    <definedName name="Rwvu.bottom._.line." localSheetId="13" hidden="1">#REF!</definedName>
    <definedName name="Rwvu.bottom._.line." hidden="1">#REF!</definedName>
    <definedName name="Rwvu.cash._.flow." hidden="1">#REF!</definedName>
    <definedName name="Rwvu.combo." localSheetId="13" hidden="1">#REF!</definedName>
    <definedName name="Rwvu.combo." hidden="1">#REF!</definedName>
    <definedName name="Rwvu.offsite." hidden="1">#REF!</definedName>
    <definedName name="Rwvu.onsite." hidden="1">#REF!</definedName>
    <definedName name="SAPBEXhrIndnt" hidden="1">"Wide"</definedName>
    <definedName name="SAPBEXrevision" hidden="1">1</definedName>
    <definedName name="SAPBEXsysID" hidden="1">"BWP"</definedName>
    <definedName name="SAPBEXwbID" hidden="1">"45FIHJWMI3GHFVKWLVCY66MTN"</definedName>
    <definedName name="SAPsysID" hidden="1">"708C5W7SBKP804JT78WJ0JNKI"</definedName>
    <definedName name="SAPwbID" hidden="1">"ARS"</definedName>
    <definedName name="SEPDATA?">#REF!</definedName>
    <definedName name="SETUP_PRINT">#REF!</definedName>
    <definedName name="shit" localSheetId="13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x" localSheetId="2" hidden="1">{#N/A,#N/A,FALSE,"Drill Sites";"WP 212",#N/A,FALSE,"MWAG EOR";"WP 213",#N/A,FALSE,"MWAG EOR";#N/A,#N/A,FALSE,"Misc. Facility";#N/A,#N/A,FALSE,"WWTP"}</definedName>
    <definedName name="six" localSheetId="13" hidden="1">{#N/A,#N/A,FALSE,"Drill Sites";"WP 212",#N/A,FALSE,"MWAG EOR";"WP 213",#N/A,FALSE,"MWAG EOR";#N/A,#N/A,FALSE,"Misc. Facility";#N/A,#N/A,FALSE,"WWTP"}</definedName>
    <definedName name="six" localSheetId="19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pippw" localSheetId="13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preadsheetBuilder_2" localSheetId="13" hidden="1">#REF!</definedName>
    <definedName name="SpreadsheetBuilder_2" hidden="1">#REF!</definedName>
    <definedName name="SpreadsheetBuilder_3" localSheetId="13" hidden="1">#REF!</definedName>
    <definedName name="SpreadsheetBuilder_3" hidden="1">#REF!</definedName>
    <definedName name="Staffing">#REF!</definedName>
    <definedName name="standard1" localSheetId="13" hidden="1">{"YTD-Total",#N/A,FALSE,"Provision"}</definedName>
    <definedName name="standard1" hidden="1">{"YTD-Total",#N/A,FALSE,"Provision"}</definedName>
    <definedName name="sue" localSheetId="2" hidden="1">{#N/A,#N/A,FALSE,"Cover Sheet";"Use of Equipment",#N/A,FALSE,"Area C";"Equipment Hours",#N/A,FALSE,"All";"Summary",#N/A,FALSE,"All"}</definedName>
    <definedName name="sue" localSheetId="5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san" localSheetId="2" hidden="1">{#N/A,#N/A,FALSE,"Cover Sheet";"Use of Equipment",#N/A,FALSE,"Area C";"Equipment Hours",#N/A,FALSE,"All";"Summary",#N/A,FALSE,"All"}</definedName>
    <definedName name="susan" localSheetId="5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vu.allocations." hidden="1">#REF!</definedName>
    <definedName name="Swvu.annual._.hotel." localSheetId="13" hidden="1">#REF!</definedName>
    <definedName name="Swvu.annual._.hotel." hidden="1">#REF!</definedName>
    <definedName name="Swvu.bottom._.line." localSheetId="13" hidden="1">#REF!</definedName>
    <definedName name="Swvu.bottom._.line." hidden="1">#REF!</definedName>
    <definedName name="Swvu.cash._.flow." hidden="1">#REF!</definedName>
    <definedName name="Swvu.combo." localSheetId="13" hidden="1">#REF!</definedName>
    <definedName name="Swvu.combo." hidden="1">#REF!</definedName>
    <definedName name="Swvu.full." hidden="1">#REF!</definedName>
    <definedName name="Swvu.offsite." hidden="1">#REF!</definedName>
    <definedName name="Swvu.onsite." hidden="1">#REF!</definedName>
    <definedName name="t" localSheetId="2" hidden="1">{#N/A,#N/A,FALSE,"CESTSUM";#N/A,#N/A,FALSE,"est sum A";#N/A,#N/A,FALSE,"est detail A"}</definedName>
    <definedName name="t" localSheetId="13" hidden="1">{#N/A,#N/A,FALSE,"CESTSUM";#N/A,#N/A,FALSE,"est sum A";#N/A,#N/A,FALSE,"est detail A"}</definedName>
    <definedName name="t" localSheetId="19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2" hidden="1">{#N/A,#N/A,FALSE,"Summ";#N/A,#N/A,FALSE,"General"}</definedName>
    <definedName name="TEMP" localSheetId="13" hidden="1">{#N/A,#N/A,FALSE,"Summ";#N/A,#N/A,FALSE,"General"}</definedName>
    <definedName name="TEMP" localSheetId="19" hidden="1">{#N/A,#N/A,FALSE,"Summ";#N/A,#N/A,FALSE,"General"}</definedName>
    <definedName name="TEMP" localSheetId="5" hidden="1">{#N/A,#N/A,FALSE,"Summ";#N/A,#N/A,FALSE,"General"}</definedName>
    <definedName name="TEMP" hidden="1">{#N/A,#N/A,FALSE,"Summ";#N/A,#N/A,FALSE,"General"}</definedName>
    <definedName name="Temp1" localSheetId="2" hidden="1">{#N/A,#N/A,FALSE,"CESTSUM";#N/A,#N/A,FALSE,"est sum A";#N/A,#N/A,FALSE,"est detail A"}</definedName>
    <definedName name="Temp1" localSheetId="13" hidden="1">{#N/A,#N/A,FALSE,"CESTSUM";#N/A,#N/A,FALSE,"est sum A";#N/A,#N/A,FALSE,"est detail A"}</definedName>
    <definedName name="Temp1" localSheetId="19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ime">#REF!</definedName>
    <definedName name="TOTINSURANCE">#REF!</definedName>
    <definedName name="TP_Footer_User" hidden="1">"Dylan Moser"</definedName>
    <definedName name="TP_Footer_Version" hidden="1">"v4.00"</definedName>
    <definedName name="training">#REF!</definedName>
    <definedName name="Training__Travel_and_General">#REF!</definedName>
    <definedName name="trth" localSheetId="13" hidden="1">{"ALL",#N/A,FALSE,"A"}</definedName>
    <definedName name="trth" hidden="1">{"ALL",#N/A,FALSE,"A"}</definedName>
    <definedName name="u" localSheetId="2" hidden="1">{#N/A,#N/A,FALSE,"Summ";#N/A,#N/A,FALSE,"General"}</definedName>
    <definedName name="u" localSheetId="13" hidden="1">{#N/A,#N/A,FALSE,"Summ";#N/A,#N/A,FALSE,"General"}</definedName>
    <definedName name="u" localSheetId="19" hidden="1">{#N/A,#N/A,FALSE,"Summ";#N/A,#N/A,FALSE,"General"}</definedName>
    <definedName name="u" localSheetId="5" hidden="1">{#N/A,#N/A,FALSE,"Summ";#N/A,#N/A,FALSE,"General"}</definedName>
    <definedName name="u" hidden="1">{#N/A,#N/A,FALSE,"Summ";#N/A,#N/A,FALSE,"General"}</definedName>
    <definedName name="UndoFcst">#REF!</definedName>
    <definedName name="UndoFcstII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serDef10">#REF!</definedName>
    <definedName name="UserDef11">#REF!</definedName>
    <definedName name="UserDef12">#REF!</definedName>
    <definedName name="UserDef2">#REF!</definedName>
    <definedName name="UserDef3">#REF!</definedName>
    <definedName name="UserDef4">#REF!</definedName>
    <definedName name="UserDef5">#REF!</definedName>
    <definedName name="UserDef6">#REF!</definedName>
    <definedName name="UserDef7">#REF!</definedName>
    <definedName name="UserDef8">#REF!</definedName>
    <definedName name="UserDef9">#REF!</definedName>
    <definedName name="Utilities">#REF!</definedName>
    <definedName name="v" localSheetId="2" hidden="1">{#N/A,#N/A,FALSE,"Coversheet";#N/A,#N/A,FALSE,"QA"}</definedName>
    <definedName name="v" localSheetId="5" hidden="1">{#N/A,#N/A,FALSE,"Coversheet";#N/A,#N/A,FALSE,"QA"}</definedName>
    <definedName name="v" hidden="1">{#N/A,#N/A,FALSE,"Coversheet";#N/A,#N/A,FALSE,"QA"}</definedName>
    <definedName name="vcdv" hidden="1">#REF!</definedName>
    <definedName name="Vehicles">#REF!</definedName>
    <definedName name="w" localSheetId="2" hidden="1">{#N/A,#N/A,FALSE,"Schedule F";#N/A,#N/A,FALSE,"Schedule G"}</definedName>
    <definedName name="w" localSheetId="13" hidden="1">#REF!</definedName>
    <definedName name="w" localSheetId="5" hidden="1">{#N/A,#N/A,FALSE,"Schedule F";#N/A,#N/A,FALSE,"Schedule G"}</definedName>
    <definedName name="w" hidden="1">#REF!</definedName>
    <definedName name="we" localSheetId="2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2" hidden="1">{#N/A,#N/A,FALSE,"Coversheet";#N/A,#N/A,FALSE,"QA"}</definedName>
    <definedName name="WH" localSheetId="5" hidden="1">{#N/A,#N/A,FALSE,"Coversheet";#N/A,#N/A,FALSE,"QA"}</definedName>
    <definedName name="WH" hidden="1">{#N/A,#N/A,FALSE,"Coversheet";#N/A,#N/A,FALSE,"QA"}</definedName>
    <definedName name="wr" localSheetId="13" hidden="1">{"Output-3Column",#N/A,FALSE,"Output"}</definedName>
    <definedName name="wr" hidden="1">{"Output-3Column",#N/A,FALSE,"Output"}</definedName>
    <definedName name="wrn" localSheetId="13" hidden="1">{"Inflation-BaseYear",#N/A,FALSE,"Inputs"}</definedName>
    <definedName name="wrn" hidden="1">{"Inflation-BaseYear",#N/A,FALSE,"Inputs"}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13" hidden="1">{#N/A,#N/A,FALSE,"Drill Sites";"WP 212",#N/A,FALSE,"MWAG EOR";"WP 213",#N/A,FALSE,"MWAG EOR";#N/A,#N/A,FALSE,"Misc. Facility";#N/A,#N/A,FALSE,"WWTP"}</definedName>
    <definedName name="wrn.1._.Bi._.Monthly._.CR." localSheetId="19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996._.Hydro._.5._.Year._.Forecast._.Budget.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2" hidden="1">{#N/A,#N/A,FALSE,"CRPT";#N/A,#N/A,FALSE,"TREND";#N/A,#N/A,FALSE,"%Curve"}</definedName>
    <definedName name="wrn.AAI." localSheetId="13" hidden="1">{#N/A,#N/A,FALSE,"CRPT";#N/A,#N/A,FALSE,"TREND";#N/A,#N/A,FALSE,"%Curve"}</definedName>
    <definedName name="wrn.AAI." localSheetId="19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" hidden="1">{#N/A,#N/A,FALSE,"CRPT";#N/A,#N/A,FALSE,"TREND";#N/A,#N/A,FALSE,"% CURVE"}</definedName>
    <definedName name="wrn.AAI._.Report." localSheetId="13" hidden="1">{#N/A,#N/A,FALSE,"CRPT";#N/A,#N/A,FALSE,"TREND";#N/A,#N/A,FALSE,"% CURVE"}</definedName>
    <definedName name="wrn.AAI._.Report." localSheetId="19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localSheetId="13" hidden="1">{"Page 3.4.1",#N/A,FALSE,"Totals";"Page 3.4.2",#N/A,FALSE,"Totals"}</definedName>
    <definedName name="wrn.Adj._.Back_Up." hidden="1">{"Page 3.4.1",#N/A,FALSE,"Totals";"Page 3.4.2",#N/A,FALSE,"Totals"}</definedName>
    <definedName name="wrn.ALL." localSheetId="13" hidden="1">{"ALL",#N/A,FALSE,"A"}</definedName>
    <definedName name="wrn.ALL." hidden="1">{"ALL",#N/A,FALSE,"A"}</definedName>
    <definedName name="wrn.All._.BSs._.and._.JEs." localSheetId="13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nput." localSheetId="13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localSheetId="1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13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13" hidden="1">{#N/A,#N/A,FALSE,"Cover";#N/A,#N/A,FALSE,"Lead Sheet";#N/A,#N/A,FALSE,"T-Accounts";#N/A,#N/A,FALSE,"Expense Detail 10 01 to 3  02";#N/A,#N/A,FALSE,"Expense Detail 4 01 to 9 01";#N/A,#N/A,FALSE,"Three Factor % 3  2002"}</definedName>
    <definedName name="wrn.All._.Pages." hidden="1">{#N/A,#N/A,FALSE,"Cover";#N/A,#N/A,FALSE,"Lead Sheet";#N/A,#N/A,FALSE,"T-Accounts";#N/A,#N/A,FALSE,"Expense Detail 10 01 to 3  02";#N/A,#N/A,FALSE,"Expense Detail 4 01 to 9 01";#N/A,#N/A,FALSE,"Three Factor % 3  2002"}</definedName>
    <definedName name="wrn.All._.Sheets." localSheetId="13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nnual." localSheetId="13" hidden="1">{"annual",#N/A,FALSE,"Pro Forma"}</definedName>
    <definedName name="wrn.annual." hidden="1">{"annual",#N/A,FALSE,"Pro Forma"}</definedName>
    <definedName name="wrn.Annual._.Cost._.Adjustment." localSheetId="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Detail." localSheetId="13" hidden="1">{"annualsum",#N/A,FALSE,"Cost Summary";"annual1",#N/A,FALSE,"Phase_1";"annual2",#N/A,FALSE,"Phase_2";"annual3",#N/A,FALSE,"Phase_3";"annual4",#N/A,FALSE,"Phase_4"}</definedName>
    <definedName name="wrn.Annual._.Detail." hidden="1">{"annualsum",#N/A,FALSE,"Cost Summary";"annual1",#N/A,FALSE,"Phase_1";"annual2",#N/A,FALSE,"Phase_2";"annual3",#N/A,FALSE,"Phase_3";"annual4",#N/A,FALSE,"Phase_4"}</definedName>
    <definedName name="wrn.Annual._.Golf." localSheetId="13" hidden="1">{"a_dev",#N/A,FALSE,"Golf Development";"a_memstats",#N/A,FALSE,"Golf Development";"a_opstats",#N/A,FALSE,"Golf Development";"a_rev",#N/A,FALSE,"Golf Development";"a_return",#N/A,FALSE,"Golf Development"}</definedName>
    <definedName name="wrn.Annual._.Golf." hidden="1">{"a_dev",#N/A,FALSE,"Golf Development";"a_memstats",#N/A,FALSE,"Golf Development";"a_opstats",#N/A,FALSE,"Golf Development";"a_rev",#N/A,FALSE,"Golf Development";"a_return",#N/A,FALSE,"Golf Development"}</definedName>
    <definedName name="wrn.Annual._.Hotel." localSheetId="13" hidden="1">{"annual hotel",#N/A,FALSE,"Hotel Development"}</definedName>
    <definedName name="wrn.Annual._.Hotel." hidden="1">{"annual hotel",#N/A,FALSE,"Hotel Development"}</definedName>
    <definedName name="wrn.Annual._.Land._.Sales." localSheetId="13" hidden="1">{"annual",#N/A,FALSE,"Land Sales"}</definedName>
    <definedName name="wrn.Annual._.Land._.Sales." hidden="1">{"annual",#N/A,FALSE,"Land Sales"}</definedName>
    <definedName name="wrn.Annual._.Productivity._.Calc." localSheetId="2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5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Report." localSheetId="13" hidden="1">{"annual",#N/A,FALSE,"Pro Forma";#N/A,#N/A,FALSE,"Golf Operations"}</definedName>
    <definedName name="wrn.Annual._.Report." hidden="1">{"annual",#N/A,FALSE,"Pro Forma";#N/A,#N/A,FALSE,"Golf Operations"}</definedName>
    <definedName name="wrn.Annual._.Report._.no._.releases." localSheetId="13" hidden="1">{"a_sales",#N/A,FALSE,"Summary";"a_debt",#N/A,FALSE,"Summary";"a_cash",#N/A,FALSE,"Summary";"a_accrual",#N/A,FALSE,"Summary"}</definedName>
    <definedName name="wrn.Annual._.Report._.no._.releases." hidden="1">{"a_sales",#N/A,FALSE,"Summary";"a_debt",#N/A,FALSE,"Summary";"a_cash",#N/A,FALSE,"Summary";"a_accrual",#N/A,FALSE,"Summary"}</definedName>
    <definedName name="wrn.Annual._.Report._.with._.releases." localSheetId="13" hidden="1">{"a_sales",#N/A,FALSE,"Summary";"a_debt",#N/A,FALSE,"Summary";"a_releases",#N/A,FALSE,"Summary";"a_cash",#N/A,FALSE,"Summary";"a_accrual",#N/A,FALSE,"Summary"}</definedName>
    <definedName name="wrn.Annual._.Report._.with._.releases." hidden="1">{"a_sales",#N/A,FALSE,"Summary";"a_debt",#N/A,FALSE,"Summary";"a_releases",#N/A,FALSE,"Summary";"a_cash",#N/A,FALSE,"Summary";"a_accrual",#N/A,FALSE,"Summary"}</definedName>
    <definedName name="wrn.Annual_5yr." localSheetId="13" hidden="1">{"ISP1Y5",#N/A,TRUE,"Template";"ISP2Y5",#N/A,TRUE,"Template";"BSY5",#N/A,TRUE,"Template";"ICFY5",#N/A,TRUE,"Template";"TPY5",#N/A,TRUE,"Template";"CtrlY5",#N/A,TRUE,"Template"}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9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2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5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ssets." localSheetId="13" hidden="1">{"ASSETS",#N/A,FALSE,"Assets"}</definedName>
    <definedName name="wrn.Assets." hidden="1">{"ASSETS",#N/A,FALSE,"Assets"}</definedName>
    <definedName name="wrn.ASSOC_CO." localSheetId="13" hidden="1">{"ASSC_CO",#N/A,FALSE,"A"}</definedName>
    <definedName name="wrn.ASSOC_CO." hidden="1">{"ASSC_CO",#N/A,FALSE,"A"}</definedName>
    <definedName name="wrn.BidCo." localSheetId="13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S." localSheetId="13" hidden="1">{"BS",#N/A,FALSE,"A"}</definedName>
    <definedName name="wrn.BS." hidden="1">{"BS",#N/A,FALSE,"A"}</definedName>
    <definedName name="wrn.Budget._.Model.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S._.RPT.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ASH." localSheetId="13" hidden="1">{#N/A,#N/A,FALSE,"Sheet5"}</definedName>
    <definedName name="wrn.CASH." hidden="1">{#N/A,#N/A,FALSE,"Sheet5"}</definedName>
    <definedName name="wrn.Cash._.and._.Accrual." localSheetId="13" hidden="1">{"a_cash",#N/A,FALSE,"Summary";"a_accrual",#N/A,FALSE,"Summary"}</definedName>
    <definedName name="wrn.Cash._.and._.Accrual." hidden="1">{"a_cash",#N/A,FALSE,"Summary";"a_accrual",#N/A,FALSE,"Summary"}</definedName>
    <definedName name="wrn.Combined._.YTD." localSheetId="13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mplete._.Report." localSheetId="13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localSheetId="13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ost._.Adjustment." localSheetId="2" hidden="1">{#N/A,#N/A,FALSE,"Cost Adjustment "}</definedName>
    <definedName name="wrn.Cost._.Adjustment." localSheetId="5" hidden="1">{#N/A,#N/A,FALSE,"Cost Adjustment "}</definedName>
    <definedName name="wrn.Cost._.Adjustment." hidden="1">{#N/A,#N/A,FALSE,"Cost Adjustment "}</definedName>
    <definedName name="wrn.Current._.Estimate." localSheetId="13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rrent._.Estimate.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19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CF._.Valuation." localSheetId="13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epreciation." localSheetId="2" hidden="1">{#N/A,#N/A,TRUE,"Depreciation Summary";#N/A,#N/A,TRUE,"18, 21 &amp; 22 Depreciation";#N/A,#N/A,TRUE,"11 &amp; 12 Depreciation"}</definedName>
    <definedName name="wrn.Depreciation." localSheetId="5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Detail." localSheetId="13" hidden="1">{"Print_Detail",#N/A,FALSE,"Redemption_Maturity Extract"}</definedName>
    <definedName name="wrn.Detail." hidden="1">{"Print_Detail",#N/A,FALSE,"Redemption_Maturity Extract"}</definedName>
    <definedName name="wrn.Diane._.s._.Version." localSheetId="13" hidden="1">{"Full",#N/A,FALSE,"Sec MTN B Summary"}</definedName>
    <definedName name="wrn.Diane._.s._.Version." hidden="1">{"Full",#N/A,FALSE,"Sec MTN B Summary"}</definedName>
    <definedName name="wrn.Distribution._.Version." localSheetId="13" hidden="1">{"RedPrem_InitRed View",#N/A,FALSE,"Sec MTN B Summary"}</definedName>
    <definedName name="wrn.Distribution._.Version." hidden="1">{"RedPrem_InitRed View",#N/A,FALSE,"Sec MTN B Summary"}</definedName>
    <definedName name="wrn.ECR." localSheetId="2" hidden="1">{#N/A,#N/A,FALSE,"schA"}</definedName>
    <definedName name="wrn.ECR." localSheetId="5" hidden="1">{#N/A,#N/A,FALSE,"schA"}</definedName>
    <definedName name="wrn.ECR." hidden="1">{#N/A,#N/A,FALSE,"schA"}</definedName>
    <definedName name="wrn.ESTIMATE." localSheetId="2" hidden="1">{#N/A,#N/A,FALSE,"CESTSUM";#N/A,#N/A,FALSE,"est sum A";#N/A,#N/A,FALSE,"est detail A"}</definedName>
    <definedName name="wrn.ESTIMATE." localSheetId="13" hidden="1">{#N/A,#N/A,FALSE,"CESTSUM";#N/A,#N/A,FALSE,"est sum A";#N/A,#N/A,FALSE,"est detail A"}</definedName>
    <definedName name="wrn.ESTIMATE." localSheetId="19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actors._.Tab._.10." localSheetId="13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CB." localSheetId="13" hidden="1">{"FCB_ALL",#N/A,FALSE,"FCB"}</definedName>
    <definedName name="wrn.FCB." hidden="1">{"FCB_ALL",#N/A,FALSE,"FCB"}</definedName>
    <definedName name="wrn.fcb2" localSheetId="13" hidden="1">{"FCB_ALL",#N/A,FALSE,"FCB"}</definedName>
    <definedName name="wrn.fcb2" hidden="1">{"FCB_ALL",#N/A,FALSE,"FCB"}</definedName>
    <definedName name="wrn.Financials." localSheetId="13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ve._.Year._.Test." localSheetId="13" hidden="1">{"Five Year Plan",#N/A,TRUE,"Monthly Summary-IIIXIILP";"Five Year Plan",#N/A,TRUE,"Cash Flow"}</definedName>
    <definedName name="wrn.Five._.Year._.Test." hidden="1">{"Five Year Plan",#N/A,TRUE,"Monthly Summary-IIIXIILP";"Five Year Plan",#N/A,TRUE,"Cash Flow"}</definedName>
    <definedName name="wrn.Forecast." localSheetId="2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5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ll._.report." localSheetId="13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report.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View." localSheetId="13" hidden="1">{"FullView",#N/A,FALSE,"Consltd-For contngcy"}</definedName>
    <definedName name="wrn.Full._.View." hidden="1">{"FullView",#N/A,FALSE,"Consltd-For contngcy"}</definedName>
    <definedName name="wrn.Fundamental." localSheetId="2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localSheetId="19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GLReport." localSheetId="13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eg." localSheetId="13" hidden="1">{"three",#N/A,FALSE,"Capital";"four",#N/A,FALSE,"Capital"}</definedName>
    <definedName name="wrn.greg." hidden="1">{"three",#N/A,FALSE,"Capital";"four",#N/A,FALSE,"Capital"}</definedName>
    <definedName name="wrn.IEO." localSheetId="2" hidden="1">{#N/A,#N/A,FALSE,"SUMMARY";#N/A,#N/A,FALSE,"AE7616";#N/A,#N/A,FALSE,"AE7617";#N/A,#N/A,FALSE,"AE7618";#N/A,#N/A,FALSE,"AE7619"}</definedName>
    <definedName name="wrn.IEO." localSheetId="13" hidden="1">{#N/A,#N/A,FALSE,"SUMMARY";#N/A,#N/A,FALSE,"AE7616";#N/A,#N/A,FALSE,"AE7617";#N/A,#N/A,FALSE,"AE7618";#N/A,#N/A,FALSE,"AE7619"}</definedName>
    <definedName name="wrn.IEO." localSheetId="19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II._.X._.Co._.Five._.Year._.Plan." localSheetId="13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._.X._.Co._.Five._.Year._.Plan.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XCo._.Five._.Year._.Summary._.Reports." localSheetId="13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ive._.Year._.Summary._.Reports.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Y._.2004._.Plan." localSheetId="13" hidden="1">{"IIIXCo FY 04 Plan",#N/A,FALSE,"Monthly Summary-IIIXIILP"}</definedName>
    <definedName name="wrn.IIIXCo._.FY._.2004._.Plan." hidden="1">{"IIIXCo FY 04 Plan",#N/A,FALSE,"Monthly Summary-IIIXIILP"}</definedName>
    <definedName name="wrn.Incentive._.Overhead." localSheetId="2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19" hidden="1">{#N/A,#N/A,FALSE,"Coversheet";#N/A,#N/A,FALSE,"QA"}</definedName>
    <definedName name="wrn.Incentive._.Overhead." localSheetId="5" hidden="1">{#N/A,#N/A,FALSE,"Coversheet";#N/A,#N/A,FALSE,"QA"}</definedName>
    <definedName name="wrn.Incentive._.Overhead." hidden="1">{#N/A,#N/A,FALSE,"Coversheet";#N/A,#N/A,FALSE,"QA"}</definedName>
    <definedName name="wrn.Inputs." localSheetId="13" hidden="1">{"Inflation-BaseYear",#N/A,FALSE,"Inputs"}</definedName>
    <definedName name="wrn.Inputs." hidden="1">{"Inflation-BaseYear",#N/A,FALSE,"Inputs"}</definedName>
    <definedName name="wrn.Invested._.Capital." localSheetId="13" hidden="1">{#N/A,#N/A,FALSE,"Invested Capital-Total";#N/A,#N/A,FALSE,"Invested Capital-SEI";#N/A,#N/A,FALSE,"Invested Capital-Utah";#N/A,#N/A,FALSE,"Invested Capital-Raton"}</definedName>
    <definedName name="wrn.Invested._.Capital." hidden="1">{#N/A,#N/A,FALSE,"Invested Capital-Total";#N/A,#N/A,FALSE,"Invested Capital-SEI";#N/A,#N/A,FALSE,"Invested Capital-Utah";#N/A,#N/A,FALSE,"Invested Capital-Raton"}</definedName>
    <definedName name="wrn.Liab." localSheetId="13" hidden="1">{"LIAB",#N/A,FALSE,"Liab"}</definedName>
    <definedName name="wrn.Liab." hidden="1">{"LIAB",#N/A,FALSE,"Liab"}</definedName>
    <definedName name="wrn.limit_reports." localSheetId="2" hidden="1">{#N/A,#N/A,FALSE,"Schedule F";#N/A,#N/A,FALSE,"Schedule G"}</definedName>
    <definedName name="wrn.limit_reports." localSheetId="13" hidden="1">{#N/A,#N/A,FALSE,"Schedule F";#N/A,#N/A,FALSE,"Schedule G"}</definedName>
    <definedName name="wrn.limit_reports." localSheetId="19" hidden="1">{#N/A,#N/A,FALSE,"Schedule F";#N/A,#N/A,FALSE,"Schedule G"}</definedName>
    <definedName name="wrn.limit_reports." localSheetId="5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19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2" hidden="1">{#N/A,#N/A,FALSE,"Cover Sheet";"Use of Equipment",#N/A,FALSE,"Area C";"Equipment Hours",#N/A,FALSE,"All";"Summary",#N/A,FALSE,"All"}</definedName>
    <definedName name="wrn.Mining._.Flexibility." localSheetId="5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2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5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onthly_Yr1." localSheetId="13" hidden="1">{"ISP1Y1",#N/A,TRUE,"Template";"ISP2Y1",#N/A,TRUE,"Template";"BSY1",#N/A,TRUE,"Template";"ICFY1",#N/A,TRUE,"Template";"TPY1",#N/A,TRUE,"Template";"CtrlY1",#N/A,TRUE,"Template"}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" localSheetId="13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localSheetId="13" hidden="1">{"ISP1Y2",#N/A,TRUE,"Template";"ISP2Y2",#N/A,TRUE,"Template";"BSY2",#N/A,TRUE,"Template";"ICFY2",#N/A,TRUE,"Template";"TPY2",#N/A,TRUE,"Template";"CtrlY2",#N/A,TRUE,"Template"}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tWorth." localSheetId="13" hidden="1">{"NW",#N/A,FALSE,"STMT"}</definedName>
    <definedName name="wrn.NetWorth." hidden="1">{"NW",#N/A,FALSE,"STMT"}</definedName>
    <definedName name="wrn.Open._.Issues._.Only." localSheetId="13" hidden="1">{"Open issues Only",#N/A,FALSE,"TIMELINE"}</definedName>
    <definedName name="wrn.Open._.Issues._.Only." hidden="1">{"Open issues Only",#N/A,FALSE,"TIMELINE"}</definedName>
    <definedName name="wrn.OR._.Carrying._.Charge._.JV." localSheetId="1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1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utput3Column." localSheetId="13" hidden="1">{"Output-3Column",#N/A,FALSE,"Output"}</definedName>
    <definedName name="wrn.Output3Column." hidden="1">{"Output-3Column",#N/A,FALSE,"Output"}</definedName>
    <definedName name="wrn.OutputAll." localSheetId="13" hidden="1">{"Output-All",#N/A,FALSE,"Output"}</definedName>
    <definedName name="wrn.OutputAll." hidden="1">{"Output-All",#N/A,FALSE,"Output"}</definedName>
    <definedName name="wrn.OutputBaseYear." localSheetId="13" hidden="1">{"Output-BaseYear",#N/A,FALSE,"Output"}</definedName>
    <definedName name="wrn.OutputBaseYear." hidden="1">{"Output-BaseYear",#N/A,FALSE,"Output"}</definedName>
    <definedName name="wrn.OutputMin." localSheetId="13" hidden="1">{"Output-Min",#N/A,FALSE,"Output"}</definedName>
    <definedName name="wrn.OutputMin." hidden="1">{"Output-Min",#N/A,FALSE,"Output"}</definedName>
    <definedName name="wrn.OutputPercent." localSheetId="13" hidden="1">{"Output%",#N/A,FALSE,"Output"}</definedName>
    <definedName name="wrn.OutputPercent." hidden="1">{"Output%",#N/A,FALSE,"Output"}</definedName>
    <definedName name="wrn.pages.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localSheetId="13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d." localSheetId="13" hidden="1">{"Pfd",#N/A,FALSE,"Pfd"}</definedName>
    <definedName name="wrn.Pfd." hidden="1">{"Pfd",#N/A,FALSE,"Pfd"}</definedName>
    <definedName name="wrn.PFSreconview." localSheetId="13" hidden="1">{"PFS recon view",#N/A,FALSE,"Hyperion Proof"}</definedName>
    <definedName name="wrn.PFSreconview." hidden="1">{"PFS recon view",#N/A,FALSE,"Hyperion Proof"}</definedName>
    <definedName name="wrn.PGHCreconview." localSheetId="13" hidden="1">{"PGHC recon view",#N/A,FALSE,"Hyperion Proof"}</definedName>
    <definedName name="wrn.PGHCreconview." hidden="1">{"PGHC recon view",#N/A,FALSE,"Hyperion Proof"}</definedName>
    <definedName name="wrn.PHI._.all._.other._.months." localSheetId="13" hidden="1">{#N/A,#N/A,FALSE,"PHI MTD";#N/A,#N/A,FALSE,"PHI YTD"}</definedName>
    <definedName name="wrn.PHI._.all._.other._.months." hidden="1">{#N/A,#N/A,FALSE,"PHI MTD";#N/A,#N/A,FALSE,"PHI YTD"}</definedName>
    <definedName name="wrn.PHI._.only." localSheetId="13" hidden="1">{#N/A,#N/A,FALSE,"PHI"}</definedName>
    <definedName name="wrn.PHI._.only." hidden="1">{#N/A,#N/A,FALSE,"PHI"}</definedName>
    <definedName name="wrn.PHI._.Sept._.Dec._.March." localSheetId="13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ivot1." localSheetId="13" hidden="1">{"Pivot1",#N/A,FALSE,"Redemption_Maturity Extract"}</definedName>
    <definedName name="wrn.Pivot1." hidden="1">{"Pivot1",#N/A,FALSE,"Redemption_Maturity Extract"}</definedName>
    <definedName name="wrn.Pivot2." localSheetId="13" hidden="1">{"Pivot2",#N/A,FALSE,"Redemption_Maturity Extract"}</definedName>
    <definedName name="wrn.Pivot2." hidden="1">{"Pivot2",#N/A,FALSE,"Redemption_Maturity Extract"}</definedName>
    <definedName name="wrn.Plan._.2004." localSheetId="13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lan._.2004.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PMCoCodeView." localSheetId="13" hidden="1">{"PPM Co Code View",#N/A,FALSE,"Comp Codes"}</definedName>
    <definedName name="wrn.PPMCoCodeView." hidden="1">{"PPM Co Code View",#N/A,FALSE,"Comp Codes"}</definedName>
    <definedName name="wrn.PPMreconview." localSheetId="13" hidden="1">{"PPM Recon View",#N/A,FALSE,"Hyperion Proof"}</definedName>
    <definedName name="wrn.PPMreconview." hidden="1">{"PPM Recon View",#N/A,FALSE,"Hyperion Proof"}</definedName>
    <definedName name="wrn.PrintAll." localSheetId="13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oductivity." localSheetId="2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5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2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5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2" hidden="1">{#N/A,#N/A,FALSE,"BASE";#N/A,#N/A,FALSE,"LOOPS";#N/A,#N/A,FALSE,"PLC"}</definedName>
    <definedName name="wrn.Project._.Services." localSheetId="13" hidden="1">{#N/A,#N/A,FALSE,"BASE";#N/A,#N/A,FALSE,"LOOPS";#N/A,#N/A,FALSE,"PLC"}</definedName>
    <definedName name="wrn.Project._.Services." localSheetId="19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localSheetId="13" hidden="1">{"Electric Only",#N/A,FALSE,"Hyperion Proof"}</definedName>
    <definedName name="wrn.ProofElectricOnly." hidden="1">{"Electric Only",#N/A,FALSE,"Hyperion Proof"}</definedName>
    <definedName name="wrn.ProofTotal." localSheetId="13" hidden="1">{"Proof Total",#N/A,FALSE,"Hyperion Proof"}</definedName>
    <definedName name="wrn.ProofTotal." hidden="1">{"Proof Total",#N/A,FALSE,"Hyperion Proof"}</definedName>
    <definedName name="wrn.quarterly." localSheetId="13" hidden="1">{"quarterly",#N/A,FALSE,"Pro Forma"}</definedName>
    <definedName name="wrn.quarterly." hidden="1">{"quarterly",#N/A,FALSE,"Pro Forma"}</definedName>
    <definedName name="wrn.Reformat._.only." localSheetId="13" hidden="1">{#N/A,#N/A,FALSE,"Dec 1999 mapping"}</definedName>
    <definedName name="wrn.Reformat._.only." hidden="1">{#N/A,#N/A,FALSE,"Dec 1999 mapping"}</definedName>
    <definedName name="wrn.Releases._.Cash._.Accrual." localSheetId="13" hidden="1">{"a_releases",#N/A,FALSE,"Summary";"a_cash",#N/A,FALSE,"Summary";"a_accrual",#N/A,FALSE,"Summary"}</definedName>
    <definedName name="wrn.Releases._.Cash._.Accrual." hidden="1">{"a_releases",#N/A,FALSE,"Summary";"a_cash",#N/A,FALSE,"Summary";"a_accrual",#N/A,FALSE,"Summary"}</definedName>
    <definedName name="wrn.rpt96." localSheetId="13" hidden="1">{"rmrev1",#N/A,FALSE,"Forecast96";"rmrev2",#N/A,FALSE,"Forecast96";"rmrev3",#N/A,FALSE,"Forecast96"}</definedName>
    <definedName name="wrn.rpt96." hidden="1">{"rmrev1",#N/A,FALSE,"Forecast96";"rmrev2",#N/A,FALSE,"Forecast96";"rmrev3",#N/A,FALSE,"Forecast96"}</definedName>
    <definedName name="wrn.sales." localSheetId="13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_.and._.Debt." localSheetId="13" hidden="1">{"a_sales",#N/A,FALSE,"Summary";"a_debt",#N/A,FALSE,"Summary"}</definedName>
    <definedName name="wrn.Sales._.and._.Debt." hidden="1">{"a_sales",#N/A,FALSE,"Summary";"a_debt",#N/A,FALSE,"Summary"}</definedName>
    <definedName name="wrn.SALES._.VAR._.95._.BUDGET.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._.BC." localSheetId="13" hidden="1">{"SCHED_B&amp;C",#N/A,FALSE,"A"}</definedName>
    <definedName name="wrn.SCHED._.BC." hidden="1">{"SCHED_B&amp;C",#N/A,FALSE,"A"}</definedName>
    <definedName name="wrn.SCHED._.DE." localSheetId="13" hidden="1">{"SCHED_D&amp;E",#N/A,FALSE,"A"}</definedName>
    <definedName name="wrn.SCHED._.DE." hidden="1">{"SCHED_D&amp;E",#N/A,FALSE,"A"}</definedName>
    <definedName name="wrn.SCHEDULE." localSheetId="2" hidden="1">{#N/A,#N/A,FALSE,"7617 Fab";#N/A,#N/A,FALSE,"7617 NSK"}</definedName>
    <definedName name="wrn.SCHEDULE." localSheetId="13" hidden="1">{#N/A,#N/A,FALSE,"7617 Fab";#N/A,#N/A,FALSE,"7617 NSK"}</definedName>
    <definedName name="wrn.SCHEDULE." localSheetId="19" hidden="1">{#N/A,#N/A,FALSE,"7617 Fab";#N/A,#N/A,FALSE,"7617 NSK"}</definedName>
    <definedName name="wrn.SCHEDULE." localSheetId="5" hidden="1">{#N/A,#N/A,FALSE,"7617 Fab";#N/A,#N/A,FALSE,"7617 NSK"}</definedName>
    <definedName name="wrn.SCHEDULE." hidden="1">{#N/A,#N/A,FALSE,"7617 Fab";#N/A,#N/A,FALSE,"7617 NSK"}</definedName>
    <definedName name="wrn.Semi._.Annual._.Cost._.Adj." localSheetId="2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5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2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5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pt._.Dec._.March._.IS." localSheetId="1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hared._.Costs." localSheetId="13" hidden="1">{"cash flow",#N/A,FALSE,"Shared Costs";"allocations",#N/A,FALSE,"Shared Costs"}</definedName>
    <definedName name="wrn.Shared._.Costs." hidden="1">{"cash flow",#N/A,FALSE,"Shared Costs";"allocations",#N/A,FALSE,"Shared Costs"}</definedName>
    <definedName name="wrn.SHEDA." localSheetId="13" hidden="1">{"SCHED_A",#N/A,FALSE,"A"}</definedName>
    <definedName name="wrn.SHEDA." hidden="1">{"SCHED_A",#N/A,FALSE,"A"}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13" hidden="1">{#N/A,#N/A,FALSE,"SUMMARY";#N/A,#N/A,FALSE,"AE7616";#N/A,#N/A,FALSE,"AE7617";#N/A,#N/A,FALSE,"AE7618";#N/A,#N/A,FALSE,"AE7619";#N/A,#N/A,FALSE,"Target Materials"}</definedName>
    <definedName name="wrn.SLB." localSheetId="19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localSheetId="19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hidden="1">{#N/A,#N/A,FALSE,"2002 Small Tool OH";#N/A,#N/A,FALSE,"QA"}</definedName>
    <definedName name="wrn.STAND_ALONE_BOTH." localSheetId="13" hidden="1">{"FCB_ALL",#N/A,FALSE,"FCB";"GREY_ALL",#N/A,FALSE,"GREY"}</definedName>
    <definedName name="wrn.STAND_ALONE_BOTH." hidden="1">{"FCB_ALL",#N/A,FALSE,"FCB";"GREY_ALL",#N/A,FALSE,"GREY"}</definedName>
    <definedName name="wrn.Standard." localSheetId="13" hidden="1">{"YTD-Total",#N/A,FALSE,"Provision"}</definedName>
    <definedName name="wrn.Standard." hidden="1">{"YTD-Total",#N/A,FALSE,"Provision"}</definedName>
    <definedName name="wrn.Standard._.NonUtility._.Only." localSheetId="13" hidden="1">{"YTD-NonUtility",#N/A,FALSE,"Prov NonUtility"}</definedName>
    <definedName name="wrn.Standard._.NonUtility._.Only." hidden="1">{"YTD-NonUtility",#N/A,FALSE,"Prov NonUtility"}</definedName>
    <definedName name="wrn.Standard._.Utility._.Only." localSheetId="13" hidden="1">{"YTD-Utility",#N/A,FALSE,"Prov Utility"}</definedName>
    <definedName name="wrn.Standard._.Utility._.Only." hidden="1">{"YTD-Utility",#N/A,FALSE,"Prov Utility"}</definedName>
    <definedName name="wrn.Summary." localSheetId="2" hidden="1">{#N/A,#N/A,FALSE,"Summ";#N/A,#N/A,FALSE,"General"}</definedName>
    <definedName name="wrn.Summary." localSheetId="13" hidden="1">{#N/A,#N/A,FALSE,"Summ";#N/A,#N/A,FALSE,"General"}</definedName>
    <definedName name="wrn.Summary." localSheetId="19" hidden="1">{#N/A,#N/A,FALSE,"Summ";#N/A,#N/A,FALSE,"General"}</definedName>
    <definedName name="wrn.Summary." localSheetId="5" hidden="1">{#N/A,#N/A,FALSE,"Summ";#N/A,#N/A,FALSE,"General"}</definedName>
    <definedName name="wrn.Summary." hidden="1">{#N/A,#N/A,FALSE,"Summ";#N/A,#N/A,FALSE,"General"}</definedName>
    <definedName name="wrn.Summary._.View." localSheetId="13" hidden="1">{#N/A,#N/A,FALSE,"Consltd-For contngcy"}</definedName>
    <definedName name="wrn.Summary._.View." hidden="1">{#N/A,#N/A,FALSE,"Consltd-For contngcy"}</definedName>
    <definedName name="wrn.Tariff99." localSheetId="13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est." localSheetId="2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5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2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5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K._.Conversion._.Only." localSheetId="13" hidden="1">{#N/A,#N/A,FALSE,"Dec 1999 UK Continuing Ops"}</definedName>
    <definedName name="wrn.UK._.Conversion._.Only." hidden="1">{#N/A,#N/A,FALSE,"Dec 1999 UK Continuing Ops"}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Wacc." localSheetId="13" hidden="1">{"Area1",#N/A,FALSE,"OREWACC";"Area2",#N/A,FALSE,"OREWACC"}</definedName>
    <definedName name="wrn.Wacc." hidden="1">{"Area1",#N/A,FALSE,"OREWACC";"Area2",#N/A,FALSE,"OREWACC"}</definedName>
    <definedName name="wrn.YearEnd." localSheetId="13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g" localSheetId="13" hidden="1">{"Output-BaseYear",#N/A,FALSE,"Output"}</definedName>
    <definedName name="wrng" hidden="1">{"Output-BaseYear",#N/A,FALSE,"Output"}</definedName>
    <definedName name="wrnh" localSheetId="13" hidden="1">{"Output-All",#N/A,FALSE,"Output"}</definedName>
    <definedName name="wrnh" hidden="1">{"Output-All",#N/A,FALSE,"Output"}</definedName>
    <definedName name="wvu.allocations." localSheetId="13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llocations.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nnual." localSheetId="13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_.hotel." localSheetId="13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annual._.hotel.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bottom._.line." localSheetId="13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bottom._.line.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cash._.flow." localSheetId="13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ash._.flow.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ombo." localSheetId="13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combo.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full." localSheetId="13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full.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offsite." localSheetId="13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ffsite.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nsite." localSheetId="13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onsite.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quarterly." localSheetId="13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vu.quarterly.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ww" localSheetId="2" hidden="1">{#N/A,#N/A,FALSE,"schA"}</definedName>
    <definedName name="www" localSheetId="5" hidden="1">{#N/A,#N/A,FALSE,"schA"}</definedName>
    <definedName name="www" hidden="1">{#N/A,#N/A,FALSE,"schA"}</definedName>
    <definedName name="x" localSheetId="2" hidden="1">{#N/A,#N/A,FALSE,"Coversheet";#N/A,#N/A,FALSE,"QA"}</definedName>
    <definedName name="x" localSheetId="5" hidden="1">{#N/A,#N/A,FALSE,"Coversheet";#N/A,#N/A,FALSE,"QA"}</definedName>
    <definedName name="x" hidden="1">{#N/A,#N/A,FALSE,"Coversheet";#N/A,#N/A,FALSE,"QA"}</definedName>
    <definedName name="xxx" hidden="1">#REF!</definedName>
    <definedName name="y" hidden="1">#REF!</definedName>
    <definedName name="YTDAct">#REF!</definedName>
    <definedName name="z" localSheetId="2" hidden="1">{#N/A,#N/A,FALSE,"Coversheet";#N/A,#N/A,FALSE,"QA"}</definedName>
    <definedName name="z" localSheetId="13" hidden="1">#REF!</definedName>
    <definedName name="z" localSheetId="5" hidden="1">{#N/A,#N/A,FALSE,"Coversheet";#N/A,#N/A,FALSE,"QA"}</definedName>
    <definedName name="z" hidden="1">#REF!</definedName>
    <definedName name="Z_01844156_6462_4A28_9785_1A86F4D0C834_.wvu.PrintTitles" hidden="1">#REF!</definedName>
    <definedName name="zzz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91029"/>
  <pivotCaches>
    <pivotCache cacheId="5" r:id="rId2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7" i="24" l="1"/>
  <c r="E7" i="24"/>
  <c r="F7" i="24"/>
  <c r="G7" i="24"/>
  <c r="H7" i="24"/>
  <c r="I7" i="24"/>
  <c r="J7" i="24"/>
  <c r="K7" i="24"/>
  <c r="L7" i="24"/>
  <c r="M7" i="24"/>
  <c r="N7" i="24"/>
  <c r="O7" i="24"/>
  <c r="P7" i="24"/>
  <c r="Q7" i="24"/>
  <c r="D7" i="24"/>
  <c r="Q15" i="46"/>
  <c r="Q26" i="46" s="1"/>
  <c r="D15" i="46"/>
  <c r="E15" i="46"/>
  <c r="F15" i="46"/>
  <c r="G15" i="46"/>
  <c r="H15" i="46"/>
  <c r="I15" i="46"/>
  <c r="J15" i="46"/>
  <c r="K15" i="46"/>
  <c r="L15" i="46"/>
  <c r="M15" i="46"/>
  <c r="N15" i="46"/>
  <c r="N26" i="46" s="1"/>
  <c r="M26" i="46"/>
  <c r="D26" i="46"/>
  <c r="E26" i="46"/>
  <c r="F26" i="46"/>
  <c r="G26" i="46"/>
  <c r="H26" i="46"/>
  <c r="I26" i="46"/>
  <c r="J26" i="46"/>
  <c r="K26" i="46"/>
  <c r="L26" i="46"/>
  <c r="O26" i="46"/>
  <c r="P26" i="46"/>
  <c r="C54" i="31" l="1"/>
  <c r="C54" i="37"/>
  <c r="C54" i="36"/>
  <c r="C54" i="30"/>
  <c r="C54" i="29"/>
  <c r="C66" i="35"/>
  <c r="B57" i="45"/>
  <c r="B58" i="45" s="1"/>
  <c r="C51" i="45"/>
  <c r="C42" i="45"/>
  <c r="D42" i="45" s="1"/>
  <c r="B37" i="45"/>
  <c r="B40" i="45" s="1"/>
  <c r="B33" i="45"/>
  <c r="B32" i="45"/>
  <c r="B34" i="45" s="1"/>
  <c r="B27" i="45"/>
  <c r="B26" i="45"/>
  <c r="B28" i="45" s="1"/>
  <c r="B23" i="45"/>
  <c r="D23" i="45" s="1"/>
  <c r="E19" i="45"/>
  <c r="C19" i="45"/>
  <c r="C20" i="45" s="1"/>
  <c r="B19" i="45"/>
  <c r="B20" i="45" s="1"/>
  <c r="D18" i="45"/>
  <c r="D17" i="45"/>
  <c r="D16" i="45"/>
  <c r="D15" i="45"/>
  <c r="D14" i="45"/>
  <c r="D13" i="45"/>
  <c r="D12" i="45"/>
  <c r="D11" i="45"/>
  <c r="D10" i="45"/>
  <c r="D9" i="45"/>
  <c r="D8" i="45"/>
  <c r="D7" i="45"/>
  <c r="D19" i="45" s="1"/>
  <c r="D20" i="45" s="1"/>
  <c r="D6" i="45"/>
  <c r="D5" i="45"/>
  <c r="E8" i="45" l="1"/>
  <c r="F8" i="45" s="1"/>
  <c r="E9" i="45"/>
  <c r="F9" i="45" s="1"/>
  <c r="E10" i="45"/>
  <c r="F10" i="45" s="1"/>
  <c r="E16" i="45"/>
  <c r="F16" i="45" s="1"/>
  <c r="E17" i="45"/>
  <c r="F17" i="45" s="1"/>
  <c r="E18" i="45"/>
  <c r="F18" i="45" s="1"/>
  <c r="E6" i="45"/>
  <c r="F6" i="45" s="1"/>
  <c r="B61" i="45"/>
  <c r="C62" i="45" s="1"/>
  <c r="E7" i="45"/>
  <c r="F7" i="45" s="1"/>
  <c r="E11" i="45"/>
  <c r="F11" i="45" s="1"/>
  <c r="E12" i="45"/>
  <c r="F12" i="45" s="1"/>
  <c r="E13" i="45"/>
  <c r="F13" i="45" s="1"/>
  <c r="E14" i="45"/>
  <c r="F14" i="45" s="1"/>
  <c r="E5" i="45"/>
  <c r="F5" i="45" s="1"/>
  <c r="E15" i="45"/>
  <c r="F15" i="45" s="1"/>
  <c r="F19" i="45" l="1"/>
  <c r="E20" i="45"/>
  <c r="F21" i="45" l="1"/>
  <c r="F20" i="45"/>
  <c r="E16" i="24" l="1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D16" i="24"/>
  <c r="C41" i="44"/>
  <c r="D41" i="44"/>
  <c r="E41" i="44"/>
  <c r="F41" i="44"/>
  <c r="G41" i="44"/>
  <c r="H41" i="44"/>
  <c r="I41" i="44"/>
  <c r="J41" i="44"/>
  <c r="K41" i="44"/>
  <c r="L41" i="44"/>
  <c r="M41" i="44"/>
  <c r="N41" i="44"/>
  <c r="O41" i="44"/>
  <c r="P41" i="44"/>
  <c r="Q41" i="44"/>
  <c r="B41" i="44"/>
  <c r="N6" i="24" l="1"/>
  <c r="O6" i="24"/>
  <c r="P6" i="24"/>
  <c r="Q6" i="24"/>
  <c r="R6" i="24"/>
  <c r="M6" i="24"/>
  <c r="L6" i="24"/>
  <c r="E6" i="24"/>
  <c r="F6" i="24"/>
  <c r="G6" i="24"/>
  <c r="H6" i="24"/>
  <c r="I6" i="24"/>
  <c r="J6" i="24"/>
  <c r="K6" i="24"/>
  <c r="D6" i="24"/>
  <c r="X21" i="43"/>
  <c r="W21" i="43"/>
  <c r="V21" i="43"/>
  <c r="S21" i="43"/>
  <c r="S16" i="43"/>
  <c r="X16" i="43"/>
  <c r="W16" i="43"/>
  <c r="V16" i="43"/>
  <c r="U16" i="43"/>
  <c r="T16" i="43"/>
  <c r="M7" i="43"/>
  <c r="U21" i="43" s="1"/>
  <c r="L7" i="43"/>
  <c r="L6" i="43"/>
  <c r="W17" i="43"/>
  <c r="L5" i="43"/>
  <c r="A58" i="32"/>
  <c r="A56" i="32"/>
  <c r="A55" i="32"/>
  <c r="A54" i="32"/>
  <c r="A53" i="32"/>
  <c r="A51" i="32"/>
  <c r="D10" i="24"/>
  <c r="D9" i="24"/>
  <c r="D8" i="24"/>
  <c r="T19" i="43" l="1"/>
  <c r="U19" i="43"/>
  <c r="V19" i="43"/>
  <c r="W18" i="43"/>
  <c r="W19" i="43"/>
  <c r="X19" i="43"/>
  <c r="S19" i="43"/>
  <c r="T21" i="43"/>
  <c r="S17" i="43"/>
  <c r="S18" i="43" s="1"/>
  <c r="S20" i="43" s="1"/>
  <c r="S22" i="43" s="1"/>
  <c r="S24" i="43" s="1"/>
  <c r="U17" i="43"/>
  <c r="U18" i="43" s="1"/>
  <c r="U20" i="43" s="1"/>
  <c r="U22" i="43" s="1"/>
  <c r="U24" i="43" s="1"/>
  <c r="V17" i="43"/>
  <c r="V18" i="43" s="1"/>
  <c r="V20" i="43" s="1"/>
  <c r="V22" i="43" s="1"/>
  <c r="V24" i="43" s="1"/>
  <c r="X17" i="43"/>
  <c r="X18" i="43" s="1"/>
  <c r="X20" i="43" s="1"/>
  <c r="X22" i="43" s="1"/>
  <c r="X24" i="43" s="1"/>
  <c r="T17" i="43"/>
  <c r="T18" i="43" s="1"/>
  <c r="T20" i="43" s="1"/>
  <c r="T22" i="43" s="1"/>
  <c r="T24" i="43" s="1"/>
  <c r="D38" i="24"/>
  <c r="W20" i="43" l="1"/>
  <c r="W22" i="43" s="1"/>
  <c r="W24" i="43" s="1"/>
  <c r="C39" i="32"/>
  <c r="D50" i="39"/>
  <c r="B77" i="26"/>
  <c r="M30" i="3"/>
  <c r="A45" i="32"/>
  <c r="R3" i="40"/>
  <c r="Q3" i="40"/>
  <c r="P3" i="40"/>
  <c r="O3" i="40"/>
  <c r="N3" i="40"/>
  <c r="M3" i="40"/>
  <c r="L3" i="40"/>
  <c r="K3" i="40"/>
  <c r="J3" i="40"/>
  <c r="I3" i="40"/>
  <c r="H3" i="40"/>
  <c r="G3" i="40"/>
  <c r="F3" i="40"/>
  <c r="E3" i="40"/>
  <c r="D3" i="40"/>
  <c r="C38" i="32" s="1"/>
  <c r="D49" i="39"/>
  <c r="C38" i="39"/>
  <c r="B38" i="39"/>
  <c r="D38" i="39" s="1"/>
  <c r="C37" i="39"/>
  <c r="B37" i="39"/>
  <c r="B39" i="39" s="1"/>
  <c r="B35" i="39"/>
  <c r="D34" i="39"/>
  <c r="D33" i="39"/>
  <c r="D37" i="39" s="1"/>
  <c r="C29" i="39"/>
  <c r="B29" i="39"/>
  <c r="D29" i="39" s="1"/>
  <c r="C28" i="39"/>
  <c r="B28" i="39"/>
  <c r="B30" i="39" s="1"/>
  <c r="B26" i="39"/>
  <c r="D25" i="39"/>
  <c r="D24" i="39"/>
  <c r="D28" i="39" s="1"/>
  <c r="D30" i="39" s="1"/>
  <c r="C20" i="39"/>
  <c r="B20" i="39"/>
  <c r="D20" i="39" s="1"/>
  <c r="D19" i="39"/>
  <c r="B19" i="39"/>
  <c r="D51" i="39" l="1"/>
  <c r="C33" i="32" s="1"/>
  <c r="B21" i="39"/>
  <c r="D21" i="39"/>
  <c r="D39" i="39"/>
  <c r="D26" i="39"/>
  <c r="D44" i="39" s="1"/>
  <c r="C15" i="39"/>
  <c r="C19" i="39" s="1"/>
  <c r="D35" i="39"/>
  <c r="D45" i="39" s="1"/>
  <c r="D16" i="39"/>
  <c r="B17" i="39"/>
  <c r="D17" i="39"/>
  <c r="B15" i="38"/>
  <c r="D46" i="39" l="1"/>
  <c r="C32" i="32" s="1"/>
  <c r="E15" i="38"/>
  <c r="E17" i="38" s="1"/>
  <c r="E19" i="38" s="1"/>
  <c r="E20" i="38" s="1"/>
  <c r="E21" i="38" s="1"/>
  <c r="C47" i="32" s="1"/>
  <c r="B97" i="37" l="1"/>
  <c r="B98" i="37" s="1"/>
  <c r="B99" i="37" s="1"/>
  <c r="B100" i="37" s="1"/>
  <c r="B101" i="37" s="1"/>
  <c r="B102" i="37" s="1"/>
  <c r="B103" i="37" s="1"/>
  <c r="B104" i="37" s="1"/>
  <c r="B105" i="37" s="1"/>
  <c r="B106" i="37" s="1"/>
  <c r="B107" i="37" s="1"/>
  <c r="B85" i="37"/>
  <c r="B86" i="37" s="1"/>
  <c r="B87" i="37" s="1"/>
  <c r="B88" i="37" s="1"/>
  <c r="B89" i="37" s="1"/>
  <c r="B90" i="37" s="1"/>
  <c r="B91" i="37" s="1"/>
  <c r="B92" i="37" s="1"/>
  <c r="B93" i="37" s="1"/>
  <c r="B94" i="37" s="1"/>
  <c r="B95" i="37" s="1"/>
  <c r="B73" i="37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J71" i="37"/>
  <c r="J70" i="37"/>
  <c r="J69" i="37"/>
  <c r="J68" i="37"/>
  <c r="J67" i="37"/>
  <c r="J66" i="37"/>
  <c r="J65" i="37"/>
  <c r="J64" i="37"/>
  <c r="J63" i="37"/>
  <c r="J62" i="37"/>
  <c r="J61" i="37"/>
  <c r="J60" i="37"/>
  <c r="J59" i="37"/>
  <c r="J58" i="37"/>
  <c r="J57" i="37"/>
  <c r="J56" i="37"/>
  <c r="J55" i="37"/>
  <c r="J54" i="37"/>
  <c r="J53" i="37"/>
  <c r="J52" i="37"/>
  <c r="J51" i="37"/>
  <c r="J50" i="37"/>
  <c r="J49" i="37"/>
  <c r="J48" i="37"/>
  <c r="J47" i="37"/>
  <c r="J46" i="37"/>
  <c r="J45" i="37"/>
  <c r="J44" i="37"/>
  <c r="J43" i="37"/>
  <c r="J42" i="37"/>
  <c r="J41" i="37"/>
  <c r="J40" i="37"/>
  <c r="J39" i="37"/>
  <c r="J38" i="37"/>
  <c r="J37" i="37"/>
  <c r="J36" i="37"/>
  <c r="J35" i="37"/>
  <c r="J34" i="37"/>
  <c r="J33" i="37"/>
  <c r="J32" i="37"/>
  <c r="J31" i="37"/>
  <c r="J30" i="37"/>
  <c r="J29" i="37"/>
  <c r="J28" i="37"/>
  <c r="J27" i="37"/>
  <c r="J26" i="37"/>
  <c r="G26" i="37"/>
  <c r="G27" i="37" s="1"/>
  <c r="J25" i="37"/>
  <c r="J24" i="37"/>
  <c r="K24" i="37" s="1"/>
  <c r="D24" i="37"/>
  <c r="E24" i="37" s="1"/>
  <c r="B97" i="36"/>
  <c r="B98" i="36" s="1"/>
  <c r="B99" i="36" s="1"/>
  <c r="B100" i="36" s="1"/>
  <c r="B101" i="36" s="1"/>
  <c r="B102" i="36" s="1"/>
  <c r="B103" i="36" s="1"/>
  <c r="B104" i="36" s="1"/>
  <c r="B105" i="36" s="1"/>
  <c r="B106" i="36" s="1"/>
  <c r="B107" i="36" s="1"/>
  <c r="B85" i="36"/>
  <c r="B86" i="36" s="1"/>
  <c r="B87" i="36" s="1"/>
  <c r="B88" i="36" s="1"/>
  <c r="B89" i="36" s="1"/>
  <c r="B90" i="36" s="1"/>
  <c r="B91" i="36" s="1"/>
  <c r="B92" i="36" s="1"/>
  <c r="B93" i="36" s="1"/>
  <c r="B94" i="36" s="1"/>
  <c r="B95" i="36" s="1"/>
  <c r="B74" i="36"/>
  <c r="B75" i="36"/>
  <c r="B76" i="36"/>
  <c r="B77" i="36"/>
  <c r="B78" i="36"/>
  <c r="B79" i="36"/>
  <c r="B80" i="36" s="1"/>
  <c r="B81" i="36" s="1"/>
  <c r="B82" i="36" s="1"/>
  <c r="B83" i="36" s="1"/>
  <c r="B73" i="36"/>
  <c r="D25" i="37" l="1"/>
  <c r="K25" i="37"/>
  <c r="K26" i="37"/>
  <c r="E25" i="37"/>
  <c r="D26" i="37"/>
  <c r="G28" i="37"/>
  <c r="H27" i="37"/>
  <c r="H26" i="37"/>
  <c r="H28" i="37" l="1"/>
  <c r="G29" i="37"/>
  <c r="D27" i="37"/>
  <c r="N26" i="37"/>
  <c r="E26" i="37"/>
  <c r="I26" i="37" s="1"/>
  <c r="K27" i="37"/>
  <c r="L26" i="37"/>
  <c r="K28" i="37" l="1"/>
  <c r="L27" i="37"/>
  <c r="O27" i="37"/>
  <c r="M26" i="37"/>
  <c r="N27" i="37"/>
  <c r="D28" i="37"/>
  <c r="E27" i="37"/>
  <c r="I27" i="37" s="1"/>
  <c r="M27" i="37" s="1"/>
  <c r="G30" i="37"/>
  <c r="H29" i="37"/>
  <c r="H30" i="37" l="1"/>
  <c r="G31" i="37"/>
  <c r="E28" i="37"/>
  <c r="I28" i="37" s="1"/>
  <c r="D29" i="37"/>
  <c r="N28" i="37"/>
  <c r="K29" i="37"/>
  <c r="L28" i="37"/>
  <c r="O28" i="37"/>
  <c r="M28" i="37" l="1"/>
  <c r="G32" i="37"/>
  <c r="H31" i="37"/>
  <c r="L29" i="37"/>
  <c r="O29" i="37"/>
  <c r="K30" i="37"/>
  <c r="D30" i="37"/>
  <c r="N29" i="37"/>
  <c r="E29" i="37"/>
  <c r="I29" i="37" s="1"/>
  <c r="M29" i="37" s="1"/>
  <c r="E30" i="37" l="1"/>
  <c r="I30" i="37" s="1"/>
  <c r="N30" i="37"/>
  <c r="D31" i="37"/>
  <c r="O30" i="37"/>
  <c r="K31" i="37"/>
  <c r="L30" i="37"/>
  <c r="G33" i="37"/>
  <c r="H32" i="37"/>
  <c r="G34" i="37" l="1"/>
  <c r="H33" i="37"/>
  <c r="K32" i="37"/>
  <c r="O31" i="37"/>
  <c r="L31" i="37"/>
  <c r="E31" i="37"/>
  <c r="I31" i="37" s="1"/>
  <c r="M31" i="37" s="1"/>
  <c r="D32" i="37"/>
  <c r="N31" i="37"/>
  <c r="M30" i="37"/>
  <c r="E32" i="37" l="1"/>
  <c r="I32" i="37" s="1"/>
  <c r="D33" i="37"/>
  <c r="N32" i="37"/>
  <c r="G35" i="37"/>
  <c r="H34" i="37"/>
  <c r="O32" i="37"/>
  <c r="L32" i="37"/>
  <c r="K33" i="37"/>
  <c r="M32" i="37" l="1"/>
  <c r="O33" i="37"/>
  <c r="L33" i="37"/>
  <c r="K34" i="37"/>
  <c r="H35" i="37"/>
  <c r="G36" i="37"/>
  <c r="N33" i="37"/>
  <c r="D34" i="37"/>
  <c r="E33" i="37"/>
  <c r="I33" i="37" s="1"/>
  <c r="M33" i="37" s="1"/>
  <c r="D35" i="37" l="1"/>
  <c r="N34" i="37"/>
  <c r="E34" i="37"/>
  <c r="I34" i="37" s="1"/>
  <c r="G37" i="37"/>
  <c r="H36" i="37"/>
  <c r="K35" i="37"/>
  <c r="O34" i="37"/>
  <c r="L34" i="37"/>
  <c r="G38" i="37" l="1"/>
  <c r="H37" i="37"/>
  <c r="K36" i="37"/>
  <c r="L35" i="37"/>
  <c r="O35" i="37"/>
  <c r="M34" i="37"/>
  <c r="E35" i="37"/>
  <c r="I35" i="37" s="1"/>
  <c r="N35" i="37"/>
  <c r="D36" i="37"/>
  <c r="M35" i="37" l="1"/>
  <c r="O36" i="37"/>
  <c r="K37" i="37"/>
  <c r="L36" i="37"/>
  <c r="D37" i="37"/>
  <c r="N36" i="37"/>
  <c r="E36" i="37"/>
  <c r="I36" i="37" s="1"/>
  <c r="M36" i="37" s="1"/>
  <c r="G39" i="37"/>
  <c r="H38" i="37"/>
  <c r="G40" i="37" l="1"/>
  <c r="H39" i="37"/>
  <c r="D38" i="37"/>
  <c r="N37" i="37"/>
  <c r="E37" i="37"/>
  <c r="I37" i="37" s="1"/>
  <c r="K38" i="37"/>
  <c r="O37" i="37"/>
  <c r="L37" i="37"/>
  <c r="M37" i="37" s="1"/>
  <c r="O38" i="37" l="1"/>
  <c r="K39" i="37"/>
  <c r="L38" i="37"/>
  <c r="D39" i="37"/>
  <c r="N38" i="37"/>
  <c r="E38" i="37"/>
  <c r="I38" i="37" s="1"/>
  <c r="G41" i="37"/>
  <c r="H40" i="37"/>
  <c r="G42" i="37" l="1"/>
  <c r="H41" i="37"/>
  <c r="D40" i="37"/>
  <c r="N39" i="37"/>
  <c r="E39" i="37"/>
  <c r="I39" i="37" s="1"/>
  <c r="M38" i="37"/>
  <c r="K40" i="37"/>
  <c r="O39" i="37"/>
  <c r="L39" i="37"/>
  <c r="M39" i="37" s="1"/>
  <c r="O40" i="37" l="1"/>
  <c r="K41" i="37"/>
  <c r="L40" i="37"/>
  <c r="D41" i="37"/>
  <c r="N40" i="37"/>
  <c r="E40" i="37"/>
  <c r="I40" i="37" s="1"/>
  <c r="G43" i="37"/>
  <c r="H42" i="37"/>
  <c r="G44" i="37" l="1"/>
  <c r="H43" i="37"/>
  <c r="D42" i="37"/>
  <c r="N41" i="37"/>
  <c r="E41" i="37"/>
  <c r="I41" i="37" s="1"/>
  <c r="M40" i="37"/>
  <c r="O41" i="37"/>
  <c r="K42" i="37"/>
  <c r="L41" i="37"/>
  <c r="M41" i="37" s="1"/>
  <c r="O42" i="37" l="1"/>
  <c r="K43" i="37"/>
  <c r="L42" i="37"/>
  <c r="N42" i="37"/>
  <c r="D43" i="37"/>
  <c r="E42" i="37"/>
  <c r="I42" i="37" s="1"/>
  <c r="G45" i="37"/>
  <c r="H44" i="37"/>
  <c r="D44" i="37" l="1"/>
  <c r="N43" i="37"/>
  <c r="E43" i="37"/>
  <c r="I43" i="37" s="1"/>
  <c r="G46" i="37"/>
  <c r="H45" i="37"/>
  <c r="O43" i="37"/>
  <c r="K44" i="37"/>
  <c r="L43" i="37"/>
  <c r="M43" i="37" s="1"/>
  <c r="M42" i="37"/>
  <c r="O44" i="37" l="1"/>
  <c r="K45" i="37"/>
  <c r="L44" i="37"/>
  <c r="G47" i="37"/>
  <c r="H46" i="37"/>
  <c r="D45" i="37"/>
  <c r="N44" i="37"/>
  <c r="E44" i="37"/>
  <c r="I44" i="37" s="1"/>
  <c r="D46" i="37" l="1"/>
  <c r="N45" i="37"/>
  <c r="E45" i="37"/>
  <c r="I45" i="37" s="1"/>
  <c r="M44" i="37"/>
  <c r="K46" i="37"/>
  <c r="O45" i="37"/>
  <c r="L45" i="37"/>
  <c r="M45" i="37" s="1"/>
  <c r="G48" i="37"/>
  <c r="H47" i="37"/>
  <c r="G49" i="37" l="1"/>
  <c r="H48" i="37"/>
  <c r="O46" i="37"/>
  <c r="K47" i="37"/>
  <c r="L46" i="37"/>
  <c r="N46" i="37"/>
  <c r="D47" i="37"/>
  <c r="E46" i="37"/>
  <c r="I46" i="37" s="1"/>
  <c r="N47" i="37" l="1"/>
  <c r="D48" i="37"/>
  <c r="E47" i="37"/>
  <c r="I47" i="37" s="1"/>
  <c r="M46" i="37"/>
  <c r="O47" i="37"/>
  <c r="K48" i="37"/>
  <c r="L47" i="37"/>
  <c r="M47" i="37" s="1"/>
  <c r="G50" i="37"/>
  <c r="H49" i="37"/>
  <c r="G51" i="37" l="1"/>
  <c r="H50" i="37"/>
  <c r="K49" i="37"/>
  <c r="O48" i="37"/>
  <c r="L48" i="37"/>
  <c r="N48" i="37"/>
  <c r="D49" i="37"/>
  <c r="E48" i="37"/>
  <c r="I48" i="37" s="1"/>
  <c r="D50" i="37" l="1"/>
  <c r="N49" i="37"/>
  <c r="E49" i="37"/>
  <c r="I49" i="37" s="1"/>
  <c r="M48" i="37"/>
  <c r="K50" i="37"/>
  <c r="O49" i="37"/>
  <c r="L49" i="37"/>
  <c r="M49" i="37" s="1"/>
  <c r="G52" i="37"/>
  <c r="H51" i="37"/>
  <c r="G53" i="37" l="1"/>
  <c r="H52" i="37"/>
  <c r="O50" i="37"/>
  <c r="K51" i="37"/>
  <c r="L50" i="37"/>
  <c r="N50" i="37"/>
  <c r="D51" i="37"/>
  <c r="E50" i="37"/>
  <c r="I50" i="37" s="1"/>
  <c r="M50" i="37" l="1"/>
  <c r="O51" i="37"/>
  <c r="K52" i="37"/>
  <c r="L51" i="37"/>
  <c r="D52" i="37"/>
  <c r="N51" i="37"/>
  <c r="E51" i="37"/>
  <c r="I51" i="37" s="1"/>
  <c r="G54" i="37"/>
  <c r="H53" i="37"/>
  <c r="G55" i="37" l="1"/>
  <c r="H54" i="37"/>
  <c r="D53" i="37"/>
  <c r="N52" i="37"/>
  <c r="E52" i="37"/>
  <c r="I52" i="37" s="1"/>
  <c r="M51" i="37"/>
  <c r="O52" i="37"/>
  <c r="K53" i="37"/>
  <c r="L52" i="37"/>
  <c r="M52" i="37" s="1"/>
  <c r="O53" i="37" l="1"/>
  <c r="K54" i="37"/>
  <c r="L53" i="37"/>
  <c r="D54" i="37"/>
  <c r="N53" i="37"/>
  <c r="E53" i="37"/>
  <c r="I53" i="37" s="1"/>
  <c r="G56" i="37"/>
  <c r="H55" i="37"/>
  <c r="G57" i="37" l="1"/>
  <c r="H56" i="37"/>
  <c r="D55" i="37"/>
  <c r="N54" i="37"/>
  <c r="E54" i="37"/>
  <c r="I54" i="37" s="1"/>
  <c r="M53" i="37"/>
  <c r="K55" i="37"/>
  <c r="O54" i="37"/>
  <c r="L54" i="37"/>
  <c r="M54" i="37" l="1"/>
  <c r="O55" i="37"/>
  <c r="K56" i="37"/>
  <c r="L55" i="37"/>
  <c r="N55" i="37"/>
  <c r="D56" i="37"/>
  <c r="E55" i="37"/>
  <c r="I55" i="37" s="1"/>
  <c r="G58" i="37"/>
  <c r="H57" i="37"/>
  <c r="G59" i="37" l="1"/>
  <c r="H58" i="37"/>
  <c r="D57" i="37"/>
  <c r="N56" i="37"/>
  <c r="E56" i="37"/>
  <c r="I56" i="37" s="1"/>
  <c r="M55" i="37"/>
  <c r="O56" i="37"/>
  <c r="K57" i="37"/>
  <c r="L56" i="37"/>
  <c r="M56" i="37" s="1"/>
  <c r="O57" i="37" l="1"/>
  <c r="K58" i="37"/>
  <c r="L57" i="37"/>
  <c r="D58" i="37"/>
  <c r="N57" i="37"/>
  <c r="E57" i="37"/>
  <c r="I57" i="37" s="1"/>
  <c r="G60" i="37"/>
  <c r="H59" i="37"/>
  <c r="G61" i="37" l="1"/>
  <c r="H60" i="37"/>
  <c r="D59" i="37"/>
  <c r="N58" i="37"/>
  <c r="E58" i="37"/>
  <c r="I58" i="37" s="1"/>
  <c r="M57" i="37"/>
  <c r="K59" i="37"/>
  <c r="O58" i="37"/>
  <c r="L58" i="37"/>
  <c r="M58" i="37" s="1"/>
  <c r="K60" i="37" l="1"/>
  <c r="O59" i="37"/>
  <c r="L59" i="37"/>
  <c r="N59" i="37"/>
  <c r="D60" i="37"/>
  <c r="E59" i="37"/>
  <c r="I59" i="37" s="1"/>
  <c r="G62" i="37"/>
  <c r="H61" i="37"/>
  <c r="G63" i="37" l="1"/>
  <c r="H62" i="37"/>
  <c r="D61" i="37"/>
  <c r="N60" i="37"/>
  <c r="E60" i="37"/>
  <c r="I60" i="37" s="1"/>
  <c r="M59" i="37"/>
  <c r="O60" i="37"/>
  <c r="K61" i="37"/>
  <c r="L60" i="37"/>
  <c r="M60" i="37" s="1"/>
  <c r="J55" i="36"/>
  <c r="J54" i="36"/>
  <c r="J53" i="36"/>
  <c r="J52" i="36"/>
  <c r="J51" i="36"/>
  <c r="J50" i="36"/>
  <c r="J49" i="36"/>
  <c r="J48" i="36"/>
  <c r="J47" i="36"/>
  <c r="J46" i="36"/>
  <c r="J45" i="36"/>
  <c r="J44" i="36"/>
  <c r="J43" i="36"/>
  <c r="J42" i="36"/>
  <c r="J41" i="36"/>
  <c r="J40" i="36"/>
  <c r="J39" i="36"/>
  <c r="J38" i="36"/>
  <c r="J37" i="36"/>
  <c r="J36" i="36"/>
  <c r="J35" i="36"/>
  <c r="J34" i="36"/>
  <c r="J33" i="36"/>
  <c r="J32" i="36"/>
  <c r="J31" i="36"/>
  <c r="J30" i="36"/>
  <c r="J29" i="36"/>
  <c r="J28" i="36"/>
  <c r="J27" i="36"/>
  <c r="J26" i="36"/>
  <c r="G26" i="36"/>
  <c r="G27" i="36" s="1"/>
  <c r="J25" i="36"/>
  <c r="J24" i="36"/>
  <c r="K24" i="36" s="1"/>
  <c r="D24" i="36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J26" i="35"/>
  <c r="G26" i="35"/>
  <c r="J25" i="35"/>
  <c r="J24" i="35"/>
  <c r="K24" i="35" s="1"/>
  <c r="D24" i="35"/>
  <c r="D25" i="35" s="1"/>
  <c r="C7" i="32"/>
  <c r="A41" i="32"/>
  <c r="A28" i="32"/>
  <c r="A27" i="32"/>
  <c r="A26" i="32"/>
  <c r="A25" i="32"/>
  <c r="A24" i="32"/>
  <c r="A23" i="32"/>
  <c r="A22" i="32"/>
  <c r="F55" i="26"/>
  <c r="F56" i="26" s="1"/>
  <c r="H56" i="26" s="1"/>
  <c r="G55" i="26"/>
  <c r="G56" i="26" s="1"/>
  <c r="I56" i="26" s="1"/>
  <c r="J56" i="26" s="1"/>
  <c r="K56" i="26" s="1"/>
  <c r="B89" i="26"/>
  <c r="C37" i="31"/>
  <c r="C49" i="31"/>
  <c r="B94" i="26"/>
  <c r="B88" i="26"/>
  <c r="N61" i="37" l="1"/>
  <c r="D62" i="37"/>
  <c r="E61" i="37"/>
  <c r="I61" i="37" s="1"/>
  <c r="O61" i="37"/>
  <c r="K62" i="37"/>
  <c r="L61" i="37"/>
  <c r="M61" i="37" s="1"/>
  <c r="G64" i="37"/>
  <c r="H63" i="37"/>
  <c r="K25" i="36"/>
  <c r="E24" i="36"/>
  <c r="D25" i="36"/>
  <c r="H27" i="36"/>
  <c r="H26" i="36"/>
  <c r="G28" i="36"/>
  <c r="E25" i="35"/>
  <c r="G27" i="35"/>
  <c r="D26" i="35"/>
  <c r="H26" i="35"/>
  <c r="K25" i="35"/>
  <c r="E24" i="35"/>
  <c r="H55" i="26"/>
  <c r="I55" i="26"/>
  <c r="J55" i="26" s="1"/>
  <c r="K55" i="26" s="1"/>
  <c r="F57" i="26"/>
  <c r="G57" i="26"/>
  <c r="G65" i="37" l="1"/>
  <c r="H64" i="37"/>
  <c r="O62" i="37"/>
  <c r="K63" i="37"/>
  <c r="L62" i="37"/>
  <c r="D63" i="37"/>
  <c r="N62" i="37"/>
  <c r="E62" i="37"/>
  <c r="I62" i="37" s="1"/>
  <c r="G29" i="36"/>
  <c r="H28" i="36"/>
  <c r="J56" i="36"/>
  <c r="D26" i="36"/>
  <c r="E25" i="36"/>
  <c r="K26" i="36"/>
  <c r="K26" i="35"/>
  <c r="E26" i="35"/>
  <c r="I26" i="35" s="1"/>
  <c r="D27" i="35"/>
  <c r="J55" i="35"/>
  <c r="G28" i="35"/>
  <c r="H27" i="35"/>
  <c r="L55" i="26"/>
  <c r="B90" i="26"/>
  <c r="L56" i="26"/>
  <c r="I57" i="26"/>
  <c r="G58" i="26"/>
  <c r="F58" i="26"/>
  <c r="H57" i="26"/>
  <c r="M62" i="37" l="1"/>
  <c r="K64" i="37"/>
  <c r="O63" i="37"/>
  <c r="L63" i="37"/>
  <c r="G66" i="37"/>
  <c r="H65" i="37"/>
  <c r="N63" i="37"/>
  <c r="D64" i="37"/>
  <c r="E63" i="37"/>
  <c r="I63" i="37" s="1"/>
  <c r="J57" i="36"/>
  <c r="K27" i="36"/>
  <c r="L26" i="36"/>
  <c r="N26" i="36"/>
  <c r="D27" i="36"/>
  <c r="E26" i="36"/>
  <c r="I26" i="36" s="1"/>
  <c r="M26" i="36" s="1"/>
  <c r="G30" i="36"/>
  <c r="H29" i="36"/>
  <c r="L26" i="35"/>
  <c r="M26" i="35" s="1"/>
  <c r="K27" i="35"/>
  <c r="G29" i="35"/>
  <c r="H28" i="35"/>
  <c r="J56" i="35"/>
  <c r="E27" i="35"/>
  <c r="I27" i="35" s="1"/>
  <c r="N27" i="35"/>
  <c r="D28" i="35"/>
  <c r="N26" i="35"/>
  <c r="H58" i="26"/>
  <c r="F59" i="26"/>
  <c r="I58" i="26"/>
  <c r="G59" i="26"/>
  <c r="B95" i="26"/>
  <c r="J57" i="26"/>
  <c r="K57" i="26" s="1"/>
  <c r="L57" i="26" s="1"/>
  <c r="N64" i="37" l="1"/>
  <c r="D65" i="37"/>
  <c r="E64" i="37"/>
  <c r="I64" i="37" s="1"/>
  <c r="G67" i="37"/>
  <c r="H66" i="37"/>
  <c r="M63" i="37"/>
  <c r="K65" i="37"/>
  <c r="O64" i="37"/>
  <c r="L64" i="37"/>
  <c r="M64" i="37" s="1"/>
  <c r="J58" i="36"/>
  <c r="H30" i="36"/>
  <c r="G31" i="36"/>
  <c r="E27" i="36"/>
  <c r="I27" i="36" s="1"/>
  <c r="D28" i="36"/>
  <c r="N27" i="36"/>
  <c r="L27" i="36"/>
  <c r="O27" i="36"/>
  <c r="K28" i="36"/>
  <c r="J57" i="35"/>
  <c r="E28" i="35"/>
  <c r="I28" i="35" s="1"/>
  <c r="D29" i="35"/>
  <c r="G30" i="35"/>
  <c r="H29" i="35"/>
  <c r="L27" i="35"/>
  <c r="M27" i="35" s="1"/>
  <c r="K28" i="35"/>
  <c r="O27" i="35"/>
  <c r="J58" i="26"/>
  <c r="K58" i="26" s="1"/>
  <c r="I59" i="26"/>
  <c r="G60" i="26"/>
  <c r="F60" i="26"/>
  <c r="H59" i="26"/>
  <c r="L58" i="26" l="1"/>
  <c r="K66" i="37"/>
  <c r="O65" i="37"/>
  <c r="L65" i="37"/>
  <c r="G68" i="37"/>
  <c r="H67" i="37"/>
  <c r="D66" i="37"/>
  <c r="N65" i="37"/>
  <c r="E65" i="37"/>
  <c r="I65" i="37" s="1"/>
  <c r="K29" i="36"/>
  <c r="L28" i="36"/>
  <c r="O28" i="36"/>
  <c r="E28" i="36"/>
  <c r="I28" i="36" s="1"/>
  <c r="M28" i="36" s="1"/>
  <c r="D29" i="36"/>
  <c r="N28" i="36"/>
  <c r="M27" i="36"/>
  <c r="H31" i="36"/>
  <c r="G32" i="36"/>
  <c r="J59" i="36"/>
  <c r="L28" i="35"/>
  <c r="M28" i="35" s="1"/>
  <c r="K29" i="35"/>
  <c r="N29" i="35" s="1"/>
  <c r="O28" i="35"/>
  <c r="G31" i="35"/>
  <c r="H30" i="35"/>
  <c r="N28" i="35"/>
  <c r="J58" i="35"/>
  <c r="D30" i="35"/>
  <c r="E29" i="35"/>
  <c r="I29" i="35" s="1"/>
  <c r="B96" i="26"/>
  <c r="H60" i="26"/>
  <c r="F61" i="26"/>
  <c r="I60" i="26"/>
  <c r="J60" i="26" s="1"/>
  <c r="K60" i="26" s="1"/>
  <c r="G61" i="26"/>
  <c r="J59" i="26"/>
  <c r="K59" i="26" s="1"/>
  <c r="L59" i="26" s="1"/>
  <c r="G69" i="37" l="1"/>
  <c r="H68" i="37"/>
  <c r="M65" i="37"/>
  <c r="K67" i="37"/>
  <c r="O66" i="37"/>
  <c r="L66" i="37"/>
  <c r="D67" i="37"/>
  <c r="N66" i="37"/>
  <c r="E66" i="37"/>
  <c r="I66" i="37" s="1"/>
  <c r="J60" i="36"/>
  <c r="D30" i="36"/>
  <c r="N29" i="36"/>
  <c r="E29" i="36"/>
  <c r="I29" i="36" s="1"/>
  <c r="G33" i="36"/>
  <c r="H32" i="36"/>
  <c r="K30" i="36"/>
  <c r="L29" i="36"/>
  <c r="O29" i="36"/>
  <c r="D31" i="35"/>
  <c r="E30" i="35"/>
  <c r="I30" i="35" s="1"/>
  <c r="J59" i="35"/>
  <c r="G32" i="35"/>
  <c r="H31" i="35"/>
  <c r="L29" i="35"/>
  <c r="K30" i="35"/>
  <c r="O29" i="35"/>
  <c r="M29" i="35"/>
  <c r="I61" i="26"/>
  <c r="G62" i="26"/>
  <c r="L60" i="26"/>
  <c r="F62" i="26"/>
  <c r="H61" i="26"/>
  <c r="M66" i="37" l="1"/>
  <c r="K68" i="37"/>
  <c r="O67" i="37"/>
  <c r="L67" i="37"/>
  <c r="N67" i="37"/>
  <c r="D68" i="37"/>
  <c r="E67" i="37"/>
  <c r="I67" i="37" s="1"/>
  <c r="G70" i="37"/>
  <c r="H69" i="37"/>
  <c r="K31" i="36"/>
  <c r="O30" i="36"/>
  <c r="L30" i="36"/>
  <c r="H33" i="36"/>
  <c r="G34" i="36"/>
  <c r="M29" i="36"/>
  <c r="E30" i="36"/>
  <c r="I30" i="36" s="1"/>
  <c r="M30" i="36" s="1"/>
  <c r="D31" i="36"/>
  <c r="N30" i="36"/>
  <c r="J61" i="36"/>
  <c r="E31" i="35"/>
  <c r="I31" i="35" s="1"/>
  <c r="D32" i="35"/>
  <c r="K31" i="35"/>
  <c r="O30" i="35"/>
  <c r="L30" i="35"/>
  <c r="H32" i="35"/>
  <c r="G33" i="35"/>
  <c r="J60" i="35"/>
  <c r="M30" i="35"/>
  <c r="N30" i="35"/>
  <c r="H62" i="26"/>
  <c r="F63" i="26"/>
  <c r="G63" i="26"/>
  <c r="I62" i="26"/>
  <c r="J61" i="26"/>
  <c r="K61" i="26" s="1"/>
  <c r="L61" i="26" s="1"/>
  <c r="D69" i="37" l="1"/>
  <c r="N68" i="37"/>
  <c r="E68" i="37"/>
  <c r="I68" i="37" s="1"/>
  <c r="G71" i="37"/>
  <c r="H70" i="37"/>
  <c r="M67" i="37"/>
  <c r="K69" i="37"/>
  <c r="O68" i="37"/>
  <c r="L68" i="37"/>
  <c r="M68" i="37" s="1"/>
  <c r="J62" i="36"/>
  <c r="E31" i="36"/>
  <c r="I31" i="36" s="1"/>
  <c r="D32" i="36"/>
  <c r="N31" i="36"/>
  <c r="G35" i="36"/>
  <c r="H34" i="36"/>
  <c r="K32" i="36"/>
  <c r="L31" i="36"/>
  <c r="O31" i="36"/>
  <c r="J61" i="35"/>
  <c r="G34" i="35"/>
  <c r="H33" i="35"/>
  <c r="K32" i="35"/>
  <c r="L31" i="35"/>
  <c r="M31" i="35" s="1"/>
  <c r="O31" i="35"/>
  <c r="N32" i="35"/>
  <c r="E32" i="35"/>
  <c r="I32" i="35" s="1"/>
  <c r="D33" i="35"/>
  <c r="N31" i="35"/>
  <c r="J62" i="26"/>
  <c r="K62" i="26" s="1"/>
  <c r="L62" i="26"/>
  <c r="I63" i="26"/>
  <c r="G64" i="26"/>
  <c r="F64" i="26"/>
  <c r="H63" i="26"/>
  <c r="D70" i="37" l="1"/>
  <c r="N69" i="37"/>
  <c r="E69" i="37"/>
  <c r="I69" i="37" s="1"/>
  <c r="K70" i="37"/>
  <c r="O69" i="37"/>
  <c r="L69" i="37"/>
  <c r="M69" i="37" s="1"/>
  <c r="H71" i="37"/>
  <c r="L32" i="36"/>
  <c r="O32" i="36"/>
  <c r="K33" i="36"/>
  <c r="H35" i="36"/>
  <c r="G36" i="36"/>
  <c r="D33" i="36"/>
  <c r="N32" i="36"/>
  <c r="E32" i="36"/>
  <c r="I32" i="36" s="1"/>
  <c r="M32" i="36" s="1"/>
  <c r="M31" i="36"/>
  <c r="J63" i="36"/>
  <c r="D34" i="35"/>
  <c r="E33" i="35"/>
  <c r="I33" i="35" s="1"/>
  <c r="L32" i="35"/>
  <c r="M32" i="35" s="1"/>
  <c r="K33" i="35"/>
  <c r="N33" i="35" s="1"/>
  <c r="O32" i="35"/>
  <c r="H34" i="35"/>
  <c r="G35" i="35"/>
  <c r="J62" i="35"/>
  <c r="H64" i="26"/>
  <c r="F65" i="26"/>
  <c r="I64" i="26"/>
  <c r="J64" i="26" s="1"/>
  <c r="K64" i="26" s="1"/>
  <c r="G65" i="26"/>
  <c r="J63" i="26"/>
  <c r="K63" i="26" s="1"/>
  <c r="L63" i="26" s="1"/>
  <c r="N70" i="37" l="1"/>
  <c r="D71" i="37"/>
  <c r="E70" i="37"/>
  <c r="I70" i="37" s="1"/>
  <c r="O70" i="37"/>
  <c r="K71" i="37"/>
  <c r="L70" i="37"/>
  <c r="M70" i="37" s="1"/>
  <c r="J64" i="36"/>
  <c r="E33" i="36"/>
  <c r="I33" i="36" s="1"/>
  <c r="D34" i="36"/>
  <c r="N33" i="36"/>
  <c r="H36" i="36"/>
  <c r="G37" i="36"/>
  <c r="K34" i="36"/>
  <c r="O33" i="36"/>
  <c r="L33" i="36"/>
  <c r="J63" i="35"/>
  <c r="H35" i="35"/>
  <c r="G36" i="35"/>
  <c r="O33" i="35"/>
  <c r="K34" i="35"/>
  <c r="L33" i="35"/>
  <c r="M33" i="35"/>
  <c r="N34" i="35"/>
  <c r="D35" i="35"/>
  <c r="E34" i="35"/>
  <c r="I34" i="35" s="1"/>
  <c r="G66" i="26"/>
  <c r="I65" i="26"/>
  <c r="L64" i="26"/>
  <c r="H65" i="26"/>
  <c r="F66" i="26"/>
  <c r="O71" i="37" l="1"/>
  <c r="L71" i="37"/>
  <c r="D72" i="37"/>
  <c r="N71" i="37"/>
  <c r="E71" i="37"/>
  <c r="I71" i="37" s="1"/>
  <c r="K35" i="36"/>
  <c r="O34" i="36"/>
  <c r="L34" i="36"/>
  <c r="G38" i="36"/>
  <c r="H37" i="36"/>
  <c r="D35" i="36"/>
  <c r="N34" i="36"/>
  <c r="E34" i="36"/>
  <c r="I34" i="36" s="1"/>
  <c r="M34" i="36" s="1"/>
  <c r="M33" i="36"/>
  <c r="J65" i="36"/>
  <c r="O34" i="35"/>
  <c r="L34" i="35"/>
  <c r="M34" i="35" s="1"/>
  <c r="K35" i="35"/>
  <c r="E35" i="35"/>
  <c r="I35" i="35" s="1"/>
  <c r="D36" i="35"/>
  <c r="N35" i="35"/>
  <c r="G37" i="35"/>
  <c r="H36" i="35"/>
  <c r="J64" i="35"/>
  <c r="J65" i="26"/>
  <c r="K65" i="26" s="1"/>
  <c r="L65" i="26" s="1"/>
  <c r="F67" i="26"/>
  <c r="H66" i="26"/>
  <c r="I66" i="26"/>
  <c r="J66" i="26" s="1"/>
  <c r="K66" i="26" s="1"/>
  <c r="L66" i="26" s="1"/>
  <c r="G67" i="26"/>
  <c r="D73" i="37" l="1"/>
  <c r="E72" i="37"/>
  <c r="M71" i="37"/>
  <c r="J66" i="36"/>
  <c r="N35" i="36"/>
  <c r="D36" i="36"/>
  <c r="E35" i="36"/>
  <c r="I35" i="36" s="1"/>
  <c r="G39" i="36"/>
  <c r="H38" i="36"/>
  <c r="O35" i="36"/>
  <c r="L35" i="36"/>
  <c r="K36" i="36"/>
  <c r="J65" i="35"/>
  <c r="H37" i="35"/>
  <c r="G38" i="35"/>
  <c r="D37" i="35"/>
  <c r="E36" i="35"/>
  <c r="I36" i="35" s="1"/>
  <c r="L35" i="35"/>
  <c r="M35" i="35" s="1"/>
  <c r="K36" i="35"/>
  <c r="O35" i="35"/>
  <c r="I67" i="26"/>
  <c r="G68" i="26"/>
  <c r="H67" i="26"/>
  <c r="F68" i="26"/>
  <c r="F72" i="37" l="1"/>
  <c r="D74" i="37"/>
  <c r="E73" i="37"/>
  <c r="K37" i="36"/>
  <c r="O36" i="36"/>
  <c r="L36" i="36"/>
  <c r="G40" i="36"/>
  <c r="H39" i="36"/>
  <c r="M35" i="36"/>
  <c r="N36" i="36"/>
  <c r="D37" i="36"/>
  <c r="E36" i="36"/>
  <c r="I36" i="36" s="1"/>
  <c r="M36" i="36" s="1"/>
  <c r="J67" i="36"/>
  <c r="D38" i="35"/>
  <c r="E37" i="35"/>
  <c r="I37" i="35" s="1"/>
  <c r="J66" i="35"/>
  <c r="K37" i="35"/>
  <c r="O36" i="35"/>
  <c r="L36" i="35"/>
  <c r="M36" i="35" s="1"/>
  <c r="N36" i="35"/>
  <c r="G39" i="35"/>
  <c r="H38" i="35"/>
  <c r="H68" i="26"/>
  <c r="F69" i="26"/>
  <c r="I68" i="26"/>
  <c r="G69" i="26"/>
  <c r="J67" i="26"/>
  <c r="K67" i="26" s="1"/>
  <c r="L67" i="26" s="1"/>
  <c r="F73" i="37" l="1"/>
  <c r="J72" i="37"/>
  <c r="K72" i="37" s="1"/>
  <c r="G72" i="37"/>
  <c r="D75" i="37"/>
  <c r="E74" i="37"/>
  <c r="J68" i="36"/>
  <c r="N37" i="36"/>
  <c r="D38" i="36"/>
  <c r="E37" i="36"/>
  <c r="I37" i="36" s="1"/>
  <c r="G41" i="36"/>
  <c r="H40" i="36"/>
  <c r="K38" i="36"/>
  <c r="O37" i="36"/>
  <c r="L37" i="36"/>
  <c r="M37" i="36" s="1"/>
  <c r="O37" i="35"/>
  <c r="K38" i="35"/>
  <c r="L37" i="35"/>
  <c r="M37" i="35" s="1"/>
  <c r="G40" i="35"/>
  <c r="H39" i="35"/>
  <c r="J67" i="35"/>
  <c r="N38" i="35"/>
  <c r="D39" i="35"/>
  <c r="E38" i="35"/>
  <c r="I38" i="35" s="1"/>
  <c r="N37" i="35"/>
  <c r="J68" i="26"/>
  <c r="K68" i="26" s="1"/>
  <c r="L68" i="26" s="1"/>
  <c r="I69" i="26"/>
  <c r="G70" i="26"/>
  <c r="B78" i="26" s="1"/>
  <c r="C8" i="32" s="1"/>
  <c r="H69" i="26"/>
  <c r="F70" i="26"/>
  <c r="D76" i="37" l="1"/>
  <c r="E75" i="37"/>
  <c r="G73" i="37"/>
  <c r="H72" i="37"/>
  <c r="I72" i="37" s="1"/>
  <c r="N72" i="37"/>
  <c r="J73" i="37"/>
  <c r="K73" i="37" s="1"/>
  <c r="F74" i="37"/>
  <c r="O72" i="37"/>
  <c r="L72" i="37"/>
  <c r="M72" i="37" s="1"/>
  <c r="G42" i="36"/>
  <c r="H41" i="36"/>
  <c r="D39" i="36"/>
  <c r="N38" i="36"/>
  <c r="E38" i="36"/>
  <c r="I38" i="36" s="1"/>
  <c r="O38" i="36"/>
  <c r="K39" i="36"/>
  <c r="L38" i="36"/>
  <c r="M38" i="36" s="1"/>
  <c r="J69" i="36"/>
  <c r="J68" i="35"/>
  <c r="D40" i="35"/>
  <c r="E39" i="35"/>
  <c r="I39" i="35" s="1"/>
  <c r="G41" i="35"/>
  <c r="H40" i="35"/>
  <c r="K39" i="35"/>
  <c r="O38" i="35"/>
  <c r="L38" i="35"/>
  <c r="M38" i="35" s="1"/>
  <c r="F71" i="26"/>
  <c r="H70" i="26"/>
  <c r="G71" i="26"/>
  <c r="I70" i="26"/>
  <c r="J70" i="26" s="1"/>
  <c r="K70" i="26" s="1"/>
  <c r="J69" i="26"/>
  <c r="K69" i="26" s="1"/>
  <c r="L69" i="26" s="1"/>
  <c r="B79" i="26" l="1"/>
  <c r="C9" i="32" s="1"/>
  <c r="C10" i="32" s="1"/>
  <c r="O73" i="37"/>
  <c r="L73" i="37"/>
  <c r="F75" i="37"/>
  <c r="J74" i="37"/>
  <c r="K74" i="37" s="1"/>
  <c r="G74" i="37"/>
  <c r="H73" i="37"/>
  <c r="I73" i="37" s="1"/>
  <c r="N73" i="37"/>
  <c r="D77" i="37"/>
  <c r="E76" i="37"/>
  <c r="G43" i="36"/>
  <c r="H42" i="36"/>
  <c r="J70" i="36"/>
  <c r="O39" i="36"/>
  <c r="K40" i="36"/>
  <c r="L39" i="36"/>
  <c r="D40" i="36"/>
  <c r="N39" i="36"/>
  <c r="E39" i="36"/>
  <c r="I39" i="36" s="1"/>
  <c r="O39" i="35"/>
  <c r="K40" i="35"/>
  <c r="L39" i="35"/>
  <c r="M39" i="35" s="1"/>
  <c r="G42" i="35"/>
  <c r="H41" i="35"/>
  <c r="D41" i="35"/>
  <c r="N40" i="35"/>
  <c r="E40" i="35"/>
  <c r="I40" i="35" s="1"/>
  <c r="N39" i="35"/>
  <c r="J69" i="35"/>
  <c r="L70" i="26"/>
  <c r="I71" i="26"/>
  <c r="G72" i="26"/>
  <c r="F72" i="26"/>
  <c r="H71" i="26"/>
  <c r="O74" i="37" l="1"/>
  <c r="L74" i="37"/>
  <c r="D78" i="37"/>
  <c r="E77" i="37"/>
  <c r="G75" i="37"/>
  <c r="H74" i="37"/>
  <c r="I74" i="37" s="1"/>
  <c r="N74" i="37"/>
  <c r="F76" i="37"/>
  <c r="J75" i="37"/>
  <c r="K75" i="37" s="1"/>
  <c r="M73" i="37"/>
  <c r="D41" i="36"/>
  <c r="N40" i="36"/>
  <c r="E40" i="36"/>
  <c r="I40" i="36" s="1"/>
  <c r="M39" i="36"/>
  <c r="K41" i="36"/>
  <c r="O40" i="36"/>
  <c r="L40" i="36"/>
  <c r="M40" i="36" s="1"/>
  <c r="J71" i="36"/>
  <c r="G44" i="36"/>
  <c r="H43" i="36"/>
  <c r="G43" i="35"/>
  <c r="H42" i="35"/>
  <c r="J70" i="35"/>
  <c r="D42" i="35"/>
  <c r="E41" i="35"/>
  <c r="I41" i="35" s="1"/>
  <c r="K41" i="35"/>
  <c r="O40" i="35"/>
  <c r="L40" i="35"/>
  <c r="M40" i="35" s="1"/>
  <c r="H72" i="26"/>
  <c r="F73" i="26"/>
  <c r="H73" i="26" s="1"/>
  <c r="I72" i="26"/>
  <c r="J72" i="26" s="1"/>
  <c r="K72" i="26" s="1"/>
  <c r="G73" i="26"/>
  <c r="I73" i="26" s="1"/>
  <c r="J73" i="26" s="1"/>
  <c r="K73" i="26" s="1"/>
  <c r="L73" i="26" s="1"/>
  <c r="J71" i="26"/>
  <c r="K71" i="26" s="1"/>
  <c r="L71" i="26" s="1"/>
  <c r="O75" i="37" l="1"/>
  <c r="L75" i="37"/>
  <c r="F77" i="37"/>
  <c r="J76" i="37"/>
  <c r="K76" i="37" s="1"/>
  <c r="G76" i="37"/>
  <c r="H75" i="37"/>
  <c r="I75" i="37" s="1"/>
  <c r="N75" i="37"/>
  <c r="D79" i="37"/>
  <c r="E78" i="37"/>
  <c r="M74" i="37"/>
  <c r="G45" i="36"/>
  <c r="H44" i="36"/>
  <c r="O41" i="36"/>
  <c r="K42" i="36"/>
  <c r="L41" i="36"/>
  <c r="D42" i="36"/>
  <c r="N41" i="36"/>
  <c r="E41" i="36"/>
  <c r="I41" i="36" s="1"/>
  <c r="J71" i="35"/>
  <c r="O41" i="35"/>
  <c r="K42" i="35"/>
  <c r="L41" i="35"/>
  <c r="M41" i="35" s="1"/>
  <c r="N42" i="35"/>
  <c r="D43" i="35"/>
  <c r="E42" i="35"/>
  <c r="I42" i="35" s="1"/>
  <c r="N41" i="35"/>
  <c r="G44" i="35"/>
  <c r="H43" i="35"/>
  <c r="L72" i="26"/>
  <c r="O76" i="37" l="1"/>
  <c r="L76" i="37"/>
  <c r="G77" i="37"/>
  <c r="H76" i="37"/>
  <c r="I76" i="37" s="1"/>
  <c r="N76" i="37"/>
  <c r="J77" i="37"/>
  <c r="K77" i="37" s="1"/>
  <c r="F78" i="37"/>
  <c r="D80" i="37"/>
  <c r="E79" i="37"/>
  <c r="M75" i="37"/>
  <c r="G46" i="36"/>
  <c r="H45" i="36"/>
  <c r="N42" i="36"/>
  <c r="D43" i="36"/>
  <c r="E42" i="36"/>
  <c r="I42" i="36" s="1"/>
  <c r="O42" i="36"/>
  <c r="K43" i="36"/>
  <c r="L42" i="36"/>
  <c r="M42" i="36" s="1"/>
  <c r="M41" i="36"/>
  <c r="G45" i="35"/>
  <c r="H44" i="35"/>
  <c r="D44" i="35"/>
  <c r="E43" i="35"/>
  <c r="I43" i="35" s="1"/>
  <c r="O42" i="35"/>
  <c r="K43" i="35"/>
  <c r="N43" i="35" s="1"/>
  <c r="L42" i="35"/>
  <c r="M42" i="35" s="1"/>
  <c r="O77" i="37" l="1"/>
  <c r="L77" i="37"/>
  <c r="J78" i="37"/>
  <c r="K78" i="37" s="1"/>
  <c r="F79" i="37"/>
  <c r="D81" i="37"/>
  <c r="E80" i="37"/>
  <c r="G78" i="37"/>
  <c r="H77" i="37"/>
  <c r="I77" i="37" s="1"/>
  <c r="N77" i="37"/>
  <c r="M76" i="37"/>
  <c r="G47" i="36"/>
  <c r="H46" i="36"/>
  <c r="O43" i="36"/>
  <c r="K44" i="36"/>
  <c r="L43" i="36"/>
  <c r="D44" i="36"/>
  <c r="N43" i="36"/>
  <c r="E43" i="36"/>
  <c r="I43" i="36" s="1"/>
  <c r="D45" i="35"/>
  <c r="E44" i="35"/>
  <c r="I44" i="35" s="1"/>
  <c r="O43" i="35"/>
  <c r="K44" i="35"/>
  <c r="L43" i="35"/>
  <c r="M43" i="35" s="1"/>
  <c r="G46" i="35"/>
  <c r="H45" i="35"/>
  <c r="O78" i="37" l="1"/>
  <c r="L78" i="37"/>
  <c r="J79" i="37"/>
  <c r="K79" i="37" s="1"/>
  <c r="F80" i="37"/>
  <c r="G79" i="37"/>
  <c r="H78" i="37"/>
  <c r="I78" i="37" s="1"/>
  <c r="N78" i="37"/>
  <c r="D82" i="37"/>
  <c r="E81" i="37"/>
  <c r="M77" i="37"/>
  <c r="D45" i="36"/>
  <c r="N44" i="36"/>
  <c r="E44" i="36"/>
  <c r="I44" i="36" s="1"/>
  <c r="M43" i="36"/>
  <c r="O44" i="36"/>
  <c r="K45" i="36"/>
  <c r="L44" i="36"/>
  <c r="M44" i="36" s="1"/>
  <c r="G48" i="36"/>
  <c r="H47" i="36"/>
  <c r="O44" i="35"/>
  <c r="K45" i="35"/>
  <c r="L44" i="35"/>
  <c r="M44" i="35" s="1"/>
  <c r="N44" i="35"/>
  <c r="G47" i="35"/>
  <c r="H46" i="35"/>
  <c r="D46" i="35"/>
  <c r="N45" i="35"/>
  <c r="E45" i="35"/>
  <c r="I45" i="35" s="1"/>
  <c r="O79" i="37" l="1"/>
  <c r="L79" i="37"/>
  <c r="D83" i="37"/>
  <c r="E82" i="37"/>
  <c r="G80" i="37"/>
  <c r="H79" i="37"/>
  <c r="I79" i="37" s="1"/>
  <c r="N79" i="37"/>
  <c r="F81" i="37"/>
  <c r="J80" i="37"/>
  <c r="K80" i="37" s="1"/>
  <c r="M78" i="37"/>
  <c r="G49" i="36"/>
  <c r="H48" i="36"/>
  <c r="K46" i="36"/>
  <c r="O45" i="36"/>
  <c r="L45" i="36"/>
  <c r="D46" i="36"/>
  <c r="N45" i="36"/>
  <c r="E45" i="36"/>
  <c r="I45" i="36" s="1"/>
  <c r="D47" i="35"/>
  <c r="E46" i="35"/>
  <c r="I46" i="35" s="1"/>
  <c r="G48" i="35"/>
  <c r="H47" i="35"/>
  <c r="K46" i="35"/>
  <c r="N46" i="35" s="1"/>
  <c r="O45" i="35"/>
  <c r="L45" i="35"/>
  <c r="M45" i="35" s="1"/>
  <c r="O80" i="37" l="1"/>
  <c r="L80" i="37"/>
  <c r="F82" i="37"/>
  <c r="J81" i="37"/>
  <c r="K81" i="37" s="1"/>
  <c r="G81" i="37"/>
  <c r="H80" i="37"/>
  <c r="I80" i="37" s="1"/>
  <c r="N80" i="37"/>
  <c r="D84" i="37"/>
  <c r="E83" i="37"/>
  <c r="M79" i="37"/>
  <c r="D47" i="36"/>
  <c r="N46" i="36"/>
  <c r="E46" i="36"/>
  <c r="I46" i="36" s="1"/>
  <c r="M45" i="36"/>
  <c r="K47" i="36"/>
  <c r="O46" i="36"/>
  <c r="L46" i="36"/>
  <c r="M46" i="36" s="1"/>
  <c r="G50" i="36"/>
  <c r="H49" i="36"/>
  <c r="K47" i="35"/>
  <c r="O46" i="35"/>
  <c r="L46" i="35"/>
  <c r="M46" i="35" s="1"/>
  <c r="G49" i="35"/>
  <c r="H48" i="35"/>
  <c r="D48" i="35"/>
  <c r="N47" i="35"/>
  <c r="E47" i="35"/>
  <c r="I47" i="35" s="1"/>
  <c r="O81" i="37" l="1"/>
  <c r="L81" i="37"/>
  <c r="D85" i="37"/>
  <c r="E84" i="37"/>
  <c r="J82" i="37"/>
  <c r="K82" i="37" s="1"/>
  <c r="F83" i="37"/>
  <c r="F110" i="37" s="1"/>
  <c r="E8" i="41" s="1"/>
  <c r="G82" i="37"/>
  <c r="H81" i="37"/>
  <c r="I81" i="37" s="1"/>
  <c r="N81" i="37"/>
  <c r="M80" i="37"/>
  <c r="O47" i="36"/>
  <c r="K48" i="36"/>
  <c r="L47" i="36"/>
  <c r="G51" i="36"/>
  <c r="H50" i="36"/>
  <c r="D48" i="36"/>
  <c r="N47" i="36"/>
  <c r="E47" i="36"/>
  <c r="I47" i="36" s="1"/>
  <c r="D49" i="35"/>
  <c r="E48" i="35"/>
  <c r="I48" i="35" s="1"/>
  <c r="G50" i="35"/>
  <c r="H49" i="35"/>
  <c r="O47" i="35"/>
  <c r="K48" i="35"/>
  <c r="L47" i="35"/>
  <c r="M47" i="35" s="1"/>
  <c r="O82" i="37" l="1"/>
  <c r="L82" i="37"/>
  <c r="J83" i="37"/>
  <c r="K83" i="37" s="1"/>
  <c r="F84" i="37"/>
  <c r="G83" i="37"/>
  <c r="H82" i="37"/>
  <c r="I82" i="37" s="1"/>
  <c r="N82" i="37"/>
  <c r="D86" i="37"/>
  <c r="E85" i="37"/>
  <c r="M81" i="37"/>
  <c r="N48" i="36"/>
  <c r="D49" i="36"/>
  <c r="E48" i="36"/>
  <c r="I48" i="36" s="1"/>
  <c r="G52" i="36"/>
  <c r="H51" i="36"/>
  <c r="M47" i="36"/>
  <c r="O48" i="36"/>
  <c r="K49" i="36"/>
  <c r="L48" i="36"/>
  <c r="M48" i="36" s="1"/>
  <c r="G51" i="35"/>
  <c r="H50" i="35"/>
  <c r="D50" i="35"/>
  <c r="E49" i="35"/>
  <c r="I49" i="35" s="1"/>
  <c r="K49" i="35"/>
  <c r="O48" i="35"/>
  <c r="L48" i="35"/>
  <c r="M48" i="35" s="1"/>
  <c r="N48" i="35"/>
  <c r="O83" i="37" l="1"/>
  <c r="L83" i="37"/>
  <c r="F85" i="37"/>
  <c r="J84" i="37"/>
  <c r="K84" i="37" s="1"/>
  <c r="D87" i="37"/>
  <c r="E86" i="37"/>
  <c r="G84" i="37"/>
  <c r="H83" i="37"/>
  <c r="I83" i="37" s="1"/>
  <c r="N83" i="37"/>
  <c r="M82" i="37"/>
  <c r="K50" i="36"/>
  <c r="O49" i="36"/>
  <c r="L49" i="36"/>
  <c r="G53" i="36"/>
  <c r="H52" i="36"/>
  <c r="D50" i="36"/>
  <c r="N49" i="36"/>
  <c r="E49" i="36"/>
  <c r="I49" i="36" s="1"/>
  <c r="K50" i="35"/>
  <c r="N50" i="35" s="1"/>
  <c r="O49" i="35"/>
  <c r="L49" i="35"/>
  <c r="M49" i="35" s="1"/>
  <c r="N49" i="35"/>
  <c r="D51" i="35"/>
  <c r="E50" i="35"/>
  <c r="I50" i="35" s="1"/>
  <c r="G52" i="35"/>
  <c r="H51" i="35"/>
  <c r="O84" i="37" l="1"/>
  <c r="L84" i="37"/>
  <c r="G85" i="37"/>
  <c r="H84" i="37"/>
  <c r="I84" i="37" s="1"/>
  <c r="N84" i="37"/>
  <c r="D88" i="37"/>
  <c r="E87" i="37"/>
  <c r="F86" i="37"/>
  <c r="J85" i="37"/>
  <c r="K85" i="37" s="1"/>
  <c r="M83" i="37"/>
  <c r="G8" i="41" s="1"/>
  <c r="D51" i="36"/>
  <c r="N50" i="36"/>
  <c r="E50" i="36"/>
  <c r="I50" i="36" s="1"/>
  <c r="G54" i="36"/>
  <c r="H53" i="36"/>
  <c r="M49" i="36"/>
  <c r="O50" i="36"/>
  <c r="K51" i="36"/>
  <c r="L50" i="36"/>
  <c r="M50" i="36" s="1"/>
  <c r="G53" i="35"/>
  <c r="H52" i="35"/>
  <c r="D52" i="35"/>
  <c r="E51" i="35"/>
  <c r="I51" i="35" s="1"/>
  <c r="O50" i="35"/>
  <c r="K51" i="35"/>
  <c r="L50" i="35"/>
  <c r="M50" i="35" s="1"/>
  <c r="O85" i="37" l="1"/>
  <c r="L85" i="37"/>
  <c r="D89" i="37"/>
  <c r="E88" i="37"/>
  <c r="G86" i="37"/>
  <c r="H85" i="37"/>
  <c r="I85" i="37" s="1"/>
  <c r="N85" i="37"/>
  <c r="J86" i="37"/>
  <c r="K86" i="37" s="1"/>
  <c r="F87" i="37"/>
  <c r="M84" i="37"/>
  <c r="O51" i="36"/>
  <c r="K52" i="36"/>
  <c r="L51" i="36"/>
  <c r="G55" i="36"/>
  <c r="H54" i="36"/>
  <c r="D52" i="36"/>
  <c r="N51" i="36"/>
  <c r="E51" i="36"/>
  <c r="I51" i="36" s="1"/>
  <c r="K52" i="35"/>
  <c r="N52" i="35" s="1"/>
  <c r="O51" i="35"/>
  <c r="L51" i="35"/>
  <c r="M51" i="35" s="1"/>
  <c r="N51" i="35"/>
  <c r="D53" i="35"/>
  <c r="E52" i="35"/>
  <c r="I52" i="35" s="1"/>
  <c r="G54" i="35"/>
  <c r="H53" i="35"/>
  <c r="O86" i="37" l="1"/>
  <c r="L86" i="37"/>
  <c r="D90" i="37"/>
  <c r="E89" i="37"/>
  <c r="F88" i="37"/>
  <c r="J87" i="37"/>
  <c r="K87" i="37" s="1"/>
  <c r="G87" i="37"/>
  <c r="H86" i="37"/>
  <c r="I86" i="37" s="1"/>
  <c r="N86" i="37"/>
  <c r="M85" i="37"/>
  <c r="D53" i="36"/>
  <c r="N52" i="36"/>
  <c r="E52" i="36"/>
  <c r="I52" i="36" s="1"/>
  <c r="G56" i="36"/>
  <c r="H55" i="36"/>
  <c r="K53" i="36"/>
  <c r="O52" i="36"/>
  <c r="L52" i="36"/>
  <c r="M52" i="36" s="1"/>
  <c r="M51" i="36"/>
  <c r="G55" i="35"/>
  <c r="H54" i="35"/>
  <c r="D54" i="35"/>
  <c r="E53" i="35"/>
  <c r="I53" i="35" s="1"/>
  <c r="O52" i="35"/>
  <c r="K53" i="35"/>
  <c r="N53" i="35" s="1"/>
  <c r="L52" i="35"/>
  <c r="M52" i="35" s="1"/>
  <c r="O87" i="37" l="1"/>
  <c r="L87" i="37"/>
  <c r="G88" i="37"/>
  <c r="H87" i="37"/>
  <c r="I87" i="37" s="1"/>
  <c r="N87" i="37"/>
  <c r="D91" i="37"/>
  <c r="E90" i="37"/>
  <c r="F89" i="37"/>
  <c r="J88" i="37"/>
  <c r="K88" i="37" s="1"/>
  <c r="M86" i="37"/>
  <c r="K54" i="36"/>
  <c r="O53" i="36"/>
  <c r="L53" i="36"/>
  <c r="G57" i="36"/>
  <c r="H56" i="36"/>
  <c r="D54" i="36"/>
  <c r="N53" i="36"/>
  <c r="E53" i="36"/>
  <c r="I53" i="36" s="1"/>
  <c r="D55" i="35"/>
  <c r="E54" i="35"/>
  <c r="I54" i="35" s="1"/>
  <c r="K54" i="35"/>
  <c r="O53" i="35"/>
  <c r="L53" i="35"/>
  <c r="M53" i="35" s="1"/>
  <c r="G56" i="35"/>
  <c r="H55" i="35"/>
  <c r="O88" i="37" l="1"/>
  <c r="L88" i="37"/>
  <c r="J89" i="37"/>
  <c r="K89" i="37" s="1"/>
  <c r="F90" i="37"/>
  <c r="D92" i="37"/>
  <c r="E91" i="37"/>
  <c r="G89" i="37"/>
  <c r="H88" i="37"/>
  <c r="I88" i="37" s="1"/>
  <c r="N88" i="37"/>
  <c r="M87" i="37"/>
  <c r="D55" i="36"/>
  <c r="N54" i="36"/>
  <c r="E54" i="36"/>
  <c r="I54" i="36" s="1"/>
  <c r="G58" i="36"/>
  <c r="H57" i="36"/>
  <c r="M53" i="36"/>
  <c r="K55" i="36"/>
  <c r="O54" i="36"/>
  <c r="L54" i="36"/>
  <c r="M54" i="36" s="1"/>
  <c r="G57" i="35"/>
  <c r="H56" i="35"/>
  <c r="K55" i="35"/>
  <c r="N55" i="35" s="1"/>
  <c r="O54" i="35"/>
  <c r="L54" i="35"/>
  <c r="M54" i="35" s="1"/>
  <c r="N54" i="35"/>
  <c r="D56" i="35"/>
  <c r="E55" i="35"/>
  <c r="I55" i="35" s="1"/>
  <c r="O89" i="37" l="1"/>
  <c r="L89" i="37"/>
  <c r="G90" i="37"/>
  <c r="H89" i="37"/>
  <c r="I89" i="37" s="1"/>
  <c r="N89" i="37"/>
  <c r="D93" i="37"/>
  <c r="E92" i="37"/>
  <c r="J90" i="37"/>
  <c r="K90" i="37" s="1"/>
  <c r="F91" i="37"/>
  <c r="M88" i="37"/>
  <c r="K56" i="36"/>
  <c r="O55" i="36"/>
  <c r="L55" i="36"/>
  <c r="G59" i="36"/>
  <c r="H58" i="36"/>
  <c r="D56" i="36"/>
  <c r="N55" i="36"/>
  <c r="E55" i="36"/>
  <c r="I55" i="36" s="1"/>
  <c r="D57" i="35"/>
  <c r="E56" i="35"/>
  <c r="I56" i="35" s="1"/>
  <c r="G58" i="35"/>
  <c r="H57" i="35"/>
  <c r="K56" i="35"/>
  <c r="O55" i="35"/>
  <c r="L55" i="35"/>
  <c r="M55" i="35" s="1"/>
  <c r="O90" i="37" l="1"/>
  <c r="L90" i="37"/>
  <c r="D94" i="37"/>
  <c r="E93" i="37"/>
  <c r="G91" i="37"/>
  <c r="H90" i="37"/>
  <c r="I90" i="37" s="1"/>
  <c r="N90" i="37"/>
  <c r="F92" i="37"/>
  <c r="J91" i="37"/>
  <c r="K91" i="37" s="1"/>
  <c r="M89" i="37"/>
  <c r="N56" i="36"/>
  <c r="D57" i="36"/>
  <c r="E56" i="36"/>
  <c r="I56" i="36" s="1"/>
  <c r="G60" i="36"/>
  <c r="H59" i="36"/>
  <c r="M55" i="36"/>
  <c r="O56" i="36"/>
  <c r="K57" i="36"/>
  <c r="L56" i="36"/>
  <c r="M56" i="36" s="1"/>
  <c r="O56" i="35"/>
  <c r="K57" i="35"/>
  <c r="N57" i="35" s="1"/>
  <c r="L56" i="35"/>
  <c r="M56" i="35" s="1"/>
  <c r="D58" i="35"/>
  <c r="E57" i="35"/>
  <c r="I57" i="35" s="1"/>
  <c r="G59" i="35"/>
  <c r="H58" i="35"/>
  <c r="N56" i="35"/>
  <c r="O91" i="37" l="1"/>
  <c r="L91" i="37"/>
  <c r="G92" i="37"/>
  <c r="H91" i="37"/>
  <c r="I91" i="37" s="1"/>
  <c r="N91" i="37"/>
  <c r="J92" i="37"/>
  <c r="K92" i="37" s="1"/>
  <c r="F93" i="37"/>
  <c r="D95" i="37"/>
  <c r="E94" i="37"/>
  <c r="M90" i="37"/>
  <c r="G61" i="36"/>
  <c r="H60" i="36"/>
  <c r="N57" i="36"/>
  <c r="D58" i="36"/>
  <c r="E57" i="36"/>
  <c r="I57" i="36" s="1"/>
  <c r="O57" i="36"/>
  <c r="K58" i="36"/>
  <c r="L57" i="36"/>
  <c r="M57" i="36" s="1"/>
  <c r="G60" i="35"/>
  <c r="H59" i="35"/>
  <c r="D59" i="35"/>
  <c r="E58" i="35"/>
  <c r="I58" i="35" s="1"/>
  <c r="K58" i="35"/>
  <c r="O57" i="35"/>
  <c r="L57" i="35"/>
  <c r="M57" i="35" s="1"/>
  <c r="O92" i="37" l="1"/>
  <c r="L92" i="37"/>
  <c r="D96" i="37"/>
  <c r="E95" i="37"/>
  <c r="F94" i="37"/>
  <c r="J93" i="37"/>
  <c r="K93" i="37" s="1"/>
  <c r="G93" i="37"/>
  <c r="H92" i="37"/>
  <c r="I92" i="37" s="1"/>
  <c r="N92" i="37"/>
  <c r="M91" i="37"/>
  <c r="K59" i="36"/>
  <c r="O58" i="36"/>
  <c r="L58" i="36"/>
  <c r="D59" i="36"/>
  <c r="N58" i="36"/>
  <c r="E58" i="36"/>
  <c r="I58" i="36" s="1"/>
  <c r="G62" i="36"/>
  <c r="H61" i="36"/>
  <c r="O58" i="35"/>
  <c r="K59" i="35"/>
  <c r="N59" i="35" s="1"/>
  <c r="L58" i="35"/>
  <c r="M58" i="35" s="1"/>
  <c r="N58" i="35"/>
  <c r="D60" i="35"/>
  <c r="E59" i="35"/>
  <c r="I59" i="35" s="1"/>
  <c r="G61" i="35"/>
  <c r="H60" i="35"/>
  <c r="O93" i="37" l="1"/>
  <c r="L93" i="37"/>
  <c r="M92" i="37"/>
  <c r="G94" i="37"/>
  <c r="H93" i="37"/>
  <c r="I93" i="37" s="1"/>
  <c r="N93" i="37"/>
  <c r="F95" i="37"/>
  <c r="J94" i="37"/>
  <c r="K94" i="37" s="1"/>
  <c r="D97" i="37"/>
  <c r="E96" i="37"/>
  <c r="G63" i="36"/>
  <c r="H62" i="36"/>
  <c r="N59" i="36"/>
  <c r="D60" i="36"/>
  <c r="E59" i="36"/>
  <c r="I59" i="36" s="1"/>
  <c r="M58" i="36"/>
  <c r="O59" i="36"/>
  <c r="K60" i="36"/>
  <c r="L59" i="36"/>
  <c r="M59" i="36" s="1"/>
  <c r="G62" i="35"/>
  <c r="H61" i="35"/>
  <c r="D61" i="35"/>
  <c r="E60" i="35"/>
  <c r="I60" i="35" s="1"/>
  <c r="O59" i="35"/>
  <c r="K60" i="35"/>
  <c r="L59" i="35"/>
  <c r="M59" i="35" s="1"/>
  <c r="O94" i="37" l="1"/>
  <c r="L94" i="37"/>
  <c r="D98" i="37"/>
  <c r="E97" i="37"/>
  <c r="F96" i="37"/>
  <c r="J95" i="37"/>
  <c r="K95" i="37" s="1"/>
  <c r="G95" i="37"/>
  <c r="H94" i="37"/>
  <c r="I94" i="37" s="1"/>
  <c r="N94" i="37"/>
  <c r="M93" i="37"/>
  <c r="O60" i="36"/>
  <c r="K61" i="36"/>
  <c r="L60" i="36"/>
  <c r="D61" i="36"/>
  <c r="N60" i="36"/>
  <c r="E60" i="36"/>
  <c r="I60" i="36" s="1"/>
  <c r="G64" i="36"/>
  <c r="H63" i="36"/>
  <c r="K61" i="35"/>
  <c r="N61" i="35" s="1"/>
  <c r="O60" i="35"/>
  <c r="L60" i="35"/>
  <c r="M60" i="35" s="1"/>
  <c r="D62" i="35"/>
  <c r="E61" i="35"/>
  <c r="I61" i="35" s="1"/>
  <c r="N60" i="35"/>
  <c r="G63" i="35"/>
  <c r="H62" i="35"/>
  <c r="L95" i="37" l="1"/>
  <c r="G96" i="37"/>
  <c r="H95" i="37"/>
  <c r="I95" i="37" s="1"/>
  <c r="N95" i="37"/>
  <c r="F97" i="37"/>
  <c r="J96" i="37"/>
  <c r="K96" i="37" s="1"/>
  <c r="D99" i="37"/>
  <c r="E98" i="37"/>
  <c r="M94" i="37"/>
  <c r="G65" i="36"/>
  <c r="H64" i="36"/>
  <c r="D62" i="36"/>
  <c r="N61" i="36"/>
  <c r="E61" i="36"/>
  <c r="I61" i="36" s="1"/>
  <c r="M60" i="36"/>
  <c r="K62" i="36"/>
  <c r="O61" i="36"/>
  <c r="L61" i="36"/>
  <c r="M61" i="36" s="1"/>
  <c r="G64" i="35"/>
  <c r="H63" i="35"/>
  <c r="D63" i="35"/>
  <c r="E62" i="35"/>
  <c r="I62" i="35" s="1"/>
  <c r="O61" i="35"/>
  <c r="K62" i="35"/>
  <c r="N62" i="35" s="1"/>
  <c r="L61" i="35"/>
  <c r="M61" i="35" s="1"/>
  <c r="L96" i="37" l="1"/>
  <c r="D100" i="37"/>
  <c r="E99" i="37"/>
  <c r="F98" i="37"/>
  <c r="J97" i="37"/>
  <c r="K97" i="37" s="1"/>
  <c r="G97" i="37"/>
  <c r="H96" i="37"/>
  <c r="I96" i="37" s="1"/>
  <c r="N96" i="37"/>
  <c r="M95" i="37"/>
  <c r="K63" i="36"/>
  <c r="O62" i="36"/>
  <c r="L62" i="36"/>
  <c r="N62" i="36"/>
  <c r="D63" i="36"/>
  <c r="E62" i="36"/>
  <c r="I62" i="36" s="1"/>
  <c r="G66" i="36"/>
  <c r="H65" i="36"/>
  <c r="O62" i="35"/>
  <c r="K63" i="35"/>
  <c r="L62" i="35"/>
  <c r="M62" i="35" s="1"/>
  <c r="N63" i="35"/>
  <c r="D64" i="35"/>
  <c r="E63" i="35"/>
  <c r="I63" i="35" s="1"/>
  <c r="G65" i="35"/>
  <c r="H64" i="35"/>
  <c r="L97" i="37" l="1"/>
  <c r="G98" i="37"/>
  <c r="H97" i="37"/>
  <c r="I97" i="37" s="1"/>
  <c r="N97" i="37"/>
  <c r="F99" i="37"/>
  <c r="J98" i="37"/>
  <c r="K98" i="37" s="1"/>
  <c r="M96" i="37"/>
  <c r="D101" i="37"/>
  <c r="E100" i="37"/>
  <c r="G67" i="36"/>
  <c r="H66" i="36"/>
  <c r="D64" i="36"/>
  <c r="N63" i="36"/>
  <c r="E63" i="36"/>
  <c r="I63" i="36" s="1"/>
  <c r="M62" i="36"/>
  <c r="K64" i="36"/>
  <c r="O63" i="36"/>
  <c r="L63" i="36"/>
  <c r="M63" i="36" s="1"/>
  <c r="G66" i="35"/>
  <c r="H65" i="35"/>
  <c r="D65" i="35"/>
  <c r="E64" i="35"/>
  <c r="I64" i="35" s="1"/>
  <c r="O63" i="35"/>
  <c r="K64" i="35"/>
  <c r="L63" i="35"/>
  <c r="M63" i="35" s="1"/>
  <c r="L98" i="37" l="1"/>
  <c r="M97" i="37"/>
  <c r="D102" i="37"/>
  <c r="E101" i="37"/>
  <c r="J99" i="37"/>
  <c r="K99" i="37" s="1"/>
  <c r="F100" i="37"/>
  <c r="G99" i="37"/>
  <c r="H98" i="37"/>
  <c r="I98" i="37" s="1"/>
  <c r="N98" i="37"/>
  <c r="O64" i="36"/>
  <c r="K65" i="36"/>
  <c r="L64" i="36"/>
  <c r="N64" i="36"/>
  <c r="D65" i="36"/>
  <c r="E64" i="36"/>
  <c r="I64" i="36" s="1"/>
  <c r="G68" i="36"/>
  <c r="H67" i="36"/>
  <c r="K65" i="35"/>
  <c r="O64" i="35"/>
  <c r="L64" i="35"/>
  <c r="M64" i="35" s="1"/>
  <c r="N65" i="35"/>
  <c r="D66" i="35"/>
  <c r="E65" i="35"/>
  <c r="I65" i="35" s="1"/>
  <c r="N64" i="35"/>
  <c r="G67" i="35"/>
  <c r="H66" i="35"/>
  <c r="L99" i="37" l="1"/>
  <c r="M98" i="37"/>
  <c r="G100" i="37"/>
  <c r="H99" i="37"/>
  <c r="I99" i="37" s="1"/>
  <c r="N99" i="37"/>
  <c r="F101" i="37"/>
  <c r="J100" i="37"/>
  <c r="K100" i="37" s="1"/>
  <c r="D103" i="37"/>
  <c r="E102" i="37"/>
  <c r="G69" i="36"/>
  <c r="H68" i="36"/>
  <c r="D66" i="36"/>
  <c r="N65" i="36"/>
  <c r="E65" i="36"/>
  <c r="I65" i="36" s="1"/>
  <c r="M64" i="36"/>
  <c r="O65" i="36"/>
  <c r="K66" i="36"/>
  <c r="L65" i="36"/>
  <c r="M65" i="36" s="1"/>
  <c r="G68" i="35"/>
  <c r="H67" i="35"/>
  <c r="D67" i="35"/>
  <c r="E66" i="35"/>
  <c r="I66" i="35" s="1"/>
  <c r="K66" i="35"/>
  <c r="O65" i="35"/>
  <c r="L65" i="35"/>
  <c r="M65" i="35" s="1"/>
  <c r="L100" i="37" l="1"/>
  <c r="D104" i="37"/>
  <c r="E103" i="37"/>
  <c r="F102" i="37"/>
  <c r="J101" i="37"/>
  <c r="K101" i="37" s="1"/>
  <c r="M99" i="37"/>
  <c r="G101" i="37"/>
  <c r="H100" i="37"/>
  <c r="I100" i="37" s="1"/>
  <c r="N100" i="37"/>
  <c r="K67" i="36"/>
  <c r="O66" i="36"/>
  <c r="L66" i="36"/>
  <c r="D67" i="36"/>
  <c r="N66" i="36"/>
  <c r="E66" i="36"/>
  <c r="I66" i="36" s="1"/>
  <c r="G70" i="36"/>
  <c r="H69" i="36"/>
  <c r="K67" i="35"/>
  <c r="O66" i="35"/>
  <c r="L66" i="35"/>
  <c r="M66" i="35" s="1"/>
  <c r="N66" i="35"/>
  <c r="D68" i="35"/>
  <c r="N67" i="35"/>
  <c r="E67" i="35"/>
  <c r="I67" i="35" s="1"/>
  <c r="G69" i="35"/>
  <c r="H68" i="35"/>
  <c r="L101" i="37" l="1"/>
  <c r="F103" i="37"/>
  <c r="J102" i="37"/>
  <c r="K102" i="37" s="1"/>
  <c r="M100" i="37"/>
  <c r="G102" i="37"/>
  <c r="H101" i="37"/>
  <c r="I101" i="37" s="1"/>
  <c r="N101" i="37"/>
  <c r="D105" i="37"/>
  <c r="E104" i="37"/>
  <c r="G71" i="36"/>
  <c r="H70" i="36"/>
  <c r="D68" i="36"/>
  <c r="N67" i="36"/>
  <c r="E67" i="36"/>
  <c r="I67" i="36" s="1"/>
  <c r="M66" i="36"/>
  <c r="O67" i="36"/>
  <c r="K68" i="36"/>
  <c r="L67" i="36"/>
  <c r="M67" i="36" s="1"/>
  <c r="G70" i="35"/>
  <c r="H69" i="35"/>
  <c r="D69" i="35"/>
  <c r="E68" i="35"/>
  <c r="I68" i="35" s="1"/>
  <c r="K68" i="35"/>
  <c r="O67" i="35"/>
  <c r="L67" i="35"/>
  <c r="M67" i="35" s="1"/>
  <c r="L102" i="37" l="1"/>
  <c r="F104" i="37"/>
  <c r="J103" i="37"/>
  <c r="K103" i="37" s="1"/>
  <c r="D106" i="37"/>
  <c r="E105" i="37"/>
  <c r="G103" i="37"/>
  <c r="H102" i="37"/>
  <c r="I102" i="37" s="1"/>
  <c r="N102" i="37"/>
  <c r="M101" i="37"/>
  <c r="H71" i="36"/>
  <c r="K69" i="36"/>
  <c r="O68" i="36"/>
  <c r="L68" i="36"/>
  <c r="N68" i="36"/>
  <c r="D69" i="36"/>
  <c r="E68" i="36"/>
  <c r="I68" i="36" s="1"/>
  <c r="O68" i="35"/>
  <c r="K69" i="35"/>
  <c r="L68" i="35"/>
  <c r="M68" i="35" s="1"/>
  <c r="N68" i="35"/>
  <c r="D70" i="35"/>
  <c r="E69" i="35"/>
  <c r="I69" i="35" s="1"/>
  <c r="G71" i="35"/>
  <c r="H70" i="35"/>
  <c r="L103" i="37" l="1"/>
  <c r="G104" i="37"/>
  <c r="H103" i="37"/>
  <c r="I103" i="37" s="1"/>
  <c r="N103" i="37"/>
  <c r="D107" i="37"/>
  <c r="E106" i="37"/>
  <c r="M102" i="37"/>
  <c r="F105" i="37"/>
  <c r="J104" i="37"/>
  <c r="K104" i="37" s="1"/>
  <c r="M68" i="36"/>
  <c r="D70" i="36"/>
  <c r="N69" i="36"/>
  <c r="E69" i="36"/>
  <c r="I69" i="36" s="1"/>
  <c r="K70" i="36"/>
  <c r="O69" i="36"/>
  <c r="L69" i="36"/>
  <c r="M69" i="36" s="1"/>
  <c r="D71" i="35"/>
  <c r="E70" i="35"/>
  <c r="I70" i="35" s="1"/>
  <c r="O69" i="35"/>
  <c r="K70" i="35"/>
  <c r="L69" i="35"/>
  <c r="M69" i="35" s="1"/>
  <c r="H71" i="35"/>
  <c r="N69" i="35"/>
  <c r="L104" i="37" l="1"/>
  <c r="F106" i="37"/>
  <c r="J105" i="37"/>
  <c r="K105" i="37" s="1"/>
  <c r="E107" i="37"/>
  <c r="M103" i="37"/>
  <c r="G105" i="37"/>
  <c r="H104" i="37"/>
  <c r="I104" i="37" s="1"/>
  <c r="N104" i="37"/>
  <c r="D71" i="36"/>
  <c r="N70" i="36"/>
  <c r="E70" i="36"/>
  <c r="I70" i="36" s="1"/>
  <c r="O70" i="36"/>
  <c r="K71" i="36"/>
  <c r="L70" i="36"/>
  <c r="M70" i="36" s="1"/>
  <c r="O70" i="35"/>
  <c r="K71" i="35"/>
  <c r="L70" i="35"/>
  <c r="M70" i="35" s="1"/>
  <c r="N71" i="35"/>
  <c r="D72" i="35"/>
  <c r="F72" i="35" s="1"/>
  <c r="E71" i="35"/>
  <c r="I71" i="35" s="1"/>
  <c r="N70" i="35"/>
  <c r="J72" i="35" l="1"/>
  <c r="G72" i="35"/>
  <c r="L105" i="37"/>
  <c r="G106" i="37"/>
  <c r="H105" i="37"/>
  <c r="I105" i="37" s="1"/>
  <c r="N105" i="37"/>
  <c r="M104" i="37"/>
  <c r="J106" i="37"/>
  <c r="K106" i="37" s="1"/>
  <c r="F107" i="37"/>
  <c r="J107" i="37" s="1"/>
  <c r="O71" i="36"/>
  <c r="L71" i="36"/>
  <c r="N71" i="36"/>
  <c r="D72" i="36"/>
  <c r="E71" i="36"/>
  <c r="I71" i="36" s="1"/>
  <c r="D73" i="35"/>
  <c r="F73" i="35" s="1"/>
  <c r="J73" i="35" s="1"/>
  <c r="E72" i="35"/>
  <c r="O71" i="35"/>
  <c r="K72" i="35"/>
  <c r="L71" i="35"/>
  <c r="M71" i="35" s="1"/>
  <c r="G73" i="35" l="1"/>
  <c r="H72" i="35"/>
  <c r="I72" i="35" s="1"/>
  <c r="K107" i="37"/>
  <c r="L107" i="37" s="1"/>
  <c r="L106" i="37"/>
  <c r="M105" i="37"/>
  <c r="G107" i="37"/>
  <c r="H106" i="37"/>
  <c r="I106" i="37" s="1"/>
  <c r="N106" i="37"/>
  <c r="M71" i="36"/>
  <c r="D73" i="36"/>
  <c r="E72" i="36"/>
  <c r="D74" i="35"/>
  <c r="F74" i="35" s="1"/>
  <c r="J74" i="35" s="1"/>
  <c r="E73" i="35"/>
  <c r="K73" i="35"/>
  <c r="O72" i="35"/>
  <c r="L72" i="35"/>
  <c r="N72" i="35"/>
  <c r="M72" i="35" l="1"/>
  <c r="F72" i="36"/>
  <c r="G74" i="35"/>
  <c r="H73" i="35"/>
  <c r="I73" i="35" s="1"/>
  <c r="H107" i="37"/>
  <c r="I107" i="37" s="1"/>
  <c r="N107" i="37"/>
  <c r="M106" i="37"/>
  <c r="M107" i="37"/>
  <c r="D74" i="36"/>
  <c r="E73" i="36"/>
  <c r="K74" i="35"/>
  <c r="O73" i="35"/>
  <c r="L73" i="35"/>
  <c r="N73" i="35"/>
  <c r="D75" i="35"/>
  <c r="F75" i="35" s="1"/>
  <c r="J75" i="35" s="1"/>
  <c r="N74" i="35"/>
  <c r="E74" i="35"/>
  <c r="M73" i="35" l="1"/>
  <c r="G75" i="35"/>
  <c r="H74" i="35"/>
  <c r="I74" i="35" s="1"/>
  <c r="F73" i="36"/>
  <c r="J72" i="36"/>
  <c r="K72" i="36" s="1"/>
  <c r="G72" i="36"/>
  <c r="D75" i="36"/>
  <c r="E74" i="36"/>
  <c r="D76" i="35"/>
  <c r="F76" i="35" s="1"/>
  <c r="J76" i="35" s="1"/>
  <c r="E75" i="35"/>
  <c r="K75" i="35"/>
  <c r="O74" i="35"/>
  <c r="L74" i="35"/>
  <c r="M74" i="35" l="1"/>
  <c r="G73" i="36"/>
  <c r="H72" i="36"/>
  <c r="I72" i="36" s="1"/>
  <c r="N72" i="36"/>
  <c r="O72" i="36"/>
  <c r="L72" i="36"/>
  <c r="M72" i="36" s="1"/>
  <c r="F74" i="36"/>
  <c r="J73" i="36"/>
  <c r="K73" i="36" s="1"/>
  <c r="H75" i="35"/>
  <c r="I75" i="35" s="1"/>
  <c r="G76" i="35"/>
  <c r="D76" i="36"/>
  <c r="E75" i="36"/>
  <c r="D77" i="35"/>
  <c r="F77" i="35" s="1"/>
  <c r="J77" i="35" s="1"/>
  <c r="E76" i="35"/>
  <c r="O75" i="35"/>
  <c r="K76" i="35"/>
  <c r="L75" i="35"/>
  <c r="N75" i="35"/>
  <c r="O73" i="36" l="1"/>
  <c r="L73" i="36"/>
  <c r="G77" i="35"/>
  <c r="H76" i="35"/>
  <c r="I76" i="35" s="1"/>
  <c r="F75" i="36"/>
  <c r="J74" i="36"/>
  <c r="K74" i="36" s="1"/>
  <c r="G74" i="36"/>
  <c r="H73" i="36"/>
  <c r="I73" i="36" s="1"/>
  <c r="N73" i="36"/>
  <c r="M75" i="35"/>
  <c r="D77" i="36"/>
  <c r="E76" i="36"/>
  <c r="K77" i="35"/>
  <c r="O76" i="35"/>
  <c r="L76" i="35"/>
  <c r="D78" i="35"/>
  <c r="F78" i="35" s="1"/>
  <c r="J78" i="35" s="1"/>
  <c r="E77" i="35"/>
  <c r="N76" i="35"/>
  <c r="O74" i="36" l="1"/>
  <c r="L74" i="36"/>
  <c r="G75" i="36"/>
  <c r="H74" i="36"/>
  <c r="I74" i="36" s="1"/>
  <c r="N74" i="36"/>
  <c r="F76" i="36"/>
  <c r="J75" i="36"/>
  <c r="K75" i="36" s="1"/>
  <c r="G78" i="35"/>
  <c r="H77" i="35"/>
  <c r="I77" i="35"/>
  <c r="M73" i="36"/>
  <c r="N77" i="35"/>
  <c r="M76" i="35"/>
  <c r="D78" i="36"/>
  <c r="E77" i="36"/>
  <c r="D79" i="35"/>
  <c r="F79" i="35" s="1"/>
  <c r="J79" i="35" s="1"/>
  <c r="E78" i="35"/>
  <c r="O77" i="35"/>
  <c r="K78" i="35"/>
  <c r="L77" i="35"/>
  <c r="O75" i="36" l="1"/>
  <c r="L75" i="36"/>
  <c r="G79" i="35"/>
  <c r="H78" i="35"/>
  <c r="I78" i="35" s="1"/>
  <c r="F77" i="36"/>
  <c r="J76" i="36"/>
  <c r="K76" i="36" s="1"/>
  <c r="G76" i="36"/>
  <c r="H75" i="36"/>
  <c r="I75" i="36" s="1"/>
  <c r="N75" i="36"/>
  <c r="M74" i="36"/>
  <c r="M77" i="35"/>
  <c r="D79" i="36"/>
  <c r="E78" i="36"/>
  <c r="K79" i="35"/>
  <c r="O78" i="35"/>
  <c r="L78" i="35"/>
  <c r="D80" i="35"/>
  <c r="F80" i="35" s="1"/>
  <c r="J80" i="35" s="1"/>
  <c r="E79" i="35"/>
  <c r="N78" i="35"/>
  <c r="O76" i="36" l="1"/>
  <c r="L76" i="36"/>
  <c r="M78" i="35"/>
  <c r="G77" i="36"/>
  <c r="H76" i="36"/>
  <c r="I76" i="36" s="1"/>
  <c r="N76" i="36"/>
  <c r="F78" i="36"/>
  <c r="J77" i="36"/>
  <c r="K77" i="36" s="1"/>
  <c r="G80" i="35"/>
  <c r="H79" i="35"/>
  <c r="M75" i="36"/>
  <c r="I79" i="35"/>
  <c r="N79" i="35"/>
  <c r="D80" i="36"/>
  <c r="E79" i="36"/>
  <c r="K80" i="35"/>
  <c r="O79" i="35"/>
  <c r="L79" i="35"/>
  <c r="M79" i="35" s="1"/>
  <c r="D81" i="35"/>
  <c r="F81" i="35" s="1"/>
  <c r="J81" i="35" s="1"/>
  <c r="E80" i="35"/>
  <c r="O77" i="36" l="1"/>
  <c r="L77" i="36"/>
  <c r="G81" i="35"/>
  <c r="H80" i="35"/>
  <c r="F79" i="36"/>
  <c r="J78" i="36"/>
  <c r="K78" i="36" s="1"/>
  <c r="G78" i="36"/>
  <c r="H77" i="36"/>
  <c r="I77" i="36" s="1"/>
  <c r="N77" i="36"/>
  <c r="I80" i="35"/>
  <c r="N80" i="35"/>
  <c r="M76" i="36"/>
  <c r="D81" i="36"/>
  <c r="E80" i="36"/>
  <c r="D82" i="35"/>
  <c r="F82" i="35" s="1"/>
  <c r="J82" i="35" s="1"/>
  <c r="E81" i="35"/>
  <c r="K81" i="35"/>
  <c r="O80" i="35"/>
  <c r="L80" i="35"/>
  <c r="O78" i="36" l="1"/>
  <c r="L78" i="36"/>
  <c r="G79" i="36"/>
  <c r="H78" i="36"/>
  <c r="I78" i="36" s="1"/>
  <c r="N78" i="36"/>
  <c r="F80" i="36"/>
  <c r="J79" i="36"/>
  <c r="K79" i="36" s="1"/>
  <c r="G82" i="35"/>
  <c r="H81" i="35"/>
  <c r="I81" i="35" s="1"/>
  <c r="M77" i="36"/>
  <c r="M80" i="35"/>
  <c r="D82" i="36"/>
  <c r="E81" i="36"/>
  <c r="K82" i="35"/>
  <c r="O81" i="35"/>
  <c r="L81" i="35"/>
  <c r="D83" i="35"/>
  <c r="F83" i="35" s="1"/>
  <c r="E82" i="35"/>
  <c r="N81" i="35"/>
  <c r="O79" i="36" l="1"/>
  <c r="L79" i="36"/>
  <c r="M81" i="35"/>
  <c r="G83" i="35"/>
  <c r="H82" i="35"/>
  <c r="F81" i="36"/>
  <c r="J80" i="36"/>
  <c r="K80" i="36" s="1"/>
  <c r="G80" i="36"/>
  <c r="H79" i="36"/>
  <c r="I79" i="36" s="1"/>
  <c r="N79" i="36"/>
  <c r="I82" i="35"/>
  <c r="M78" i="36"/>
  <c r="N82" i="35"/>
  <c r="J83" i="35"/>
  <c r="K83" i="35" s="1"/>
  <c r="F110" i="35"/>
  <c r="E6" i="41" s="1"/>
  <c r="D83" i="36"/>
  <c r="E82" i="36"/>
  <c r="D84" i="35"/>
  <c r="F84" i="35" s="1"/>
  <c r="J84" i="35" s="1"/>
  <c r="E83" i="35"/>
  <c r="O82" i="35"/>
  <c r="L82" i="35"/>
  <c r="O80" i="36" l="1"/>
  <c r="L80" i="36"/>
  <c r="C23" i="32"/>
  <c r="G81" i="36"/>
  <c r="H80" i="36"/>
  <c r="I80" i="36" s="1"/>
  <c r="N80" i="36"/>
  <c r="F82" i="36"/>
  <c r="J81" i="36"/>
  <c r="K81" i="36" s="1"/>
  <c r="G84" i="35"/>
  <c r="H83" i="35"/>
  <c r="C25" i="32" s="1"/>
  <c r="M82" i="35"/>
  <c r="M79" i="36"/>
  <c r="D84" i="36"/>
  <c r="E83" i="36"/>
  <c r="K84" i="35"/>
  <c r="O83" i="35"/>
  <c r="L83" i="35"/>
  <c r="D85" i="35"/>
  <c r="F85" i="35" s="1"/>
  <c r="J85" i="35" s="1"/>
  <c r="E84" i="35"/>
  <c r="N83" i="35"/>
  <c r="O81" i="36" l="1"/>
  <c r="L81" i="36"/>
  <c r="C22" i="32"/>
  <c r="H84" i="35"/>
  <c r="G85" i="35"/>
  <c r="F83" i="36"/>
  <c r="J82" i="36"/>
  <c r="K82" i="36" s="1"/>
  <c r="G82" i="36"/>
  <c r="H81" i="36"/>
  <c r="I81" i="36" s="1"/>
  <c r="N81" i="36"/>
  <c r="I84" i="35"/>
  <c r="I83" i="35"/>
  <c r="M80" i="36"/>
  <c r="N84" i="35"/>
  <c r="M83" i="35"/>
  <c r="G6" i="41" s="1"/>
  <c r="C27" i="32"/>
  <c r="D85" i="36"/>
  <c r="E84" i="36"/>
  <c r="D86" i="35"/>
  <c r="F86" i="35" s="1"/>
  <c r="J86" i="35" s="1"/>
  <c r="E85" i="35"/>
  <c r="O84" i="35"/>
  <c r="K85" i="35"/>
  <c r="L84" i="35"/>
  <c r="O82" i="36" l="1"/>
  <c r="L82" i="36"/>
  <c r="G83" i="36"/>
  <c r="H82" i="36"/>
  <c r="I82" i="36" s="1"/>
  <c r="N82" i="36"/>
  <c r="F84" i="36"/>
  <c r="J83" i="36"/>
  <c r="K83" i="36" s="1"/>
  <c r="F110" i="36"/>
  <c r="E7" i="41" s="1"/>
  <c r="E9" i="41" s="1"/>
  <c r="E11" i="41" s="1"/>
  <c r="C41" i="32" s="1"/>
  <c r="C53" i="32" s="1"/>
  <c r="G86" i="35"/>
  <c r="H85" i="35"/>
  <c r="I85" i="35" s="1"/>
  <c r="M84" i="35"/>
  <c r="M81" i="36"/>
  <c r="D86" i="36"/>
  <c r="E85" i="36"/>
  <c r="K86" i="35"/>
  <c r="O85" i="35"/>
  <c r="L85" i="35"/>
  <c r="D87" i="35"/>
  <c r="F87" i="35" s="1"/>
  <c r="J87" i="35" s="1"/>
  <c r="E86" i="35"/>
  <c r="N85" i="35"/>
  <c r="O83" i="36" l="1"/>
  <c r="L83" i="36"/>
  <c r="G87" i="35"/>
  <c r="H86" i="35"/>
  <c r="F85" i="36"/>
  <c r="J84" i="36"/>
  <c r="K84" i="36" s="1"/>
  <c r="G84" i="36"/>
  <c r="H83" i="36"/>
  <c r="N83" i="36"/>
  <c r="I86" i="35"/>
  <c r="N86" i="35"/>
  <c r="M82" i="36"/>
  <c r="M85" i="35"/>
  <c r="D87" i="36"/>
  <c r="E86" i="36"/>
  <c r="D88" i="35"/>
  <c r="F88" i="35" s="1"/>
  <c r="J88" i="35" s="1"/>
  <c r="E87" i="35"/>
  <c r="K87" i="35"/>
  <c r="O86" i="35"/>
  <c r="L86" i="35"/>
  <c r="O84" i="36" l="1"/>
  <c r="L84" i="36"/>
  <c r="C24" i="32"/>
  <c r="I83" i="36"/>
  <c r="G85" i="36"/>
  <c r="H84" i="36"/>
  <c r="I84" i="36" s="1"/>
  <c r="N84" i="36"/>
  <c r="F86" i="36"/>
  <c r="J85" i="36"/>
  <c r="K85" i="36" s="1"/>
  <c r="G88" i="35"/>
  <c r="H87" i="35"/>
  <c r="I87" i="35" s="1"/>
  <c r="M83" i="36"/>
  <c r="G7" i="41" s="1"/>
  <c r="G9" i="41" s="1"/>
  <c r="C26" i="32"/>
  <c r="M86" i="35"/>
  <c r="D88" i="36"/>
  <c r="E87" i="36"/>
  <c r="O87" i="35"/>
  <c r="K88" i="35"/>
  <c r="L87" i="35"/>
  <c r="N87" i="35"/>
  <c r="D89" i="35"/>
  <c r="F89" i="35" s="1"/>
  <c r="J89" i="35" s="1"/>
  <c r="E88" i="35"/>
  <c r="O85" i="36" l="1"/>
  <c r="L85" i="36"/>
  <c r="G89" i="35"/>
  <c r="H88" i="35"/>
  <c r="F87" i="36"/>
  <c r="J86" i="36"/>
  <c r="K86" i="36" s="1"/>
  <c r="G86" i="36"/>
  <c r="H85" i="36"/>
  <c r="I85" i="36" s="1"/>
  <c r="N85" i="36"/>
  <c r="C28" i="32"/>
  <c r="I88" i="35"/>
  <c r="M84" i="36"/>
  <c r="M87" i="35"/>
  <c r="N88" i="35"/>
  <c r="D89" i="36"/>
  <c r="E88" i="36"/>
  <c r="D90" i="35"/>
  <c r="F90" i="35" s="1"/>
  <c r="J90" i="35" s="1"/>
  <c r="E89" i="35"/>
  <c r="K89" i="35"/>
  <c r="O88" i="35"/>
  <c r="L88" i="35"/>
  <c r="O86" i="36" l="1"/>
  <c r="L86" i="36"/>
  <c r="G87" i="36"/>
  <c r="H86" i="36"/>
  <c r="I86" i="36" s="1"/>
  <c r="N86" i="36"/>
  <c r="F88" i="36"/>
  <c r="J87" i="36"/>
  <c r="K87" i="36" s="1"/>
  <c r="G90" i="35"/>
  <c r="H89" i="35"/>
  <c r="I89" i="35" s="1"/>
  <c r="M85" i="36"/>
  <c r="M88" i="35"/>
  <c r="D90" i="36"/>
  <c r="E89" i="36"/>
  <c r="O89" i="35"/>
  <c r="K90" i="35"/>
  <c r="L89" i="35"/>
  <c r="N89" i="35"/>
  <c r="D91" i="35"/>
  <c r="F91" i="35" s="1"/>
  <c r="J91" i="35" s="1"/>
  <c r="E90" i="35"/>
  <c r="O87" i="36" l="1"/>
  <c r="L87" i="36"/>
  <c r="M89" i="35"/>
  <c r="G91" i="35"/>
  <c r="H90" i="35"/>
  <c r="F89" i="36"/>
  <c r="J88" i="36"/>
  <c r="K88" i="36" s="1"/>
  <c r="G88" i="36"/>
  <c r="H87" i="36"/>
  <c r="I87" i="36" s="1"/>
  <c r="N87" i="36"/>
  <c r="I90" i="35"/>
  <c r="M86" i="36"/>
  <c r="N90" i="35"/>
  <c r="D91" i="36"/>
  <c r="E90" i="36"/>
  <c r="D92" i="35"/>
  <c r="F92" i="35" s="1"/>
  <c r="J92" i="35" s="1"/>
  <c r="E91" i="35"/>
  <c r="O90" i="35"/>
  <c r="K91" i="35"/>
  <c r="L90" i="35"/>
  <c r="M90" i="35" s="1"/>
  <c r="O88" i="36" l="1"/>
  <c r="L88" i="36"/>
  <c r="G89" i="36"/>
  <c r="H88" i="36"/>
  <c r="I88" i="36" s="1"/>
  <c r="N88" i="36"/>
  <c r="F90" i="36"/>
  <c r="J89" i="36"/>
  <c r="K89" i="36" s="1"/>
  <c r="G92" i="35"/>
  <c r="H91" i="35"/>
  <c r="I91" i="35" s="1"/>
  <c r="M87" i="36"/>
  <c r="D92" i="36"/>
  <c r="E91" i="36"/>
  <c r="O91" i="35"/>
  <c r="K92" i="35"/>
  <c r="L91" i="35"/>
  <c r="N92" i="35"/>
  <c r="D93" i="35"/>
  <c r="F93" i="35" s="1"/>
  <c r="J93" i="35" s="1"/>
  <c r="E92" i="35"/>
  <c r="N91" i="35"/>
  <c r="O89" i="36" l="1"/>
  <c r="L89" i="36"/>
  <c r="M91" i="35"/>
  <c r="G93" i="35"/>
  <c r="H92" i="35"/>
  <c r="I92" i="35" s="1"/>
  <c r="F91" i="36"/>
  <c r="J90" i="36"/>
  <c r="K90" i="36" s="1"/>
  <c r="G90" i="36"/>
  <c r="H89" i="36"/>
  <c r="I89" i="36" s="1"/>
  <c r="N89" i="36"/>
  <c r="M88" i="36"/>
  <c r="D93" i="36"/>
  <c r="E92" i="36"/>
  <c r="D94" i="35"/>
  <c r="F94" i="35" s="1"/>
  <c r="J94" i="35" s="1"/>
  <c r="E93" i="35"/>
  <c r="K93" i="35"/>
  <c r="O92" i="35"/>
  <c r="L92" i="35"/>
  <c r="O90" i="36" l="1"/>
  <c r="L90" i="36"/>
  <c r="M92" i="35"/>
  <c r="G91" i="36"/>
  <c r="H90" i="36"/>
  <c r="I90" i="36" s="1"/>
  <c r="N90" i="36"/>
  <c r="F92" i="36"/>
  <c r="J91" i="36"/>
  <c r="K91" i="36" s="1"/>
  <c r="G94" i="35"/>
  <c r="H93" i="35"/>
  <c r="I93" i="35" s="1"/>
  <c r="M89" i="36"/>
  <c r="D94" i="36"/>
  <c r="E93" i="36"/>
  <c r="K94" i="35"/>
  <c r="O93" i="35"/>
  <c r="L93" i="35"/>
  <c r="D95" i="35"/>
  <c r="F95" i="35" s="1"/>
  <c r="J95" i="35" s="1"/>
  <c r="N94" i="35"/>
  <c r="E94" i="35"/>
  <c r="N93" i="35"/>
  <c r="O91" i="36" l="1"/>
  <c r="L91" i="36"/>
  <c r="M93" i="35"/>
  <c r="H94" i="35"/>
  <c r="G95" i="35"/>
  <c r="F93" i="36"/>
  <c r="J92" i="36"/>
  <c r="K92" i="36" s="1"/>
  <c r="G92" i="36"/>
  <c r="H91" i="36"/>
  <c r="I91" i="36" s="1"/>
  <c r="N91" i="36"/>
  <c r="M90" i="36"/>
  <c r="I94" i="35"/>
  <c r="D95" i="36"/>
  <c r="E94" i="36"/>
  <c r="K95" i="35"/>
  <c r="O94" i="35"/>
  <c r="L94" i="35"/>
  <c r="M94" i="35" s="1"/>
  <c r="D96" i="35"/>
  <c r="F96" i="35" s="1"/>
  <c r="J96" i="35" s="1"/>
  <c r="N95" i="35"/>
  <c r="E95" i="35"/>
  <c r="O92" i="36" l="1"/>
  <c r="L92" i="36"/>
  <c r="G93" i="36"/>
  <c r="H92" i="36"/>
  <c r="I92" i="36" s="1"/>
  <c r="N92" i="36"/>
  <c r="F94" i="36"/>
  <c r="J93" i="36"/>
  <c r="K93" i="36" s="1"/>
  <c r="G96" i="35"/>
  <c r="H95" i="35"/>
  <c r="I95" i="35" s="1"/>
  <c r="M91" i="36"/>
  <c r="D96" i="36"/>
  <c r="E95" i="36"/>
  <c r="D97" i="35"/>
  <c r="F97" i="35" s="1"/>
  <c r="J97" i="35" s="1"/>
  <c r="E96" i="35"/>
  <c r="K96" i="35"/>
  <c r="L95" i="35"/>
  <c r="O93" i="36" l="1"/>
  <c r="L93" i="36"/>
  <c r="M95" i="35"/>
  <c r="G97" i="35"/>
  <c r="H96" i="35"/>
  <c r="I96" i="35" s="1"/>
  <c r="F95" i="36"/>
  <c r="J94" i="36"/>
  <c r="K94" i="36" s="1"/>
  <c r="G94" i="36"/>
  <c r="H93" i="36"/>
  <c r="I93" i="36" s="1"/>
  <c r="N93" i="36"/>
  <c r="M92" i="36"/>
  <c r="D97" i="36"/>
  <c r="E96" i="36"/>
  <c r="K97" i="35"/>
  <c r="L96" i="35"/>
  <c r="N96" i="35"/>
  <c r="D98" i="35"/>
  <c r="F98" i="35" s="1"/>
  <c r="J98" i="35" s="1"/>
  <c r="N97" i="35"/>
  <c r="E97" i="35"/>
  <c r="O94" i="36" l="1"/>
  <c r="L94" i="36"/>
  <c r="M96" i="35"/>
  <c r="G95" i="36"/>
  <c r="H94" i="36"/>
  <c r="I94" i="36" s="1"/>
  <c r="N94" i="36"/>
  <c r="F96" i="36"/>
  <c r="J95" i="36"/>
  <c r="K95" i="36" s="1"/>
  <c r="G98" i="35"/>
  <c r="H97" i="35"/>
  <c r="I97" i="35" s="1"/>
  <c r="M93" i="36"/>
  <c r="D98" i="36"/>
  <c r="E97" i="36"/>
  <c r="D99" i="35"/>
  <c r="F99" i="35" s="1"/>
  <c r="J99" i="35" s="1"/>
  <c r="E98" i="35"/>
  <c r="K98" i="35"/>
  <c r="N98" i="35" s="1"/>
  <c r="L97" i="35"/>
  <c r="L95" i="36" l="1"/>
  <c r="M97" i="35"/>
  <c r="H98" i="35"/>
  <c r="I98" i="35" s="1"/>
  <c r="G99" i="35"/>
  <c r="F97" i="36"/>
  <c r="J96" i="36"/>
  <c r="K96" i="36" s="1"/>
  <c r="G96" i="36"/>
  <c r="H95" i="36"/>
  <c r="I95" i="36" s="1"/>
  <c r="N95" i="36"/>
  <c r="M94" i="36"/>
  <c r="D99" i="36"/>
  <c r="E98" i="36"/>
  <c r="K99" i="35"/>
  <c r="L98" i="35"/>
  <c r="N99" i="35"/>
  <c r="D100" i="35"/>
  <c r="F100" i="35" s="1"/>
  <c r="J100" i="35" s="1"/>
  <c r="E99" i="35"/>
  <c r="L96" i="36" l="1"/>
  <c r="M98" i="35"/>
  <c r="G97" i="36"/>
  <c r="H96" i="36"/>
  <c r="I96" i="36" s="1"/>
  <c r="N96" i="36"/>
  <c r="F98" i="36"/>
  <c r="J97" i="36"/>
  <c r="K97" i="36" s="1"/>
  <c r="G100" i="35"/>
  <c r="H99" i="35"/>
  <c r="I99" i="35" s="1"/>
  <c r="M95" i="36"/>
  <c r="D100" i="36"/>
  <c r="E99" i="36"/>
  <c r="D101" i="35"/>
  <c r="F101" i="35" s="1"/>
  <c r="J101" i="35" s="1"/>
  <c r="E100" i="35"/>
  <c r="K100" i="35"/>
  <c r="L99" i="35"/>
  <c r="L97" i="36" l="1"/>
  <c r="M99" i="35"/>
  <c r="G101" i="35"/>
  <c r="H100" i="35"/>
  <c r="I100" i="35" s="1"/>
  <c r="F99" i="36"/>
  <c r="J98" i="36"/>
  <c r="K98" i="36" s="1"/>
  <c r="G98" i="36"/>
  <c r="H97" i="36"/>
  <c r="I97" i="36" s="1"/>
  <c r="N97" i="36"/>
  <c r="M96" i="36"/>
  <c r="D101" i="36"/>
  <c r="E100" i="36"/>
  <c r="K101" i="35"/>
  <c r="L100" i="35"/>
  <c r="N100" i="35"/>
  <c r="D102" i="35"/>
  <c r="F102" i="35" s="1"/>
  <c r="J102" i="35" s="1"/>
  <c r="N101" i="35"/>
  <c r="E101" i="35"/>
  <c r="L98" i="36" l="1"/>
  <c r="M100" i="35"/>
  <c r="G99" i="36"/>
  <c r="H98" i="36"/>
  <c r="I98" i="36" s="1"/>
  <c r="N98" i="36"/>
  <c r="F100" i="36"/>
  <c r="J99" i="36"/>
  <c r="K99" i="36" s="1"/>
  <c r="G102" i="35"/>
  <c r="H101" i="35"/>
  <c r="I101" i="35" s="1"/>
  <c r="M97" i="36"/>
  <c r="D102" i="36"/>
  <c r="E101" i="36"/>
  <c r="D103" i="35"/>
  <c r="F103" i="35" s="1"/>
  <c r="J103" i="35" s="1"/>
  <c r="E102" i="35"/>
  <c r="K102" i="35"/>
  <c r="L101" i="35"/>
  <c r="L99" i="36" l="1"/>
  <c r="M101" i="35"/>
  <c r="G103" i="35"/>
  <c r="H102" i="35"/>
  <c r="I102" i="35" s="1"/>
  <c r="F101" i="36"/>
  <c r="J100" i="36"/>
  <c r="K100" i="36" s="1"/>
  <c r="G100" i="36"/>
  <c r="H99" i="36"/>
  <c r="I99" i="36" s="1"/>
  <c r="N99" i="36"/>
  <c r="M98" i="36"/>
  <c r="D103" i="36"/>
  <c r="E102" i="36"/>
  <c r="K103" i="35"/>
  <c r="L102" i="35"/>
  <c r="N102" i="35"/>
  <c r="D104" i="35"/>
  <c r="F104" i="35" s="1"/>
  <c r="J104" i="35" s="1"/>
  <c r="N103" i="35"/>
  <c r="E103" i="35"/>
  <c r="L100" i="36" l="1"/>
  <c r="M102" i="35"/>
  <c r="G101" i="36"/>
  <c r="H100" i="36"/>
  <c r="I100" i="36" s="1"/>
  <c r="N100" i="36"/>
  <c r="F102" i="36"/>
  <c r="J101" i="36"/>
  <c r="K101" i="36" s="1"/>
  <c r="G104" i="35"/>
  <c r="H103" i="35"/>
  <c r="I103" i="35" s="1"/>
  <c r="M99" i="36"/>
  <c r="D104" i="36"/>
  <c r="E103" i="36"/>
  <c r="D105" i="35"/>
  <c r="F105" i="35" s="1"/>
  <c r="J105" i="35" s="1"/>
  <c r="E104" i="35"/>
  <c r="K104" i="35"/>
  <c r="L103" i="35"/>
  <c r="K102" i="36" l="1"/>
  <c r="L101" i="36"/>
  <c r="M103" i="35"/>
  <c r="G105" i="35"/>
  <c r="H104" i="35"/>
  <c r="I104" i="35" s="1"/>
  <c r="F103" i="36"/>
  <c r="J102" i="36"/>
  <c r="G102" i="36"/>
  <c r="H101" i="36"/>
  <c r="I101" i="36" s="1"/>
  <c r="N101" i="36"/>
  <c r="M100" i="36"/>
  <c r="D105" i="36"/>
  <c r="E104" i="36"/>
  <c r="K105" i="35"/>
  <c r="L104" i="35"/>
  <c r="D106" i="35"/>
  <c r="F106" i="35" s="1"/>
  <c r="J106" i="35" s="1"/>
  <c r="N105" i="35"/>
  <c r="E105" i="35"/>
  <c r="N104" i="35"/>
  <c r="K103" i="36" l="1"/>
  <c r="L102" i="36"/>
  <c r="M104" i="35"/>
  <c r="G103" i="36"/>
  <c r="H102" i="36"/>
  <c r="I102" i="36" s="1"/>
  <c r="N102" i="36"/>
  <c r="F104" i="36"/>
  <c r="J103" i="36"/>
  <c r="G106" i="35"/>
  <c r="H105" i="35"/>
  <c r="I105" i="35" s="1"/>
  <c r="M101" i="36"/>
  <c r="D106" i="36"/>
  <c r="E105" i="36"/>
  <c r="D107" i="35"/>
  <c r="F107" i="35" s="1"/>
  <c r="J107" i="35" s="1"/>
  <c r="E106" i="35"/>
  <c r="K106" i="35"/>
  <c r="L105" i="35"/>
  <c r="L103" i="36" l="1"/>
  <c r="M105" i="35"/>
  <c r="G107" i="35"/>
  <c r="H107" i="35" s="1"/>
  <c r="H106" i="35"/>
  <c r="I106" i="35" s="1"/>
  <c r="F105" i="36"/>
  <c r="J104" i="36"/>
  <c r="K104" i="36" s="1"/>
  <c r="G104" i="36"/>
  <c r="H103" i="36"/>
  <c r="I103" i="36" s="1"/>
  <c r="N103" i="36"/>
  <c r="M102" i="36"/>
  <c r="D107" i="36"/>
  <c r="E106" i="36"/>
  <c r="K107" i="35"/>
  <c r="L107" i="35" s="1"/>
  <c r="L106" i="35"/>
  <c r="N107" i="35"/>
  <c r="E107" i="35"/>
  <c r="I107" i="35" s="1"/>
  <c r="N106" i="35"/>
  <c r="L104" i="36" l="1"/>
  <c r="M106" i="35"/>
  <c r="G105" i="36"/>
  <c r="H104" i="36"/>
  <c r="I104" i="36" s="1"/>
  <c r="N104" i="36"/>
  <c r="F106" i="36"/>
  <c r="J105" i="36"/>
  <c r="K105" i="36" s="1"/>
  <c r="M103" i="36"/>
  <c r="E107" i="36"/>
  <c r="M107" i="35"/>
  <c r="L105" i="36" l="1"/>
  <c r="F107" i="36"/>
  <c r="J107" i="36" s="1"/>
  <c r="J106" i="36"/>
  <c r="K106" i="36" s="1"/>
  <c r="G106" i="36"/>
  <c r="H105" i="36"/>
  <c r="I105" i="36" s="1"/>
  <c r="N105" i="36"/>
  <c r="M104" i="36"/>
  <c r="A48" i="32"/>
  <c r="A47" i="32"/>
  <c r="A43" i="32"/>
  <c r="A42" i="32"/>
  <c r="A40" i="32"/>
  <c r="A39" i="32"/>
  <c r="A38" i="32"/>
  <c r="A35" i="32"/>
  <c r="A34" i="32"/>
  <c r="A33" i="32"/>
  <c r="A32" i="32"/>
  <c r="A30" i="32"/>
  <c r="A19" i="32"/>
  <c r="A18" i="32"/>
  <c r="A17" i="32"/>
  <c r="A16" i="32"/>
  <c r="A15" i="32"/>
  <c r="A14" i="32"/>
  <c r="A13" i="32"/>
  <c r="A10" i="32"/>
  <c r="A9" i="32"/>
  <c r="A8" i="32"/>
  <c r="A7" i="32"/>
  <c r="K107" i="36" l="1"/>
  <c r="L107" i="36" s="1"/>
  <c r="L106" i="36"/>
  <c r="G107" i="36"/>
  <c r="H106" i="36"/>
  <c r="I106" i="36" s="1"/>
  <c r="N106" i="36"/>
  <c r="M105" i="36"/>
  <c r="F55" i="31"/>
  <c r="F55" i="29"/>
  <c r="C48" i="30"/>
  <c r="C49" i="30"/>
  <c r="C50" i="30"/>
  <c r="C51" i="30"/>
  <c r="C52" i="30"/>
  <c r="C53" i="30"/>
  <c r="J41" i="29"/>
  <c r="J46" i="29"/>
  <c r="C26" i="30"/>
  <c r="C27" i="30"/>
  <c r="J27" i="30" s="1"/>
  <c r="C28" i="30"/>
  <c r="J28" i="30" s="1"/>
  <c r="C29" i="30"/>
  <c r="J29" i="30" s="1"/>
  <c r="C30" i="30"/>
  <c r="J30" i="30" s="1"/>
  <c r="C31" i="30"/>
  <c r="J31" i="30" s="1"/>
  <c r="C32" i="30"/>
  <c r="J32" i="30" s="1"/>
  <c r="C33" i="30"/>
  <c r="J33" i="30" s="1"/>
  <c r="C34" i="30"/>
  <c r="J34" i="30" s="1"/>
  <c r="C35" i="30"/>
  <c r="J35" i="30" s="1"/>
  <c r="C36" i="30"/>
  <c r="J36" i="30" s="1"/>
  <c r="C37" i="30"/>
  <c r="J37" i="30" s="1"/>
  <c r="C38" i="30"/>
  <c r="J38" i="30" s="1"/>
  <c r="C39" i="30"/>
  <c r="J39" i="30" s="1"/>
  <c r="C40" i="30"/>
  <c r="J40" i="30" s="1"/>
  <c r="C41" i="30"/>
  <c r="J41" i="30" s="1"/>
  <c r="C42" i="30"/>
  <c r="J42" i="30" s="1"/>
  <c r="C43" i="30"/>
  <c r="J43" i="30" s="1"/>
  <c r="C44" i="30"/>
  <c r="J44" i="30" s="1"/>
  <c r="C45" i="30"/>
  <c r="J45" i="30" s="1"/>
  <c r="C46" i="30"/>
  <c r="J46" i="30" s="1"/>
  <c r="C47" i="30"/>
  <c r="J47" i="30" s="1"/>
  <c r="J43" i="29"/>
  <c r="J44" i="29"/>
  <c r="J107" i="31"/>
  <c r="J106" i="31"/>
  <c r="J105" i="31"/>
  <c r="J104" i="31"/>
  <c r="J103" i="31"/>
  <c r="J47" i="31"/>
  <c r="J46" i="31"/>
  <c r="J45" i="31"/>
  <c r="J44" i="31"/>
  <c r="J43" i="31"/>
  <c r="J42" i="31"/>
  <c r="J41" i="31"/>
  <c r="J40" i="31"/>
  <c r="J39" i="31"/>
  <c r="J38" i="31"/>
  <c r="J37" i="31"/>
  <c r="J36" i="31"/>
  <c r="J35" i="31"/>
  <c r="J34" i="31"/>
  <c r="J33" i="31"/>
  <c r="J32" i="31"/>
  <c r="J31" i="31"/>
  <c r="J30" i="31"/>
  <c r="J29" i="31"/>
  <c r="J28" i="31"/>
  <c r="J27" i="31"/>
  <c r="J26" i="31"/>
  <c r="G26" i="31"/>
  <c r="H26" i="31" s="1"/>
  <c r="J25" i="31"/>
  <c r="J24" i="31"/>
  <c r="K24" i="31" s="1"/>
  <c r="D24" i="31"/>
  <c r="D25" i="31" s="1"/>
  <c r="G26" i="30"/>
  <c r="G27" i="30" s="1"/>
  <c r="G28" i="30" s="1"/>
  <c r="G29" i="30" s="1"/>
  <c r="J26" i="30"/>
  <c r="J25" i="30"/>
  <c r="J24" i="30"/>
  <c r="K24" i="30" s="1"/>
  <c r="D24" i="30"/>
  <c r="E24" i="30" s="1"/>
  <c r="J47" i="29"/>
  <c r="J45" i="29"/>
  <c r="J40" i="29"/>
  <c r="J39" i="29"/>
  <c r="J38" i="29"/>
  <c r="J37" i="29"/>
  <c r="J36" i="29"/>
  <c r="J35" i="29"/>
  <c r="J34" i="29"/>
  <c r="J33" i="29"/>
  <c r="J32" i="29"/>
  <c r="J31" i="29"/>
  <c r="J30" i="29"/>
  <c r="J29" i="29"/>
  <c r="J28" i="29"/>
  <c r="J27" i="29"/>
  <c r="J26" i="29"/>
  <c r="G26" i="29"/>
  <c r="J25" i="29"/>
  <c r="J24" i="29"/>
  <c r="K24" i="29" s="1"/>
  <c r="D24" i="29"/>
  <c r="D25" i="29" s="1"/>
  <c r="B85" i="26"/>
  <c r="B84" i="26"/>
  <c r="B83" i="26"/>
  <c r="V29" i="24"/>
  <c r="U29" i="24"/>
  <c r="T29" i="24"/>
  <c r="S29" i="24"/>
  <c r="D29" i="24"/>
  <c r="V28" i="24"/>
  <c r="U28" i="24"/>
  <c r="T28" i="24"/>
  <c r="S28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G26" i="24"/>
  <c r="F26" i="24"/>
  <c r="D26" i="24"/>
  <c r="V34" i="24"/>
  <c r="U34" i="24"/>
  <c r="T34" i="24"/>
  <c r="S34" i="24"/>
  <c r="R34" i="24"/>
  <c r="Q34" i="24"/>
  <c r="P34" i="24"/>
  <c r="O34" i="24"/>
  <c r="N30" i="24"/>
  <c r="M30" i="24"/>
  <c r="L30" i="24"/>
  <c r="K30" i="24"/>
  <c r="J30" i="24"/>
  <c r="I30" i="24"/>
  <c r="H30" i="24"/>
  <c r="G30" i="24"/>
  <c r="F30" i="24"/>
  <c r="E30" i="24"/>
  <c r="D30" i="24"/>
  <c r="V5" i="24"/>
  <c r="U5" i="24"/>
  <c r="T5" i="24"/>
  <c r="S5" i="24"/>
  <c r="R5" i="24"/>
  <c r="R38" i="24" s="1"/>
  <c r="Q5" i="24"/>
  <c r="Q38" i="24" s="1"/>
  <c r="P5" i="24"/>
  <c r="O5" i="24"/>
  <c r="N5" i="24"/>
  <c r="M5" i="24"/>
  <c r="M38" i="24" s="1"/>
  <c r="L5" i="24"/>
  <c r="K5" i="24"/>
  <c r="J5" i="24"/>
  <c r="I5" i="24"/>
  <c r="I38" i="24" s="1"/>
  <c r="H5" i="24"/>
  <c r="G5" i="24"/>
  <c r="G38" i="24" s="1"/>
  <c r="F5" i="24"/>
  <c r="F38" i="24" s="1"/>
  <c r="E5" i="24"/>
  <c r="E38" i="24" s="1"/>
  <c r="L3" i="24"/>
  <c r="J3" i="24"/>
  <c r="E25" i="31" l="1"/>
  <c r="D26" i="31"/>
  <c r="K26" i="24"/>
  <c r="K38" i="24"/>
  <c r="N38" i="24"/>
  <c r="O26" i="24"/>
  <c r="O38" i="24"/>
  <c r="P38" i="24"/>
  <c r="G27" i="31"/>
  <c r="G28" i="31" s="1"/>
  <c r="H28" i="31" s="1"/>
  <c r="F56" i="29"/>
  <c r="E9" i="24"/>
  <c r="J38" i="24"/>
  <c r="F56" i="31"/>
  <c r="E10" i="24"/>
  <c r="E29" i="24" s="1"/>
  <c r="L38" i="24"/>
  <c r="H107" i="36"/>
  <c r="I107" i="36" s="1"/>
  <c r="M107" i="36" s="1"/>
  <c r="N107" i="36"/>
  <c r="H26" i="24"/>
  <c r="H38" i="24"/>
  <c r="M106" i="36"/>
  <c r="J42" i="29"/>
  <c r="E26" i="31"/>
  <c r="I26" i="31" s="1"/>
  <c r="D27" i="31"/>
  <c r="K25" i="31"/>
  <c r="E24" i="31"/>
  <c r="G30" i="30"/>
  <c r="H29" i="30"/>
  <c r="I29" i="30" s="1"/>
  <c r="H28" i="30"/>
  <c r="I28" i="30" s="1"/>
  <c r="H27" i="30"/>
  <c r="I27" i="30" s="1"/>
  <c r="D25" i="30"/>
  <c r="K25" i="30"/>
  <c r="D26" i="29"/>
  <c r="E25" i="29"/>
  <c r="K25" i="29"/>
  <c r="E24" i="29"/>
  <c r="H26" i="29"/>
  <c r="G27" i="29"/>
  <c r="I26" i="24"/>
  <c r="J26" i="24"/>
  <c r="I34" i="24"/>
  <c r="K34" i="24"/>
  <c r="L26" i="24"/>
  <c r="M34" i="24"/>
  <c r="M26" i="24"/>
  <c r="L34" i="24"/>
  <c r="N34" i="24"/>
  <c r="N26" i="24"/>
  <c r="P26" i="24"/>
  <c r="E34" i="24"/>
  <c r="J34" i="24"/>
  <c r="F34" i="24"/>
  <c r="G34" i="24"/>
  <c r="H34" i="24"/>
  <c r="S26" i="24"/>
  <c r="S12" i="24"/>
  <c r="S14" i="24" s="1"/>
  <c r="T26" i="24"/>
  <c r="T12" i="24"/>
  <c r="T14" i="24" s="1"/>
  <c r="U26" i="24"/>
  <c r="U12" i="24"/>
  <c r="U14" i="24" s="1"/>
  <c r="V26" i="24"/>
  <c r="V12" i="24"/>
  <c r="V14" i="24" s="1"/>
  <c r="D34" i="24"/>
  <c r="Q26" i="24"/>
  <c r="R26" i="24"/>
  <c r="E26" i="24"/>
  <c r="O30" i="24"/>
  <c r="P30" i="24"/>
  <c r="Q30" i="24"/>
  <c r="R30" i="24"/>
  <c r="S30" i="24"/>
  <c r="T30" i="24"/>
  <c r="U30" i="24"/>
  <c r="V30" i="24"/>
  <c r="S38" i="24" l="1"/>
  <c r="F57" i="31"/>
  <c r="F10" i="24"/>
  <c r="F29" i="24" s="1"/>
  <c r="F57" i="29"/>
  <c r="F9" i="24"/>
  <c r="H27" i="31"/>
  <c r="G29" i="31"/>
  <c r="H29" i="31"/>
  <c r="G30" i="31"/>
  <c r="K26" i="31"/>
  <c r="D28" i="31"/>
  <c r="E27" i="31"/>
  <c r="K26" i="30"/>
  <c r="D26" i="30"/>
  <c r="E25" i="30"/>
  <c r="G31" i="30"/>
  <c r="H30" i="30"/>
  <c r="I30" i="30" s="1"/>
  <c r="H27" i="29"/>
  <c r="G28" i="29"/>
  <c r="K26" i="29"/>
  <c r="N26" i="29"/>
  <c r="D27" i="29"/>
  <c r="E26" i="29"/>
  <c r="I26" i="29" s="1"/>
  <c r="U32" i="24"/>
  <c r="U33" i="24" s="1"/>
  <c r="U35" i="24" s="1"/>
  <c r="U17" i="24"/>
  <c r="T32" i="24"/>
  <c r="T33" i="24" s="1"/>
  <c r="T35" i="24" s="1"/>
  <c r="T17" i="24"/>
  <c r="S32" i="24"/>
  <c r="S33" i="24" s="1"/>
  <c r="S35" i="24" s="1"/>
  <c r="S17" i="24"/>
  <c r="V32" i="24"/>
  <c r="V33" i="24" s="1"/>
  <c r="V35" i="24" s="1"/>
  <c r="V17" i="24"/>
  <c r="F58" i="29" l="1"/>
  <c r="G9" i="24"/>
  <c r="I27" i="31"/>
  <c r="F58" i="31"/>
  <c r="G10" i="24"/>
  <c r="G29" i="24" s="1"/>
  <c r="E28" i="31"/>
  <c r="I28" i="31" s="1"/>
  <c r="D29" i="31"/>
  <c r="K27" i="31"/>
  <c r="L26" i="31"/>
  <c r="M26" i="31" s="1"/>
  <c r="N26" i="31"/>
  <c r="G31" i="31"/>
  <c r="H30" i="31"/>
  <c r="G32" i="30"/>
  <c r="H31" i="30"/>
  <c r="I31" i="30" s="1"/>
  <c r="D27" i="30"/>
  <c r="E26" i="30"/>
  <c r="K27" i="30"/>
  <c r="E27" i="29"/>
  <c r="I27" i="29" s="1"/>
  <c r="D28" i="29"/>
  <c r="L26" i="29"/>
  <c r="M26" i="29" s="1"/>
  <c r="K27" i="29"/>
  <c r="H28" i="29"/>
  <c r="G29" i="29"/>
  <c r="F59" i="29" l="1"/>
  <c r="H9" i="24"/>
  <c r="F59" i="31"/>
  <c r="H10" i="24"/>
  <c r="H29" i="24" s="1"/>
  <c r="H31" i="31"/>
  <c r="G32" i="31"/>
  <c r="K28" i="31"/>
  <c r="L27" i="31"/>
  <c r="M27" i="31" s="1"/>
  <c r="N27" i="31"/>
  <c r="D30" i="31"/>
  <c r="E29" i="31"/>
  <c r="I29" i="31" s="1"/>
  <c r="K28" i="30"/>
  <c r="L27" i="30"/>
  <c r="M27" i="30" s="1"/>
  <c r="E27" i="30"/>
  <c r="D28" i="30"/>
  <c r="N27" i="30"/>
  <c r="G33" i="30"/>
  <c r="H32" i="30"/>
  <c r="I32" i="30" s="1"/>
  <c r="G30" i="29"/>
  <c r="H29" i="29"/>
  <c r="K28" i="29"/>
  <c r="L27" i="29"/>
  <c r="M27" i="29" s="1"/>
  <c r="O27" i="29"/>
  <c r="N27" i="29"/>
  <c r="N28" i="29"/>
  <c r="E28" i="29"/>
  <c r="I28" i="29" s="1"/>
  <c r="D29" i="29"/>
  <c r="F60" i="29" l="1"/>
  <c r="I9" i="24"/>
  <c r="F60" i="31"/>
  <c r="I10" i="24"/>
  <c r="I29" i="24" s="1"/>
  <c r="L28" i="31"/>
  <c r="M28" i="31" s="1"/>
  <c r="K29" i="31"/>
  <c r="N28" i="31"/>
  <c r="E30" i="31"/>
  <c r="I30" i="31" s="1"/>
  <c r="D31" i="31"/>
  <c r="G33" i="31"/>
  <c r="H32" i="31"/>
  <c r="H33" i="30"/>
  <c r="I33" i="30" s="1"/>
  <c r="G34" i="30"/>
  <c r="D29" i="30"/>
  <c r="N28" i="30"/>
  <c r="E28" i="30"/>
  <c r="L28" i="30"/>
  <c r="M28" i="30" s="1"/>
  <c r="K29" i="30"/>
  <c r="E29" i="29"/>
  <c r="I29" i="29" s="1"/>
  <c r="D30" i="29"/>
  <c r="O28" i="29"/>
  <c r="L28" i="29"/>
  <c r="M28" i="29" s="1"/>
  <c r="K29" i="29"/>
  <c r="H30" i="29"/>
  <c r="G31" i="29"/>
  <c r="F61" i="31" l="1"/>
  <c r="J10" i="24"/>
  <c r="J29" i="24" s="1"/>
  <c r="F61" i="29"/>
  <c r="J9" i="24"/>
  <c r="J102" i="31"/>
  <c r="H33" i="31"/>
  <c r="G34" i="31"/>
  <c r="D32" i="31"/>
  <c r="E31" i="31"/>
  <c r="I31" i="31" s="1"/>
  <c r="K30" i="31"/>
  <c r="L29" i="31"/>
  <c r="M29" i="31" s="1"/>
  <c r="N29" i="31"/>
  <c r="K30" i="30"/>
  <c r="L29" i="30"/>
  <c r="M29" i="30" s="1"/>
  <c r="E29" i="30"/>
  <c r="N29" i="30"/>
  <c r="D30" i="30"/>
  <c r="H34" i="30"/>
  <c r="I34" i="30" s="1"/>
  <c r="G35" i="30"/>
  <c r="O29" i="29"/>
  <c r="L29" i="29"/>
  <c r="M29" i="29" s="1"/>
  <c r="K30" i="29"/>
  <c r="N30" i="29" s="1"/>
  <c r="H31" i="29"/>
  <c r="G32" i="29"/>
  <c r="N29" i="29"/>
  <c r="E30" i="29"/>
  <c r="I30" i="29" s="1"/>
  <c r="D31" i="29"/>
  <c r="B24" i="5"/>
  <c r="B23" i="5"/>
  <c r="B22" i="5"/>
  <c r="B21" i="5"/>
  <c r="B20" i="5"/>
  <c r="B19" i="5"/>
  <c r="F18" i="5"/>
  <c r="F20" i="5" s="1"/>
  <c r="F22" i="5" s="1"/>
  <c r="F23" i="5" s="1"/>
  <c r="B18" i="5"/>
  <c r="B17" i="5"/>
  <c r="B16" i="5"/>
  <c r="F62" i="29" l="1"/>
  <c r="K9" i="24"/>
  <c r="F62" i="31"/>
  <c r="K10" i="24"/>
  <c r="K29" i="24" s="1"/>
  <c r="J102" i="29"/>
  <c r="J102" i="30"/>
  <c r="L30" i="31"/>
  <c r="M30" i="31" s="1"/>
  <c r="K31" i="31"/>
  <c r="N30" i="31"/>
  <c r="E32" i="31"/>
  <c r="I32" i="31" s="1"/>
  <c r="D33" i="31"/>
  <c r="H34" i="31"/>
  <c r="G35" i="31"/>
  <c r="D31" i="30"/>
  <c r="N30" i="30"/>
  <c r="E30" i="30"/>
  <c r="G36" i="30"/>
  <c r="H35" i="30"/>
  <c r="I35" i="30" s="1"/>
  <c r="L30" i="30"/>
  <c r="M30" i="30" s="1"/>
  <c r="K31" i="30"/>
  <c r="D32" i="29"/>
  <c r="E31" i="29"/>
  <c r="I31" i="29" s="1"/>
  <c r="G33" i="29"/>
  <c r="H32" i="29"/>
  <c r="O30" i="29"/>
  <c r="L30" i="29"/>
  <c r="M30" i="29" s="1"/>
  <c r="K31" i="29"/>
  <c r="F24" i="5"/>
  <c r="C35" i="3" s="1"/>
  <c r="J3" i="17"/>
  <c r="Q37" i="17"/>
  <c r="F3" i="17" s="1"/>
  <c r="F63" i="31" l="1"/>
  <c r="L10" i="24"/>
  <c r="L29" i="24" s="1"/>
  <c r="G3" i="17"/>
  <c r="D24" i="17"/>
  <c r="F63" i="29"/>
  <c r="L9" i="24"/>
  <c r="J103" i="29"/>
  <c r="J103" i="30"/>
  <c r="H35" i="31"/>
  <c r="G36" i="31"/>
  <c r="D34" i="31"/>
  <c r="E33" i="31"/>
  <c r="I33" i="31" s="1"/>
  <c r="L31" i="31"/>
  <c r="M31" i="31" s="1"/>
  <c r="K32" i="31"/>
  <c r="N31" i="31"/>
  <c r="K32" i="30"/>
  <c r="L31" i="30"/>
  <c r="M31" i="30" s="1"/>
  <c r="G37" i="30"/>
  <c r="H36" i="30"/>
  <c r="I36" i="30" s="1"/>
  <c r="E31" i="30"/>
  <c r="N31" i="30"/>
  <c r="D32" i="30"/>
  <c r="O31" i="29"/>
  <c r="K32" i="29"/>
  <c r="N32" i="29" s="1"/>
  <c r="L31" i="29"/>
  <c r="M31" i="29" s="1"/>
  <c r="H33" i="29"/>
  <c r="G34" i="29"/>
  <c r="N31" i="29"/>
  <c r="E32" i="29"/>
  <c r="I32" i="29" s="1"/>
  <c r="D33" i="29"/>
  <c r="K3" i="17"/>
  <c r="F64" i="29" l="1"/>
  <c r="M9" i="24"/>
  <c r="F64" i="31"/>
  <c r="M10" i="24"/>
  <c r="M29" i="24" s="1"/>
  <c r="J104" i="29"/>
  <c r="J104" i="30"/>
  <c r="K33" i="31"/>
  <c r="L32" i="31"/>
  <c r="M32" i="31" s="1"/>
  <c r="N32" i="31"/>
  <c r="E34" i="31"/>
  <c r="I34" i="31" s="1"/>
  <c r="D35" i="31"/>
  <c r="H36" i="31"/>
  <c r="G37" i="31"/>
  <c r="E32" i="30"/>
  <c r="D33" i="30"/>
  <c r="N32" i="30"/>
  <c r="H37" i="30"/>
  <c r="I37" i="30" s="1"/>
  <c r="G38" i="30"/>
  <c r="L32" i="30"/>
  <c r="M32" i="30" s="1"/>
  <c r="K33" i="30"/>
  <c r="G35" i="29"/>
  <c r="H34" i="29"/>
  <c r="E33" i="29"/>
  <c r="I33" i="29" s="1"/>
  <c r="D34" i="29"/>
  <c r="O32" i="29"/>
  <c r="K33" i="29"/>
  <c r="L32" i="29"/>
  <c r="M32" i="29" s="1"/>
  <c r="G22" i="3"/>
  <c r="G25" i="3"/>
  <c r="F65" i="31" l="1"/>
  <c r="N10" i="24"/>
  <c r="N29" i="24" s="1"/>
  <c r="F65" i="29"/>
  <c r="N9" i="24"/>
  <c r="J105" i="29"/>
  <c r="J105" i="30"/>
  <c r="H37" i="31"/>
  <c r="G38" i="31"/>
  <c r="D36" i="31"/>
  <c r="E35" i="31"/>
  <c r="I35" i="31" s="1"/>
  <c r="L33" i="31"/>
  <c r="M33" i="31" s="1"/>
  <c r="K34" i="31"/>
  <c r="N33" i="31"/>
  <c r="K34" i="30"/>
  <c r="L33" i="30"/>
  <c r="M33" i="30" s="1"/>
  <c r="D34" i="30"/>
  <c r="N33" i="30"/>
  <c r="E33" i="30"/>
  <c r="G39" i="30"/>
  <c r="H38" i="30"/>
  <c r="O33" i="29"/>
  <c r="L33" i="29"/>
  <c r="M33" i="29" s="1"/>
  <c r="K34" i="29"/>
  <c r="N34" i="29" s="1"/>
  <c r="D35" i="29"/>
  <c r="E34" i="29"/>
  <c r="I34" i="29" s="1"/>
  <c r="N33" i="29"/>
  <c r="G36" i="29"/>
  <c r="H35" i="29"/>
  <c r="F24" i="17"/>
  <c r="F25" i="17"/>
  <c r="F26" i="17"/>
  <c r="F23" i="17"/>
  <c r="F19" i="17"/>
  <c r="F20" i="17"/>
  <c r="F21" i="17"/>
  <c r="F22" i="17"/>
  <c r="F17" i="17"/>
  <c r="F18" i="17"/>
  <c r="F16" i="17"/>
  <c r="F15" i="17"/>
  <c r="F14" i="17"/>
  <c r="F13" i="17"/>
  <c r="F12" i="17"/>
  <c r="G27" i="17"/>
  <c r="G28" i="17" s="1"/>
  <c r="G29" i="17" s="1"/>
  <c r="G30" i="17" s="1"/>
  <c r="G31" i="17" s="1"/>
  <c r="G32" i="17" s="1"/>
  <c r="G33" i="17" s="1"/>
  <c r="G34" i="17" s="1"/>
  <c r="G35" i="17" s="1"/>
  <c r="G36" i="17" s="1"/>
  <c r="G37" i="17" s="1"/>
  <c r="G38" i="17" s="1"/>
  <c r="G39" i="17" s="1"/>
  <c r="G40" i="17" s="1"/>
  <c r="G41" i="17" s="1"/>
  <c r="G42" i="17" s="1"/>
  <c r="G43" i="17" s="1"/>
  <c r="G44" i="17" s="1"/>
  <c r="G45" i="17" s="1"/>
  <c r="F45" i="17" s="1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23" i="17"/>
  <c r="D22" i="17"/>
  <c r="D21" i="17"/>
  <c r="D20" i="17"/>
  <c r="D19" i="17"/>
  <c r="D18" i="17"/>
  <c r="D17" i="17"/>
  <c r="D16" i="17"/>
  <c r="D15" i="17"/>
  <c r="D14" i="17"/>
  <c r="F43" i="17" l="1"/>
  <c r="F42" i="17"/>
  <c r="F41" i="17"/>
  <c r="F66" i="29"/>
  <c r="O9" i="24"/>
  <c r="F66" i="31"/>
  <c r="O10" i="24"/>
  <c r="O29" i="24" s="1"/>
  <c r="J107" i="29"/>
  <c r="J106" i="29"/>
  <c r="J106" i="30"/>
  <c r="J107" i="30"/>
  <c r="K35" i="31"/>
  <c r="L34" i="31"/>
  <c r="M34" i="31" s="1"/>
  <c r="N34" i="31"/>
  <c r="D37" i="31"/>
  <c r="E36" i="31"/>
  <c r="I36" i="31" s="1"/>
  <c r="H38" i="31"/>
  <c r="G39" i="31"/>
  <c r="G40" i="30"/>
  <c r="H39" i="30"/>
  <c r="L34" i="30"/>
  <c r="M34" i="30" s="1"/>
  <c r="K35" i="30"/>
  <c r="N34" i="30"/>
  <c r="D35" i="30"/>
  <c r="E34" i="30"/>
  <c r="G37" i="29"/>
  <c r="H36" i="29"/>
  <c r="E35" i="29"/>
  <c r="I35" i="29" s="1"/>
  <c r="D36" i="29"/>
  <c r="K35" i="29"/>
  <c r="O34" i="29"/>
  <c r="L34" i="29"/>
  <c r="M34" i="29" s="1"/>
  <c r="F40" i="17"/>
  <c r="F39" i="17"/>
  <c r="F38" i="17"/>
  <c r="F37" i="17"/>
  <c r="F34" i="17"/>
  <c r="F32" i="17"/>
  <c r="F30" i="17"/>
  <c r="F36" i="17"/>
  <c r="F35" i="17"/>
  <c r="F33" i="17"/>
  <c r="F31" i="17"/>
  <c r="F29" i="17"/>
  <c r="F28" i="17"/>
  <c r="F27" i="17"/>
  <c r="F44" i="17"/>
  <c r="D13" i="17"/>
  <c r="D12" i="17"/>
  <c r="I1" i="17" s="1"/>
  <c r="F67" i="31" l="1"/>
  <c r="P10" i="24"/>
  <c r="P29" i="24" s="1"/>
  <c r="F67" i="29"/>
  <c r="P9" i="24"/>
  <c r="G40" i="31"/>
  <c r="H39" i="31"/>
  <c r="D38" i="31"/>
  <c r="E37" i="31"/>
  <c r="I37" i="31" s="1"/>
  <c r="L35" i="31"/>
  <c r="M35" i="31" s="1"/>
  <c r="K36" i="31"/>
  <c r="N35" i="31"/>
  <c r="N35" i="30"/>
  <c r="E35" i="30"/>
  <c r="D36" i="30"/>
  <c r="K36" i="30"/>
  <c r="L35" i="30"/>
  <c r="M35" i="30" s="1"/>
  <c r="G41" i="30"/>
  <c r="H40" i="30"/>
  <c r="D37" i="29"/>
  <c r="E36" i="29"/>
  <c r="I36" i="29" s="1"/>
  <c r="L35" i="29"/>
  <c r="M35" i="29" s="1"/>
  <c r="K36" i="29"/>
  <c r="O35" i="29"/>
  <c r="N35" i="29"/>
  <c r="H37" i="29"/>
  <c r="G38" i="29"/>
  <c r="A36" i="3"/>
  <c r="A35" i="3"/>
  <c r="A33" i="3"/>
  <c r="A32" i="3"/>
  <c r="A31" i="3"/>
  <c r="A30" i="3"/>
  <c r="A29" i="3"/>
  <c r="A26" i="3"/>
  <c r="A25" i="3"/>
  <c r="A24" i="3"/>
  <c r="A23" i="3"/>
  <c r="A21" i="3"/>
  <c r="A19" i="3"/>
  <c r="A18" i="3"/>
  <c r="A17" i="3"/>
  <c r="A16" i="3"/>
  <c r="A15" i="3"/>
  <c r="A14" i="3"/>
  <c r="A13" i="3"/>
  <c r="A10" i="3"/>
  <c r="A9" i="3"/>
  <c r="A8" i="3"/>
  <c r="A7" i="3"/>
  <c r="F68" i="29" l="1"/>
  <c r="Q9" i="24"/>
  <c r="F68" i="31"/>
  <c r="Q10" i="24"/>
  <c r="Q29" i="24" s="1"/>
  <c r="G41" i="31"/>
  <c r="H40" i="31"/>
  <c r="K37" i="31"/>
  <c r="L36" i="31"/>
  <c r="M36" i="31" s="1"/>
  <c r="N36" i="31"/>
  <c r="D39" i="31"/>
  <c r="E38" i="31"/>
  <c r="I38" i="31" s="1"/>
  <c r="G42" i="30"/>
  <c r="H41" i="30"/>
  <c r="K37" i="30"/>
  <c r="L36" i="30"/>
  <c r="M36" i="30" s="1"/>
  <c r="D37" i="30"/>
  <c r="N36" i="30"/>
  <c r="E36" i="30"/>
  <c r="G39" i="29"/>
  <c r="H38" i="29"/>
  <c r="K37" i="29"/>
  <c r="O36" i="29"/>
  <c r="L36" i="29"/>
  <c r="M36" i="29" s="1"/>
  <c r="N36" i="29"/>
  <c r="D38" i="29"/>
  <c r="N37" i="29"/>
  <c r="E37" i="29"/>
  <c r="I37" i="29" s="1"/>
  <c r="C50" i="17"/>
  <c r="B24" i="16"/>
  <c r="F69" i="31" l="1"/>
  <c r="F70" i="31" s="1"/>
  <c r="F71" i="31" s="1"/>
  <c r="F72" i="31" s="1"/>
  <c r="R10" i="24"/>
  <c r="R29" i="24" s="1"/>
  <c r="F69" i="29"/>
  <c r="F70" i="29" s="1"/>
  <c r="F71" i="29" s="1"/>
  <c r="F72" i="29" s="1"/>
  <c r="R9" i="24"/>
  <c r="D40" i="31"/>
  <c r="E39" i="31"/>
  <c r="I39" i="31" s="1"/>
  <c r="K38" i="31"/>
  <c r="L37" i="31"/>
  <c r="M37" i="31" s="1"/>
  <c r="N37" i="31"/>
  <c r="G42" i="31"/>
  <c r="H41" i="31"/>
  <c r="D38" i="30"/>
  <c r="N37" i="30"/>
  <c r="E37" i="30"/>
  <c r="K38" i="30"/>
  <c r="L37" i="30"/>
  <c r="M37" i="30" s="1"/>
  <c r="G43" i="30"/>
  <c r="H42" i="30"/>
  <c r="D39" i="29"/>
  <c r="E38" i="29"/>
  <c r="I38" i="29" s="1"/>
  <c r="K38" i="29"/>
  <c r="O37" i="29"/>
  <c r="L37" i="29"/>
  <c r="M37" i="29" s="1"/>
  <c r="G40" i="29"/>
  <c r="H39" i="29"/>
  <c r="M24" i="16"/>
  <c r="N24" i="16"/>
  <c r="O24" i="16"/>
  <c r="P24" i="16"/>
  <c r="Q24" i="16"/>
  <c r="R24" i="16"/>
  <c r="S24" i="16"/>
  <c r="T24" i="16"/>
  <c r="U24" i="16"/>
  <c r="L24" i="16"/>
  <c r="C41" i="13"/>
  <c r="C24" i="16"/>
  <c r="C42" i="13" s="1"/>
  <c r="D24" i="16"/>
  <c r="C43" i="13" s="1"/>
  <c r="E24" i="16"/>
  <c r="C44" i="13" s="1"/>
  <c r="F24" i="16"/>
  <c r="C45" i="13" s="1"/>
  <c r="G24" i="16"/>
  <c r="C46" i="13" s="1"/>
  <c r="H24" i="16"/>
  <c r="C47" i="13" s="1"/>
  <c r="I24" i="16"/>
  <c r="J24" i="16"/>
  <c r="F73" i="29" l="1"/>
  <c r="F74" i="29" s="1"/>
  <c r="F75" i="29" s="1"/>
  <c r="F76" i="29" s="1"/>
  <c r="F77" i="29" s="1"/>
  <c r="F78" i="29" s="1"/>
  <c r="F79" i="29" s="1"/>
  <c r="F80" i="29" s="1"/>
  <c r="F81" i="29" s="1"/>
  <c r="F82" i="29" s="1"/>
  <c r="F83" i="29" s="1"/>
  <c r="F84" i="29" s="1"/>
  <c r="F85" i="29" s="1"/>
  <c r="F86" i="29" s="1"/>
  <c r="F87" i="29" s="1"/>
  <c r="F88" i="29" s="1"/>
  <c r="F89" i="29" s="1"/>
  <c r="F90" i="29" s="1"/>
  <c r="F91" i="29" s="1"/>
  <c r="F92" i="29" s="1"/>
  <c r="F93" i="29" s="1"/>
  <c r="F94" i="29" s="1"/>
  <c r="F95" i="29" s="1"/>
  <c r="F96" i="29" s="1"/>
  <c r="F110" i="29"/>
  <c r="D6" i="41" s="1"/>
  <c r="F73" i="31"/>
  <c r="F74" i="31" s="1"/>
  <c r="F75" i="31" s="1"/>
  <c r="F76" i="31" s="1"/>
  <c r="F77" i="31" s="1"/>
  <c r="F78" i="31" s="1"/>
  <c r="F79" i="31" s="1"/>
  <c r="F80" i="31" s="1"/>
  <c r="F81" i="31" s="1"/>
  <c r="F82" i="31" s="1"/>
  <c r="F83" i="31" s="1"/>
  <c r="F84" i="31" s="1"/>
  <c r="F85" i="31" s="1"/>
  <c r="F86" i="31" s="1"/>
  <c r="F87" i="31" s="1"/>
  <c r="F88" i="31" s="1"/>
  <c r="F89" i="31" s="1"/>
  <c r="F90" i="31" s="1"/>
  <c r="F91" i="31" s="1"/>
  <c r="F92" i="31" s="1"/>
  <c r="F93" i="31" s="1"/>
  <c r="F94" i="31" s="1"/>
  <c r="F95" i="31" s="1"/>
  <c r="F96" i="31" s="1"/>
  <c r="F111" i="31"/>
  <c r="D8" i="41" s="1"/>
  <c r="G43" i="31"/>
  <c r="H42" i="31"/>
  <c r="K39" i="31"/>
  <c r="L38" i="31"/>
  <c r="M38" i="31" s="1"/>
  <c r="N38" i="31"/>
  <c r="D41" i="31"/>
  <c r="E40" i="31"/>
  <c r="I40" i="31" s="1"/>
  <c r="G44" i="30"/>
  <c r="H43" i="30"/>
  <c r="K39" i="30"/>
  <c r="L38" i="30"/>
  <c r="D39" i="30"/>
  <c r="N38" i="30"/>
  <c r="E38" i="30"/>
  <c r="I38" i="30" s="1"/>
  <c r="G41" i="29"/>
  <c r="H40" i="29"/>
  <c r="K39" i="29"/>
  <c r="O38" i="29"/>
  <c r="L38" i="29"/>
  <c r="M38" i="29" s="1"/>
  <c r="N38" i="29"/>
  <c r="N39" i="29"/>
  <c r="D40" i="29"/>
  <c r="E39" i="29"/>
  <c r="I39" i="29" s="1"/>
  <c r="U25" i="16"/>
  <c r="F97" i="31" l="1"/>
  <c r="J96" i="31"/>
  <c r="F97" i="29"/>
  <c r="J96" i="29"/>
  <c r="D42" i="31"/>
  <c r="E41" i="31"/>
  <c r="I41" i="31" s="1"/>
  <c r="K40" i="31"/>
  <c r="L39" i="31"/>
  <c r="M39" i="31" s="1"/>
  <c r="N39" i="31"/>
  <c r="G44" i="31"/>
  <c r="H43" i="31"/>
  <c r="N39" i="30"/>
  <c r="D40" i="30"/>
  <c r="E39" i="30"/>
  <c r="I39" i="30" s="1"/>
  <c r="K40" i="30"/>
  <c r="L39" i="30"/>
  <c r="M38" i="30"/>
  <c r="G45" i="30"/>
  <c r="H44" i="30"/>
  <c r="D41" i="29"/>
  <c r="E40" i="29"/>
  <c r="I40" i="29" s="1"/>
  <c r="O39" i="29"/>
  <c r="K40" i="29"/>
  <c r="L39" i="29"/>
  <c r="M39" i="29" s="1"/>
  <c r="G42" i="29"/>
  <c r="H41" i="29"/>
  <c r="J106" i="10"/>
  <c r="J107" i="10"/>
  <c r="J97" i="10"/>
  <c r="J98" i="10"/>
  <c r="J99" i="10"/>
  <c r="J100" i="10"/>
  <c r="J101" i="10"/>
  <c r="J102" i="10"/>
  <c r="J103" i="10"/>
  <c r="J104" i="10"/>
  <c r="J105" i="10"/>
  <c r="F98" i="29" l="1"/>
  <c r="J97" i="29"/>
  <c r="F98" i="31"/>
  <c r="J97" i="31"/>
  <c r="M39" i="30"/>
  <c r="G45" i="31"/>
  <c r="H44" i="31"/>
  <c r="K41" i="31"/>
  <c r="L40" i="31"/>
  <c r="M40" i="31" s="1"/>
  <c r="N40" i="31"/>
  <c r="D43" i="31"/>
  <c r="E42" i="31"/>
  <c r="I42" i="31" s="1"/>
  <c r="D41" i="30"/>
  <c r="N40" i="30"/>
  <c r="E40" i="30"/>
  <c r="I40" i="30" s="1"/>
  <c r="G46" i="30"/>
  <c r="H45" i="30"/>
  <c r="K41" i="30"/>
  <c r="L40" i="30"/>
  <c r="M40" i="30" s="1"/>
  <c r="G43" i="29"/>
  <c r="H42" i="29"/>
  <c r="K41" i="29"/>
  <c r="N41" i="29" s="1"/>
  <c r="O40" i="29"/>
  <c r="L40" i="29"/>
  <c r="M40" i="29" s="1"/>
  <c r="N40" i="29"/>
  <c r="D42" i="29"/>
  <c r="E41" i="29"/>
  <c r="I41" i="29" s="1"/>
  <c r="I11" i="17"/>
  <c r="K11" i="17" s="1"/>
  <c r="H11" i="17"/>
  <c r="J11" i="17" s="1"/>
  <c r="F99" i="31" l="1"/>
  <c r="J98" i="31"/>
  <c r="F99" i="29"/>
  <c r="J98" i="29"/>
  <c r="D44" i="31"/>
  <c r="E43" i="31"/>
  <c r="I43" i="31" s="1"/>
  <c r="K42" i="31"/>
  <c r="L41" i="31"/>
  <c r="M41" i="31" s="1"/>
  <c r="N41" i="31"/>
  <c r="G46" i="31"/>
  <c r="H45" i="31"/>
  <c r="K42" i="30"/>
  <c r="L41" i="30"/>
  <c r="G47" i="30"/>
  <c r="H46" i="30"/>
  <c r="N41" i="30"/>
  <c r="D42" i="30"/>
  <c r="E41" i="30"/>
  <c r="I41" i="30" s="1"/>
  <c r="D43" i="29"/>
  <c r="E42" i="29"/>
  <c r="I42" i="29" s="1"/>
  <c r="O41" i="29"/>
  <c r="K42" i="29"/>
  <c r="L41" i="29"/>
  <c r="M41" i="29" s="1"/>
  <c r="G44" i="29"/>
  <c r="H43" i="29"/>
  <c r="H12" i="17"/>
  <c r="L11" i="17"/>
  <c r="M11" i="17" s="1"/>
  <c r="N11" i="17" s="1"/>
  <c r="F100" i="29" l="1"/>
  <c r="J99" i="29"/>
  <c r="F100" i="31"/>
  <c r="J99" i="31"/>
  <c r="G47" i="31"/>
  <c r="H46" i="31"/>
  <c r="K43" i="31"/>
  <c r="L42" i="31"/>
  <c r="M42" i="31" s="1"/>
  <c r="N42" i="31"/>
  <c r="D45" i="31"/>
  <c r="E44" i="31"/>
  <c r="I44" i="31" s="1"/>
  <c r="D43" i="30"/>
  <c r="N42" i="30"/>
  <c r="E42" i="30"/>
  <c r="I42" i="30" s="1"/>
  <c r="H47" i="30"/>
  <c r="M41" i="30"/>
  <c r="K43" i="30"/>
  <c r="L42" i="30"/>
  <c r="G45" i="29"/>
  <c r="H44" i="29"/>
  <c r="K43" i="29"/>
  <c r="N43" i="29" s="1"/>
  <c r="O42" i="29"/>
  <c r="L42" i="29"/>
  <c r="M42" i="29" s="1"/>
  <c r="D44" i="29"/>
  <c r="E43" i="29"/>
  <c r="I43" i="29" s="1"/>
  <c r="N42" i="29"/>
  <c r="O11" i="17"/>
  <c r="J12" i="17"/>
  <c r="H13" i="17"/>
  <c r="J106" i="8"/>
  <c r="J107" i="8"/>
  <c r="J103" i="8"/>
  <c r="J104" i="8"/>
  <c r="J105" i="8"/>
  <c r="J98" i="8"/>
  <c r="J99" i="8"/>
  <c r="J100" i="8"/>
  <c r="J101" i="8"/>
  <c r="J102" i="8"/>
  <c r="D24" i="8"/>
  <c r="E24" i="8" s="1"/>
  <c r="J24" i="8"/>
  <c r="K24" i="8" s="1"/>
  <c r="D25" i="8"/>
  <c r="E25" i="8" s="1"/>
  <c r="J25" i="8"/>
  <c r="J99" i="13"/>
  <c r="J100" i="13"/>
  <c r="J101" i="13"/>
  <c r="J102" i="13"/>
  <c r="J103" i="13"/>
  <c r="J104" i="13"/>
  <c r="J105" i="13"/>
  <c r="J106" i="13"/>
  <c r="J107" i="13"/>
  <c r="F101" i="31" l="1"/>
  <c r="J101" i="31" s="1"/>
  <c r="J100" i="31"/>
  <c r="F101" i="29"/>
  <c r="J101" i="29" s="1"/>
  <c r="J100" i="29"/>
  <c r="M42" i="30"/>
  <c r="D46" i="31"/>
  <c r="E45" i="31"/>
  <c r="I45" i="31" s="1"/>
  <c r="K44" i="31"/>
  <c r="L43" i="31"/>
  <c r="M43" i="31" s="1"/>
  <c r="N43" i="31"/>
  <c r="H47" i="31"/>
  <c r="K44" i="30"/>
  <c r="L43" i="30"/>
  <c r="D44" i="30"/>
  <c r="N43" i="30"/>
  <c r="E43" i="30"/>
  <c r="I43" i="30" s="1"/>
  <c r="D45" i="29"/>
  <c r="E44" i="29"/>
  <c r="I44" i="29" s="1"/>
  <c r="K44" i="29"/>
  <c r="O43" i="29"/>
  <c r="L43" i="29"/>
  <c r="M43" i="29" s="1"/>
  <c r="G46" i="29"/>
  <c r="H45" i="29"/>
  <c r="K25" i="8"/>
  <c r="H14" i="17"/>
  <c r="J13" i="17"/>
  <c r="J97" i="13"/>
  <c r="J96" i="13"/>
  <c r="K45" i="31" l="1"/>
  <c r="L44" i="31"/>
  <c r="M44" i="31" s="1"/>
  <c r="N44" i="31"/>
  <c r="D47" i="31"/>
  <c r="E46" i="31"/>
  <c r="I46" i="31" s="1"/>
  <c r="N44" i="30"/>
  <c r="D45" i="30"/>
  <c r="E44" i="30"/>
  <c r="I44" i="30" s="1"/>
  <c r="M43" i="30"/>
  <c r="K45" i="30"/>
  <c r="L44" i="30"/>
  <c r="M44" i="30" s="1"/>
  <c r="K45" i="29"/>
  <c r="O44" i="29"/>
  <c r="L44" i="29"/>
  <c r="M44" i="29" s="1"/>
  <c r="G47" i="29"/>
  <c r="H46" i="29"/>
  <c r="N44" i="29"/>
  <c r="D46" i="29"/>
  <c r="N45" i="29"/>
  <c r="E45" i="29"/>
  <c r="I45" i="29" s="1"/>
  <c r="H15" i="17"/>
  <c r="J14" i="17"/>
  <c r="J98" i="13"/>
  <c r="D48" i="31" l="1"/>
  <c r="E47" i="31"/>
  <c r="I47" i="31" s="1"/>
  <c r="K46" i="31"/>
  <c r="L45" i="31"/>
  <c r="M45" i="31" s="1"/>
  <c r="N45" i="31"/>
  <c r="K46" i="30"/>
  <c r="L45" i="30"/>
  <c r="D46" i="30"/>
  <c r="N45" i="30"/>
  <c r="E45" i="30"/>
  <c r="I45" i="30" s="1"/>
  <c r="D47" i="29"/>
  <c r="E46" i="29"/>
  <c r="I46" i="29" s="1"/>
  <c r="H47" i="29"/>
  <c r="O45" i="29"/>
  <c r="K46" i="29"/>
  <c r="L45" i="29"/>
  <c r="M45" i="29" s="1"/>
  <c r="H16" i="17"/>
  <c r="J15" i="17"/>
  <c r="G26" i="13"/>
  <c r="G27" i="13" s="1"/>
  <c r="G28" i="13" s="1"/>
  <c r="G29" i="13" s="1"/>
  <c r="G30" i="13" s="1"/>
  <c r="G31" i="13" s="1"/>
  <c r="G32" i="13" s="1"/>
  <c r="G33" i="13" s="1"/>
  <c r="G34" i="13" s="1"/>
  <c r="G35" i="13" s="1"/>
  <c r="G36" i="13" s="1"/>
  <c r="G37" i="13" s="1"/>
  <c r="H37" i="13" s="1"/>
  <c r="G26" i="8"/>
  <c r="G35" i="3"/>
  <c r="K47" i="31" l="1"/>
  <c r="L46" i="31"/>
  <c r="M46" i="31" s="1"/>
  <c r="N46" i="31"/>
  <c r="D49" i="31"/>
  <c r="E48" i="31"/>
  <c r="D47" i="30"/>
  <c r="N46" i="30"/>
  <c r="E46" i="30"/>
  <c r="I46" i="30" s="1"/>
  <c r="M45" i="30"/>
  <c r="K47" i="30"/>
  <c r="L46" i="30"/>
  <c r="O46" i="29"/>
  <c r="K47" i="29"/>
  <c r="N47" i="29" s="1"/>
  <c r="L46" i="29"/>
  <c r="M46" i="29" s="1"/>
  <c r="N46" i="29"/>
  <c r="D48" i="29"/>
  <c r="E47" i="29"/>
  <c r="I47" i="29" s="1"/>
  <c r="H17" i="17"/>
  <c r="J16" i="17"/>
  <c r="H34" i="13"/>
  <c r="H32" i="13"/>
  <c r="H35" i="13"/>
  <c r="H36" i="13"/>
  <c r="H31" i="13"/>
  <c r="H33" i="13"/>
  <c r="H26" i="13"/>
  <c r="H27" i="13"/>
  <c r="H28" i="13"/>
  <c r="H29" i="13"/>
  <c r="H30" i="13"/>
  <c r="M46" i="30" l="1"/>
  <c r="J49" i="31"/>
  <c r="D50" i="31"/>
  <c r="E49" i="31"/>
  <c r="J48" i="31"/>
  <c r="G48" i="31"/>
  <c r="K48" i="31"/>
  <c r="L47" i="31"/>
  <c r="M47" i="31" s="1"/>
  <c r="N47" i="31"/>
  <c r="L47" i="30"/>
  <c r="D48" i="30"/>
  <c r="N47" i="30"/>
  <c r="E47" i="30"/>
  <c r="I47" i="30" s="1"/>
  <c r="D49" i="29"/>
  <c r="E48" i="29"/>
  <c r="O47" i="29"/>
  <c r="L47" i="29"/>
  <c r="M47" i="29" s="1"/>
  <c r="H18" i="17"/>
  <c r="J17" i="17"/>
  <c r="M23" i="16"/>
  <c r="N23" i="16"/>
  <c r="O23" i="16"/>
  <c r="P23" i="16"/>
  <c r="Q23" i="16"/>
  <c r="R23" i="16"/>
  <c r="S23" i="16"/>
  <c r="T23" i="16"/>
  <c r="U23" i="16"/>
  <c r="L23" i="16"/>
  <c r="B23" i="16"/>
  <c r="C23" i="16"/>
  <c r="D23" i="16"/>
  <c r="E23" i="16"/>
  <c r="F23" i="16"/>
  <c r="G23" i="16"/>
  <c r="H23" i="16"/>
  <c r="I23" i="16"/>
  <c r="J23" i="16"/>
  <c r="G49" i="31" l="1"/>
  <c r="H48" i="31"/>
  <c r="I48" i="31" s="1"/>
  <c r="N48" i="31"/>
  <c r="K49" i="31"/>
  <c r="L48" i="31"/>
  <c r="M48" i="31" s="1"/>
  <c r="D51" i="31"/>
  <c r="E50" i="31"/>
  <c r="D49" i="30"/>
  <c r="E48" i="30"/>
  <c r="M47" i="30"/>
  <c r="J48" i="29"/>
  <c r="K48" i="29" s="1"/>
  <c r="G48" i="29"/>
  <c r="J49" i="29"/>
  <c r="D50" i="29"/>
  <c r="E49" i="29"/>
  <c r="H19" i="17"/>
  <c r="J18" i="17"/>
  <c r="U27" i="16"/>
  <c r="C29" i="3" s="1"/>
  <c r="G29" i="3" s="1"/>
  <c r="C47" i="8"/>
  <c r="C46" i="8"/>
  <c r="C45" i="8"/>
  <c r="C44" i="8"/>
  <c r="C43" i="8"/>
  <c r="C42" i="8"/>
  <c r="C40" i="8"/>
  <c r="C39" i="8"/>
  <c r="C38" i="8"/>
  <c r="C35" i="8"/>
  <c r="C34" i="8"/>
  <c r="C33" i="8"/>
  <c r="C32" i="8"/>
  <c r="C31" i="8"/>
  <c r="C30" i="8"/>
  <c r="C29" i="8"/>
  <c r="C28" i="8"/>
  <c r="C26" i="8"/>
  <c r="D26" i="8" s="1"/>
  <c r="J50" i="31" l="1"/>
  <c r="J51" i="31"/>
  <c r="D52" i="31"/>
  <c r="E51" i="31"/>
  <c r="K50" i="31"/>
  <c r="L49" i="31"/>
  <c r="G50" i="31"/>
  <c r="H49" i="31"/>
  <c r="I49" i="31" s="1"/>
  <c r="N49" i="31"/>
  <c r="J48" i="30"/>
  <c r="K48" i="30" s="1"/>
  <c r="G48" i="30"/>
  <c r="D50" i="30"/>
  <c r="J49" i="30"/>
  <c r="E49" i="30"/>
  <c r="D51" i="29"/>
  <c r="J50" i="29"/>
  <c r="E50" i="29"/>
  <c r="G49" i="29"/>
  <c r="H48" i="29"/>
  <c r="I48" i="29" s="1"/>
  <c r="N48" i="29"/>
  <c r="O48" i="29"/>
  <c r="K49" i="29"/>
  <c r="L48" i="29"/>
  <c r="H20" i="17"/>
  <c r="J19" i="17"/>
  <c r="C27" i="8"/>
  <c r="D27" i="8" s="1"/>
  <c r="I12" i="17"/>
  <c r="C36" i="8" s="1"/>
  <c r="C7" i="3"/>
  <c r="G7" i="3" s="1"/>
  <c r="C30" i="3"/>
  <c r="G30" i="3" s="1"/>
  <c r="C41" i="8"/>
  <c r="M48" i="29" l="1"/>
  <c r="G51" i="31"/>
  <c r="H50" i="31"/>
  <c r="I50" i="31" s="1"/>
  <c r="N50" i="31"/>
  <c r="D53" i="31"/>
  <c r="J52" i="31"/>
  <c r="E52" i="31"/>
  <c r="M49" i="31"/>
  <c r="K51" i="31"/>
  <c r="L50" i="31"/>
  <c r="M50" i="31" s="1"/>
  <c r="J50" i="30"/>
  <c r="D51" i="30"/>
  <c r="E50" i="30"/>
  <c r="G49" i="30"/>
  <c r="H48" i="30"/>
  <c r="I48" i="30" s="1"/>
  <c r="N48" i="30"/>
  <c r="K49" i="30"/>
  <c r="L48" i="30"/>
  <c r="M48" i="30" s="1"/>
  <c r="K50" i="29"/>
  <c r="O49" i="29"/>
  <c r="L49" i="29"/>
  <c r="G50" i="29"/>
  <c r="H49" i="29"/>
  <c r="I49" i="29" s="1"/>
  <c r="N49" i="29"/>
  <c r="J51" i="29"/>
  <c r="D52" i="29"/>
  <c r="E51" i="29"/>
  <c r="H21" i="17"/>
  <c r="J20" i="17"/>
  <c r="I13" i="17"/>
  <c r="C37" i="8" s="1"/>
  <c r="K12" i="17"/>
  <c r="D28" i="8"/>
  <c r="G27" i="8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52" i="31" l="1"/>
  <c r="L51" i="31"/>
  <c r="D54" i="31"/>
  <c r="E53" i="31"/>
  <c r="G52" i="31"/>
  <c r="H51" i="31"/>
  <c r="I51" i="31" s="1"/>
  <c r="N51" i="31"/>
  <c r="K50" i="30"/>
  <c r="L49" i="30"/>
  <c r="G50" i="30"/>
  <c r="H49" i="30"/>
  <c r="I49" i="30" s="1"/>
  <c r="N49" i="30"/>
  <c r="D52" i="30"/>
  <c r="E51" i="30"/>
  <c r="D53" i="29"/>
  <c r="E52" i="29"/>
  <c r="G51" i="29"/>
  <c r="H50" i="29"/>
  <c r="I50" i="29" s="1"/>
  <c r="N50" i="29"/>
  <c r="M49" i="29"/>
  <c r="O50" i="29"/>
  <c r="K51" i="29"/>
  <c r="L50" i="29"/>
  <c r="H22" i="17"/>
  <c r="J21" i="17"/>
  <c r="K23" i="16"/>
  <c r="I14" i="17"/>
  <c r="K13" i="17"/>
  <c r="L12" i="17"/>
  <c r="M12" i="17" s="1"/>
  <c r="O12" i="17" s="1"/>
  <c r="H27" i="8"/>
  <c r="I27" i="8" s="1"/>
  <c r="D29" i="8"/>
  <c r="G28" i="8"/>
  <c r="M50" i="29" l="1"/>
  <c r="J54" i="31"/>
  <c r="D55" i="31"/>
  <c r="E54" i="31"/>
  <c r="G53" i="31"/>
  <c r="H52" i="31"/>
  <c r="I52" i="31" s="1"/>
  <c r="N52" i="31"/>
  <c r="J53" i="31"/>
  <c r="K53" i="31" s="1"/>
  <c r="M51" i="31"/>
  <c r="L52" i="31"/>
  <c r="M52" i="31" s="1"/>
  <c r="J51" i="30"/>
  <c r="J52" i="30"/>
  <c r="D53" i="30"/>
  <c r="E52" i="30"/>
  <c r="G51" i="30"/>
  <c r="H50" i="30"/>
  <c r="I50" i="30" s="1"/>
  <c r="N50" i="30"/>
  <c r="M49" i="30"/>
  <c r="K51" i="30"/>
  <c r="L50" i="30"/>
  <c r="O51" i="29"/>
  <c r="L51" i="29"/>
  <c r="G52" i="29"/>
  <c r="H51" i="29"/>
  <c r="I51" i="29" s="1"/>
  <c r="N51" i="29"/>
  <c r="J53" i="29"/>
  <c r="D54" i="29"/>
  <c r="E53" i="29"/>
  <c r="J52" i="29"/>
  <c r="K52" i="29" s="1"/>
  <c r="H23" i="17"/>
  <c r="J22" i="17"/>
  <c r="N12" i="17"/>
  <c r="L13" i="17"/>
  <c r="M13" i="17" s="1"/>
  <c r="I15" i="17"/>
  <c r="K14" i="17"/>
  <c r="H28" i="8"/>
  <c r="I28" i="8" s="1"/>
  <c r="D30" i="8"/>
  <c r="G29" i="8"/>
  <c r="M50" i="30" l="1"/>
  <c r="K54" i="31"/>
  <c r="L53" i="31"/>
  <c r="G54" i="31"/>
  <c r="H53" i="31"/>
  <c r="I53" i="31" s="1"/>
  <c r="N53" i="31"/>
  <c r="D56" i="31"/>
  <c r="E55" i="31"/>
  <c r="G52" i="30"/>
  <c r="H51" i="30"/>
  <c r="I51" i="30" s="1"/>
  <c r="N51" i="30"/>
  <c r="K52" i="30"/>
  <c r="L51" i="30"/>
  <c r="M51" i="30" s="1"/>
  <c r="D54" i="30"/>
  <c r="J53" i="30"/>
  <c r="E53" i="30"/>
  <c r="O52" i="29"/>
  <c r="K53" i="29"/>
  <c r="L52" i="29"/>
  <c r="D55" i="29"/>
  <c r="E54" i="29"/>
  <c r="G53" i="29"/>
  <c r="H52" i="29"/>
  <c r="I52" i="29" s="1"/>
  <c r="N52" i="29"/>
  <c r="M51" i="29"/>
  <c r="H24" i="17"/>
  <c r="J23" i="17"/>
  <c r="L14" i="17"/>
  <c r="M14" i="17" s="1"/>
  <c r="O14" i="17" s="1"/>
  <c r="I16" i="17"/>
  <c r="K15" i="17"/>
  <c r="N13" i="17"/>
  <c r="O13" i="17"/>
  <c r="H29" i="8"/>
  <c r="I29" i="8" s="1"/>
  <c r="D31" i="8"/>
  <c r="G30" i="8"/>
  <c r="J55" i="31" l="1"/>
  <c r="J56" i="31"/>
  <c r="D57" i="31"/>
  <c r="E56" i="31"/>
  <c r="G55" i="31"/>
  <c r="H54" i="31"/>
  <c r="I54" i="31" s="1"/>
  <c r="N54" i="31"/>
  <c r="M53" i="31"/>
  <c r="K55" i="31"/>
  <c r="L54" i="31"/>
  <c r="K53" i="30"/>
  <c r="L52" i="30"/>
  <c r="D55" i="30"/>
  <c r="E54" i="30"/>
  <c r="G53" i="30"/>
  <c r="H52" i="30"/>
  <c r="I52" i="30" s="1"/>
  <c r="N52" i="30"/>
  <c r="G54" i="29"/>
  <c r="H53" i="29"/>
  <c r="I53" i="29" s="1"/>
  <c r="N53" i="29"/>
  <c r="J54" i="29"/>
  <c r="K54" i="29" s="1"/>
  <c r="D56" i="29"/>
  <c r="J55" i="29"/>
  <c r="E55" i="29"/>
  <c r="M52" i="29"/>
  <c r="O53" i="29"/>
  <c r="L53" i="29"/>
  <c r="H25" i="17"/>
  <c r="J24" i="17"/>
  <c r="I17" i="17"/>
  <c r="K16" i="17"/>
  <c r="L15" i="17"/>
  <c r="M15" i="17" s="1"/>
  <c r="N14" i="17"/>
  <c r="H30" i="8"/>
  <c r="I30" i="8" s="1"/>
  <c r="D32" i="8"/>
  <c r="G31" i="8"/>
  <c r="J40" i="13"/>
  <c r="J47" i="13"/>
  <c r="J46" i="13"/>
  <c r="J45" i="13"/>
  <c r="J44" i="13"/>
  <c r="J43" i="13"/>
  <c r="J42" i="13"/>
  <c r="J41" i="13"/>
  <c r="J39" i="13"/>
  <c r="G38" i="13"/>
  <c r="H38" i="13" s="1"/>
  <c r="J25" i="13"/>
  <c r="J24" i="13"/>
  <c r="K24" i="13" s="1"/>
  <c r="D24" i="13"/>
  <c r="E24" i="13" s="1"/>
  <c r="J96" i="10"/>
  <c r="J25" i="10"/>
  <c r="J24" i="10"/>
  <c r="K24" i="10" s="1"/>
  <c r="K25" i="10" s="1"/>
  <c r="D24" i="10"/>
  <c r="J97" i="8"/>
  <c r="J96" i="8"/>
  <c r="M54" i="31" l="1"/>
  <c r="M53" i="29"/>
  <c r="K56" i="31"/>
  <c r="L55" i="31"/>
  <c r="G56" i="31"/>
  <c r="H55" i="31"/>
  <c r="I55" i="31" s="1"/>
  <c r="N55" i="31"/>
  <c r="J57" i="31"/>
  <c r="D58" i="31"/>
  <c r="E57" i="31"/>
  <c r="H53" i="30"/>
  <c r="I53" i="30" s="1"/>
  <c r="N53" i="30"/>
  <c r="D56" i="30"/>
  <c r="E55" i="30"/>
  <c r="L53" i="30"/>
  <c r="M53" i="30" s="1"/>
  <c r="M52" i="30"/>
  <c r="O54" i="29"/>
  <c r="K55" i="29"/>
  <c r="L54" i="29"/>
  <c r="J56" i="29"/>
  <c r="D57" i="29"/>
  <c r="E56" i="29"/>
  <c r="G55" i="29"/>
  <c r="H54" i="29"/>
  <c r="I54" i="29" s="1"/>
  <c r="N54" i="29"/>
  <c r="K25" i="13"/>
  <c r="D25" i="13"/>
  <c r="E25" i="13" s="1"/>
  <c r="H26" i="17"/>
  <c r="J25" i="17"/>
  <c r="N15" i="17"/>
  <c r="L16" i="17"/>
  <c r="M16" i="17" s="1"/>
  <c r="I18" i="17"/>
  <c r="K17" i="17"/>
  <c r="O15" i="17"/>
  <c r="H31" i="8"/>
  <c r="I31" i="8" s="1"/>
  <c r="D33" i="8"/>
  <c r="G32" i="8"/>
  <c r="E24" i="10"/>
  <c r="D25" i="10"/>
  <c r="G39" i="13"/>
  <c r="K57" i="31" l="1"/>
  <c r="L56" i="31"/>
  <c r="D59" i="31"/>
  <c r="J58" i="31"/>
  <c r="E58" i="31"/>
  <c r="G57" i="31"/>
  <c r="H56" i="31"/>
  <c r="I56" i="31" s="1"/>
  <c r="N56" i="31"/>
  <c r="M55" i="31"/>
  <c r="D57" i="30"/>
  <c r="E56" i="30"/>
  <c r="G56" i="29"/>
  <c r="H55" i="29"/>
  <c r="I55" i="29" s="1"/>
  <c r="N55" i="29"/>
  <c r="J57" i="29"/>
  <c r="D58" i="29"/>
  <c r="E57" i="29"/>
  <c r="M54" i="29"/>
  <c r="K56" i="29"/>
  <c r="O55" i="29"/>
  <c r="L55" i="29"/>
  <c r="H27" i="17"/>
  <c r="J26" i="17"/>
  <c r="N16" i="17"/>
  <c r="I19" i="17"/>
  <c r="K18" i="17"/>
  <c r="L17" i="17"/>
  <c r="M17" i="17" s="1"/>
  <c r="O17" i="17" s="1"/>
  <c r="O16" i="17"/>
  <c r="H32" i="8"/>
  <c r="I32" i="8" s="1"/>
  <c r="D34" i="8"/>
  <c r="G33" i="8"/>
  <c r="J26" i="8"/>
  <c r="K26" i="8" s="1"/>
  <c r="E25" i="10"/>
  <c r="G40" i="13"/>
  <c r="H39" i="13"/>
  <c r="M55" i="29" l="1"/>
  <c r="G58" i="31"/>
  <c r="H57" i="31"/>
  <c r="I57" i="31" s="1"/>
  <c r="N57" i="31"/>
  <c r="D60" i="31"/>
  <c r="E59" i="31"/>
  <c r="M56" i="31"/>
  <c r="K58" i="31"/>
  <c r="L57" i="31"/>
  <c r="D58" i="30"/>
  <c r="E57" i="30"/>
  <c r="O56" i="29"/>
  <c r="K57" i="29"/>
  <c r="L56" i="29"/>
  <c r="J58" i="29"/>
  <c r="D59" i="29"/>
  <c r="E58" i="29"/>
  <c r="G57" i="29"/>
  <c r="H56" i="29"/>
  <c r="I56" i="29" s="1"/>
  <c r="N56" i="29"/>
  <c r="H28" i="17"/>
  <c r="J27" i="17"/>
  <c r="L18" i="17"/>
  <c r="M18" i="17" s="1"/>
  <c r="O18" i="17" s="1"/>
  <c r="I20" i="17"/>
  <c r="K19" i="17"/>
  <c r="N17" i="17"/>
  <c r="H33" i="8"/>
  <c r="I33" i="8" s="1"/>
  <c r="D35" i="8"/>
  <c r="G34" i="8"/>
  <c r="H40" i="13"/>
  <c r="G41" i="13"/>
  <c r="J27" i="8"/>
  <c r="K27" i="8" s="1"/>
  <c r="E26" i="8"/>
  <c r="M57" i="31" l="1"/>
  <c r="L58" i="31"/>
  <c r="J59" i="31"/>
  <c r="K59" i="31" s="1"/>
  <c r="D61" i="31"/>
  <c r="J60" i="31"/>
  <c r="E60" i="31"/>
  <c r="G59" i="31"/>
  <c r="H58" i="31"/>
  <c r="I58" i="31" s="1"/>
  <c r="N58" i="31"/>
  <c r="D59" i="30"/>
  <c r="E58" i="30"/>
  <c r="G58" i="29"/>
  <c r="H57" i="29"/>
  <c r="I57" i="29" s="1"/>
  <c r="N57" i="29"/>
  <c r="D60" i="29"/>
  <c r="E59" i="29"/>
  <c r="M56" i="29"/>
  <c r="K58" i="29"/>
  <c r="O57" i="29"/>
  <c r="L57" i="29"/>
  <c r="H29" i="17"/>
  <c r="J28" i="17"/>
  <c r="L19" i="17"/>
  <c r="M19" i="17" s="1"/>
  <c r="O19" i="17" s="1"/>
  <c r="I21" i="17"/>
  <c r="K20" i="17"/>
  <c r="N18" i="17"/>
  <c r="H34" i="8"/>
  <c r="I34" i="8" s="1"/>
  <c r="L27" i="8"/>
  <c r="M27" i="8" s="1"/>
  <c r="N27" i="8"/>
  <c r="D36" i="8"/>
  <c r="G35" i="8"/>
  <c r="E27" i="8"/>
  <c r="J28" i="8"/>
  <c r="K28" i="8" s="1"/>
  <c r="G42" i="13"/>
  <c r="H41" i="13"/>
  <c r="M57" i="29" l="1"/>
  <c r="K60" i="31"/>
  <c r="L59" i="31"/>
  <c r="J61" i="31"/>
  <c r="D62" i="31"/>
  <c r="E61" i="31"/>
  <c r="G60" i="31"/>
  <c r="H59" i="31"/>
  <c r="I59" i="31" s="1"/>
  <c r="N59" i="31"/>
  <c r="M58" i="31"/>
  <c r="D60" i="30"/>
  <c r="E59" i="30"/>
  <c r="D61" i="29"/>
  <c r="J60" i="29"/>
  <c r="E60" i="29"/>
  <c r="G59" i="29"/>
  <c r="H58" i="29"/>
  <c r="I58" i="29" s="1"/>
  <c r="N58" i="29"/>
  <c r="O58" i="29"/>
  <c r="L58" i="29"/>
  <c r="J59" i="29"/>
  <c r="K59" i="29" s="1"/>
  <c r="H30" i="17"/>
  <c r="J29" i="17"/>
  <c r="N19" i="17"/>
  <c r="L20" i="17"/>
  <c r="M20" i="17" s="1"/>
  <c r="O20" i="17" s="1"/>
  <c r="I22" i="17"/>
  <c r="K21" i="17"/>
  <c r="H35" i="8"/>
  <c r="I35" i="8" s="1"/>
  <c r="L28" i="8"/>
  <c r="M28" i="8" s="1"/>
  <c r="N28" i="8"/>
  <c r="D37" i="8"/>
  <c r="G36" i="8"/>
  <c r="J29" i="8"/>
  <c r="K29" i="8" s="1"/>
  <c r="G43" i="13"/>
  <c r="H42" i="13"/>
  <c r="M58" i="29" l="1"/>
  <c r="G61" i="31"/>
  <c r="H60" i="31"/>
  <c r="I60" i="31" s="1"/>
  <c r="N60" i="31"/>
  <c r="D63" i="31"/>
  <c r="J62" i="31"/>
  <c r="E62" i="31"/>
  <c r="M59" i="31"/>
  <c r="K61" i="31"/>
  <c r="L60" i="31"/>
  <c r="M60" i="31" s="1"/>
  <c r="D61" i="30"/>
  <c r="E60" i="30"/>
  <c r="K60" i="29"/>
  <c r="O59" i="29"/>
  <c r="L59" i="29"/>
  <c r="G60" i="29"/>
  <c r="H59" i="29"/>
  <c r="N59" i="29"/>
  <c r="J61" i="29"/>
  <c r="D62" i="29"/>
  <c r="E61" i="29"/>
  <c r="H31" i="17"/>
  <c r="J30" i="17"/>
  <c r="N20" i="17"/>
  <c r="I23" i="17"/>
  <c r="K22" i="17"/>
  <c r="L21" i="17"/>
  <c r="M21" i="17" s="1"/>
  <c r="H36" i="8"/>
  <c r="I36" i="8" s="1"/>
  <c r="L29" i="8"/>
  <c r="M29" i="8" s="1"/>
  <c r="N29" i="8"/>
  <c r="D38" i="8"/>
  <c r="G37" i="8"/>
  <c r="D26" i="10"/>
  <c r="J30" i="8"/>
  <c r="K30" i="8" s="1"/>
  <c r="H43" i="13"/>
  <c r="G44" i="13"/>
  <c r="E28" i="8"/>
  <c r="I59" i="29" l="1"/>
  <c r="K62" i="31"/>
  <c r="L61" i="31"/>
  <c r="J63" i="31"/>
  <c r="D64" i="31"/>
  <c r="E63" i="31"/>
  <c r="G62" i="31"/>
  <c r="H61" i="31"/>
  <c r="I61" i="31" s="1"/>
  <c r="N61" i="31"/>
  <c r="D62" i="30"/>
  <c r="E61" i="30"/>
  <c r="D63" i="29"/>
  <c r="J62" i="29"/>
  <c r="E62" i="29"/>
  <c r="G61" i="29"/>
  <c r="H60" i="29"/>
  <c r="I60" i="29" s="1"/>
  <c r="N60" i="29"/>
  <c r="M59" i="29"/>
  <c r="O60" i="29"/>
  <c r="K61" i="29"/>
  <c r="L60" i="29"/>
  <c r="H32" i="17"/>
  <c r="J31" i="17"/>
  <c r="I24" i="17"/>
  <c r="K23" i="17"/>
  <c r="N21" i="17"/>
  <c r="L22" i="17"/>
  <c r="M22" i="17" s="1"/>
  <c r="O21" i="17"/>
  <c r="H37" i="8"/>
  <c r="I37" i="8" s="1"/>
  <c r="L30" i="8"/>
  <c r="M30" i="8" s="1"/>
  <c r="N30" i="8"/>
  <c r="D39" i="8"/>
  <c r="G38" i="8"/>
  <c r="G45" i="13"/>
  <c r="H44" i="13"/>
  <c r="E26" i="10"/>
  <c r="D27" i="10"/>
  <c r="E29" i="8"/>
  <c r="J31" i="8"/>
  <c r="K31" i="8" s="1"/>
  <c r="M60" i="29" l="1"/>
  <c r="D65" i="31"/>
  <c r="J64" i="31"/>
  <c r="E64" i="31"/>
  <c r="G63" i="31"/>
  <c r="H62" i="31"/>
  <c r="I62" i="31" s="1"/>
  <c r="N62" i="31"/>
  <c r="M61" i="31"/>
  <c r="K63" i="31"/>
  <c r="L62" i="31"/>
  <c r="M62" i="31" s="1"/>
  <c r="D63" i="30"/>
  <c r="E62" i="30"/>
  <c r="K62" i="29"/>
  <c r="O61" i="29"/>
  <c r="L61" i="29"/>
  <c r="G62" i="29"/>
  <c r="H61" i="29"/>
  <c r="I61" i="29" s="1"/>
  <c r="N61" i="29"/>
  <c r="J63" i="29"/>
  <c r="D64" i="29"/>
  <c r="E63" i="29"/>
  <c r="H33" i="17"/>
  <c r="J32" i="17"/>
  <c r="N22" i="17"/>
  <c r="L23" i="17"/>
  <c r="M23" i="17" s="1"/>
  <c r="O23" i="17" s="1"/>
  <c r="O22" i="17"/>
  <c r="I25" i="17"/>
  <c r="K24" i="17"/>
  <c r="H38" i="8"/>
  <c r="D40" i="8"/>
  <c r="G39" i="8"/>
  <c r="L31" i="8"/>
  <c r="M31" i="8" s="1"/>
  <c r="N31" i="8"/>
  <c r="G26" i="10"/>
  <c r="J26" i="10"/>
  <c r="K26" i="10" s="1"/>
  <c r="J27" i="10"/>
  <c r="J32" i="8"/>
  <c r="K32" i="8" s="1"/>
  <c r="D28" i="10"/>
  <c r="E27" i="10"/>
  <c r="H45" i="13"/>
  <c r="G46" i="13"/>
  <c r="E30" i="8"/>
  <c r="G64" i="31" l="1"/>
  <c r="H63" i="31"/>
  <c r="I63" i="31" s="1"/>
  <c r="N63" i="31"/>
  <c r="K64" i="31"/>
  <c r="L63" i="31"/>
  <c r="M63" i="31" s="1"/>
  <c r="D66" i="31"/>
  <c r="J65" i="31"/>
  <c r="E65" i="31"/>
  <c r="D64" i="30"/>
  <c r="E63" i="30"/>
  <c r="J64" i="29"/>
  <c r="D65" i="29"/>
  <c r="E64" i="29"/>
  <c r="G63" i="29"/>
  <c r="H62" i="29"/>
  <c r="I62" i="29" s="1"/>
  <c r="N62" i="29"/>
  <c r="M61" i="29"/>
  <c r="O62" i="29"/>
  <c r="K63" i="29"/>
  <c r="L62" i="29"/>
  <c r="H34" i="17"/>
  <c r="J33" i="17"/>
  <c r="L24" i="17"/>
  <c r="M24" i="17" s="1"/>
  <c r="O24" i="17" s="1"/>
  <c r="N23" i="17"/>
  <c r="I26" i="17"/>
  <c r="K25" i="17"/>
  <c r="H39" i="8"/>
  <c r="L26" i="10"/>
  <c r="K27" i="10"/>
  <c r="G40" i="8"/>
  <c r="D41" i="8"/>
  <c r="G27" i="10"/>
  <c r="H26" i="10"/>
  <c r="I26" i="10" s="1"/>
  <c r="N26" i="10"/>
  <c r="L32" i="8"/>
  <c r="M32" i="8" s="1"/>
  <c r="N32" i="8"/>
  <c r="J28" i="10"/>
  <c r="E31" i="8"/>
  <c r="E28" i="10"/>
  <c r="D29" i="10"/>
  <c r="J33" i="8"/>
  <c r="K33" i="8" s="1"/>
  <c r="H46" i="13"/>
  <c r="G47" i="13"/>
  <c r="M62" i="29" l="1"/>
  <c r="J66" i="31"/>
  <c r="D67" i="31"/>
  <c r="E66" i="31"/>
  <c r="K65" i="31"/>
  <c r="L64" i="31"/>
  <c r="G65" i="31"/>
  <c r="H64" i="31"/>
  <c r="I64" i="31" s="1"/>
  <c r="N64" i="31"/>
  <c r="D65" i="30"/>
  <c r="E64" i="30"/>
  <c r="K64" i="29"/>
  <c r="O63" i="29"/>
  <c r="L63" i="29"/>
  <c r="G64" i="29"/>
  <c r="H63" i="29"/>
  <c r="I63" i="29" s="1"/>
  <c r="N63" i="29"/>
  <c r="D66" i="29"/>
  <c r="J65" i="29"/>
  <c r="E65" i="29"/>
  <c r="M26" i="10"/>
  <c r="H35" i="17"/>
  <c r="J34" i="17"/>
  <c r="L25" i="17"/>
  <c r="M25" i="17" s="1"/>
  <c r="I27" i="17"/>
  <c r="K26" i="17"/>
  <c r="N24" i="17"/>
  <c r="H40" i="8"/>
  <c r="L33" i="8"/>
  <c r="M33" i="8" s="1"/>
  <c r="N33" i="8"/>
  <c r="J29" i="10"/>
  <c r="G28" i="10"/>
  <c r="H27" i="10"/>
  <c r="I27" i="10" s="1"/>
  <c r="N27" i="10"/>
  <c r="D42" i="8"/>
  <c r="G41" i="8"/>
  <c r="L27" i="10"/>
  <c r="K28" i="10"/>
  <c r="D30" i="10"/>
  <c r="E29" i="10"/>
  <c r="J34" i="8"/>
  <c r="K34" i="8" s="1"/>
  <c r="H47" i="13"/>
  <c r="E32" i="8"/>
  <c r="M64" i="31" l="1"/>
  <c r="G66" i="31"/>
  <c r="H65" i="31"/>
  <c r="I65" i="31" s="1"/>
  <c r="N65" i="31"/>
  <c r="K66" i="31"/>
  <c r="L65" i="31"/>
  <c r="M65" i="31" s="1"/>
  <c r="D68" i="31"/>
  <c r="J67" i="31"/>
  <c r="E67" i="31"/>
  <c r="D66" i="30"/>
  <c r="E65" i="30"/>
  <c r="J66" i="29"/>
  <c r="D67" i="29"/>
  <c r="E66" i="29"/>
  <c r="G65" i="29"/>
  <c r="H64" i="29"/>
  <c r="I64" i="29" s="1"/>
  <c r="N64" i="29"/>
  <c r="M63" i="29"/>
  <c r="O64" i="29"/>
  <c r="K65" i="29"/>
  <c r="L64" i="29"/>
  <c r="H36" i="17"/>
  <c r="J35" i="17"/>
  <c r="M27" i="10"/>
  <c r="N25" i="17"/>
  <c r="I28" i="17"/>
  <c r="K27" i="17"/>
  <c r="O25" i="17"/>
  <c r="L26" i="17"/>
  <c r="M26" i="17" s="1"/>
  <c r="O26" i="17" s="1"/>
  <c r="H41" i="8"/>
  <c r="L28" i="10"/>
  <c r="K29" i="10"/>
  <c r="J30" i="10"/>
  <c r="D43" i="8"/>
  <c r="G42" i="8"/>
  <c r="L34" i="8"/>
  <c r="M34" i="8" s="1"/>
  <c r="N34" i="8"/>
  <c r="G29" i="10"/>
  <c r="H28" i="10"/>
  <c r="I28" i="10" s="1"/>
  <c r="N28" i="10"/>
  <c r="E33" i="8"/>
  <c r="D31" i="10"/>
  <c r="E30" i="10"/>
  <c r="J35" i="8"/>
  <c r="K35" i="8" s="1"/>
  <c r="M64" i="29" l="1"/>
  <c r="J68" i="31"/>
  <c r="D69" i="31"/>
  <c r="E68" i="31"/>
  <c r="K67" i="31"/>
  <c r="L66" i="31"/>
  <c r="G67" i="31"/>
  <c r="H66" i="31"/>
  <c r="I66" i="31" s="1"/>
  <c r="N66" i="31"/>
  <c r="D67" i="30"/>
  <c r="E66" i="30"/>
  <c r="K66" i="29"/>
  <c r="O65" i="29"/>
  <c r="L65" i="29"/>
  <c r="G66" i="29"/>
  <c r="H65" i="29"/>
  <c r="I65" i="29" s="1"/>
  <c r="N65" i="29"/>
  <c r="D68" i="29"/>
  <c r="J67" i="29"/>
  <c r="E67" i="29"/>
  <c r="H37" i="17"/>
  <c r="J36" i="17"/>
  <c r="I29" i="17"/>
  <c r="K28" i="17"/>
  <c r="N26" i="17"/>
  <c r="L27" i="17"/>
  <c r="M27" i="17" s="1"/>
  <c r="O27" i="17" s="1"/>
  <c r="H42" i="8"/>
  <c r="G30" i="10"/>
  <c r="H29" i="10"/>
  <c r="I29" i="10" s="1"/>
  <c r="N29" i="10"/>
  <c r="J31" i="10"/>
  <c r="L29" i="10"/>
  <c r="K30" i="10"/>
  <c r="D44" i="8"/>
  <c r="G43" i="8"/>
  <c r="L35" i="8"/>
  <c r="M35" i="8" s="1"/>
  <c r="N35" i="8"/>
  <c r="M28" i="10"/>
  <c r="J36" i="8"/>
  <c r="K36" i="8" s="1"/>
  <c r="E34" i="8"/>
  <c r="E31" i="10"/>
  <c r="D32" i="10"/>
  <c r="G68" i="31" l="1"/>
  <c r="H67" i="31"/>
  <c r="I67" i="31" s="1"/>
  <c r="N67" i="31"/>
  <c r="M66" i="31"/>
  <c r="K68" i="31"/>
  <c r="L67" i="31"/>
  <c r="M67" i="31" s="1"/>
  <c r="J69" i="31"/>
  <c r="D70" i="31"/>
  <c r="E69" i="31"/>
  <c r="D68" i="30"/>
  <c r="E67" i="30"/>
  <c r="D69" i="29"/>
  <c r="J68" i="29"/>
  <c r="E68" i="29"/>
  <c r="G67" i="29"/>
  <c r="H66" i="29"/>
  <c r="I66" i="29" s="1"/>
  <c r="N66" i="29"/>
  <c r="M65" i="29"/>
  <c r="K67" i="29"/>
  <c r="O66" i="29"/>
  <c r="L66" i="29"/>
  <c r="H38" i="17"/>
  <c r="J37" i="17"/>
  <c r="N27" i="17"/>
  <c r="L28" i="17"/>
  <c r="M28" i="17" s="1"/>
  <c r="O28" i="17" s="1"/>
  <c r="I30" i="17"/>
  <c r="K29" i="17"/>
  <c r="H43" i="8"/>
  <c r="D45" i="8"/>
  <c r="G44" i="8"/>
  <c r="J32" i="10"/>
  <c r="L36" i="8"/>
  <c r="M36" i="8" s="1"/>
  <c r="N36" i="8"/>
  <c r="G31" i="10"/>
  <c r="H30" i="10"/>
  <c r="I30" i="10" s="1"/>
  <c r="N30" i="10"/>
  <c r="L30" i="10"/>
  <c r="K31" i="10"/>
  <c r="M29" i="10"/>
  <c r="E35" i="8"/>
  <c r="J37" i="8"/>
  <c r="K37" i="8" s="1"/>
  <c r="D33" i="10"/>
  <c r="E32" i="10"/>
  <c r="M66" i="29" l="1"/>
  <c r="D71" i="31"/>
  <c r="J70" i="31"/>
  <c r="E70" i="31"/>
  <c r="K69" i="31"/>
  <c r="L68" i="31"/>
  <c r="G69" i="31"/>
  <c r="H68" i="31"/>
  <c r="I68" i="31" s="1"/>
  <c r="N68" i="31"/>
  <c r="D69" i="30"/>
  <c r="E68" i="30"/>
  <c r="K68" i="29"/>
  <c r="O67" i="29"/>
  <c r="L67" i="29"/>
  <c r="G68" i="29"/>
  <c r="H67" i="29"/>
  <c r="I67" i="29" s="1"/>
  <c r="N67" i="29"/>
  <c r="J69" i="29"/>
  <c r="D70" i="29"/>
  <c r="E69" i="29"/>
  <c r="H39" i="17"/>
  <c r="J38" i="17"/>
  <c r="L29" i="17"/>
  <c r="M29" i="17" s="1"/>
  <c r="O29" i="17" s="1"/>
  <c r="I31" i="17"/>
  <c r="K30" i="17"/>
  <c r="N28" i="17"/>
  <c r="M30" i="10"/>
  <c r="H44" i="8"/>
  <c r="J33" i="10"/>
  <c r="D46" i="8"/>
  <c r="G45" i="8"/>
  <c r="G32" i="10"/>
  <c r="H31" i="10"/>
  <c r="I31" i="10" s="1"/>
  <c r="N31" i="10"/>
  <c r="L31" i="10"/>
  <c r="K32" i="10"/>
  <c r="L37" i="8"/>
  <c r="M37" i="8" s="1"/>
  <c r="E36" i="8"/>
  <c r="E33" i="10"/>
  <c r="D34" i="10"/>
  <c r="J38" i="8"/>
  <c r="K38" i="8" s="1"/>
  <c r="M68" i="31" l="1"/>
  <c r="J71" i="31"/>
  <c r="D72" i="31"/>
  <c r="E71" i="31"/>
  <c r="G70" i="31"/>
  <c r="H69" i="31"/>
  <c r="I69" i="31" s="1"/>
  <c r="N69" i="31"/>
  <c r="K70" i="31"/>
  <c r="L69" i="31"/>
  <c r="D70" i="30"/>
  <c r="E69" i="30"/>
  <c r="D71" i="29"/>
  <c r="J70" i="29"/>
  <c r="E70" i="29"/>
  <c r="G69" i="29"/>
  <c r="H68" i="29"/>
  <c r="N68" i="29"/>
  <c r="M67" i="29"/>
  <c r="O68" i="29"/>
  <c r="K69" i="29"/>
  <c r="L68" i="29"/>
  <c r="H40" i="17"/>
  <c r="J39" i="17"/>
  <c r="I32" i="17"/>
  <c r="K31" i="17"/>
  <c r="L30" i="17"/>
  <c r="M30" i="17" s="1"/>
  <c r="O30" i="17" s="1"/>
  <c r="N29" i="17"/>
  <c r="H45" i="8"/>
  <c r="G33" i="10"/>
  <c r="H32" i="10"/>
  <c r="I32" i="10" s="1"/>
  <c r="N32" i="10"/>
  <c r="D47" i="8"/>
  <c r="G46" i="8"/>
  <c r="J34" i="10"/>
  <c r="M31" i="10"/>
  <c r="L32" i="10"/>
  <c r="K33" i="10"/>
  <c r="L38" i="8"/>
  <c r="N37" i="8"/>
  <c r="E37" i="8"/>
  <c r="E34" i="10"/>
  <c r="D35" i="10"/>
  <c r="J39" i="8"/>
  <c r="K39" i="8" s="1"/>
  <c r="I68" i="29" l="1"/>
  <c r="M68" i="29" s="1"/>
  <c r="M69" i="31"/>
  <c r="G71" i="31"/>
  <c r="H70" i="31"/>
  <c r="I70" i="31" s="1"/>
  <c r="N70" i="31"/>
  <c r="K71" i="31"/>
  <c r="L70" i="31"/>
  <c r="M70" i="31" s="1"/>
  <c r="D73" i="31"/>
  <c r="J72" i="31"/>
  <c r="E72" i="31"/>
  <c r="D71" i="30"/>
  <c r="E70" i="30"/>
  <c r="K70" i="29"/>
  <c r="O69" i="29"/>
  <c r="L69" i="29"/>
  <c r="G70" i="29"/>
  <c r="H69" i="29"/>
  <c r="I69" i="29" s="1"/>
  <c r="N69" i="29"/>
  <c r="J71" i="29"/>
  <c r="D72" i="29"/>
  <c r="E71" i="29"/>
  <c r="H41" i="17"/>
  <c r="J40" i="17"/>
  <c r="M32" i="10"/>
  <c r="N30" i="17"/>
  <c r="L31" i="17"/>
  <c r="M31" i="17" s="1"/>
  <c r="I33" i="17"/>
  <c r="K32" i="17"/>
  <c r="H46" i="8"/>
  <c r="J35" i="10"/>
  <c r="D48" i="8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G47" i="8"/>
  <c r="G34" i="10"/>
  <c r="H33" i="10"/>
  <c r="I33" i="10" s="1"/>
  <c r="N33" i="10"/>
  <c r="L33" i="10"/>
  <c r="K34" i="10"/>
  <c r="L39" i="8"/>
  <c r="N38" i="8"/>
  <c r="E38" i="8"/>
  <c r="I38" i="8" s="1"/>
  <c r="M38" i="8" s="1"/>
  <c r="J40" i="8"/>
  <c r="K40" i="8" s="1"/>
  <c r="D36" i="10"/>
  <c r="E35" i="10"/>
  <c r="D74" i="31" l="1"/>
  <c r="J73" i="31"/>
  <c r="E73" i="31"/>
  <c r="K72" i="31"/>
  <c r="L71" i="31"/>
  <c r="G72" i="31"/>
  <c r="H71" i="31"/>
  <c r="I71" i="31" s="1"/>
  <c r="N71" i="31"/>
  <c r="D72" i="30"/>
  <c r="E71" i="30"/>
  <c r="G71" i="29"/>
  <c r="H70" i="29"/>
  <c r="I70" i="29" s="1"/>
  <c r="N70" i="29"/>
  <c r="D73" i="29"/>
  <c r="J72" i="29"/>
  <c r="E72" i="29"/>
  <c r="M69" i="29"/>
  <c r="O70" i="29"/>
  <c r="K71" i="29"/>
  <c r="L70" i="29"/>
  <c r="H42" i="17"/>
  <c r="J41" i="17"/>
  <c r="L32" i="17"/>
  <c r="M32" i="17" s="1"/>
  <c r="N31" i="17"/>
  <c r="I34" i="17"/>
  <c r="K33" i="17"/>
  <c r="O31" i="17"/>
  <c r="H47" i="8"/>
  <c r="M33" i="10"/>
  <c r="G35" i="10"/>
  <c r="H34" i="10"/>
  <c r="I34" i="10" s="1"/>
  <c r="N34" i="10"/>
  <c r="J36" i="10"/>
  <c r="L34" i="10"/>
  <c r="K35" i="10"/>
  <c r="L40" i="8"/>
  <c r="J41" i="8"/>
  <c r="K41" i="8" s="1"/>
  <c r="D37" i="10"/>
  <c r="J37" i="10" s="1"/>
  <c r="E36" i="10"/>
  <c r="N39" i="8"/>
  <c r="E39" i="8"/>
  <c r="I39" i="8" s="1"/>
  <c r="M39" i="8" s="1"/>
  <c r="M70" i="29" l="1"/>
  <c r="G73" i="31"/>
  <c r="H72" i="31"/>
  <c r="I72" i="31" s="1"/>
  <c r="N72" i="31"/>
  <c r="M71" i="31"/>
  <c r="K73" i="31"/>
  <c r="L72" i="31"/>
  <c r="M72" i="31" s="1"/>
  <c r="J74" i="31"/>
  <c r="D75" i="31"/>
  <c r="E74" i="31"/>
  <c r="D73" i="30"/>
  <c r="E72" i="30"/>
  <c r="K72" i="29"/>
  <c r="O71" i="29"/>
  <c r="L71" i="29"/>
  <c r="D74" i="29"/>
  <c r="J73" i="29"/>
  <c r="E73" i="29"/>
  <c r="G72" i="29"/>
  <c r="H71" i="29"/>
  <c r="I71" i="29" s="1"/>
  <c r="N71" i="29"/>
  <c r="O32" i="17"/>
  <c r="H43" i="17"/>
  <c r="J42" i="17"/>
  <c r="I35" i="17"/>
  <c r="K34" i="17"/>
  <c r="L33" i="17"/>
  <c r="M33" i="17" s="1"/>
  <c r="O33" i="17" s="1"/>
  <c r="N32" i="17"/>
  <c r="L35" i="10"/>
  <c r="K36" i="10"/>
  <c r="M34" i="10"/>
  <c r="G36" i="10"/>
  <c r="H35" i="10"/>
  <c r="I35" i="10" s="1"/>
  <c r="N35" i="10"/>
  <c r="L41" i="8"/>
  <c r="D38" i="10"/>
  <c r="J38" i="10" s="1"/>
  <c r="E37" i="10"/>
  <c r="J42" i="8"/>
  <c r="K42" i="8" s="1"/>
  <c r="N40" i="8"/>
  <c r="E40" i="8"/>
  <c r="I40" i="8" s="1"/>
  <c r="M40" i="8" s="1"/>
  <c r="D76" i="31" l="1"/>
  <c r="J75" i="31"/>
  <c r="E75" i="31"/>
  <c r="G74" i="31"/>
  <c r="H73" i="31"/>
  <c r="I73" i="31" s="1"/>
  <c r="N73" i="31"/>
  <c r="K74" i="31"/>
  <c r="L73" i="31"/>
  <c r="D74" i="30"/>
  <c r="E73" i="30"/>
  <c r="G73" i="29"/>
  <c r="H72" i="29"/>
  <c r="I72" i="29" s="1"/>
  <c r="N72" i="29"/>
  <c r="J74" i="29"/>
  <c r="D75" i="29"/>
  <c r="E74" i="29"/>
  <c r="M71" i="29"/>
  <c r="O72" i="29"/>
  <c r="K73" i="29"/>
  <c r="L72" i="29"/>
  <c r="H44" i="17"/>
  <c r="J43" i="17"/>
  <c r="L34" i="17"/>
  <c r="M34" i="17" s="1"/>
  <c r="O34" i="17" s="1"/>
  <c r="I36" i="17"/>
  <c r="K35" i="17"/>
  <c r="N33" i="17"/>
  <c r="M35" i="10"/>
  <c r="G37" i="10"/>
  <c r="H36" i="10"/>
  <c r="I36" i="10" s="1"/>
  <c r="N36" i="10"/>
  <c r="L36" i="10"/>
  <c r="K37" i="10"/>
  <c r="L42" i="8"/>
  <c r="J43" i="8"/>
  <c r="K43" i="8" s="1"/>
  <c r="N41" i="8"/>
  <c r="E41" i="8"/>
  <c r="I41" i="8" s="1"/>
  <c r="M41" i="8" s="1"/>
  <c r="D39" i="10"/>
  <c r="J39" i="10" s="1"/>
  <c r="E38" i="10"/>
  <c r="M73" i="31" l="1"/>
  <c r="M72" i="29"/>
  <c r="G75" i="31"/>
  <c r="H74" i="31"/>
  <c r="I74" i="31" s="1"/>
  <c r="N74" i="31"/>
  <c r="K75" i="31"/>
  <c r="L74" i="31"/>
  <c r="J76" i="31"/>
  <c r="D77" i="31"/>
  <c r="E76" i="31"/>
  <c r="D75" i="30"/>
  <c r="E74" i="30"/>
  <c r="K74" i="29"/>
  <c r="O73" i="29"/>
  <c r="L73" i="29"/>
  <c r="D76" i="29"/>
  <c r="J75" i="29"/>
  <c r="E75" i="29"/>
  <c r="G74" i="29"/>
  <c r="H73" i="29"/>
  <c r="I73" i="29" s="1"/>
  <c r="N73" i="29"/>
  <c r="H45" i="17"/>
  <c r="J45" i="17" s="1"/>
  <c r="J44" i="17"/>
  <c r="I37" i="17"/>
  <c r="K36" i="17"/>
  <c r="L35" i="17"/>
  <c r="M35" i="17" s="1"/>
  <c r="O35" i="17" s="1"/>
  <c r="N34" i="17"/>
  <c r="K38" i="10"/>
  <c r="L37" i="10"/>
  <c r="M36" i="10"/>
  <c r="H37" i="10"/>
  <c r="I37" i="10" s="1"/>
  <c r="G38" i="10"/>
  <c r="N37" i="10"/>
  <c r="L43" i="8"/>
  <c r="J44" i="8"/>
  <c r="K44" i="8" s="1"/>
  <c r="D40" i="10"/>
  <c r="J40" i="10" s="1"/>
  <c r="E39" i="10"/>
  <c r="N42" i="8"/>
  <c r="E42" i="8"/>
  <c r="I42" i="8" s="1"/>
  <c r="M42" i="8" s="1"/>
  <c r="M74" i="31" l="1"/>
  <c r="K76" i="31"/>
  <c r="L75" i="31"/>
  <c r="J77" i="31"/>
  <c r="D78" i="31"/>
  <c r="E77" i="31"/>
  <c r="G76" i="31"/>
  <c r="H75" i="31"/>
  <c r="I75" i="31" s="1"/>
  <c r="N75" i="31"/>
  <c r="D76" i="30"/>
  <c r="E75" i="30"/>
  <c r="G75" i="29"/>
  <c r="H74" i="29"/>
  <c r="I74" i="29" s="1"/>
  <c r="N74" i="29"/>
  <c r="J76" i="29"/>
  <c r="D77" i="29"/>
  <c r="E76" i="29"/>
  <c r="M73" i="29"/>
  <c r="O74" i="29"/>
  <c r="K75" i="29"/>
  <c r="L74" i="29"/>
  <c r="I38" i="17"/>
  <c r="K37" i="17"/>
  <c r="L36" i="17"/>
  <c r="M36" i="17" s="1"/>
  <c r="N35" i="17"/>
  <c r="G39" i="10"/>
  <c r="H38" i="10"/>
  <c r="I38" i="10" s="1"/>
  <c r="N38" i="10"/>
  <c r="M37" i="10"/>
  <c r="L38" i="10"/>
  <c r="K39" i="10"/>
  <c r="L44" i="8"/>
  <c r="J45" i="8"/>
  <c r="K45" i="8" s="1"/>
  <c r="N43" i="8"/>
  <c r="E43" i="8"/>
  <c r="I43" i="8" s="1"/>
  <c r="M43" i="8" s="1"/>
  <c r="D41" i="10"/>
  <c r="J41" i="10" s="1"/>
  <c r="E40" i="10"/>
  <c r="M74" i="29" l="1"/>
  <c r="G77" i="31"/>
  <c r="H76" i="31"/>
  <c r="I76" i="31" s="1"/>
  <c r="N76" i="31"/>
  <c r="D79" i="31"/>
  <c r="J78" i="31"/>
  <c r="E78" i="31"/>
  <c r="M75" i="31"/>
  <c r="K77" i="31"/>
  <c r="L76" i="31"/>
  <c r="M76" i="31" s="1"/>
  <c r="D77" i="30"/>
  <c r="E76" i="30"/>
  <c r="K76" i="29"/>
  <c r="O75" i="29"/>
  <c r="L75" i="29"/>
  <c r="D78" i="29"/>
  <c r="J77" i="29"/>
  <c r="E77" i="29"/>
  <c r="G76" i="29"/>
  <c r="H75" i="29"/>
  <c r="I75" i="29" s="1"/>
  <c r="N75" i="29"/>
  <c r="M38" i="10"/>
  <c r="N36" i="17"/>
  <c r="I39" i="17"/>
  <c r="K38" i="17"/>
  <c r="O36" i="17"/>
  <c r="L37" i="17"/>
  <c r="M37" i="17" s="1"/>
  <c r="O37" i="17" s="1"/>
  <c r="K40" i="10"/>
  <c r="L39" i="10"/>
  <c r="G40" i="10"/>
  <c r="H39" i="10"/>
  <c r="I39" i="10" s="1"/>
  <c r="N39" i="10"/>
  <c r="L45" i="8"/>
  <c r="N44" i="8"/>
  <c r="E44" i="8"/>
  <c r="I44" i="8" s="1"/>
  <c r="M44" i="8" s="1"/>
  <c r="J46" i="8"/>
  <c r="K46" i="8" s="1"/>
  <c r="D42" i="10"/>
  <c r="J42" i="10" s="1"/>
  <c r="E41" i="10"/>
  <c r="K78" i="31" l="1"/>
  <c r="L77" i="31"/>
  <c r="D80" i="31"/>
  <c r="J79" i="31"/>
  <c r="E79" i="31"/>
  <c r="G78" i="31"/>
  <c r="H77" i="31"/>
  <c r="I77" i="31" s="1"/>
  <c r="N77" i="31"/>
  <c r="D78" i="30"/>
  <c r="E77" i="30"/>
  <c r="G77" i="29"/>
  <c r="H76" i="29"/>
  <c r="I76" i="29" s="1"/>
  <c r="N76" i="29"/>
  <c r="J78" i="29"/>
  <c r="D79" i="29"/>
  <c r="E78" i="29"/>
  <c r="M75" i="29"/>
  <c r="O76" i="29"/>
  <c r="K77" i="29"/>
  <c r="L76" i="29"/>
  <c r="N37" i="17"/>
  <c r="I40" i="17"/>
  <c r="K39" i="17"/>
  <c r="L38" i="17"/>
  <c r="M38" i="17" s="1"/>
  <c r="G41" i="10"/>
  <c r="H40" i="10"/>
  <c r="I40" i="10" s="1"/>
  <c r="N40" i="10"/>
  <c r="M39" i="10"/>
  <c r="K41" i="10"/>
  <c r="L40" i="10"/>
  <c r="L46" i="8"/>
  <c r="D43" i="10"/>
  <c r="J43" i="10" s="1"/>
  <c r="E42" i="10"/>
  <c r="N45" i="8"/>
  <c r="E45" i="8"/>
  <c r="I45" i="8" s="1"/>
  <c r="M45" i="8" s="1"/>
  <c r="J47" i="8"/>
  <c r="K47" i="8" s="1"/>
  <c r="M76" i="29" l="1"/>
  <c r="G79" i="31"/>
  <c r="H78" i="31"/>
  <c r="I78" i="31" s="1"/>
  <c r="N78" i="31"/>
  <c r="J80" i="31"/>
  <c r="D81" i="31"/>
  <c r="E80" i="31"/>
  <c r="M77" i="31"/>
  <c r="K79" i="31"/>
  <c r="L78" i="31"/>
  <c r="M78" i="31" s="1"/>
  <c r="D79" i="30"/>
  <c r="E78" i="30"/>
  <c r="D80" i="29"/>
  <c r="J79" i="29"/>
  <c r="E79" i="29"/>
  <c r="K78" i="29"/>
  <c r="O77" i="29"/>
  <c r="L77" i="29"/>
  <c r="G78" i="29"/>
  <c r="H77" i="29"/>
  <c r="I77" i="29" s="1"/>
  <c r="N77" i="29"/>
  <c r="M40" i="10"/>
  <c r="L39" i="17"/>
  <c r="M39" i="17" s="1"/>
  <c r="O39" i="17" s="1"/>
  <c r="I41" i="17"/>
  <c r="K40" i="17"/>
  <c r="N38" i="17"/>
  <c r="O38" i="17"/>
  <c r="L41" i="10"/>
  <c r="K42" i="10"/>
  <c r="G42" i="10"/>
  <c r="H41" i="10"/>
  <c r="I41" i="10" s="1"/>
  <c r="N41" i="10"/>
  <c r="L47" i="8"/>
  <c r="N46" i="8"/>
  <c r="E46" i="8"/>
  <c r="I46" i="8" s="1"/>
  <c r="M46" i="8" s="1"/>
  <c r="D44" i="10"/>
  <c r="J44" i="10" s="1"/>
  <c r="E43" i="10"/>
  <c r="K80" i="31" l="1"/>
  <c r="L79" i="31"/>
  <c r="J81" i="31"/>
  <c r="D82" i="31"/>
  <c r="E81" i="31"/>
  <c r="G80" i="31"/>
  <c r="H79" i="31"/>
  <c r="I79" i="31" s="1"/>
  <c r="N79" i="31"/>
  <c r="D80" i="30"/>
  <c r="E79" i="30"/>
  <c r="G79" i="29"/>
  <c r="H78" i="29"/>
  <c r="I78" i="29" s="1"/>
  <c r="N78" i="29"/>
  <c r="M77" i="29"/>
  <c r="O78" i="29"/>
  <c r="K79" i="29"/>
  <c r="L78" i="29"/>
  <c r="D81" i="29"/>
  <c r="J80" i="29"/>
  <c r="E80" i="29"/>
  <c r="L40" i="17"/>
  <c r="M40" i="17" s="1"/>
  <c r="O40" i="17" s="1"/>
  <c r="I42" i="17"/>
  <c r="K41" i="17"/>
  <c r="N39" i="17"/>
  <c r="G43" i="10"/>
  <c r="H42" i="10"/>
  <c r="I42" i="10" s="1"/>
  <c r="N42" i="10"/>
  <c r="K43" i="10"/>
  <c r="L42" i="10"/>
  <c r="M41" i="10"/>
  <c r="D45" i="10"/>
  <c r="J45" i="10" s="1"/>
  <c r="E44" i="10"/>
  <c r="N47" i="8"/>
  <c r="E47" i="8"/>
  <c r="I47" i="8" s="1"/>
  <c r="M47" i="8" s="1"/>
  <c r="M78" i="29" l="1"/>
  <c r="D83" i="31"/>
  <c r="J82" i="31"/>
  <c r="E82" i="31"/>
  <c r="G81" i="31"/>
  <c r="H80" i="31"/>
  <c r="I80" i="31" s="1"/>
  <c r="N80" i="31"/>
  <c r="M79" i="31"/>
  <c r="K81" i="31"/>
  <c r="L80" i="31"/>
  <c r="D81" i="30"/>
  <c r="E80" i="30"/>
  <c r="J81" i="29"/>
  <c r="D82" i="29"/>
  <c r="E81" i="29"/>
  <c r="K80" i="29"/>
  <c r="O79" i="29"/>
  <c r="L79" i="29"/>
  <c r="G80" i="29"/>
  <c r="H79" i="29"/>
  <c r="I79" i="29" s="1"/>
  <c r="N79" i="29"/>
  <c r="M42" i="10"/>
  <c r="L41" i="17"/>
  <c r="M41" i="17" s="1"/>
  <c r="O41" i="17" s="1"/>
  <c r="I43" i="17"/>
  <c r="K42" i="17"/>
  <c r="N40" i="17"/>
  <c r="L43" i="10"/>
  <c r="K44" i="10"/>
  <c r="G44" i="10"/>
  <c r="H43" i="10"/>
  <c r="I43" i="10" s="1"/>
  <c r="N43" i="10"/>
  <c r="D46" i="10"/>
  <c r="J46" i="10" s="1"/>
  <c r="E45" i="10"/>
  <c r="F48" i="8"/>
  <c r="E48" i="8"/>
  <c r="M80" i="31" l="1"/>
  <c r="G82" i="31"/>
  <c r="H81" i="31"/>
  <c r="I81" i="31" s="1"/>
  <c r="N81" i="31"/>
  <c r="K82" i="31"/>
  <c r="L81" i="31"/>
  <c r="J83" i="31"/>
  <c r="D84" i="31"/>
  <c r="E83" i="31"/>
  <c r="D82" i="30"/>
  <c r="E81" i="30"/>
  <c r="G81" i="29"/>
  <c r="H80" i="29"/>
  <c r="I80" i="29" s="1"/>
  <c r="N80" i="29"/>
  <c r="M79" i="29"/>
  <c r="O80" i="29"/>
  <c r="K81" i="29"/>
  <c r="L80" i="29"/>
  <c r="J82" i="29"/>
  <c r="D83" i="29"/>
  <c r="E82" i="29"/>
  <c r="I44" i="17"/>
  <c r="C51" i="17" s="1"/>
  <c r="K43" i="17"/>
  <c r="L42" i="17"/>
  <c r="M42" i="17" s="1"/>
  <c r="O42" i="17" s="1"/>
  <c r="N41" i="17"/>
  <c r="G45" i="10"/>
  <c r="H44" i="10"/>
  <c r="I44" i="10" s="1"/>
  <c r="N44" i="10"/>
  <c r="L44" i="10"/>
  <c r="K45" i="10"/>
  <c r="M43" i="10"/>
  <c r="D47" i="10"/>
  <c r="J47" i="10" s="1"/>
  <c r="E46" i="10"/>
  <c r="F49" i="8"/>
  <c r="J49" i="8" s="1"/>
  <c r="E49" i="8"/>
  <c r="J48" i="8"/>
  <c r="K48" i="8" s="1"/>
  <c r="G48" i="8"/>
  <c r="M81" i="31" l="1"/>
  <c r="M80" i="29"/>
  <c r="D85" i="31"/>
  <c r="J84" i="31"/>
  <c r="E84" i="31"/>
  <c r="K83" i="31"/>
  <c r="L82" i="31"/>
  <c r="G83" i="31"/>
  <c r="H82" i="31"/>
  <c r="I82" i="31" s="1"/>
  <c r="N82" i="31"/>
  <c r="D83" i="30"/>
  <c r="E82" i="30"/>
  <c r="K82" i="29"/>
  <c r="O81" i="29"/>
  <c r="L81" i="29"/>
  <c r="D84" i="29"/>
  <c r="J83" i="29"/>
  <c r="E83" i="29"/>
  <c r="C14" i="32" s="1"/>
  <c r="G82" i="29"/>
  <c r="H81" i="29"/>
  <c r="I81" i="29" s="1"/>
  <c r="N81" i="29"/>
  <c r="M44" i="10"/>
  <c r="I45" i="17"/>
  <c r="K44" i="17"/>
  <c r="C8" i="3"/>
  <c r="G8" i="3" s="1"/>
  <c r="N42" i="17"/>
  <c r="L43" i="17"/>
  <c r="M43" i="17" s="1"/>
  <c r="O43" i="17" s="1"/>
  <c r="K46" i="10"/>
  <c r="L45" i="10"/>
  <c r="G46" i="10"/>
  <c r="H45" i="10"/>
  <c r="I45" i="10" s="1"/>
  <c r="N45" i="10"/>
  <c r="D48" i="10"/>
  <c r="E47" i="10"/>
  <c r="K49" i="8"/>
  <c r="L48" i="8"/>
  <c r="F50" i="8"/>
  <c r="E50" i="8"/>
  <c r="G49" i="8"/>
  <c r="H48" i="8"/>
  <c r="I48" i="8" s="1"/>
  <c r="N48" i="8"/>
  <c r="M82" i="31" l="1"/>
  <c r="K84" i="31"/>
  <c r="L83" i="31"/>
  <c r="G84" i="31"/>
  <c r="H83" i="31"/>
  <c r="I83" i="31" s="1"/>
  <c r="N83" i="31"/>
  <c r="J85" i="31"/>
  <c r="D86" i="31"/>
  <c r="E85" i="31"/>
  <c r="D84" i="30"/>
  <c r="E83" i="30"/>
  <c r="C13" i="32" s="1"/>
  <c r="G83" i="29"/>
  <c r="H82" i="29"/>
  <c r="I82" i="29" s="1"/>
  <c r="N82" i="29"/>
  <c r="J84" i="29"/>
  <c r="D85" i="29"/>
  <c r="E84" i="29"/>
  <c r="M81" i="29"/>
  <c r="O82" i="29"/>
  <c r="K83" i="29"/>
  <c r="L82" i="29"/>
  <c r="K45" i="17"/>
  <c r="L44" i="17"/>
  <c r="M44" i="17" s="1"/>
  <c r="C52" i="17" s="1"/>
  <c r="N43" i="17"/>
  <c r="M45" i="10"/>
  <c r="K47" i="10"/>
  <c r="L47" i="10" s="1"/>
  <c r="L46" i="10"/>
  <c r="G47" i="10"/>
  <c r="H46" i="10"/>
  <c r="I46" i="10" s="1"/>
  <c r="N46" i="10"/>
  <c r="G50" i="8"/>
  <c r="H49" i="8"/>
  <c r="N49" i="8"/>
  <c r="M48" i="8"/>
  <c r="J50" i="8"/>
  <c r="K50" i="8" s="1"/>
  <c r="D49" i="10"/>
  <c r="F48" i="10"/>
  <c r="E48" i="10"/>
  <c r="L49" i="8"/>
  <c r="F51" i="8"/>
  <c r="J51" i="8" s="1"/>
  <c r="E51" i="8"/>
  <c r="M82" i="29" l="1"/>
  <c r="J86" i="31"/>
  <c r="D87" i="31"/>
  <c r="E86" i="31"/>
  <c r="M83" i="31"/>
  <c r="G85" i="31"/>
  <c r="H84" i="31"/>
  <c r="I84" i="31" s="1"/>
  <c r="N84" i="31"/>
  <c r="K85" i="31"/>
  <c r="L84" i="31"/>
  <c r="M84" i="31" s="1"/>
  <c r="D85" i="30"/>
  <c r="E84" i="30"/>
  <c r="K84" i="29"/>
  <c r="O83" i="29"/>
  <c r="L83" i="29"/>
  <c r="C18" i="32" s="1"/>
  <c r="D86" i="29"/>
  <c r="J85" i="29"/>
  <c r="E85" i="29"/>
  <c r="G84" i="29"/>
  <c r="H83" i="29"/>
  <c r="N83" i="29"/>
  <c r="N44" i="17"/>
  <c r="C9" i="3"/>
  <c r="G9" i="3" s="1"/>
  <c r="O44" i="17"/>
  <c r="L45" i="17"/>
  <c r="M45" i="17" s="1"/>
  <c r="H47" i="10"/>
  <c r="I47" i="10" s="1"/>
  <c r="M47" i="10" s="1"/>
  <c r="N47" i="10"/>
  <c r="M46" i="10"/>
  <c r="K51" i="8"/>
  <c r="L50" i="8"/>
  <c r="I49" i="8"/>
  <c r="M49" i="8" s="1"/>
  <c r="D50" i="10"/>
  <c r="F49" i="10"/>
  <c r="J49" i="10" s="1"/>
  <c r="E49" i="10"/>
  <c r="F52" i="8"/>
  <c r="E52" i="8"/>
  <c r="J48" i="10"/>
  <c r="K48" i="10" s="1"/>
  <c r="G48" i="10"/>
  <c r="G51" i="8"/>
  <c r="H50" i="8"/>
  <c r="I50" i="8" s="1"/>
  <c r="N50" i="8"/>
  <c r="I83" i="29" l="1"/>
  <c r="C16" i="32"/>
  <c r="K86" i="31"/>
  <c r="L85" i="31"/>
  <c r="G86" i="31"/>
  <c r="H85" i="31"/>
  <c r="I85" i="31" s="1"/>
  <c r="N85" i="31"/>
  <c r="D88" i="31"/>
  <c r="J87" i="31"/>
  <c r="E87" i="31"/>
  <c r="D86" i="30"/>
  <c r="E85" i="30"/>
  <c r="G85" i="29"/>
  <c r="H84" i="29"/>
  <c r="I84" i="29" s="1"/>
  <c r="N84" i="29"/>
  <c r="J86" i="29"/>
  <c r="D87" i="29"/>
  <c r="E86" i="29"/>
  <c r="M83" i="29"/>
  <c r="O84" i="29"/>
  <c r="K85" i="29"/>
  <c r="L84" i="29"/>
  <c r="N45" i="17"/>
  <c r="C10" i="3"/>
  <c r="G10" i="3" s="1"/>
  <c r="O45" i="17"/>
  <c r="J52" i="8"/>
  <c r="K52" i="8" s="1"/>
  <c r="G49" i="10"/>
  <c r="H48" i="10"/>
  <c r="I48" i="10" s="1"/>
  <c r="N48" i="10"/>
  <c r="F53" i="8"/>
  <c r="E53" i="8"/>
  <c r="F50" i="10"/>
  <c r="D51" i="10"/>
  <c r="E50" i="10"/>
  <c r="G52" i="8"/>
  <c r="H51" i="8"/>
  <c r="I51" i="8" s="1"/>
  <c r="N51" i="8"/>
  <c r="K49" i="10"/>
  <c r="L48" i="10"/>
  <c r="M50" i="8"/>
  <c r="L51" i="8"/>
  <c r="M84" i="29" l="1"/>
  <c r="D89" i="31"/>
  <c r="J88" i="31"/>
  <c r="E88" i="31"/>
  <c r="G87" i="31"/>
  <c r="H86" i="31"/>
  <c r="I86" i="31" s="1"/>
  <c r="N86" i="31"/>
  <c r="M85" i="31"/>
  <c r="K87" i="31"/>
  <c r="L86" i="31"/>
  <c r="D87" i="30"/>
  <c r="E86" i="30"/>
  <c r="O85" i="29"/>
  <c r="K86" i="29"/>
  <c r="L85" i="29"/>
  <c r="J87" i="29"/>
  <c r="D88" i="29"/>
  <c r="E87" i="29"/>
  <c r="G86" i="29"/>
  <c r="H85" i="29"/>
  <c r="I85" i="29" s="1"/>
  <c r="N85" i="29"/>
  <c r="H49" i="10"/>
  <c r="I49" i="10" s="1"/>
  <c r="G50" i="10"/>
  <c r="N49" i="10"/>
  <c r="F54" i="8"/>
  <c r="J54" i="8" s="1"/>
  <c r="E54" i="8"/>
  <c r="G53" i="8"/>
  <c r="H52" i="8"/>
  <c r="I52" i="8" s="1"/>
  <c r="N52" i="8"/>
  <c r="M51" i="8"/>
  <c r="M48" i="10"/>
  <c r="L49" i="10"/>
  <c r="D52" i="10"/>
  <c r="F51" i="10"/>
  <c r="J51" i="10" s="1"/>
  <c r="E51" i="10"/>
  <c r="J53" i="8"/>
  <c r="K53" i="8" s="1"/>
  <c r="L52" i="8"/>
  <c r="J50" i="10"/>
  <c r="K50" i="10" s="1"/>
  <c r="M86" i="31" l="1"/>
  <c r="K88" i="31"/>
  <c r="L87" i="31"/>
  <c r="G88" i="31"/>
  <c r="H87" i="31"/>
  <c r="I87" i="31" s="1"/>
  <c r="N87" i="31"/>
  <c r="J89" i="31"/>
  <c r="D90" i="31"/>
  <c r="E89" i="31"/>
  <c r="D88" i="30"/>
  <c r="E87" i="30"/>
  <c r="G87" i="29"/>
  <c r="H86" i="29"/>
  <c r="N86" i="29"/>
  <c r="J88" i="29"/>
  <c r="D89" i="29"/>
  <c r="E88" i="29"/>
  <c r="M85" i="29"/>
  <c r="O86" i="29"/>
  <c r="K87" i="29"/>
  <c r="L86" i="29"/>
  <c r="M52" i="8"/>
  <c r="K54" i="8"/>
  <c r="L53" i="8"/>
  <c r="F55" i="8"/>
  <c r="E55" i="8"/>
  <c r="G51" i="10"/>
  <c r="H50" i="10"/>
  <c r="I50" i="10" s="1"/>
  <c r="N50" i="10"/>
  <c r="K51" i="10"/>
  <c r="L50" i="10"/>
  <c r="D53" i="10"/>
  <c r="F52" i="10"/>
  <c r="E52" i="10"/>
  <c r="G54" i="8"/>
  <c r="H53" i="8"/>
  <c r="I53" i="8" s="1"/>
  <c r="N53" i="8"/>
  <c r="M49" i="10"/>
  <c r="I86" i="29" l="1"/>
  <c r="M86" i="29"/>
  <c r="G89" i="31"/>
  <c r="H88" i="31"/>
  <c r="I88" i="31" s="1"/>
  <c r="N88" i="31"/>
  <c r="D91" i="31"/>
  <c r="J90" i="31"/>
  <c r="E90" i="31"/>
  <c r="M87" i="31"/>
  <c r="K89" i="31"/>
  <c r="L88" i="31"/>
  <c r="M88" i="31" s="1"/>
  <c r="D89" i="30"/>
  <c r="E88" i="30"/>
  <c r="K88" i="29"/>
  <c r="O87" i="29"/>
  <c r="L87" i="29"/>
  <c r="D90" i="29"/>
  <c r="J89" i="29"/>
  <c r="E89" i="29"/>
  <c r="G88" i="29"/>
  <c r="H87" i="29"/>
  <c r="I87" i="29" s="1"/>
  <c r="N87" i="29"/>
  <c r="M50" i="10"/>
  <c r="J52" i="10"/>
  <c r="K52" i="10" s="1"/>
  <c r="F53" i="10"/>
  <c r="J53" i="10" s="1"/>
  <c r="D54" i="10"/>
  <c r="E53" i="10"/>
  <c r="F56" i="8"/>
  <c r="J56" i="8" s="1"/>
  <c r="E56" i="8"/>
  <c r="J55" i="8"/>
  <c r="K55" i="8" s="1"/>
  <c r="G55" i="8"/>
  <c r="H54" i="8"/>
  <c r="I54" i="8" s="1"/>
  <c r="N54" i="8"/>
  <c r="M53" i="8"/>
  <c r="L51" i="10"/>
  <c r="G52" i="10"/>
  <c r="H51" i="10"/>
  <c r="I51" i="10" s="1"/>
  <c r="N51" i="10"/>
  <c r="L54" i="8"/>
  <c r="K90" i="31" l="1"/>
  <c r="L89" i="31"/>
  <c r="D92" i="31"/>
  <c r="J91" i="31"/>
  <c r="E91" i="31"/>
  <c r="G90" i="31"/>
  <c r="H89" i="31"/>
  <c r="I89" i="31" s="1"/>
  <c r="N89" i="31"/>
  <c r="D90" i="30"/>
  <c r="E89" i="30"/>
  <c r="G89" i="29"/>
  <c r="H88" i="29"/>
  <c r="I88" i="29" s="1"/>
  <c r="N88" i="29"/>
  <c r="D91" i="29"/>
  <c r="J90" i="29"/>
  <c r="E90" i="29"/>
  <c r="M87" i="29"/>
  <c r="K89" i="29"/>
  <c r="O88" i="29"/>
  <c r="L88" i="29"/>
  <c r="M54" i="8"/>
  <c r="M51" i="10"/>
  <c r="K56" i="8"/>
  <c r="L55" i="8"/>
  <c r="G53" i="10"/>
  <c r="H52" i="10"/>
  <c r="I52" i="10" s="1"/>
  <c r="N52" i="10"/>
  <c r="F57" i="8"/>
  <c r="E57" i="8"/>
  <c r="D55" i="10"/>
  <c r="F54" i="10"/>
  <c r="J54" i="10" s="1"/>
  <c r="E54" i="10"/>
  <c r="K53" i="10"/>
  <c r="L52" i="10"/>
  <c r="G56" i="8"/>
  <c r="H55" i="8"/>
  <c r="I55" i="8" s="1"/>
  <c r="N55" i="8"/>
  <c r="M88" i="29" l="1"/>
  <c r="G91" i="31"/>
  <c r="H90" i="31"/>
  <c r="I90" i="31" s="1"/>
  <c r="N90" i="31"/>
  <c r="J92" i="31"/>
  <c r="D93" i="31"/>
  <c r="E92" i="31"/>
  <c r="M89" i="31"/>
  <c r="K91" i="31"/>
  <c r="L90" i="31"/>
  <c r="M90" i="31" s="1"/>
  <c r="D91" i="30"/>
  <c r="E90" i="30"/>
  <c r="K90" i="29"/>
  <c r="O89" i="29"/>
  <c r="L89" i="29"/>
  <c r="J91" i="29"/>
  <c r="D92" i="29"/>
  <c r="E91" i="29"/>
  <c r="G90" i="29"/>
  <c r="H89" i="29"/>
  <c r="I89" i="29" s="1"/>
  <c r="N89" i="29"/>
  <c r="M52" i="10"/>
  <c r="F58" i="8"/>
  <c r="J58" i="8" s="1"/>
  <c r="E58" i="8"/>
  <c r="G54" i="10"/>
  <c r="H53" i="10"/>
  <c r="I53" i="10" s="1"/>
  <c r="N53" i="10"/>
  <c r="G57" i="8"/>
  <c r="H56" i="8"/>
  <c r="I56" i="8" s="1"/>
  <c r="N56" i="8"/>
  <c r="K54" i="10"/>
  <c r="L53" i="10"/>
  <c r="M55" i="8"/>
  <c r="L56" i="8"/>
  <c r="F55" i="10"/>
  <c r="D56" i="10"/>
  <c r="E55" i="10"/>
  <c r="J57" i="8"/>
  <c r="K57" i="8" s="1"/>
  <c r="K92" i="31" l="1"/>
  <c r="L91" i="31"/>
  <c r="D94" i="31"/>
  <c r="J93" i="31"/>
  <c r="E93" i="31"/>
  <c r="G92" i="31"/>
  <c r="H91" i="31"/>
  <c r="I91" i="31" s="1"/>
  <c r="N91" i="31"/>
  <c r="D92" i="30"/>
  <c r="E91" i="30"/>
  <c r="J92" i="29"/>
  <c r="D93" i="29"/>
  <c r="E92" i="29"/>
  <c r="G91" i="29"/>
  <c r="H90" i="29"/>
  <c r="I90" i="29" s="1"/>
  <c r="N90" i="29"/>
  <c r="M89" i="29"/>
  <c r="O90" i="29"/>
  <c r="K91" i="29"/>
  <c r="L90" i="29"/>
  <c r="M56" i="8"/>
  <c r="M53" i="10"/>
  <c r="K58" i="8"/>
  <c r="L57" i="8"/>
  <c r="D57" i="10"/>
  <c r="F56" i="10"/>
  <c r="J56" i="10" s="1"/>
  <c r="E56" i="10"/>
  <c r="J55" i="10"/>
  <c r="K55" i="10" s="1"/>
  <c r="L54" i="10"/>
  <c r="G58" i="8"/>
  <c r="H57" i="8"/>
  <c r="I57" i="8" s="1"/>
  <c r="N57" i="8"/>
  <c r="D60" i="8"/>
  <c r="F59" i="8"/>
  <c r="E59" i="8"/>
  <c r="C13" i="3" s="1"/>
  <c r="G13" i="3" s="1"/>
  <c r="G55" i="10"/>
  <c r="H54" i="10"/>
  <c r="I54" i="10" s="1"/>
  <c r="N54" i="10"/>
  <c r="M90" i="29" l="1"/>
  <c r="G93" i="31"/>
  <c r="H92" i="31"/>
  <c r="I92" i="31" s="1"/>
  <c r="N92" i="31"/>
  <c r="J94" i="31"/>
  <c r="D95" i="31"/>
  <c r="E94" i="31"/>
  <c r="M91" i="31"/>
  <c r="K93" i="31"/>
  <c r="L92" i="31"/>
  <c r="M92" i="31" s="1"/>
  <c r="D93" i="30"/>
  <c r="E92" i="30"/>
  <c r="O91" i="29"/>
  <c r="K92" i="29"/>
  <c r="L91" i="29"/>
  <c r="G92" i="29"/>
  <c r="H91" i="29"/>
  <c r="I91" i="29" s="1"/>
  <c r="N91" i="29"/>
  <c r="D94" i="29"/>
  <c r="J93" i="29"/>
  <c r="E93" i="29"/>
  <c r="J59" i="8"/>
  <c r="K59" i="8" s="1"/>
  <c r="F109" i="8"/>
  <c r="D6" i="22" s="1"/>
  <c r="M54" i="10"/>
  <c r="G56" i="10"/>
  <c r="H55" i="10"/>
  <c r="I55" i="10" s="1"/>
  <c r="N55" i="10"/>
  <c r="D58" i="10"/>
  <c r="F57" i="10"/>
  <c r="E57" i="10"/>
  <c r="M57" i="8"/>
  <c r="K56" i="10"/>
  <c r="L55" i="10"/>
  <c r="G59" i="8"/>
  <c r="H59" i="8" s="1"/>
  <c r="C15" i="3" s="1"/>
  <c r="G15" i="3" s="1"/>
  <c r="H58" i="8"/>
  <c r="I58" i="8" s="1"/>
  <c r="N58" i="8"/>
  <c r="D61" i="8"/>
  <c r="F60" i="8"/>
  <c r="J60" i="8" s="1"/>
  <c r="E60" i="8"/>
  <c r="L58" i="8"/>
  <c r="K94" i="31" l="1"/>
  <c r="L93" i="31"/>
  <c r="D96" i="31"/>
  <c r="J95" i="31"/>
  <c r="E95" i="31"/>
  <c r="G94" i="31"/>
  <c r="H93" i="31"/>
  <c r="I93" i="31" s="1"/>
  <c r="N93" i="31"/>
  <c r="D94" i="30"/>
  <c r="E93" i="30"/>
  <c r="J94" i="29"/>
  <c r="D95" i="29"/>
  <c r="E94" i="29"/>
  <c r="G93" i="29"/>
  <c r="H92" i="29"/>
  <c r="I92" i="29" s="1"/>
  <c r="N92" i="29"/>
  <c r="M91" i="29"/>
  <c r="O92" i="29"/>
  <c r="K93" i="29"/>
  <c r="L92" i="29"/>
  <c r="M55" i="10"/>
  <c r="K60" i="8"/>
  <c r="L59" i="8"/>
  <c r="C17" i="3" s="1"/>
  <c r="G17" i="3" s="1"/>
  <c r="G60" i="8"/>
  <c r="I59" i="8"/>
  <c r="N59" i="8"/>
  <c r="J57" i="10"/>
  <c r="K57" i="10" s="1"/>
  <c r="G57" i="10"/>
  <c r="H56" i="10"/>
  <c r="I56" i="10" s="1"/>
  <c r="N56" i="10"/>
  <c r="L56" i="10"/>
  <c r="F58" i="10"/>
  <c r="J58" i="10" s="1"/>
  <c r="D59" i="10"/>
  <c r="E58" i="10"/>
  <c r="F61" i="8"/>
  <c r="D62" i="8"/>
  <c r="E61" i="8"/>
  <c r="M58" i="8"/>
  <c r="M92" i="29" l="1"/>
  <c r="D97" i="31"/>
  <c r="E96" i="31"/>
  <c r="K95" i="31"/>
  <c r="L94" i="31"/>
  <c r="G95" i="31"/>
  <c r="H94" i="31"/>
  <c r="I94" i="31" s="1"/>
  <c r="N94" i="31"/>
  <c r="M93" i="31"/>
  <c r="D95" i="30"/>
  <c r="E94" i="30"/>
  <c r="O93" i="29"/>
  <c r="K94" i="29"/>
  <c r="L93" i="29"/>
  <c r="G94" i="29"/>
  <c r="H93" i="29"/>
  <c r="I93" i="29" s="1"/>
  <c r="N93" i="29"/>
  <c r="D96" i="29"/>
  <c r="J95" i="29"/>
  <c r="E95" i="29"/>
  <c r="M56" i="10"/>
  <c r="G61" i="8"/>
  <c r="H60" i="8"/>
  <c r="I60" i="8" s="1"/>
  <c r="N60" i="8"/>
  <c r="G58" i="10"/>
  <c r="H57" i="10"/>
  <c r="I57" i="10" s="1"/>
  <c r="N57" i="10"/>
  <c r="D60" i="10"/>
  <c r="F59" i="10"/>
  <c r="F111" i="10" s="1"/>
  <c r="H111" i="10" s="1"/>
  <c r="E59" i="10"/>
  <c r="K58" i="10"/>
  <c r="L57" i="10"/>
  <c r="D63" i="8"/>
  <c r="F62" i="8"/>
  <c r="E62" i="8"/>
  <c r="M59" i="8"/>
  <c r="E6" i="22" s="1"/>
  <c r="J61" i="8"/>
  <c r="K61" i="8" s="1"/>
  <c r="L60" i="8"/>
  <c r="G96" i="31" l="1"/>
  <c r="H95" i="31"/>
  <c r="I95" i="31" s="1"/>
  <c r="N95" i="31"/>
  <c r="D98" i="31"/>
  <c r="E97" i="31"/>
  <c r="M94" i="31"/>
  <c r="K96" i="31"/>
  <c r="L95" i="31"/>
  <c r="M95" i="31" s="1"/>
  <c r="D96" i="30"/>
  <c r="E95" i="30"/>
  <c r="G95" i="29"/>
  <c r="H94" i="29"/>
  <c r="I94" i="29" s="1"/>
  <c r="N94" i="29"/>
  <c r="D97" i="29"/>
  <c r="E96" i="29"/>
  <c r="M93" i="29"/>
  <c r="K95" i="29"/>
  <c r="O94" i="29"/>
  <c r="L94" i="29"/>
  <c r="J59" i="10"/>
  <c r="D7" i="22"/>
  <c r="M57" i="10"/>
  <c r="K59" i="10"/>
  <c r="L58" i="10"/>
  <c r="G62" i="8"/>
  <c r="H61" i="8"/>
  <c r="N61" i="8"/>
  <c r="G59" i="10"/>
  <c r="H58" i="10"/>
  <c r="I58" i="10" s="1"/>
  <c r="N58" i="10"/>
  <c r="M60" i="8"/>
  <c r="J62" i="8"/>
  <c r="K62" i="8" s="1"/>
  <c r="D61" i="10"/>
  <c r="F60" i="10"/>
  <c r="E60" i="10"/>
  <c r="L61" i="8"/>
  <c r="D64" i="8"/>
  <c r="F63" i="8"/>
  <c r="J63" i="8" s="1"/>
  <c r="E63" i="8"/>
  <c r="M94" i="29" l="1"/>
  <c r="D99" i="31"/>
  <c r="E98" i="31"/>
  <c r="G97" i="31"/>
  <c r="H96" i="31"/>
  <c r="I96" i="31" s="1"/>
  <c r="N96" i="31"/>
  <c r="K97" i="31"/>
  <c r="L96" i="31"/>
  <c r="D97" i="30"/>
  <c r="E96" i="30"/>
  <c r="K96" i="29"/>
  <c r="L95" i="29"/>
  <c r="D98" i="29"/>
  <c r="E97" i="29"/>
  <c r="G96" i="29"/>
  <c r="H95" i="29"/>
  <c r="I95" i="29" s="1"/>
  <c r="N95" i="29"/>
  <c r="J60" i="10"/>
  <c r="K60" i="10" s="1"/>
  <c r="K63" i="8"/>
  <c r="L62" i="8"/>
  <c r="I61" i="8"/>
  <c r="M61" i="8" s="1"/>
  <c r="G60" i="10"/>
  <c r="H59" i="10"/>
  <c r="I59" i="10" s="1"/>
  <c r="N59" i="10"/>
  <c r="F64" i="8"/>
  <c r="D65" i="8"/>
  <c r="E64" i="8"/>
  <c r="G63" i="8"/>
  <c r="H62" i="8"/>
  <c r="I62" i="8" s="1"/>
  <c r="N62" i="8"/>
  <c r="M58" i="10"/>
  <c r="D62" i="10"/>
  <c r="F61" i="10"/>
  <c r="E61" i="10"/>
  <c r="L59" i="10"/>
  <c r="M96" i="31" l="1"/>
  <c r="K98" i="31"/>
  <c r="L97" i="31"/>
  <c r="G98" i="31"/>
  <c r="H97" i="31"/>
  <c r="I97" i="31" s="1"/>
  <c r="N97" i="31"/>
  <c r="D100" i="31"/>
  <c r="E99" i="31"/>
  <c r="D98" i="30"/>
  <c r="E97" i="30"/>
  <c r="G97" i="29"/>
  <c r="H96" i="29"/>
  <c r="I96" i="29" s="1"/>
  <c r="N96" i="29"/>
  <c r="D99" i="29"/>
  <c r="E98" i="29"/>
  <c r="M95" i="29"/>
  <c r="K97" i="29"/>
  <c r="L96" i="29"/>
  <c r="M59" i="10"/>
  <c r="E7" i="22" s="1"/>
  <c r="L60" i="10"/>
  <c r="G61" i="10"/>
  <c r="H60" i="10"/>
  <c r="I60" i="10" s="1"/>
  <c r="N60" i="10"/>
  <c r="G64" i="8"/>
  <c r="H63" i="8"/>
  <c r="I63" i="8" s="1"/>
  <c r="N63" i="8"/>
  <c r="J61" i="10"/>
  <c r="K61" i="10" s="1"/>
  <c r="M62" i="8"/>
  <c r="L63" i="8"/>
  <c r="D66" i="8"/>
  <c r="F65" i="8"/>
  <c r="J65" i="8" s="1"/>
  <c r="E65" i="8"/>
  <c r="J64" i="8"/>
  <c r="K64" i="8" s="1"/>
  <c r="D63" i="10"/>
  <c r="F62" i="10"/>
  <c r="E62" i="10"/>
  <c r="M96" i="29" l="1"/>
  <c r="D101" i="31"/>
  <c r="E100" i="31"/>
  <c r="G99" i="31"/>
  <c r="H98" i="31"/>
  <c r="I98" i="31" s="1"/>
  <c r="N98" i="31"/>
  <c r="M97" i="31"/>
  <c r="K99" i="31"/>
  <c r="L98" i="31"/>
  <c r="D99" i="30"/>
  <c r="E98" i="30"/>
  <c r="K98" i="29"/>
  <c r="L97" i="29"/>
  <c r="D100" i="29"/>
  <c r="E99" i="29"/>
  <c r="G98" i="29"/>
  <c r="H97" i="29"/>
  <c r="I97" i="29" s="1"/>
  <c r="N97" i="29"/>
  <c r="E14" i="22"/>
  <c r="M60" i="10"/>
  <c r="K65" i="8"/>
  <c r="L64" i="8"/>
  <c r="L61" i="10"/>
  <c r="G62" i="10"/>
  <c r="H61" i="10"/>
  <c r="I61" i="10" s="1"/>
  <c r="N61" i="10"/>
  <c r="G65" i="8"/>
  <c r="H64" i="8"/>
  <c r="I64" i="8" s="1"/>
  <c r="N64" i="8"/>
  <c r="F63" i="10"/>
  <c r="J63" i="10" s="1"/>
  <c r="D64" i="10"/>
  <c r="E63" i="10"/>
  <c r="J62" i="10"/>
  <c r="K62" i="10" s="1"/>
  <c r="M63" i="8"/>
  <c r="D67" i="8"/>
  <c r="F66" i="8"/>
  <c r="E66" i="8"/>
  <c r="M98" i="31" l="1"/>
  <c r="K100" i="31"/>
  <c r="L99" i="31"/>
  <c r="G100" i="31"/>
  <c r="H99" i="31"/>
  <c r="I99" i="31" s="1"/>
  <c r="N99" i="31"/>
  <c r="D102" i="31"/>
  <c r="E101" i="31"/>
  <c r="D100" i="30"/>
  <c r="E99" i="30"/>
  <c r="G99" i="29"/>
  <c r="H98" i="29"/>
  <c r="I98" i="29" s="1"/>
  <c r="N98" i="29"/>
  <c r="D101" i="29"/>
  <c r="E100" i="29"/>
  <c r="M97" i="29"/>
  <c r="K99" i="29"/>
  <c r="L98" i="29"/>
  <c r="M61" i="10"/>
  <c r="G63" i="10"/>
  <c r="H62" i="10"/>
  <c r="I62" i="10" s="1"/>
  <c r="N62" i="10"/>
  <c r="K63" i="10"/>
  <c r="L62" i="10"/>
  <c r="D65" i="10"/>
  <c r="F64" i="10"/>
  <c r="E64" i="10"/>
  <c r="M64" i="8"/>
  <c r="G66" i="8"/>
  <c r="H65" i="8"/>
  <c r="I65" i="8" s="1"/>
  <c r="N65" i="8"/>
  <c r="D68" i="8"/>
  <c r="F67" i="8"/>
  <c r="J67" i="8" s="1"/>
  <c r="E67" i="8"/>
  <c r="L65" i="8"/>
  <c r="J66" i="8"/>
  <c r="K66" i="8" s="1"/>
  <c r="M98" i="29" l="1"/>
  <c r="D103" i="31"/>
  <c r="E102" i="31"/>
  <c r="G101" i="31"/>
  <c r="H100" i="31"/>
  <c r="I100" i="31" s="1"/>
  <c r="N100" i="31"/>
  <c r="M99" i="31"/>
  <c r="K101" i="31"/>
  <c r="L100" i="31"/>
  <c r="D101" i="30"/>
  <c r="E100" i="30"/>
  <c r="K100" i="29"/>
  <c r="L99" i="29"/>
  <c r="D102" i="29"/>
  <c r="E101" i="29"/>
  <c r="G100" i="29"/>
  <c r="H99" i="29"/>
  <c r="I99" i="29" s="1"/>
  <c r="N99" i="29"/>
  <c r="K67" i="8"/>
  <c r="L66" i="8"/>
  <c r="G67" i="8"/>
  <c r="H66" i="8"/>
  <c r="I66" i="8" s="1"/>
  <c r="N66" i="8"/>
  <c r="G64" i="10"/>
  <c r="H63" i="10"/>
  <c r="I63" i="10" s="1"/>
  <c r="N63" i="10"/>
  <c r="M62" i="10"/>
  <c r="D66" i="10"/>
  <c r="F65" i="10"/>
  <c r="J65" i="10" s="1"/>
  <c r="E65" i="10"/>
  <c r="D69" i="8"/>
  <c r="F68" i="8"/>
  <c r="E68" i="8"/>
  <c r="M65" i="8"/>
  <c r="J64" i="10"/>
  <c r="K64" i="10" s="1"/>
  <c r="L63" i="10"/>
  <c r="M100" i="31" l="1"/>
  <c r="K102" i="31"/>
  <c r="L101" i="31"/>
  <c r="G102" i="31"/>
  <c r="H101" i="31"/>
  <c r="I101" i="31" s="1"/>
  <c r="N101" i="31"/>
  <c r="D104" i="31"/>
  <c r="E103" i="31"/>
  <c r="D102" i="30"/>
  <c r="E101" i="30"/>
  <c r="G101" i="29"/>
  <c r="H100" i="29"/>
  <c r="I100" i="29" s="1"/>
  <c r="N100" i="29"/>
  <c r="D103" i="29"/>
  <c r="E102" i="29"/>
  <c r="M99" i="29"/>
  <c r="K101" i="29"/>
  <c r="L100" i="29"/>
  <c r="K65" i="10"/>
  <c r="L64" i="10"/>
  <c r="F69" i="8"/>
  <c r="J69" i="8" s="1"/>
  <c r="D70" i="8"/>
  <c r="E69" i="8"/>
  <c r="M63" i="10"/>
  <c r="M66" i="8"/>
  <c r="G68" i="8"/>
  <c r="H67" i="8"/>
  <c r="I67" i="8" s="1"/>
  <c r="N67" i="8"/>
  <c r="F66" i="10"/>
  <c r="J66" i="10" s="1"/>
  <c r="D67" i="10"/>
  <c r="E66" i="10"/>
  <c r="G65" i="10"/>
  <c r="H64" i="10"/>
  <c r="I64" i="10" s="1"/>
  <c r="N64" i="10"/>
  <c r="J68" i="8"/>
  <c r="K68" i="8" s="1"/>
  <c r="L67" i="8"/>
  <c r="M100" i="29" l="1"/>
  <c r="D105" i="31"/>
  <c r="E104" i="31"/>
  <c r="G103" i="31"/>
  <c r="H102" i="31"/>
  <c r="I102" i="31" s="1"/>
  <c r="N102" i="31"/>
  <c r="M101" i="31"/>
  <c r="K103" i="31"/>
  <c r="L102" i="31"/>
  <c r="D103" i="30"/>
  <c r="E102" i="30"/>
  <c r="K102" i="29"/>
  <c r="L101" i="29"/>
  <c r="D104" i="29"/>
  <c r="E103" i="29"/>
  <c r="G102" i="29"/>
  <c r="H101" i="29"/>
  <c r="I101" i="29" s="1"/>
  <c r="N101" i="29"/>
  <c r="M64" i="10"/>
  <c r="K69" i="8"/>
  <c r="L68" i="8"/>
  <c r="G66" i="10"/>
  <c r="H65" i="10"/>
  <c r="I65" i="10" s="1"/>
  <c r="N65" i="10"/>
  <c r="G69" i="8"/>
  <c r="H68" i="8"/>
  <c r="I68" i="8" s="1"/>
  <c r="N68" i="8"/>
  <c r="M67" i="8"/>
  <c r="K66" i="10"/>
  <c r="L65" i="10"/>
  <c r="D68" i="10"/>
  <c r="F67" i="10"/>
  <c r="J67" i="10" s="1"/>
  <c r="E67" i="10"/>
  <c r="D71" i="8"/>
  <c r="F70" i="8"/>
  <c r="E70" i="8"/>
  <c r="M102" i="31" l="1"/>
  <c r="G104" i="31"/>
  <c r="H103" i="31"/>
  <c r="I103" i="31" s="1"/>
  <c r="N103" i="31"/>
  <c r="K104" i="31"/>
  <c r="L103" i="31"/>
  <c r="M103" i="31" s="1"/>
  <c r="D106" i="31"/>
  <c r="E105" i="31"/>
  <c r="D104" i="30"/>
  <c r="E103" i="30"/>
  <c r="G103" i="29"/>
  <c r="H102" i="29"/>
  <c r="I102" i="29" s="1"/>
  <c r="N102" i="29"/>
  <c r="D105" i="29"/>
  <c r="E104" i="29"/>
  <c r="M101" i="29"/>
  <c r="K103" i="29"/>
  <c r="L102" i="29"/>
  <c r="M65" i="10"/>
  <c r="G67" i="10"/>
  <c r="H66" i="10"/>
  <c r="I66" i="10" s="1"/>
  <c r="N66" i="10"/>
  <c r="G70" i="8"/>
  <c r="H69" i="8"/>
  <c r="I69" i="8" s="1"/>
  <c r="N69" i="8"/>
  <c r="J70" i="8"/>
  <c r="K70" i="8" s="1"/>
  <c r="M68" i="8"/>
  <c r="D72" i="8"/>
  <c r="F71" i="8"/>
  <c r="J71" i="8" s="1"/>
  <c r="E71" i="8"/>
  <c r="K67" i="10"/>
  <c r="L66" i="10"/>
  <c r="L69" i="8"/>
  <c r="D69" i="10"/>
  <c r="F68" i="10"/>
  <c r="E68" i="10"/>
  <c r="M102" i="29" l="1"/>
  <c r="D107" i="31"/>
  <c r="E106" i="31"/>
  <c r="K105" i="31"/>
  <c r="L104" i="31"/>
  <c r="G105" i="31"/>
  <c r="H104" i="31"/>
  <c r="I104" i="31" s="1"/>
  <c r="N104" i="31"/>
  <c r="D105" i="30"/>
  <c r="E104" i="30"/>
  <c r="K104" i="29"/>
  <c r="L103" i="29"/>
  <c r="D106" i="29"/>
  <c r="E105" i="29"/>
  <c r="G104" i="29"/>
  <c r="H103" i="29"/>
  <c r="I103" i="29" s="1"/>
  <c r="N103" i="29"/>
  <c r="M66" i="10"/>
  <c r="K71" i="8"/>
  <c r="L70" i="8"/>
  <c r="F69" i="10"/>
  <c r="J69" i="10" s="1"/>
  <c r="D70" i="10"/>
  <c r="E69" i="10"/>
  <c r="G71" i="8"/>
  <c r="H70" i="8"/>
  <c r="I70" i="8" s="1"/>
  <c r="N70" i="8"/>
  <c r="G68" i="10"/>
  <c r="H67" i="10"/>
  <c r="I67" i="10" s="1"/>
  <c r="N67" i="10"/>
  <c r="F72" i="8"/>
  <c r="J72" i="8" s="1"/>
  <c r="D73" i="8"/>
  <c r="E72" i="8"/>
  <c r="L67" i="10"/>
  <c r="J68" i="10"/>
  <c r="K68" i="10" s="1"/>
  <c r="M69" i="8"/>
  <c r="M104" i="31" l="1"/>
  <c r="G106" i="31"/>
  <c r="H105" i="31"/>
  <c r="I105" i="31" s="1"/>
  <c r="N105" i="31"/>
  <c r="K106" i="31"/>
  <c r="L105" i="31"/>
  <c r="M105" i="31" s="1"/>
  <c r="E107" i="31"/>
  <c r="D106" i="30"/>
  <c r="E105" i="30"/>
  <c r="G105" i="29"/>
  <c r="H104" i="29"/>
  <c r="I104" i="29" s="1"/>
  <c r="N104" i="29"/>
  <c r="D107" i="29"/>
  <c r="E106" i="29"/>
  <c r="M103" i="29"/>
  <c r="K105" i="29"/>
  <c r="L104" i="29"/>
  <c r="M70" i="8"/>
  <c r="M67" i="10"/>
  <c r="D71" i="10"/>
  <c r="F70" i="10"/>
  <c r="J70" i="10" s="1"/>
  <c r="E70" i="10"/>
  <c r="D74" i="8"/>
  <c r="F73" i="8"/>
  <c r="E73" i="8"/>
  <c r="K72" i="8"/>
  <c r="L71" i="8"/>
  <c r="G72" i="8"/>
  <c r="H71" i="8"/>
  <c r="I71" i="8" s="1"/>
  <c r="N71" i="8"/>
  <c r="K69" i="10"/>
  <c r="L68" i="10"/>
  <c r="G69" i="10"/>
  <c r="H68" i="10"/>
  <c r="I68" i="10" s="1"/>
  <c r="N68" i="10"/>
  <c r="M104" i="29" l="1"/>
  <c r="K107" i="31"/>
  <c r="L107" i="31" s="1"/>
  <c r="L106" i="31"/>
  <c r="G107" i="31"/>
  <c r="H106" i="31"/>
  <c r="I106" i="31" s="1"/>
  <c r="N106" i="31"/>
  <c r="D107" i="30"/>
  <c r="E106" i="30"/>
  <c r="K106" i="29"/>
  <c r="L105" i="29"/>
  <c r="E107" i="29"/>
  <c r="G106" i="29"/>
  <c r="H105" i="29"/>
  <c r="I105" i="29" s="1"/>
  <c r="N105" i="29"/>
  <c r="M71" i="8"/>
  <c r="M68" i="10"/>
  <c r="F71" i="10"/>
  <c r="J71" i="10" s="1"/>
  <c r="D72" i="10"/>
  <c r="E71" i="10"/>
  <c r="G73" i="8"/>
  <c r="H72" i="8"/>
  <c r="I72" i="8" s="1"/>
  <c r="N72" i="8"/>
  <c r="L72" i="8"/>
  <c r="G70" i="10"/>
  <c r="H69" i="10"/>
  <c r="I69" i="10" s="1"/>
  <c r="N69" i="10"/>
  <c r="K70" i="10"/>
  <c r="L69" i="10"/>
  <c r="J73" i="8"/>
  <c r="K73" i="8" s="1"/>
  <c r="D75" i="8"/>
  <c r="F74" i="8"/>
  <c r="J74" i="8" s="1"/>
  <c r="E74" i="8"/>
  <c r="H107" i="31" l="1"/>
  <c r="I107" i="31" s="1"/>
  <c r="M107" i="31" s="1"/>
  <c r="N107" i="31"/>
  <c r="M106" i="31"/>
  <c r="E107" i="30"/>
  <c r="G107" i="29"/>
  <c r="H106" i="29"/>
  <c r="I106" i="29" s="1"/>
  <c r="N106" i="29"/>
  <c r="M105" i="29"/>
  <c r="K107" i="29"/>
  <c r="L107" i="29" s="1"/>
  <c r="L106" i="29"/>
  <c r="M72" i="8"/>
  <c r="M69" i="10"/>
  <c r="D73" i="10"/>
  <c r="F72" i="10"/>
  <c r="J72" i="10" s="1"/>
  <c r="E72" i="10"/>
  <c r="F75" i="8"/>
  <c r="J75" i="8" s="1"/>
  <c r="D76" i="8"/>
  <c r="E75" i="8"/>
  <c r="G71" i="10"/>
  <c r="H70" i="10"/>
  <c r="I70" i="10" s="1"/>
  <c r="N70" i="10"/>
  <c r="G74" i="8"/>
  <c r="H73" i="8"/>
  <c r="N73" i="8"/>
  <c r="K74" i="8"/>
  <c r="L73" i="8"/>
  <c r="K71" i="10"/>
  <c r="L70" i="10"/>
  <c r="M106" i="29" l="1"/>
  <c r="H107" i="29"/>
  <c r="I107" i="29" s="1"/>
  <c r="M107" i="29" s="1"/>
  <c r="N107" i="29"/>
  <c r="M70" i="10"/>
  <c r="K72" i="10"/>
  <c r="L71" i="10"/>
  <c r="G72" i="10"/>
  <c r="H71" i="10"/>
  <c r="I71" i="10" s="1"/>
  <c r="N71" i="10"/>
  <c r="G75" i="8"/>
  <c r="H74" i="8"/>
  <c r="I74" i="8" s="1"/>
  <c r="N74" i="8"/>
  <c r="D77" i="8"/>
  <c r="F76" i="8"/>
  <c r="J76" i="8" s="1"/>
  <c r="E76" i="8"/>
  <c r="K75" i="8"/>
  <c r="L74" i="8"/>
  <c r="I73" i="8"/>
  <c r="M73" i="8" s="1"/>
  <c r="D74" i="10"/>
  <c r="F73" i="10"/>
  <c r="E73" i="10"/>
  <c r="M74" i="8" l="1"/>
  <c r="M71" i="10"/>
  <c r="G73" i="10"/>
  <c r="H72" i="10"/>
  <c r="I72" i="10" s="1"/>
  <c r="N72" i="10"/>
  <c r="L72" i="10"/>
  <c r="F77" i="8"/>
  <c r="J77" i="8" s="1"/>
  <c r="D78" i="8"/>
  <c r="E77" i="8"/>
  <c r="J73" i="10"/>
  <c r="K73" i="10" s="1"/>
  <c r="K76" i="8"/>
  <c r="L75" i="8"/>
  <c r="F74" i="10"/>
  <c r="J74" i="10" s="1"/>
  <c r="D75" i="10"/>
  <c r="E74" i="10"/>
  <c r="G76" i="8"/>
  <c r="H75" i="8"/>
  <c r="I75" i="8" s="1"/>
  <c r="N75" i="8"/>
  <c r="M72" i="10" l="1"/>
  <c r="K74" i="10"/>
  <c r="L73" i="10"/>
  <c r="D79" i="8"/>
  <c r="F78" i="8"/>
  <c r="J78" i="8" s="1"/>
  <c r="E78" i="8"/>
  <c r="G74" i="10"/>
  <c r="H73" i="10"/>
  <c r="I73" i="10" s="1"/>
  <c r="N73" i="10"/>
  <c r="M75" i="8"/>
  <c r="G77" i="8"/>
  <c r="H76" i="8"/>
  <c r="I76" i="8" s="1"/>
  <c r="N76" i="8"/>
  <c r="K77" i="8"/>
  <c r="L76" i="8"/>
  <c r="D76" i="10"/>
  <c r="F75" i="10"/>
  <c r="J75" i="10" s="1"/>
  <c r="E75" i="10"/>
  <c r="M76" i="8" l="1"/>
  <c r="M73" i="10"/>
  <c r="D77" i="10"/>
  <c r="F76" i="10"/>
  <c r="J76" i="10" s="1"/>
  <c r="E76" i="10"/>
  <c r="G78" i="8"/>
  <c r="H77" i="8"/>
  <c r="I77" i="8" s="1"/>
  <c r="N77" i="8"/>
  <c r="K78" i="8"/>
  <c r="L77" i="8"/>
  <c r="D80" i="8"/>
  <c r="F79" i="8"/>
  <c r="J79" i="8" s="1"/>
  <c r="E79" i="8"/>
  <c r="G75" i="10"/>
  <c r="H74" i="10"/>
  <c r="I74" i="10" s="1"/>
  <c r="N74" i="10"/>
  <c r="K75" i="10"/>
  <c r="L74" i="10"/>
  <c r="M77" i="8" l="1"/>
  <c r="K76" i="10"/>
  <c r="L75" i="10"/>
  <c r="K79" i="8"/>
  <c r="L78" i="8"/>
  <c r="D81" i="8"/>
  <c r="F80" i="8"/>
  <c r="J80" i="8" s="1"/>
  <c r="E80" i="8"/>
  <c r="D78" i="10"/>
  <c r="F77" i="10"/>
  <c r="J77" i="10" s="1"/>
  <c r="E77" i="10"/>
  <c r="G76" i="10"/>
  <c r="H75" i="10"/>
  <c r="I75" i="10" s="1"/>
  <c r="N75" i="10"/>
  <c r="G79" i="8"/>
  <c r="H78" i="8"/>
  <c r="I78" i="8" s="1"/>
  <c r="N78" i="8"/>
  <c r="M74" i="10"/>
  <c r="K77" i="10" l="1"/>
  <c r="L76" i="10"/>
  <c r="D82" i="8"/>
  <c r="F81" i="8"/>
  <c r="J81" i="8" s="1"/>
  <c r="E81" i="8"/>
  <c r="G77" i="10"/>
  <c r="H76" i="10"/>
  <c r="I76" i="10" s="1"/>
  <c r="N76" i="10"/>
  <c r="M78" i="8"/>
  <c r="G80" i="8"/>
  <c r="H79" i="8"/>
  <c r="I79" i="8" s="1"/>
  <c r="N79" i="8"/>
  <c r="D79" i="10"/>
  <c r="F78" i="10"/>
  <c r="J78" i="10" s="1"/>
  <c r="E78" i="10"/>
  <c r="K80" i="8"/>
  <c r="L79" i="8"/>
  <c r="M75" i="10"/>
  <c r="M79" i="8" l="1"/>
  <c r="G78" i="10"/>
  <c r="H77" i="10"/>
  <c r="I77" i="10" s="1"/>
  <c r="N77" i="10"/>
  <c r="K81" i="8"/>
  <c r="L80" i="8"/>
  <c r="G81" i="8"/>
  <c r="H80" i="8"/>
  <c r="I80" i="8" s="1"/>
  <c r="N80" i="8"/>
  <c r="K78" i="10"/>
  <c r="L77" i="10"/>
  <c r="F79" i="10"/>
  <c r="J79" i="10" s="1"/>
  <c r="D80" i="10"/>
  <c r="E79" i="10"/>
  <c r="M76" i="10"/>
  <c r="D83" i="8"/>
  <c r="F82" i="8"/>
  <c r="J82" i="8" s="1"/>
  <c r="E82" i="8"/>
  <c r="M77" i="10" l="1"/>
  <c r="M80" i="8"/>
  <c r="K79" i="10"/>
  <c r="L78" i="10"/>
  <c r="K82" i="8"/>
  <c r="L81" i="8"/>
  <c r="G79" i="10"/>
  <c r="H78" i="10"/>
  <c r="I78" i="10" s="1"/>
  <c r="N78" i="10"/>
  <c r="D81" i="10"/>
  <c r="F80" i="10"/>
  <c r="J80" i="10" s="1"/>
  <c r="E80" i="10"/>
  <c r="D84" i="8"/>
  <c r="F83" i="8"/>
  <c r="J83" i="8" s="1"/>
  <c r="E83" i="8"/>
  <c r="G82" i="8"/>
  <c r="H81" i="8"/>
  <c r="I81" i="8" s="1"/>
  <c r="N81" i="8"/>
  <c r="M78" i="10" l="1"/>
  <c r="D85" i="8"/>
  <c r="F84" i="8"/>
  <c r="J84" i="8" s="1"/>
  <c r="E84" i="8"/>
  <c r="G80" i="10"/>
  <c r="H79" i="10"/>
  <c r="I79" i="10" s="1"/>
  <c r="N79" i="10"/>
  <c r="M81" i="8"/>
  <c r="K83" i="8"/>
  <c r="L82" i="8"/>
  <c r="G83" i="8"/>
  <c r="H82" i="8"/>
  <c r="I82" i="8" s="1"/>
  <c r="N82" i="8"/>
  <c r="D82" i="10"/>
  <c r="F81" i="10"/>
  <c r="J81" i="10" s="1"/>
  <c r="E81" i="10"/>
  <c r="K80" i="10"/>
  <c r="L79" i="10"/>
  <c r="M82" i="8" l="1"/>
  <c r="M79" i="10"/>
  <c r="G84" i="8"/>
  <c r="H83" i="8"/>
  <c r="I83" i="8" s="1"/>
  <c r="N83" i="8"/>
  <c r="F82" i="10"/>
  <c r="J82" i="10" s="1"/>
  <c r="D83" i="10"/>
  <c r="E82" i="10"/>
  <c r="K84" i="8"/>
  <c r="L83" i="8"/>
  <c r="K81" i="10"/>
  <c r="L80" i="10"/>
  <c r="F85" i="8"/>
  <c r="J85" i="8" s="1"/>
  <c r="D86" i="8"/>
  <c r="E85" i="8"/>
  <c r="G81" i="10"/>
  <c r="H80" i="10"/>
  <c r="I80" i="10" s="1"/>
  <c r="N80" i="10"/>
  <c r="M83" i="8" l="1"/>
  <c r="F7" i="41" s="1"/>
  <c r="K85" i="8"/>
  <c r="L84" i="8"/>
  <c r="D87" i="8"/>
  <c r="F86" i="8"/>
  <c r="J86" i="8" s="1"/>
  <c r="E86" i="8"/>
  <c r="M80" i="10"/>
  <c r="G85" i="8"/>
  <c r="H84" i="8"/>
  <c r="I84" i="8" s="1"/>
  <c r="N84" i="8"/>
  <c r="D84" i="10"/>
  <c r="F83" i="10"/>
  <c r="J83" i="10" s="1"/>
  <c r="E83" i="10"/>
  <c r="G82" i="10"/>
  <c r="H81" i="10"/>
  <c r="I81" i="10" s="1"/>
  <c r="N81" i="10"/>
  <c r="K82" i="10"/>
  <c r="L81" i="10"/>
  <c r="M84" i="8" l="1"/>
  <c r="D85" i="10"/>
  <c r="F84" i="10"/>
  <c r="J84" i="10" s="1"/>
  <c r="E84" i="10"/>
  <c r="K83" i="10"/>
  <c r="L82" i="10"/>
  <c r="D88" i="8"/>
  <c r="F87" i="8"/>
  <c r="J87" i="8" s="1"/>
  <c r="E87" i="8"/>
  <c r="K86" i="8"/>
  <c r="L85" i="8"/>
  <c r="G83" i="10"/>
  <c r="H82" i="10"/>
  <c r="I82" i="10" s="1"/>
  <c r="N82" i="10"/>
  <c r="G86" i="8"/>
  <c r="H85" i="8"/>
  <c r="I85" i="8" s="1"/>
  <c r="N85" i="8"/>
  <c r="M81" i="10"/>
  <c r="M85" i="8" l="1"/>
  <c r="D89" i="8"/>
  <c r="F88" i="8"/>
  <c r="J88" i="8" s="1"/>
  <c r="E88" i="8"/>
  <c r="K87" i="8"/>
  <c r="L86" i="8"/>
  <c r="G87" i="8"/>
  <c r="H86" i="8"/>
  <c r="I86" i="8" s="1"/>
  <c r="N86" i="8"/>
  <c r="D86" i="10"/>
  <c r="F85" i="10"/>
  <c r="J85" i="10" s="1"/>
  <c r="E85" i="10"/>
  <c r="K84" i="10"/>
  <c r="L83" i="10"/>
  <c r="G84" i="10"/>
  <c r="H83" i="10"/>
  <c r="I83" i="10" s="1"/>
  <c r="N83" i="10"/>
  <c r="M82" i="10"/>
  <c r="M86" i="8" l="1"/>
  <c r="G88" i="8"/>
  <c r="H87" i="8"/>
  <c r="I87" i="8" s="1"/>
  <c r="N87" i="8"/>
  <c r="G85" i="10"/>
  <c r="H84" i="10"/>
  <c r="I84" i="10" s="1"/>
  <c r="N84" i="10"/>
  <c r="K85" i="10"/>
  <c r="L84" i="10"/>
  <c r="M83" i="10"/>
  <c r="F8" i="41" s="1"/>
  <c r="F15" i="41" s="1"/>
  <c r="K88" i="8"/>
  <c r="L87" i="8"/>
  <c r="M87" i="8" s="1"/>
  <c r="D87" i="10"/>
  <c r="F86" i="10"/>
  <c r="J86" i="10" s="1"/>
  <c r="E86" i="10"/>
  <c r="D90" i="8"/>
  <c r="F89" i="8"/>
  <c r="J89" i="8" s="1"/>
  <c r="E89" i="8"/>
  <c r="M84" i="10" l="1"/>
  <c r="D91" i="8"/>
  <c r="F90" i="8"/>
  <c r="J90" i="8" s="1"/>
  <c r="E90" i="8"/>
  <c r="G86" i="10"/>
  <c r="H85" i="10"/>
  <c r="I85" i="10" s="1"/>
  <c r="N85" i="10"/>
  <c r="K89" i="8"/>
  <c r="L88" i="8"/>
  <c r="K86" i="10"/>
  <c r="L85" i="10"/>
  <c r="F87" i="10"/>
  <c r="J87" i="10" s="1"/>
  <c r="D88" i="10"/>
  <c r="E87" i="10"/>
  <c r="G89" i="8"/>
  <c r="H88" i="8"/>
  <c r="I88" i="8" s="1"/>
  <c r="N88" i="8"/>
  <c r="M85" i="10" l="1"/>
  <c r="G90" i="8"/>
  <c r="H89" i="8"/>
  <c r="I89" i="8" s="1"/>
  <c r="N89" i="8"/>
  <c r="K87" i="10"/>
  <c r="L86" i="10"/>
  <c r="M88" i="8"/>
  <c r="K90" i="8"/>
  <c r="L89" i="8"/>
  <c r="D92" i="8"/>
  <c r="F91" i="8"/>
  <c r="J91" i="8" s="1"/>
  <c r="E91" i="8"/>
  <c r="D89" i="10"/>
  <c r="F88" i="10"/>
  <c r="J88" i="10" s="1"/>
  <c r="E88" i="10"/>
  <c r="G87" i="10"/>
  <c r="H86" i="10"/>
  <c r="I86" i="10" s="1"/>
  <c r="N86" i="10"/>
  <c r="M89" i="8" l="1"/>
  <c r="D93" i="8"/>
  <c r="F92" i="8"/>
  <c r="J92" i="8" s="1"/>
  <c r="E92" i="8"/>
  <c r="K91" i="8"/>
  <c r="L90" i="8"/>
  <c r="D90" i="10"/>
  <c r="F89" i="10"/>
  <c r="J89" i="10" s="1"/>
  <c r="E89" i="10"/>
  <c r="G88" i="10"/>
  <c r="H87" i="10"/>
  <c r="I87" i="10" s="1"/>
  <c r="N87" i="10"/>
  <c r="M86" i="10"/>
  <c r="K88" i="10"/>
  <c r="L87" i="10"/>
  <c r="G91" i="8"/>
  <c r="H90" i="8"/>
  <c r="I90" i="8" s="1"/>
  <c r="N90" i="8"/>
  <c r="M87" i="10" l="1"/>
  <c r="K89" i="10"/>
  <c r="L88" i="10"/>
  <c r="G89" i="10"/>
  <c r="H88" i="10"/>
  <c r="I88" i="10" s="1"/>
  <c r="N88" i="10"/>
  <c r="G92" i="8"/>
  <c r="H91" i="8"/>
  <c r="I91" i="8" s="1"/>
  <c r="N91" i="8"/>
  <c r="F90" i="10"/>
  <c r="J90" i="10" s="1"/>
  <c r="D91" i="10"/>
  <c r="E90" i="10"/>
  <c r="M90" i="8"/>
  <c r="K92" i="8"/>
  <c r="L91" i="8"/>
  <c r="F93" i="8"/>
  <c r="J93" i="8" s="1"/>
  <c r="D94" i="8"/>
  <c r="E93" i="8"/>
  <c r="M88" i="10" l="1"/>
  <c r="D92" i="10"/>
  <c r="F91" i="10"/>
  <c r="J91" i="10" s="1"/>
  <c r="E91" i="10"/>
  <c r="D95" i="8"/>
  <c r="F94" i="8"/>
  <c r="J94" i="8" s="1"/>
  <c r="E94" i="8"/>
  <c r="M91" i="8"/>
  <c r="G90" i="10"/>
  <c r="H89" i="10"/>
  <c r="I89" i="10" s="1"/>
  <c r="N89" i="10"/>
  <c r="K93" i="8"/>
  <c r="L92" i="8"/>
  <c r="G93" i="8"/>
  <c r="H92" i="8"/>
  <c r="I92" i="8" s="1"/>
  <c r="N92" i="8"/>
  <c r="K90" i="10"/>
  <c r="L89" i="10"/>
  <c r="M89" i="10" l="1"/>
  <c r="K91" i="10"/>
  <c r="L90" i="10"/>
  <c r="G91" i="10"/>
  <c r="H90" i="10"/>
  <c r="I90" i="10" s="1"/>
  <c r="N90" i="10"/>
  <c r="D93" i="10"/>
  <c r="F92" i="10"/>
  <c r="J92" i="10" s="1"/>
  <c r="E92" i="10"/>
  <c r="G94" i="8"/>
  <c r="H93" i="8"/>
  <c r="I93" i="8" s="1"/>
  <c r="N93" i="8"/>
  <c r="M92" i="8"/>
  <c r="D96" i="8"/>
  <c r="F95" i="8"/>
  <c r="J95" i="8" s="1"/>
  <c r="E95" i="8"/>
  <c r="K94" i="8"/>
  <c r="L93" i="8"/>
  <c r="D97" i="8" l="1"/>
  <c r="D98" i="8" s="1"/>
  <c r="E96" i="8"/>
  <c r="M93" i="8"/>
  <c r="M90" i="10"/>
  <c r="D94" i="10"/>
  <c r="F93" i="10"/>
  <c r="J93" i="10" s="1"/>
  <c r="E93" i="10"/>
  <c r="G92" i="10"/>
  <c r="H91" i="10"/>
  <c r="I91" i="10" s="1"/>
  <c r="N91" i="10"/>
  <c r="G95" i="8"/>
  <c r="H94" i="8"/>
  <c r="I94" i="8" s="1"/>
  <c r="N94" i="8"/>
  <c r="K95" i="8"/>
  <c r="L94" i="8"/>
  <c r="K92" i="10"/>
  <c r="L91" i="10"/>
  <c r="E98" i="8" l="1"/>
  <c r="D99" i="8"/>
  <c r="M91" i="10"/>
  <c r="D95" i="10"/>
  <c r="F94" i="10"/>
  <c r="J94" i="10" s="1"/>
  <c r="E94" i="10"/>
  <c r="K93" i="10"/>
  <c r="L92" i="10"/>
  <c r="G96" i="8"/>
  <c r="H95" i="8"/>
  <c r="I95" i="8" s="1"/>
  <c r="N95" i="8"/>
  <c r="E97" i="8"/>
  <c r="M94" i="8"/>
  <c r="G93" i="10"/>
  <c r="H92" i="10"/>
  <c r="I92" i="10" s="1"/>
  <c r="N92" i="10"/>
  <c r="K96" i="8"/>
  <c r="L95" i="8"/>
  <c r="D100" i="8" l="1"/>
  <c r="E99" i="8"/>
  <c r="M95" i="8"/>
  <c r="M92" i="10"/>
  <c r="K94" i="10"/>
  <c r="L93" i="10"/>
  <c r="K97" i="8"/>
  <c r="L96" i="8"/>
  <c r="G94" i="10"/>
  <c r="H93" i="10"/>
  <c r="I93" i="10" s="1"/>
  <c r="N93" i="10"/>
  <c r="G97" i="8"/>
  <c r="G98" i="8" s="1"/>
  <c r="H96" i="8"/>
  <c r="I96" i="8" s="1"/>
  <c r="N96" i="8"/>
  <c r="F95" i="10"/>
  <c r="J95" i="10" s="1"/>
  <c r="D96" i="10"/>
  <c r="D97" i="10" s="1"/>
  <c r="E95" i="10"/>
  <c r="D98" i="10" l="1"/>
  <c r="E97" i="10"/>
  <c r="G99" i="8"/>
  <c r="H98" i="8"/>
  <c r="I98" i="8" s="1"/>
  <c r="D101" i="8"/>
  <c r="E100" i="8"/>
  <c r="L97" i="8"/>
  <c r="K98" i="8"/>
  <c r="N98" i="8" s="1"/>
  <c r="M96" i="8"/>
  <c r="E96" i="10"/>
  <c r="G95" i="10"/>
  <c r="H94" i="10"/>
  <c r="I94" i="10" s="1"/>
  <c r="N94" i="10"/>
  <c r="H97" i="8"/>
  <c r="I97" i="8" s="1"/>
  <c r="N97" i="8"/>
  <c r="M93" i="10"/>
  <c r="K95" i="10"/>
  <c r="L94" i="10"/>
  <c r="M97" i="8" l="1"/>
  <c r="E98" i="10"/>
  <c r="D99" i="10"/>
  <c r="D102" i="8"/>
  <c r="E101" i="8"/>
  <c r="G100" i="8"/>
  <c r="H99" i="8"/>
  <c r="I99" i="8" s="1"/>
  <c r="L98" i="8"/>
  <c r="M98" i="8" s="1"/>
  <c r="K99" i="8"/>
  <c r="N99" i="8" s="1"/>
  <c r="G96" i="10"/>
  <c r="G97" i="10" s="1"/>
  <c r="H95" i="10"/>
  <c r="I95" i="10" s="1"/>
  <c r="N95" i="10"/>
  <c r="M94" i="10"/>
  <c r="K96" i="10"/>
  <c r="K97" i="10" s="1"/>
  <c r="L95" i="10"/>
  <c r="H97" i="10" l="1"/>
  <c r="I97" i="10" s="1"/>
  <c r="G98" i="10"/>
  <c r="N97" i="10"/>
  <c r="D100" i="10"/>
  <c r="E99" i="10"/>
  <c r="K98" i="10"/>
  <c r="L97" i="10"/>
  <c r="M95" i="10"/>
  <c r="G101" i="8"/>
  <c r="H100" i="8"/>
  <c r="I100" i="8" s="1"/>
  <c r="D103" i="8"/>
  <c r="E102" i="8"/>
  <c r="L99" i="8"/>
  <c r="M99" i="8" s="1"/>
  <c r="K100" i="8"/>
  <c r="N100" i="8" s="1"/>
  <c r="L96" i="10"/>
  <c r="H96" i="10"/>
  <c r="I96" i="10" s="1"/>
  <c r="N96" i="10"/>
  <c r="M97" i="10" l="1"/>
  <c r="D101" i="10"/>
  <c r="E100" i="10"/>
  <c r="K99" i="10"/>
  <c r="L98" i="10"/>
  <c r="G99" i="10"/>
  <c r="H98" i="10"/>
  <c r="I98" i="10" s="1"/>
  <c r="M98" i="10" s="1"/>
  <c r="N98" i="10"/>
  <c r="E103" i="8"/>
  <c r="D104" i="8"/>
  <c r="G102" i="8"/>
  <c r="H101" i="8"/>
  <c r="I101" i="8" s="1"/>
  <c r="K101" i="8"/>
  <c r="N101" i="8" s="1"/>
  <c r="L100" i="8"/>
  <c r="M100" i="8" s="1"/>
  <c r="M96" i="10"/>
  <c r="G100" i="10" l="1"/>
  <c r="H99" i="10"/>
  <c r="I99" i="10" s="1"/>
  <c r="N99" i="10"/>
  <c r="K100" i="10"/>
  <c r="L99" i="10"/>
  <c r="M99" i="10" s="1"/>
  <c r="D102" i="10"/>
  <c r="E101" i="10"/>
  <c r="G103" i="8"/>
  <c r="H102" i="8"/>
  <c r="I102" i="8" s="1"/>
  <c r="D105" i="8"/>
  <c r="E104" i="8"/>
  <c r="K102" i="8"/>
  <c r="L101" i="8"/>
  <c r="M101" i="8" s="1"/>
  <c r="C6" i="4"/>
  <c r="E5" i="4"/>
  <c r="E4" i="4"/>
  <c r="E6" i="4" l="1"/>
  <c r="C23" i="3" s="1"/>
  <c r="G23" i="3" s="1"/>
  <c r="C24" i="3"/>
  <c r="G24" i="3" s="1"/>
  <c r="D103" i="10"/>
  <c r="E102" i="10"/>
  <c r="K101" i="10"/>
  <c r="L100" i="10"/>
  <c r="G101" i="10"/>
  <c r="H100" i="10"/>
  <c r="I100" i="10" s="1"/>
  <c r="N100" i="10"/>
  <c r="D106" i="8"/>
  <c r="E105" i="8"/>
  <c r="K103" i="8"/>
  <c r="L102" i="8"/>
  <c r="M102" i="8" s="1"/>
  <c r="N102" i="8"/>
  <c r="H103" i="8"/>
  <c r="I103" i="8" s="1"/>
  <c r="G104" i="8"/>
  <c r="D26" i="13"/>
  <c r="J27" i="13"/>
  <c r="J26" i="13"/>
  <c r="K26" i="13" s="1"/>
  <c r="M100" i="10" l="1"/>
  <c r="G102" i="10"/>
  <c r="H101" i="10"/>
  <c r="I101" i="10" s="1"/>
  <c r="N101" i="10"/>
  <c r="K102" i="10"/>
  <c r="L101" i="10"/>
  <c r="D104" i="10"/>
  <c r="E103" i="10"/>
  <c r="E106" i="8"/>
  <c r="D107" i="8"/>
  <c r="L103" i="8"/>
  <c r="M103" i="8" s="1"/>
  <c r="K104" i="8"/>
  <c r="N103" i="8"/>
  <c r="G105" i="8"/>
  <c r="H104" i="8"/>
  <c r="I104" i="8" s="1"/>
  <c r="L26" i="13"/>
  <c r="N26" i="13"/>
  <c r="E26" i="13"/>
  <c r="I26" i="13" s="1"/>
  <c r="K27" i="13"/>
  <c r="J28" i="13"/>
  <c r="D27" i="13"/>
  <c r="O27" i="13" l="1"/>
  <c r="D105" i="10"/>
  <c r="E104" i="10"/>
  <c r="M101" i="10"/>
  <c r="K103" i="10"/>
  <c r="L102" i="10"/>
  <c r="G103" i="10"/>
  <c r="H102" i="10"/>
  <c r="I102" i="10" s="1"/>
  <c r="N102" i="10"/>
  <c r="H105" i="8"/>
  <c r="I105" i="8" s="1"/>
  <c r="G106" i="8"/>
  <c r="K105" i="8"/>
  <c r="N105" i="8" s="1"/>
  <c r="L104" i="8"/>
  <c r="M104" i="8" s="1"/>
  <c r="E107" i="8"/>
  <c r="N104" i="8"/>
  <c r="M26" i="13"/>
  <c r="L27" i="13"/>
  <c r="N27" i="13"/>
  <c r="K28" i="13"/>
  <c r="E27" i="13"/>
  <c r="I27" i="13" s="1"/>
  <c r="D28" i="13"/>
  <c r="E28" i="13" s="1"/>
  <c r="I28" i="13" s="1"/>
  <c r="J29" i="13"/>
  <c r="K29" i="13" l="1"/>
  <c r="L29" i="13" s="1"/>
  <c r="O28" i="13"/>
  <c r="N103" i="10"/>
  <c r="G104" i="10"/>
  <c r="H103" i="10"/>
  <c r="I103" i="10" s="1"/>
  <c r="K104" i="10"/>
  <c r="L103" i="10"/>
  <c r="M102" i="10"/>
  <c r="D106" i="10"/>
  <c r="E105" i="10"/>
  <c r="K106" i="8"/>
  <c r="N106" i="8" s="1"/>
  <c r="L105" i="8"/>
  <c r="M105" i="8" s="1"/>
  <c r="G107" i="8"/>
  <c r="H106" i="8"/>
  <c r="I106" i="8" s="1"/>
  <c r="M27" i="13"/>
  <c r="L28" i="13"/>
  <c r="M28" i="13" s="1"/>
  <c r="N28" i="13"/>
  <c r="J30" i="13"/>
  <c r="D29" i="13"/>
  <c r="E29" i="13" s="1"/>
  <c r="I29" i="13" s="1"/>
  <c r="K30" i="13" l="1"/>
  <c r="L30" i="13" s="1"/>
  <c r="O29" i="13"/>
  <c r="E106" i="10"/>
  <c r="D107" i="10"/>
  <c r="K105" i="10"/>
  <c r="L104" i="10"/>
  <c r="G105" i="10"/>
  <c r="H104" i="10"/>
  <c r="I104" i="10" s="1"/>
  <c r="M104" i="10" s="1"/>
  <c r="N104" i="10"/>
  <c r="M103" i="10"/>
  <c r="H107" i="8"/>
  <c r="I107" i="8" s="1"/>
  <c r="L106" i="8"/>
  <c r="M106" i="8" s="1"/>
  <c r="K107" i="8"/>
  <c r="L107" i="8" s="1"/>
  <c r="N29" i="13"/>
  <c r="M29" i="13"/>
  <c r="D30" i="13"/>
  <c r="E30" i="13" s="1"/>
  <c r="I30" i="13" s="1"/>
  <c r="J31" i="13"/>
  <c r="K31" i="13" l="1"/>
  <c r="L31" i="13" s="1"/>
  <c r="O30" i="13"/>
  <c r="H105" i="10"/>
  <c r="I105" i="10" s="1"/>
  <c r="G106" i="10"/>
  <c r="N105" i="10"/>
  <c r="L105" i="10"/>
  <c r="K106" i="10"/>
  <c r="E107" i="10"/>
  <c r="N107" i="8"/>
  <c r="M107" i="8"/>
  <c r="M30" i="13"/>
  <c r="N30" i="13"/>
  <c r="J32" i="13"/>
  <c r="D31" i="13"/>
  <c r="E31" i="13" s="1"/>
  <c r="I31" i="13" s="1"/>
  <c r="K32" i="13" l="1"/>
  <c r="L32" i="13" s="1"/>
  <c r="O31" i="13"/>
  <c r="K107" i="10"/>
  <c r="L107" i="10" s="1"/>
  <c r="L106" i="10"/>
  <c r="H106" i="10"/>
  <c r="I106" i="10" s="1"/>
  <c r="G107" i="10"/>
  <c r="N106" i="10"/>
  <c r="M105" i="10"/>
  <c r="N31" i="13"/>
  <c r="M31" i="13"/>
  <c r="D32" i="13"/>
  <c r="E32" i="13" s="1"/>
  <c r="I32" i="13" s="1"/>
  <c r="J33" i="13"/>
  <c r="K33" i="13" l="1"/>
  <c r="L33" i="13" s="1"/>
  <c r="O32" i="13"/>
  <c r="H107" i="10"/>
  <c r="I107" i="10" s="1"/>
  <c r="N107" i="10"/>
  <c r="M106" i="10"/>
  <c r="M107" i="10"/>
  <c r="N32" i="13"/>
  <c r="M32" i="13"/>
  <c r="J34" i="13"/>
  <c r="D33" i="13"/>
  <c r="E33" i="13" s="1"/>
  <c r="I33" i="13" s="1"/>
  <c r="K34" i="13" l="1"/>
  <c r="L34" i="13" s="1"/>
  <c r="O33" i="13"/>
  <c r="N33" i="13"/>
  <c r="M33" i="13"/>
  <c r="D34" i="13"/>
  <c r="E34" i="13" s="1"/>
  <c r="I34" i="13" s="1"/>
  <c r="J35" i="13"/>
  <c r="K35" i="13" l="1"/>
  <c r="L35" i="13" s="1"/>
  <c r="O34" i="13"/>
  <c r="N34" i="13"/>
  <c r="M34" i="13"/>
  <c r="J36" i="13"/>
  <c r="D35" i="13"/>
  <c r="E35" i="13" s="1"/>
  <c r="I35" i="13" s="1"/>
  <c r="K36" i="13" l="1"/>
  <c r="L36" i="13" s="1"/>
  <c r="O35" i="13"/>
  <c r="N35" i="13"/>
  <c r="M35" i="13"/>
  <c r="D36" i="13"/>
  <c r="E36" i="13" s="1"/>
  <c r="I36" i="13" s="1"/>
  <c r="J37" i="13"/>
  <c r="J38" i="13"/>
  <c r="K37" i="13" l="1"/>
  <c r="L37" i="13" s="1"/>
  <c r="O36" i="13"/>
  <c r="N36" i="13"/>
  <c r="M36" i="13"/>
  <c r="D37" i="13"/>
  <c r="E37" i="13" s="1"/>
  <c r="I37" i="13" s="1"/>
  <c r="K38" i="13" l="1"/>
  <c r="K39" i="13" s="1"/>
  <c r="O37" i="13"/>
  <c r="M37" i="13"/>
  <c r="D38" i="13"/>
  <c r="E38" i="13" s="1"/>
  <c r="N37" i="13"/>
  <c r="L38" i="13" l="1"/>
  <c r="O38" i="13"/>
  <c r="K40" i="13"/>
  <c r="L39" i="13"/>
  <c r="N38" i="13"/>
  <c r="D39" i="13"/>
  <c r="E39" i="13" s="1"/>
  <c r="I38" i="13"/>
  <c r="M38" i="13" l="1"/>
  <c r="O39" i="13"/>
  <c r="N39" i="13"/>
  <c r="D40" i="13"/>
  <c r="O40" i="13" s="1"/>
  <c r="I39" i="13"/>
  <c r="M39" i="13" s="1"/>
  <c r="K41" i="13"/>
  <c r="L40" i="13"/>
  <c r="K42" i="13" l="1"/>
  <c r="L41" i="13"/>
  <c r="D41" i="13"/>
  <c r="O41" i="13" s="1"/>
  <c r="N40" i="13"/>
  <c r="E40" i="13"/>
  <c r="I40" i="13" s="1"/>
  <c r="M40" i="13" s="1"/>
  <c r="N41" i="13" l="1"/>
  <c r="D42" i="13"/>
  <c r="O42" i="13" s="1"/>
  <c r="E41" i="13"/>
  <c r="I41" i="13" s="1"/>
  <c r="M41" i="13" s="1"/>
  <c r="K43" i="13"/>
  <c r="L42" i="13"/>
  <c r="K44" i="13" l="1"/>
  <c r="L43" i="13"/>
  <c r="N42" i="13"/>
  <c r="D43" i="13"/>
  <c r="O43" i="13" s="1"/>
  <c r="E42" i="13"/>
  <c r="I42" i="13" s="1"/>
  <c r="M42" i="13" s="1"/>
  <c r="D44" i="13" l="1"/>
  <c r="O44" i="13" s="1"/>
  <c r="N43" i="13"/>
  <c r="E43" i="13"/>
  <c r="I43" i="13" s="1"/>
  <c r="M43" i="13" s="1"/>
  <c r="K45" i="13"/>
  <c r="L44" i="13"/>
  <c r="K46" i="13" l="1"/>
  <c r="L45" i="13"/>
  <c r="N44" i="13"/>
  <c r="D45" i="13"/>
  <c r="O45" i="13" s="1"/>
  <c r="E44" i="13"/>
  <c r="I44" i="13" s="1"/>
  <c r="M44" i="13" s="1"/>
  <c r="N45" i="13" l="1"/>
  <c r="D46" i="13"/>
  <c r="O46" i="13" s="1"/>
  <c r="E45" i="13"/>
  <c r="I45" i="13" s="1"/>
  <c r="M45" i="13" s="1"/>
  <c r="K47" i="13"/>
  <c r="L46" i="13"/>
  <c r="L47" i="13" l="1"/>
  <c r="N46" i="13"/>
  <c r="D47" i="13"/>
  <c r="O47" i="13" s="1"/>
  <c r="E46" i="13"/>
  <c r="I46" i="13" s="1"/>
  <c r="M46" i="13" s="1"/>
  <c r="N47" i="13" l="1"/>
  <c r="D48" i="13"/>
  <c r="E48" i="13" s="1"/>
  <c r="E47" i="13"/>
  <c r="I47" i="13" s="1"/>
  <c r="M47" i="13" s="1"/>
  <c r="D49" i="13" l="1"/>
  <c r="F48" i="13"/>
  <c r="J48" i="13" l="1"/>
  <c r="K48" i="13" s="1"/>
  <c r="G48" i="13"/>
  <c r="F49" i="13"/>
  <c r="J49" i="13" s="1"/>
  <c r="D50" i="13"/>
  <c r="E49" i="13"/>
  <c r="O48" i="13" l="1"/>
  <c r="F50" i="13"/>
  <c r="D51" i="13"/>
  <c r="E50" i="13"/>
  <c r="G49" i="13"/>
  <c r="H48" i="13"/>
  <c r="I48" i="13" s="1"/>
  <c r="N48" i="13"/>
  <c r="K49" i="13"/>
  <c r="L48" i="13"/>
  <c r="O49" i="13" l="1"/>
  <c r="M48" i="13"/>
  <c r="G50" i="13"/>
  <c r="H49" i="13"/>
  <c r="N49" i="13"/>
  <c r="D52" i="13"/>
  <c r="F51" i="13"/>
  <c r="J51" i="13" s="1"/>
  <c r="E51" i="13"/>
  <c r="J50" i="13"/>
  <c r="K50" i="13" s="1"/>
  <c r="L49" i="13"/>
  <c r="O50" i="13" l="1"/>
  <c r="K51" i="13"/>
  <c r="L50" i="13"/>
  <c r="F52" i="13"/>
  <c r="D53" i="13"/>
  <c r="E52" i="13"/>
  <c r="I49" i="13"/>
  <c r="M49" i="13" s="1"/>
  <c r="H50" i="13"/>
  <c r="I50" i="13" s="1"/>
  <c r="G51" i="13"/>
  <c r="N50" i="13"/>
  <c r="O51" i="13" l="1"/>
  <c r="J52" i="13"/>
  <c r="M50" i="13"/>
  <c r="K52" i="13"/>
  <c r="L51" i="13"/>
  <c r="H51" i="13"/>
  <c r="I51" i="13" s="1"/>
  <c r="G52" i="13"/>
  <c r="N51" i="13"/>
  <c r="F53" i="13"/>
  <c r="J53" i="13" s="1"/>
  <c r="D54" i="13"/>
  <c r="E53" i="13"/>
  <c r="O52" i="13" l="1"/>
  <c r="F54" i="13"/>
  <c r="D55" i="13"/>
  <c r="E54" i="13"/>
  <c r="H52" i="13"/>
  <c r="I52" i="13" s="1"/>
  <c r="G53" i="13"/>
  <c r="N52" i="13"/>
  <c r="M51" i="13"/>
  <c r="K53" i="13"/>
  <c r="L52" i="13"/>
  <c r="O53" i="13" l="1"/>
  <c r="M52" i="13"/>
  <c r="L53" i="13"/>
  <c r="F55" i="13"/>
  <c r="J55" i="13" s="1"/>
  <c r="D56" i="13"/>
  <c r="E55" i="13"/>
  <c r="J54" i="13"/>
  <c r="K54" i="13" s="1"/>
  <c r="H53" i="13"/>
  <c r="I53" i="13" s="1"/>
  <c r="G54" i="13"/>
  <c r="N53" i="13"/>
  <c r="O54" i="13" l="1"/>
  <c r="H54" i="13"/>
  <c r="I54" i="13" s="1"/>
  <c r="G55" i="13"/>
  <c r="N54" i="13"/>
  <c r="M53" i="13"/>
  <c r="K55" i="13"/>
  <c r="O55" i="13" s="1"/>
  <c r="L54" i="13"/>
  <c r="F56" i="13"/>
  <c r="J56" i="13" s="1"/>
  <c r="D57" i="13"/>
  <c r="E56" i="13"/>
  <c r="M54" i="13" l="1"/>
  <c r="H55" i="13"/>
  <c r="I55" i="13" s="1"/>
  <c r="G56" i="13"/>
  <c r="N55" i="13"/>
  <c r="F57" i="13"/>
  <c r="J57" i="13" s="1"/>
  <c r="D58" i="13"/>
  <c r="E57" i="13"/>
  <c r="K56" i="13"/>
  <c r="O56" i="13" s="1"/>
  <c r="L55" i="13"/>
  <c r="M55" i="13" l="1"/>
  <c r="K57" i="13"/>
  <c r="L56" i="13"/>
  <c r="G57" i="13"/>
  <c r="H56" i="13"/>
  <c r="I56" i="13" s="1"/>
  <c r="N56" i="13"/>
  <c r="F58" i="13"/>
  <c r="J58" i="13" s="1"/>
  <c r="D59" i="13"/>
  <c r="E58" i="13"/>
  <c r="O57" i="13" l="1"/>
  <c r="M56" i="13"/>
  <c r="G58" i="13"/>
  <c r="H57" i="13"/>
  <c r="I57" i="13" s="1"/>
  <c r="N57" i="13"/>
  <c r="D60" i="13"/>
  <c r="F59" i="13"/>
  <c r="E59" i="13"/>
  <c r="C14" i="3" s="1"/>
  <c r="G14" i="3" s="1"/>
  <c r="K58" i="13"/>
  <c r="L57" i="13"/>
  <c r="O58" i="13" l="1"/>
  <c r="J59" i="13"/>
  <c r="K59" i="13" s="1"/>
  <c r="F110" i="13"/>
  <c r="M57" i="13"/>
  <c r="H58" i="13"/>
  <c r="I58" i="13" s="1"/>
  <c r="G59" i="13"/>
  <c r="N58" i="13"/>
  <c r="F60" i="13"/>
  <c r="J60" i="13" s="1"/>
  <c r="D61" i="13"/>
  <c r="E60" i="13"/>
  <c r="L58" i="13"/>
  <c r="O59" i="13" l="1"/>
  <c r="D5" i="22"/>
  <c r="D8" i="22" s="1"/>
  <c r="D10" i="22" s="1"/>
  <c r="C31" i="3" s="1"/>
  <c r="G31" i="3" s="1"/>
  <c r="M58" i="13"/>
  <c r="K60" i="13"/>
  <c r="L59" i="13"/>
  <c r="C18" i="3" s="1"/>
  <c r="G18" i="3" s="1"/>
  <c r="D62" i="13"/>
  <c r="F61" i="13"/>
  <c r="E61" i="13"/>
  <c r="G60" i="13"/>
  <c r="H59" i="13"/>
  <c r="N59" i="13"/>
  <c r="O60" i="13" l="1"/>
  <c r="I59" i="13"/>
  <c r="M59" i="13" s="1"/>
  <c r="E5" i="22" s="1"/>
  <c r="C16" i="3"/>
  <c r="G16" i="3" s="1"/>
  <c r="J61" i="13"/>
  <c r="K61" i="13" s="1"/>
  <c r="F62" i="13"/>
  <c r="D63" i="13"/>
  <c r="E62" i="13"/>
  <c r="L60" i="13"/>
  <c r="G61" i="13"/>
  <c r="H60" i="13"/>
  <c r="I60" i="13" s="1"/>
  <c r="N60" i="13"/>
  <c r="O61" i="13" l="1"/>
  <c r="E13" i="22"/>
  <c r="E15" i="22" s="1"/>
  <c r="E8" i="22"/>
  <c r="G62" i="13"/>
  <c r="H61" i="13"/>
  <c r="N61" i="13"/>
  <c r="F63" i="13"/>
  <c r="J63" i="13" s="1"/>
  <c r="D64" i="13"/>
  <c r="E63" i="13"/>
  <c r="J62" i="13"/>
  <c r="K62" i="13" s="1"/>
  <c r="M60" i="13"/>
  <c r="L61" i="13"/>
  <c r="O62" i="13" l="1"/>
  <c r="C19" i="3"/>
  <c r="K63" i="13"/>
  <c r="L62" i="13"/>
  <c r="D65" i="13"/>
  <c r="F64" i="13"/>
  <c r="J64" i="13" s="1"/>
  <c r="E64" i="13"/>
  <c r="I61" i="13"/>
  <c r="M61" i="13" s="1"/>
  <c r="G63" i="13"/>
  <c r="H62" i="13"/>
  <c r="I62" i="13" s="1"/>
  <c r="N62" i="13"/>
  <c r="C21" i="3" l="1"/>
  <c r="G19" i="3"/>
  <c r="O63" i="13"/>
  <c r="C26" i="3"/>
  <c r="G26" i="3" s="1"/>
  <c r="M62" i="13"/>
  <c r="G64" i="13"/>
  <c r="H63" i="13"/>
  <c r="I63" i="13" s="1"/>
  <c r="N63" i="13"/>
  <c r="F65" i="13"/>
  <c r="J65" i="13" s="1"/>
  <c r="D66" i="13"/>
  <c r="E65" i="13"/>
  <c r="K64" i="13"/>
  <c r="L63" i="13"/>
  <c r="C32" i="3" l="1"/>
  <c r="G32" i="3" s="1"/>
  <c r="G21" i="3"/>
  <c r="O64" i="13"/>
  <c r="C33" i="3"/>
  <c r="G33" i="3" s="1"/>
  <c r="M63" i="13"/>
  <c r="F66" i="13"/>
  <c r="J66" i="13" s="1"/>
  <c r="D67" i="13"/>
  <c r="E66" i="13"/>
  <c r="K65" i="13"/>
  <c r="L64" i="13"/>
  <c r="G65" i="13"/>
  <c r="H64" i="13"/>
  <c r="I64" i="13" s="1"/>
  <c r="N64" i="13"/>
  <c r="O65" i="13" l="1"/>
  <c r="C36" i="3"/>
  <c r="K66" i="13"/>
  <c r="L65" i="13"/>
  <c r="D68" i="13"/>
  <c r="F67" i="13"/>
  <c r="E67" i="13"/>
  <c r="G66" i="13"/>
  <c r="H65" i="13"/>
  <c r="I65" i="13" s="1"/>
  <c r="N65" i="13"/>
  <c r="M64" i="13"/>
  <c r="G36" i="3" l="1"/>
  <c r="C51" i="32"/>
  <c r="C40" i="3"/>
  <c r="C41" i="3" s="1"/>
  <c r="O66" i="13"/>
  <c r="F68" i="13"/>
  <c r="J68" i="13" s="1"/>
  <c r="D69" i="13"/>
  <c r="E68" i="13"/>
  <c r="J67" i="13"/>
  <c r="K67" i="13" s="1"/>
  <c r="M65" i="13"/>
  <c r="G67" i="13"/>
  <c r="H66" i="13"/>
  <c r="I66" i="13" s="1"/>
  <c r="N66" i="13"/>
  <c r="L66" i="13"/>
  <c r="O67" i="13" l="1"/>
  <c r="M66" i="13"/>
  <c r="K68" i="13"/>
  <c r="L67" i="13"/>
  <c r="G68" i="13"/>
  <c r="H67" i="13"/>
  <c r="I67" i="13" s="1"/>
  <c r="N67" i="13"/>
  <c r="D70" i="13"/>
  <c r="F69" i="13"/>
  <c r="J69" i="13" s="1"/>
  <c r="E69" i="13"/>
  <c r="O68" i="13" l="1"/>
  <c r="G69" i="13"/>
  <c r="H68" i="13"/>
  <c r="I68" i="13" s="1"/>
  <c r="N68" i="13"/>
  <c r="M67" i="13"/>
  <c r="F70" i="13"/>
  <c r="J70" i="13" s="1"/>
  <c r="D71" i="13"/>
  <c r="E70" i="13"/>
  <c r="K69" i="13"/>
  <c r="L68" i="13"/>
  <c r="O69" i="13" l="1"/>
  <c r="M68" i="13"/>
  <c r="K70" i="13"/>
  <c r="L69" i="13"/>
  <c r="F71" i="13"/>
  <c r="J71" i="13" s="1"/>
  <c r="D72" i="13"/>
  <c r="E71" i="13"/>
  <c r="G70" i="13"/>
  <c r="H69" i="13"/>
  <c r="I69" i="13" s="1"/>
  <c r="N69" i="13"/>
  <c r="O70" i="13" l="1"/>
  <c r="G71" i="13"/>
  <c r="H70" i="13"/>
  <c r="I70" i="13" s="1"/>
  <c r="N70" i="13"/>
  <c r="D73" i="13"/>
  <c r="F72" i="13"/>
  <c r="J72" i="13" s="1"/>
  <c r="E72" i="13"/>
  <c r="M69" i="13"/>
  <c r="K71" i="13"/>
  <c r="L70" i="13"/>
  <c r="O71" i="13" l="1"/>
  <c r="M70" i="13"/>
  <c r="D74" i="13"/>
  <c r="F73" i="13"/>
  <c r="E73" i="13"/>
  <c r="K72" i="13"/>
  <c r="L71" i="13"/>
  <c r="G72" i="13"/>
  <c r="H71" i="13"/>
  <c r="I71" i="13" s="1"/>
  <c r="N71" i="13"/>
  <c r="O72" i="13" l="1"/>
  <c r="M71" i="13"/>
  <c r="L72" i="13"/>
  <c r="J73" i="13"/>
  <c r="K73" i="13" s="1"/>
  <c r="G73" i="13"/>
  <c r="H72" i="13"/>
  <c r="I72" i="13" s="1"/>
  <c r="N72" i="13"/>
  <c r="F74" i="13"/>
  <c r="J74" i="13" s="1"/>
  <c r="D75" i="13"/>
  <c r="E74" i="13"/>
  <c r="O73" i="13" l="1"/>
  <c r="M72" i="13"/>
  <c r="K74" i="13"/>
  <c r="L73" i="13"/>
  <c r="D76" i="13"/>
  <c r="F75" i="13"/>
  <c r="J75" i="13" s="1"/>
  <c r="E75" i="13"/>
  <c r="G74" i="13"/>
  <c r="H73" i="13"/>
  <c r="N73" i="13"/>
  <c r="O74" i="13" l="1"/>
  <c r="I73" i="13"/>
  <c r="M73" i="13" s="1"/>
  <c r="G75" i="13"/>
  <c r="H74" i="13"/>
  <c r="I74" i="13" s="1"/>
  <c r="N74" i="13"/>
  <c r="K75" i="13"/>
  <c r="O75" i="13" s="1"/>
  <c r="L74" i="13"/>
  <c r="D77" i="13"/>
  <c r="F76" i="13"/>
  <c r="J76" i="13" s="1"/>
  <c r="E76" i="13"/>
  <c r="M74" i="13" l="1"/>
  <c r="K76" i="13"/>
  <c r="L75" i="13"/>
  <c r="G76" i="13"/>
  <c r="H75" i="13"/>
  <c r="I75" i="13" s="1"/>
  <c r="N75" i="13"/>
  <c r="F77" i="13"/>
  <c r="J77" i="13" s="1"/>
  <c r="D78" i="13"/>
  <c r="E77" i="13"/>
  <c r="O76" i="13" l="1"/>
  <c r="F78" i="13"/>
  <c r="J78" i="13" s="1"/>
  <c r="D79" i="13"/>
  <c r="E78" i="13"/>
  <c r="G77" i="13"/>
  <c r="H76" i="13"/>
  <c r="I76" i="13" s="1"/>
  <c r="N76" i="13"/>
  <c r="K77" i="13"/>
  <c r="O77" i="13" s="1"/>
  <c r="L76" i="13"/>
  <c r="M75" i="13"/>
  <c r="M76" i="13" l="1"/>
  <c r="F79" i="13"/>
  <c r="J79" i="13" s="1"/>
  <c r="D80" i="13"/>
  <c r="E79" i="13"/>
  <c r="K78" i="13"/>
  <c r="L77" i="13"/>
  <c r="G78" i="13"/>
  <c r="H77" i="13"/>
  <c r="I77" i="13" s="1"/>
  <c r="N77" i="13"/>
  <c r="O78" i="13" l="1"/>
  <c r="K79" i="13"/>
  <c r="L78" i="13"/>
  <c r="D81" i="13"/>
  <c r="F80" i="13"/>
  <c r="J80" i="13" s="1"/>
  <c r="E80" i="13"/>
  <c r="G79" i="13"/>
  <c r="H78" i="13"/>
  <c r="I78" i="13" s="1"/>
  <c r="N78" i="13"/>
  <c r="M77" i="13"/>
  <c r="O79" i="13" l="1"/>
  <c r="D82" i="13"/>
  <c r="F81" i="13"/>
  <c r="J81" i="13" s="1"/>
  <c r="E81" i="13"/>
  <c r="G80" i="13"/>
  <c r="H79" i="13"/>
  <c r="I79" i="13" s="1"/>
  <c r="N79" i="13"/>
  <c r="M78" i="13"/>
  <c r="K80" i="13"/>
  <c r="L79" i="13"/>
  <c r="O80" i="13" l="1"/>
  <c r="M79" i="13"/>
  <c r="G81" i="13"/>
  <c r="H80" i="13"/>
  <c r="I80" i="13" s="1"/>
  <c r="N80" i="13"/>
  <c r="K81" i="13"/>
  <c r="O81" i="13" s="1"/>
  <c r="L80" i="13"/>
  <c r="D83" i="13"/>
  <c r="F82" i="13"/>
  <c r="J82" i="13" s="1"/>
  <c r="E82" i="13"/>
  <c r="M80" i="13" l="1"/>
  <c r="K82" i="13"/>
  <c r="L81" i="13"/>
  <c r="F83" i="13"/>
  <c r="J83" i="13" s="1"/>
  <c r="D84" i="13"/>
  <c r="E83" i="13"/>
  <c r="G82" i="13"/>
  <c r="H81" i="13"/>
  <c r="I81" i="13" s="1"/>
  <c r="N81" i="13"/>
  <c r="O82" i="13" l="1"/>
  <c r="F84" i="13"/>
  <c r="J84" i="13" s="1"/>
  <c r="D85" i="13"/>
  <c r="E84" i="13"/>
  <c r="M81" i="13"/>
  <c r="G83" i="13"/>
  <c r="H82" i="13"/>
  <c r="I82" i="13" s="1"/>
  <c r="N82" i="13"/>
  <c r="K83" i="13"/>
  <c r="L82" i="13"/>
  <c r="O83" i="13" l="1"/>
  <c r="M82" i="13"/>
  <c r="F85" i="13"/>
  <c r="J85" i="13" s="1"/>
  <c r="D86" i="13"/>
  <c r="E85" i="13"/>
  <c r="G84" i="13"/>
  <c r="H83" i="13"/>
  <c r="I83" i="13" s="1"/>
  <c r="N83" i="13"/>
  <c r="K84" i="13"/>
  <c r="L83" i="13"/>
  <c r="O84" i="13" l="1"/>
  <c r="M83" i="13"/>
  <c r="F6" i="41" s="1"/>
  <c r="G85" i="13"/>
  <c r="H84" i="13"/>
  <c r="I84" i="13" s="1"/>
  <c r="N84" i="13"/>
  <c r="K85" i="13"/>
  <c r="O85" i="13" s="1"/>
  <c r="L84" i="13"/>
  <c r="F86" i="13"/>
  <c r="J86" i="13" s="1"/>
  <c r="D87" i="13"/>
  <c r="E86" i="13"/>
  <c r="F9" i="41" l="1"/>
  <c r="F14" i="41"/>
  <c r="F16" i="41" s="1"/>
  <c r="M84" i="13"/>
  <c r="F87" i="13"/>
  <c r="J87" i="13" s="1"/>
  <c r="D88" i="13"/>
  <c r="E87" i="13"/>
  <c r="K86" i="13"/>
  <c r="L85" i="13"/>
  <c r="G86" i="13"/>
  <c r="H85" i="13"/>
  <c r="I85" i="13" s="1"/>
  <c r="N85" i="13"/>
  <c r="O86" i="13" l="1"/>
  <c r="M85" i="13"/>
  <c r="K87" i="13"/>
  <c r="L86" i="13"/>
  <c r="D89" i="13"/>
  <c r="F88" i="13"/>
  <c r="J88" i="13" s="1"/>
  <c r="E88" i="13"/>
  <c r="G87" i="13"/>
  <c r="H86" i="13"/>
  <c r="I86" i="13" s="1"/>
  <c r="N86" i="13"/>
  <c r="O87" i="13" l="1"/>
  <c r="M86" i="13"/>
  <c r="G88" i="13"/>
  <c r="H87" i="13"/>
  <c r="I87" i="13" s="1"/>
  <c r="N87" i="13"/>
  <c r="F89" i="13"/>
  <c r="J89" i="13" s="1"/>
  <c r="D90" i="13"/>
  <c r="E89" i="13"/>
  <c r="K88" i="13"/>
  <c r="L87" i="13"/>
  <c r="O88" i="13" l="1"/>
  <c r="M87" i="13"/>
  <c r="F90" i="13"/>
  <c r="J90" i="13" s="1"/>
  <c r="D91" i="13"/>
  <c r="E90" i="13"/>
  <c r="K89" i="13"/>
  <c r="L88" i="13"/>
  <c r="G89" i="13"/>
  <c r="H88" i="13"/>
  <c r="I88" i="13" s="1"/>
  <c r="N88" i="13"/>
  <c r="O89" i="13" l="1"/>
  <c r="M88" i="13"/>
  <c r="G90" i="13"/>
  <c r="H89" i="13"/>
  <c r="I89" i="13" s="1"/>
  <c r="N89" i="13"/>
  <c r="K90" i="13"/>
  <c r="O90" i="13" s="1"/>
  <c r="L89" i="13"/>
  <c r="F91" i="13"/>
  <c r="J91" i="13" s="1"/>
  <c r="D92" i="13"/>
  <c r="E91" i="13"/>
  <c r="M89" i="13" l="1"/>
  <c r="F92" i="13"/>
  <c r="J92" i="13" s="1"/>
  <c r="D93" i="13"/>
  <c r="E92" i="13"/>
  <c r="K91" i="13"/>
  <c r="L90" i="13"/>
  <c r="G91" i="13"/>
  <c r="H90" i="13"/>
  <c r="I90" i="13" s="1"/>
  <c r="N90" i="13"/>
  <c r="O91" i="13" l="1"/>
  <c r="M90" i="13"/>
  <c r="G92" i="13"/>
  <c r="H91" i="13"/>
  <c r="I91" i="13" s="1"/>
  <c r="N91" i="13"/>
  <c r="K92" i="13"/>
  <c r="O92" i="13" s="1"/>
  <c r="L91" i="13"/>
  <c r="F93" i="13"/>
  <c r="J93" i="13" s="1"/>
  <c r="D94" i="13"/>
  <c r="E93" i="13"/>
  <c r="M91" i="13" l="1"/>
  <c r="F94" i="13"/>
  <c r="J94" i="13" s="1"/>
  <c r="D95" i="13"/>
  <c r="E94" i="13"/>
  <c r="K93" i="13"/>
  <c r="L92" i="13"/>
  <c r="G93" i="13"/>
  <c r="H92" i="13"/>
  <c r="I92" i="13" s="1"/>
  <c r="N92" i="13"/>
  <c r="O93" i="13" l="1"/>
  <c r="D96" i="13"/>
  <c r="M92" i="13"/>
  <c r="K94" i="13"/>
  <c r="L93" i="13"/>
  <c r="G94" i="13"/>
  <c r="H93" i="13"/>
  <c r="I93" i="13" s="1"/>
  <c r="N93" i="13"/>
  <c r="F95" i="13"/>
  <c r="J95" i="13" s="1"/>
  <c r="E95" i="13"/>
  <c r="O94" i="13" l="1"/>
  <c r="E96" i="13"/>
  <c r="D97" i="13"/>
  <c r="G95" i="13"/>
  <c r="G96" i="13" s="1"/>
  <c r="H94" i="13"/>
  <c r="I94" i="13" s="1"/>
  <c r="N94" i="13"/>
  <c r="M93" i="13"/>
  <c r="K95" i="13"/>
  <c r="K96" i="13" s="1"/>
  <c r="L94" i="13"/>
  <c r="M94" i="13" l="1"/>
  <c r="G97" i="13"/>
  <c r="H96" i="13"/>
  <c r="I96" i="13" s="1"/>
  <c r="N96" i="13"/>
  <c r="D98" i="13"/>
  <c r="E97" i="13"/>
  <c r="K97" i="13"/>
  <c r="L96" i="13"/>
  <c r="L95" i="13"/>
  <c r="H95" i="13"/>
  <c r="I95" i="13" s="1"/>
  <c r="N95" i="13"/>
  <c r="K98" i="13" l="1"/>
  <c r="L97" i="13"/>
  <c r="N97" i="13"/>
  <c r="D99" i="13"/>
  <c r="E98" i="13"/>
  <c r="G98" i="13"/>
  <c r="H97" i="13"/>
  <c r="I97" i="13" s="1"/>
  <c r="M96" i="13"/>
  <c r="M95" i="13"/>
  <c r="G99" i="13" l="1"/>
  <c r="H98" i="13"/>
  <c r="I98" i="13" s="1"/>
  <c r="N98" i="13"/>
  <c r="D100" i="13"/>
  <c r="E99" i="13"/>
  <c r="M97" i="13"/>
  <c r="L98" i="13"/>
  <c r="K99" i="13"/>
  <c r="N99" i="13" s="1"/>
  <c r="D101" i="13" l="1"/>
  <c r="E100" i="13"/>
  <c r="M98" i="13"/>
  <c r="L99" i="13"/>
  <c r="K100" i="13"/>
  <c r="H99" i="13"/>
  <c r="I99" i="13" s="1"/>
  <c r="G100" i="13"/>
  <c r="K101" i="13" l="1"/>
  <c r="L100" i="13"/>
  <c r="M99" i="13"/>
  <c r="N100" i="13"/>
  <c r="D102" i="13"/>
  <c r="E101" i="13"/>
  <c r="G101" i="13"/>
  <c r="N101" i="13" s="1"/>
  <c r="H100" i="13"/>
  <c r="I100" i="13" s="1"/>
  <c r="M100" i="13" s="1"/>
  <c r="D103" i="13" l="1"/>
  <c r="E102" i="13"/>
  <c r="G102" i="13"/>
  <c r="H101" i="13"/>
  <c r="I101" i="13" s="1"/>
  <c r="K102" i="13"/>
  <c r="L101" i="13"/>
  <c r="M101" i="13" l="1"/>
  <c r="K103" i="13"/>
  <c r="L102" i="13"/>
  <c r="G103" i="13"/>
  <c r="H102" i="13"/>
  <c r="I102" i="13" s="1"/>
  <c r="M102" i="13" s="1"/>
  <c r="N102" i="13"/>
  <c r="D104" i="13"/>
  <c r="N103" i="13"/>
  <c r="E103" i="13"/>
  <c r="D105" i="13" l="1"/>
  <c r="E104" i="13"/>
  <c r="G104" i="13"/>
  <c r="H103" i="13"/>
  <c r="I103" i="13" s="1"/>
  <c r="K104" i="13"/>
  <c r="L103" i="13"/>
  <c r="M103" i="13" l="1"/>
  <c r="K105" i="13"/>
  <c r="L104" i="13"/>
  <c r="G105" i="13"/>
  <c r="H104" i="13"/>
  <c r="I104" i="13" s="1"/>
  <c r="M104" i="13" s="1"/>
  <c r="N104" i="13"/>
  <c r="D106" i="13"/>
  <c r="N105" i="13"/>
  <c r="E105" i="13"/>
  <c r="D107" i="13" l="1"/>
  <c r="E106" i="13"/>
  <c r="G106" i="13"/>
  <c r="H105" i="13"/>
  <c r="I105" i="13" s="1"/>
  <c r="K106" i="13"/>
  <c r="L105" i="13"/>
  <c r="M105" i="13" l="1"/>
  <c r="K107" i="13"/>
  <c r="L107" i="13" s="1"/>
  <c r="L106" i="13"/>
  <c r="G107" i="13"/>
  <c r="H107" i="13" s="1"/>
  <c r="H106" i="13"/>
  <c r="I106" i="13" s="1"/>
  <c r="M106" i="13" s="1"/>
  <c r="N106" i="13"/>
  <c r="N107" i="13"/>
  <c r="E107" i="13"/>
  <c r="I107" i="13" l="1"/>
  <c r="M107" i="13" s="1"/>
  <c r="D28" i="24" l="1"/>
  <c r="D12" i="24"/>
  <c r="D14" i="24" s="1"/>
  <c r="D39" i="24"/>
  <c r="D40" i="24" s="1"/>
  <c r="F55" i="30"/>
  <c r="E8" i="24" s="1"/>
  <c r="E39" i="24" l="1"/>
  <c r="E40" i="24" s="1"/>
  <c r="E41" i="24" s="1"/>
  <c r="E28" i="24"/>
  <c r="E12" i="24"/>
  <c r="E14" i="24" s="1"/>
  <c r="F56" i="30"/>
  <c r="F8" i="24" s="1"/>
  <c r="J55" i="30"/>
  <c r="D41" i="24"/>
  <c r="D32" i="24"/>
  <c r="D33" i="24" s="1"/>
  <c r="D35" i="24" s="1"/>
  <c r="D17" i="24"/>
  <c r="G54" i="30"/>
  <c r="J54" i="30"/>
  <c r="K54" i="30" s="1"/>
  <c r="F39" i="24" l="1"/>
  <c r="F28" i="24"/>
  <c r="F12" i="24"/>
  <c r="F14" i="24" s="1"/>
  <c r="E32" i="24"/>
  <c r="E33" i="24" s="1"/>
  <c r="E35" i="24" s="1"/>
  <c r="E17" i="24"/>
  <c r="K55" i="30"/>
  <c r="L54" i="30"/>
  <c r="H54" i="30"/>
  <c r="I54" i="30" s="1"/>
  <c r="G55" i="30"/>
  <c r="N54" i="30"/>
  <c r="F57" i="30"/>
  <c r="G8" i="24" s="1"/>
  <c r="J56" i="30"/>
  <c r="G39" i="24" l="1"/>
  <c r="G40" i="24" s="1"/>
  <c r="G28" i="24"/>
  <c r="G12" i="24"/>
  <c r="G14" i="24" s="1"/>
  <c r="F32" i="24"/>
  <c r="F33" i="24" s="1"/>
  <c r="F35" i="24" s="1"/>
  <c r="F17" i="24"/>
  <c r="F40" i="24"/>
  <c r="F58" i="30"/>
  <c r="H8" i="24" s="1"/>
  <c r="J57" i="30"/>
  <c r="H55" i="30"/>
  <c r="I55" i="30" s="1"/>
  <c r="N55" i="30"/>
  <c r="G56" i="30"/>
  <c r="M54" i="30"/>
  <c r="K56" i="30"/>
  <c r="L55" i="30"/>
  <c r="M55" i="30" s="1"/>
  <c r="H39" i="24" l="1"/>
  <c r="H28" i="24"/>
  <c r="H12" i="24"/>
  <c r="H14" i="24" s="1"/>
  <c r="F41" i="24"/>
  <c r="G41" i="24"/>
  <c r="G32" i="24"/>
  <c r="G33" i="24" s="1"/>
  <c r="G35" i="24" s="1"/>
  <c r="G17" i="24"/>
  <c r="G57" i="30"/>
  <c r="N56" i="30"/>
  <c r="H56" i="30"/>
  <c r="I56" i="30" s="1"/>
  <c r="K57" i="30"/>
  <c r="L56" i="30"/>
  <c r="M56" i="30" s="1"/>
  <c r="F59" i="30"/>
  <c r="I8" i="24" s="1"/>
  <c r="J58" i="30"/>
  <c r="I39" i="24" l="1"/>
  <c r="I40" i="24" s="1"/>
  <c r="I28" i="24"/>
  <c r="I12" i="24"/>
  <c r="I14" i="24" s="1"/>
  <c r="H32" i="24"/>
  <c r="H33" i="24" s="1"/>
  <c r="H35" i="24" s="1"/>
  <c r="H17" i="24"/>
  <c r="H40" i="24"/>
  <c r="J59" i="30"/>
  <c r="F60" i="30"/>
  <c r="J8" i="24" s="1"/>
  <c r="K58" i="30"/>
  <c r="L57" i="30"/>
  <c r="H57" i="30"/>
  <c r="I57" i="30" s="1"/>
  <c r="G58" i="30"/>
  <c r="N57" i="30"/>
  <c r="J39" i="24" l="1"/>
  <c r="J28" i="24"/>
  <c r="J12" i="24"/>
  <c r="J14" i="24" s="1"/>
  <c r="H41" i="24"/>
  <c r="I41" i="24"/>
  <c r="I32" i="24"/>
  <c r="I33" i="24" s="1"/>
  <c r="I35" i="24" s="1"/>
  <c r="I17" i="24"/>
  <c r="H58" i="30"/>
  <c r="I58" i="30" s="1"/>
  <c r="G59" i="30"/>
  <c r="N58" i="30"/>
  <c r="M57" i="30"/>
  <c r="L58" i="30"/>
  <c r="M58" i="30" s="1"/>
  <c r="K59" i="30"/>
  <c r="F61" i="30"/>
  <c r="K8" i="24" s="1"/>
  <c r="J60" i="30"/>
  <c r="K39" i="24" l="1"/>
  <c r="K40" i="24" s="1"/>
  <c r="K28" i="24"/>
  <c r="K12" i="24"/>
  <c r="K14" i="24" s="1"/>
  <c r="J32" i="24"/>
  <c r="J17" i="24"/>
  <c r="J33" i="24"/>
  <c r="J35" i="24" s="1"/>
  <c r="J40" i="24"/>
  <c r="J61" i="30"/>
  <c r="F62" i="30"/>
  <c r="L8" i="24" s="1"/>
  <c r="L59" i="30"/>
  <c r="K60" i="30"/>
  <c r="N59" i="30"/>
  <c r="H59" i="30"/>
  <c r="I59" i="30" s="1"/>
  <c r="G60" i="30"/>
  <c r="L39" i="24" l="1"/>
  <c r="L28" i="24"/>
  <c r="L12" i="24"/>
  <c r="L14" i="24" s="1"/>
  <c r="J41" i="24"/>
  <c r="K41" i="24"/>
  <c r="K32" i="24"/>
  <c r="K33" i="24" s="1"/>
  <c r="K35" i="24" s="1"/>
  <c r="K17" i="24"/>
  <c r="H60" i="30"/>
  <c r="I60" i="30" s="1"/>
  <c r="N60" i="30"/>
  <c r="G61" i="30"/>
  <c r="L60" i="30"/>
  <c r="M60" i="30" s="1"/>
  <c r="K61" i="30"/>
  <c r="M59" i="30"/>
  <c r="J62" i="30"/>
  <c r="F63" i="30"/>
  <c r="M8" i="24" s="1"/>
  <c r="M39" i="24" l="1"/>
  <c r="M40" i="24" s="1"/>
  <c r="M28" i="24"/>
  <c r="M12" i="24"/>
  <c r="M14" i="24" s="1"/>
  <c r="L32" i="24"/>
  <c r="L33" i="24" s="1"/>
  <c r="L35" i="24" s="1"/>
  <c r="L17" i="24"/>
  <c r="L40" i="24"/>
  <c r="J63" i="30"/>
  <c r="F64" i="30"/>
  <c r="N8" i="24" s="1"/>
  <c r="L61" i="30"/>
  <c r="K62" i="30"/>
  <c r="H61" i="30"/>
  <c r="I61" i="30" s="1"/>
  <c r="G62" i="30"/>
  <c r="N61" i="30"/>
  <c r="N39" i="24" l="1"/>
  <c r="N28" i="24"/>
  <c r="N12" i="24"/>
  <c r="N14" i="24" s="1"/>
  <c r="L41" i="24"/>
  <c r="M41" i="24"/>
  <c r="M32" i="24"/>
  <c r="M17" i="24"/>
  <c r="M33" i="24"/>
  <c r="M35" i="24" s="1"/>
  <c r="G63" i="30"/>
  <c r="H62" i="30"/>
  <c r="I62" i="30" s="1"/>
  <c r="N62" i="30"/>
  <c r="L62" i="30"/>
  <c r="M62" i="30" s="1"/>
  <c r="K63" i="30"/>
  <c r="M61" i="30"/>
  <c r="J64" i="30"/>
  <c r="F65" i="30"/>
  <c r="O8" i="24" s="1"/>
  <c r="O39" i="24" l="1"/>
  <c r="O40" i="24" s="1"/>
  <c r="O28" i="24"/>
  <c r="O12" i="24"/>
  <c r="O14" i="24" s="1"/>
  <c r="N32" i="24"/>
  <c r="N17" i="24"/>
  <c r="N33" i="24"/>
  <c r="N35" i="24" s="1"/>
  <c r="N40" i="24"/>
  <c r="J65" i="30"/>
  <c r="F66" i="30"/>
  <c r="P8" i="24" s="1"/>
  <c r="L63" i="30"/>
  <c r="K64" i="30"/>
  <c r="G64" i="30"/>
  <c r="H63" i="30"/>
  <c r="I63" i="30" s="1"/>
  <c r="N63" i="30"/>
  <c r="P39" i="24" l="1"/>
  <c r="P40" i="24" s="1"/>
  <c r="P28" i="24"/>
  <c r="P12" i="24"/>
  <c r="P14" i="24" s="1"/>
  <c r="P41" i="24"/>
  <c r="O41" i="24"/>
  <c r="N41" i="24"/>
  <c r="O32" i="24"/>
  <c r="O33" i="24" s="1"/>
  <c r="O35" i="24" s="1"/>
  <c r="O17" i="24"/>
  <c r="N64" i="30"/>
  <c r="G65" i="30"/>
  <c r="H64" i="30"/>
  <c r="I64" i="30" s="1"/>
  <c r="K65" i="30"/>
  <c r="L64" i="30"/>
  <c r="M64" i="30" s="1"/>
  <c r="M63" i="30"/>
  <c r="F67" i="30"/>
  <c r="Q8" i="24" s="1"/>
  <c r="J66" i="30"/>
  <c r="Q39" i="24" l="1"/>
  <c r="Q40" i="24" s="1"/>
  <c r="Q41" i="24" s="1"/>
  <c r="Q28" i="24"/>
  <c r="Q12" i="24"/>
  <c r="Q14" i="24" s="1"/>
  <c r="P32" i="24"/>
  <c r="P17" i="24"/>
  <c r="P33" i="24"/>
  <c r="P35" i="24" s="1"/>
  <c r="F68" i="30"/>
  <c r="R8" i="24" s="1"/>
  <c r="J67" i="30"/>
  <c r="K66" i="30"/>
  <c r="L65" i="30"/>
  <c r="G66" i="30"/>
  <c r="N65" i="30"/>
  <c r="H65" i="30"/>
  <c r="I65" i="30" s="1"/>
  <c r="R39" i="24" l="1"/>
  <c r="R28" i="24"/>
  <c r="R12" i="24"/>
  <c r="R14" i="24" s="1"/>
  <c r="Q32" i="24"/>
  <c r="Q33" i="24" s="1"/>
  <c r="Q35" i="24" s="1"/>
  <c r="Q17" i="24"/>
  <c r="M65" i="30"/>
  <c r="K67" i="30"/>
  <c r="L66" i="30"/>
  <c r="G67" i="30"/>
  <c r="N66" i="30"/>
  <c r="H66" i="30"/>
  <c r="I66" i="30" s="1"/>
  <c r="J68" i="30"/>
  <c r="F69" i="30"/>
  <c r="R32" i="24" l="1"/>
  <c r="R33" i="24" s="1"/>
  <c r="R35" i="24" s="1"/>
  <c r="R17" i="24"/>
  <c r="R18" i="24"/>
  <c r="C45" i="32" s="1"/>
  <c r="R40" i="24"/>
  <c r="R41" i="24" s="1"/>
  <c r="S39" i="24"/>
  <c r="S40" i="24" s="1"/>
  <c r="F70" i="30"/>
  <c r="J69" i="30"/>
  <c r="G68" i="30"/>
  <c r="N67" i="30"/>
  <c r="H67" i="30"/>
  <c r="I67" i="30" s="1"/>
  <c r="M66" i="30"/>
  <c r="K68" i="30"/>
  <c r="L67" i="30"/>
  <c r="M67" i="30" s="1"/>
  <c r="C54" i="32" l="1"/>
  <c r="K69" i="30"/>
  <c r="L68" i="30"/>
  <c r="N68" i="30"/>
  <c r="G69" i="30"/>
  <c r="H68" i="30"/>
  <c r="I68" i="30" s="1"/>
  <c r="J70" i="30"/>
  <c r="F71" i="30"/>
  <c r="J71" i="30" l="1"/>
  <c r="F72" i="30"/>
  <c r="N69" i="30"/>
  <c r="G70" i="30"/>
  <c r="H69" i="30"/>
  <c r="I69" i="30" s="1"/>
  <c r="M68" i="30"/>
  <c r="K70" i="30"/>
  <c r="L69" i="30"/>
  <c r="M69" i="30" s="1"/>
  <c r="K71" i="30" l="1"/>
  <c r="L70" i="30"/>
  <c r="N70" i="30"/>
  <c r="G71" i="30"/>
  <c r="H70" i="30"/>
  <c r="I70" i="30" s="1"/>
  <c r="J72" i="30"/>
  <c r="F73" i="30"/>
  <c r="J73" i="30" l="1"/>
  <c r="F74" i="30"/>
  <c r="N71" i="30"/>
  <c r="G72" i="30"/>
  <c r="H71" i="30"/>
  <c r="I71" i="30" s="1"/>
  <c r="M70" i="30"/>
  <c r="K72" i="30"/>
  <c r="L71" i="30"/>
  <c r="M71" i="30" s="1"/>
  <c r="K73" i="30" l="1"/>
  <c r="L72" i="30"/>
  <c r="G73" i="30"/>
  <c r="N72" i="30"/>
  <c r="H72" i="30"/>
  <c r="I72" i="30" s="1"/>
  <c r="F75" i="30"/>
  <c r="J74" i="30"/>
  <c r="F76" i="30" l="1"/>
  <c r="J75" i="30"/>
  <c r="N73" i="30"/>
  <c r="G74" i="30"/>
  <c r="H73" i="30"/>
  <c r="I73" i="30" s="1"/>
  <c r="M72" i="30"/>
  <c r="K74" i="30"/>
  <c r="L73" i="30"/>
  <c r="M73" i="30" s="1"/>
  <c r="K75" i="30" l="1"/>
  <c r="L74" i="30"/>
  <c r="N74" i="30"/>
  <c r="G75" i="30"/>
  <c r="H74" i="30"/>
  <c r="I74" i="30" s="1"/>
  <c r="F77" i="30"/>
  <c r="J76" i="30"/>
  <c r="F78" i="30" l="1"/>
  <c r="J77" i="30"/>
  <c r="N75" i="30"/>
  <c r="G76" i="30"/>
  <c r="H75" i="30"/>
  <c r="I75" i="30" s="1"/>
  <c r="M74" i="30"/>
  <c r="K76" i="30"/>
  <c r="L75" i="30"/>
  <c r="M75" i="30" s="1"/>
  <c r="K77" i="30" l="1"/>
  <c r="L76" i="30"/>
  <c r="N76" i="30"/>
  <c r="G77" i="30"/>
  <c r="H76" i="30"/>
  <c r="I76" i="30" s="1"/>
  <c r="F79" i="30"/>
  <c r="J78" i="30"/>
  <c r="J79" i="30" l="1"/>
  <c r="F80" i="30"/>
  <c r="G78" i="30"/>
  <c r="N77" i="30"/>
  <c r="H77" i="30"/>
  <c r="I77" i="30" s="1"/>
  <c r="M76" i="30"/>
  <c r="K78" i="30"/>
  <c r="L77" i="30"/>
  <c r="M77" i="30" s="1"/>
  <c r="K79" i="30" l="1"/>
  <c r="L78" i="30"/>
  <c r="N78" i="30"/>
  <c r="G79" i="30"/>
  <c r="H78" i="30"/>
  <c r="I78" i="30" s="1"/>
  <c r="F81" i="30"/>
  <c r="J80" i="30"/>
  <c r="F82" i="30" l="1"/>
  <c r="J81" i="30"/>
  <c r="N79" i="30"/>
  <c r="G80" i="30"/>
  <c r="H79" i="30"/>
  <c r="I79" i="30" s="1"/>
  <c r="M78" i="30"/>
  <c r="K80" i="30"/>
  <c r="L79" i="30"/>
  <c r="M79" i="30" s="1"/>
  <c r="K81" i="30" l="1"/>
  <c r="L80" i="30"/>
  <c r="N80" i="30"/>
  <c r="G81" i="30"/>
  <c r="H80" i="30"/>
  <c r="I80" i="30" s="1"/>
  <c r="J82" i="30"/>
  <c r="F83" i="30"/>
  <c r="J83" i="30" l="1"/>
  <c r="F84" i="30"/>
  <c r="F109" i="30"/>
  <c r="D7" i="41" s="1"/>
  <c r="D9" i="41" s="1"/>
  <c r="D11" i="41" s="1"/>
  <c r="C40" i="32" s="1"/>
  <c r="G82" i="30"/>
  <c r="N81" i="30"/>
  <c r="H81" i="30"/>
  <c r="I81" i="30" s="1"/>
  <c r="M80" i="30"/>
  <c r="K82" i="30"/>
  <c r="L81" i="30"/>
  <c r="M81" i="30" s="1"/>
  <c r="K83" i="30" l="1"/>
  <c r="L82" i="30"/>
  <c r="G83" i="30"/>
  <c r="N82" i="30"/>
  <c r="H82" i="30"/>
  <c r="I82" i="30" s="1"/>
  <c r="J84" i="30"/>
  <c r="F85" i="30"/>
  <c r="F86" i="30" l="1"/>
  <c r="J85" i="30"/>
  <c r="G84" i="30"/>
  <c r="N83" i="30"/>
  <c r="H83" i="30"/>
  <c r="M82" i="30"/>
  <c r="K84" i="30"/>
  <c r="L83" i="30"/>
  <c r="C17" i="32" l="1"/>
  <c r="K85" i="30"/>
  <c r="L84" i="30"/>
  <c r="I83" i="30"/>
  <c r="M83" i="30" s="1"/>
  <c r="C15" i="32"/>
  <c r="C19" i="32" s="1"/>
  <c r="C30" i="32" s="1"/>
  <c r="G85" i="30"/>
  <c r="N84" i="30"/>
  <c r="H84" i="30"/>
  <c r="I84" i="30" s="1"/>
  <c r="F87" i="30"/>
  <c r="J86" i="30"/>
  <c r="F88" i="30" l="1"/>
  <c r="J87" i="30"/>
  <c r="G86" i="30"/>
  <c r="N85" i="30"/>
  <c r="H85" i="30"/>
  <c r="I85" i="30" s="1"/>
  <c r="C42" i="32"/>
  <c r="C35" i="32"/>
  <c r="C43" i="32" s="1"/>
  <c r="C48" i="32" s="1"/>
  <c r="M84" i="30"/>
  <c r="K86" i="30"/>
  <c r="L85" i="30"/>
  <c r="M85" i="30" s="1"/>
  <c r="C55" i="32" l="1"/>
  <c r="C56" i="32" s="1"/>
  <c r="C58" i="32" s="1"/>
  <c r="C59" i="32" s="1"/>
  <c r="K87" i="30"/>
  <c r="L86" i="30"/>
  <c r="G87" i="30"/>
  <c r="N86" i="30"/>
  <c r="H86" i="30"/>
  <c r="I86" i="30" s="1"/>
  <c r="F89" i="30"/>
  <c r="J88" i="30"/>
  <c r="J89" i="30" l="1"/>
  <c r="F90" i="30"/>
  <c r="G88" i="30"/>
  <c r="N87" i="30"/>
  <c r="H87" i="30"/>
  <c r="I87" i="30" s="1"/>
  <c r="M86" i="30"/>
  <c r="K88" i="30"/>
  <c r="L87" i="30"/>
  <c r="M87" i="30" s="1"/>
  <c r="K89" i="30" l="1"/>
  <c r="L88" i="30"/>
  <c r="N88" i="30"/>
  <c r="G89" i="30"/>
  <c r="H88" i="30"/>
  <c r="I88" i="30" s="1"/>
  <c r="F91" i="30"/>
  <c r="J90" i="30"/>
  <c r="F92" i="30" l="1"/>
  <c r="J91" i="30"/>
  <c r="N89" i="30"/>
  <c r="G90" i="30"/>
  <c r="H89" i="30"/>
  <c r="I89" i="30" s="1"/>
  <c r="M88" i="30"/>
  <c r="K90" i="30"/>
  <c r="L89" i="30"/>
  <c r="M89" i="30" s="1"/>
  <c r="K91" i="30" l="1"/>
  <c r="L90" i="30"/>
  <c r="G91" i="30"/>
  <c r="N90" i="30"/>
  <c r="H90" i="30"/>
  <c r="I90" i="30" s="1"/>
  <c r="F93" i="30"/>
  <c r="J92" i="30"/>
  <c r="J93" i="30" l="1"/>
  <c r="F94" i="30"/>
  <c r="N91" i="30"/>
  <c r="G92" i="30"/>
  <c r="H91" i="30"/>
  <c r="I91" i="30" s="1"/>
  <c r="K92" i="30"/>
  <c r="L91" i="30"/>
  <c r="M91" i="30" s="1"/>
  <c r="M90" i="30"/>
  <c r="K93" i="30" l="1"/>
  <c r="L92" i="30"/>
  <c r="N92" i="30"/>
  <c r="G93" i="30"/>
  <c r="H92" i="30"/>
  <c r="I92" i="30" s="1"/>
  <c r="J94" i="30"/>
  <c r="F95" i="30"/>
  <c r="F96" i="30" l="1"/>
  <c r="J95" i="30"/>
  <c r="G94" i="30"/>
  <c r="N93" i="30"/>
  <c r="H93" i="30"/>
  <c r="I93" i="30" s="1"/>
  <c r="M92" i="30"/>
  <c r="K94" i="30"/>
  <c r="L93" i="30"/>
  <c r="M93" i="30" s="1"/>
  <c r="J96" i="30" l="1"/>
  <c r="F97" i="30"/>
  <c r="K95" i="30"/>
  <c r="L94" i="30"/>
  <c r="G95" i="30"/>
  <c r="N94" i="30"/>
  <c r="H94" i="30"/>
  <c r="I94" i="30" s="1"/>
  <c r="G96" i="30" l="1"/>
  <c r="N95" i="30"/>
  <c r="H95" i="30"/>
  <c r="I95" i="30" s="1"/>
  <c r="M94" i="30"/>
  <c r="K96" i="30"/>
  <c r="L95" i="30"/>
  <c r="M95" i="30" s="1"/>
  <c r="J97" i="30"/>
  <c r="F98" i="30"/>
  <c r="J98" i="30" l="1"/>
  <c r="F99" i="30"/>
  <c r="K97" i="30"/>
  <c r="L96" i="30"/>
  <c r="G97" i="30"/>
  <c r="N96" i="30"/>
  <c r="H96" i="30"/>
  <c r="I96" i="30" s="1"/>
  <c r="G98" i="30" l="1"/>
  <c r="N97" i="30"/>
  <c r="H97" i="30"/>
  <c r="I97" i="30" s="1"/>
  <c r="M96" i="30"/>
  <c r="K98" i="30"/>
  <c r="L97" i="30"/>
  <c r="M97" i="30" s="1"/>
  <c r="F100" i="30"/>
  <c r="J99" i="30"/>
  <c r="J100" i="30" l="1"/>
  <c r="F101" i="30"/>
  <c r="J101" i="30" s="1"/>
  <c r="K99" i="30"/>
  <c r="L98" i="30"/>
  <c r="G99" i="30"/>
  <c r="N98" i="30"/>
  <c r="H98" i="30"/>
  <c r="I98" i="30" s="1"/>
  <c r="N99" i="30" l="1"/>
  <c r="G100" i="30"/>
  <c r="H99" i="30"/>
  <c r="I99" i="30" s="1"/>
  <c r="M98" i="30"/>
  <c r="K100" i="30"/>
  <c r="L99" i="30"/>
  <c r="M99" i="30" s="1"/>
  <c r="K101" i="30" l="1"/>
  <c r="L100" i="30"/>
  <c r="G101" i="30"/>
  <c r="N100" i="30"/>
  <c r="H100" i="30"/>
  <c r="I100" i="30" s="1"/>
  <c r="G102" i="30" l="1"/>
  <c r="N101" i="30"/>
  <c r="H101" i="30"/>
  <c r="I101" i="30" s="1"/>
  <c r="M100" i="30"/>
  <c r="K102" i="30"/>
  <c r="L101" i="30"/>
  <c r="M101" i="30" s="1"/>
  <c r="K103" i="30" l="1"/>
  <c r="L102" i="30"/>
  <c r="N102" i="30"/>
  <c r="G103" i="30"/>
  <c r="H102" i="30"/>
  <c r="I102" i="30" s="1"/>
  <c r="N103" i="30" l="1"/>
  <c r="G104" i="30"/>
  <c r="H103" i="30"/>
  <c r="I103" i="30" s="1"/>
  <c r="M102" i="30"/>
  <c r="K104" i="30"/>
  <c r="L103" i="30"/>
  <c r="M103" i="30" s="1"/>
  <c r="K105" i="30" l="1"/>
  <c r="L104" i="30"/>
  <c r="N104" i="30"/>
  <c r="G105" i="30"/>
  <c r="H104" i="30"/>
  <c r="I104" i="30" s="1"/>
  <c r="N105" i="30" l="1"/>
  <c r="G106" i="30"/>
  <c r="H105" i="30"/>
  <c r="I105" i="30" s="1"/>
  <c r="M104" i="30"/>
  <c r="K106" i="30"/>
  <c r="L105" i="30"/>
  <c r="M105" i="30" s="1"/>
  <c r="K107" i="30" l="1"/>
  <c r="L107" i="30" s="1"/>
  <c r="L106" i="30"/>
  <c r="G107" i="30"/>
  <c r="N106" i="30"/>
  <c r="H106" i="30"/>
  <c r="I106" i="30" s="1"/>
  <c r="N107" i="30" l="1"/>
  <c r="H107" i="30"/>
  <c r="I107" i="30" s="1"/>
  <c r="M106" i="30"/>
  <c r="M107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tc={55E2B431-2172-41FD-B82F-206A185FA924}</author>
  </authors>
  <commentList>
    <comment ref="C53" authorId="0" shapeId="0" xr:uid="{00000000-0006-0000-0A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 the write off for pre Jan 23 deferred return</t>
      </text>
    </comment>
  </commentList>
</comments>
</file>

<file path=xl/sharedStrings.xml><?xml version="1.0" encoding="utf-8"?>
<sst xmlns="http://schemas.openxmlformats.org/spreadsheetml/2006/main" count="1431" uniqueCount="483">
  <si>
    <t>W_K.99999.03.33.01 - TLNG Supervision &amp; Support for PSE</t>
  </si>
  <si>
    <t>W_K.99999.03.33.17 - TLNG Power Costs for PSE</t>
  </si>
  <si>
    <t>W_K.99999.03.33.18 - TLNG Insurance for PSE</t>
  </si>
  <si>
    <t>W_K.99999.03.33.02 - TLNG Liquefaction System for PSE</t>
  </si>
  <si>
    <t>W_K.99999.03.33.03 - TLNG LNG Storage System for PSE</t>
  </si>
  <si>
    <t>W_K.99999.03.33.04 - TLNG Truck Loading System for PSE</t>
  </si>
  <si>
    <t>W_K.99999.03.33.06 - TLNG Pre-Treatment System for PSE</t>
  </si>
  <si>
    <t>W_K.99999.03.33.07 - TLNG Plant Utilities System for PSE</t>
  </si>
  <si>
    <t>W_K.99999.03.33.08 - TLNG Fuel System for PSE</t>
  </si>
  <si>
    <t>W_K.99999.03.33.09 - TLNG General Consumables for PSE</t>
  </si>
  <si>
    <t>W_K.99999.03.33.10 - TLNG Outside Util and HouseKeeping PSE</t>
  </si>
  <si>
    <t>W_K.99999.03.33.11 - TLNG Compliance for PSE</t>
  </si>
  <si>
    <t>W_K.99999.03.33.12 - TLNG Balance of Plant for PSE</t>
  </si>
  <si>
    <t>W_K.99999.03.33.13 - TLNG Control System for PSE</t>
  </si>
  <si>
    <t>W_K.99999.03.33.14 - TLNG Mgmt Fee and Incentive for PSE</t>
  </si>
  <si>
    <t>Item</t>
  </si>
  <si>
    <t>Operating and maintenance expenses (O&amp;M)</t>
  </si>
  <si>
    <t>Depreciation expense</t>
  </si>
  <si>
    <t>Conversion Factor</t>
  </si>
  <si>
    <t>weight</t>
  </si>
  <si>
    <t>cost</t>
  </si>
  <si>
    <t>Total</t>
  </si>
  <si>
    <t>debt</t>
  </si>
  <si>
    <t>equity</t>
  </si>
  <si>
    <t>PUGET SOUND ENERGY - GAS</t>
  </si>
  <si>
    <t>GAS RESULTS OF OPERATIONS</t>
  </si>
  <si>
    <t>12 MONTHS ENDED JUNE 30, 2021</t>
  </si>
  <si>
    <t>CONVERSION FACTOR</t>
  </si>
  <si>
    <t>LINE</t>
  </si>
  <si>
    <t>NO.</t>
  </si>
  <si>
    <t>DESCRIPTION</t>
  </si>
  <si>
    <t>BAD DEBTS</t>
  </si>
  <si>
    <t>ANNUAL FILING FEE</t>
  </si>
  <si>
    <t>STATE UTILITY TAX ( 3.8358% - ( LINE 1 * 3.8358% )  )</t>
  </si>
  <si>
    <t>SUM OF TAXES OTHER</t>
  </si>
  <si>
    <t>CONVERSION FACTOR EXCLUDING FEDERAL INCOME TAX ( 1 - LINE 17 )</t>
  </si>
  <si>
    <t>FIT</t>
  </si>
  <si>
    <t xml:space="preserve">CONVERSION FACTOR INCL FEDERAL INCOME TAX ( LINE 18 - LINE 19 ) </t>
  </si>
  <si>
    <t>Net deferral rate base</t>
  </si>
  <si>
    <t>Total rate base</t>
  </si>
  <si>
    <t>Total before revenue sensitive fees and taxes</t>
  </si>
  <si>
    <t>AMA</t>
  </si>
  <si>
    <t>Total revenue requirement</t>
  </si>
  <si>
    <t>Puget Sound Energy</t>
  </si>
  <si>
    <t>LNG Deferred Depreciation</t>
  </si>
  <si>
    <t>Amortization starts January 1, 2023 and ends December 31, 2026 (48 months)</t>
  </si>
  <si>
    <t>Actual Deferral</t>
  </si>
  <si>
    <t xml:space="preserve">Monthly </t>
  </si>
  <si>
    <t>Balance</t>
  </si>
  <si>
    <t>AMA Gross</t>
  </si>
  <si>
    <t>Monthly</t>
  </si>
  <si>
    <t>Accumulated</t>
  </si>
  <si>
    <t>AMA Accum.</t>
  </si>
  <si>
    <t>Accum DFIT</t>
  </si>
  <si>
    <t>AMA net of</t>
  </si>
  <si>
    <t>Month/</t>
  </si>
  <si>
    <t>Activity</t>
  </si>
  <si>
    <t>Amortization</t>
  </si>
  <si>
    <t>Net</t>
  </si>
  <si>
    <t>DFIT</t>
  </si>
  <si>
    <t>net of</t>
  </si>
  <si>
    <t>Period</t>
  </si>
  <si>
    <t xml:space="preserve">(a) </t>
  </si>
  <si>
    <t>(b)</t>
  </si>
  <si>
    <t xml:space="preserve">(c) </t>
  </si>
  <si>
    <t xml:space="preserve">(d) = (b) / </t>
  </si>
  <si>
    <t>(e) = prior mo - (d)</t>
  </si>
  <si>
    <t>(f)</t>
  </si>
  <si>
    <t>(g) = (c) + (f)</t>
  </si>
  <si>
    <t>(h) = (-(a) * 21%)</t>
  </si>
  <si>
    <t xml:space="preserve"> (i) = prior mo - (h) </t>
  </si>
  <si>
    <t>(j)</t>
  </si>
  <si>
    <t>(k) = (g) + (j)</t>
  </si>
  <si>
    <t>AA &amp; ADFIT</t>
  </si>
  <si>
    <t>48mos.(4yrs.)</t>
  </si>
  <si>
    <t>+ ((d) * 21%)</t>
  </si>
  <si>
    <t>Beginning</t>
  </si>
  <si>
    <t>Plant</t>
  </si>
  <si>
    <t>LNG Deferred Return</t>
  </si>
  <si>
    <t>Description</t>
  </si>
  <si>
    <t>Plant Balance</t>
  </si>
  <si>
    <t>Accumulated Depreciation</t>
  </si>
  <si>
    <t>Date</t>
  </si>
  <si>
    <t>Depreciable Plant Balance</t>
  </si>
  <si>
    <t>Depreciation Expense</t>
  </si>
  <si>
    <t>Net Book Value</t>
  </si>
  <si>
    <t>NBV Diff</t>
  </si>
  <si>
    <t>ADFIT</t>
  </si>
  <si>
    <t>Tax</t>
  </si>
  <si>
    <t>Book</t>
  </si>
  <si>
    <t>Tax (c) = (a)</t>
  </si>
  <si>
    <t xml:space="preserve">Book  </t>
  </si>
  <si>
    <t>Book &gt; Tax</t>
  </si>
  <si>
    <t>= - curr mos</t>
  </si>
  <si>
    <t>x Tax Table</t>
  </si>
  <si>
    <t>(e) = prior</t>
  </si>
  <si>
    <t>(f) = prior</t>
  </si>
  <si>
    <t>(j) + prior</t>
  </si>
  <si>
    <t>(a)</t>
  </si>
  <si>
    <t>mos- (c)</t>
  </si>
  <si>
    <t>mos - (d)</t>
  </si>
  <si>
    <t>(g) = (a) + (e)</t>
  </si>
  <si>
    <t>(h) = (b) + (f)</t>
  </si>
  <si>
    <t>(i) = (h) - (g)</t>
  </si>
  <si>
    <t>mos (j)</t>
  </si>
  <si>
    <t>Current Forecast</t>
  </si>
  <si>
    <t>W_K.99999.03.33.05 - TLNG Vaporization for PSE</t>
  </si>
  <si>
    <t>W_K.99999.03.33.15 - TLNG Supplemental Projects for PSE</t>
  </si>
  <si>
    <t>W_K.99999.03.33.16 - TLNG Lease for PSE</t>
  </si>
  <si>
    <t>Apr 2023</t>
  </si>
  <si>
    <t>May 2023</t>
  </si>
  <si>
    <t>Jun 2023</t>
  </si>
  <si>
    <t>Jul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</si>
  <si>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</si>
  <si>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</si>
  <si>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</si>
  <si>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</si>
  <si>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</si>
  <si>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</si>
  <si>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</si>
  <si>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</si>
  <si>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</si>
  <si>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</si>
  <si>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 2024</t>
  </si>
  <si>
    <t>Jul 2024</t>
  </si>
  <si>
    <t>Aug 2024</t>
  </si>
  <si>
    <t>Sep 2024</t>
  </si>
  <si>
    <t>Oct 2024</t>
  </si>
  <si>
    <t>Attachment A to LNG Accounting Instructions</t>
  </si>
  <si>
    <t>Book Depr</t>
  </si>
  <si>
    <t>Expense</t>
  </si>
  <si>
    <t>Total Net Plant in Rate Base</t>
  </si>
  <si>
    <t>Rate Base</t>
  </si>
  <si>
    <t>Deferrals</t>
  </si>
  <si>
    <t>O&amp;M</t>
  </si>
  <si>
    <t>Rev Req = First rate year AMA balances as Nov 2023 - Oct 2024</t>
  </si>
  <si>
    <t>Amortization of deferrals for return, depreciation and O&amp;M</t>
  </si>
  <si>
    <t>Total LNG Depo Amortization Exp. (Nov 2023-Oct-2024</t>
  </si>
  <si>
    <t>Requirement</t>
  </si>
  <si>
    <t>Approved Rate of Return</t>
  </si>
  <si>
    <t>Approved Weighted Average Cost of Debt</t>
  </si>
  <si>
    <t>Statutory Federal Income Tax Rate</t>
  </si>
  <si>
    <t>Net Operating Income for:</t>
  </si>
  <si>
    <t>Ref #</t>
  </si>
  <si>
    <t>Yr 1</t>
  </si>
  <si>
    <t>Yr 2</t>
  </si>
  <si>
    <t>Yr 3</t>
  </si>
  <si>
    <t>Yr 4</t>
  </si>
  <si>
    <t>Yr 5</t>
  </si>
  <si>
    <t>Accum Amortization on Depreciation Deferral</t>
  </si>
  <si>
    <t>Accum Amortization on O&amp;M Deferral</t>
  </si>
  <si>
    <t>ADFIT on Depreciation Deferral</t>
  </si>
  <si>
    <t>ADFIT on O&amp;M Deferral</t>
  </si>
  <si>
    <t>O&amp;M 12ME Oct 2024</t>
  </si>
  <si>
    <t>FIT Rate</t>
  </si>
  <si>
    <t>NOI</t>
  </si>
  <si>
    <t>Check</t>
  </si>
  <si>
    <t>s/b</t>
  </si>
  <si>
    <t>all</t>
  </si>
  <si>
    <t>From PowerPlant Subsidiary Ledger and Tax Calcs by Depr Group</t>
  </si>
  <si>
    <t>Note: No significant plant additions for Tacoma LNG are forecasted through October 2024.</t>
  </si>
  <si>
    <t>(d)</t>
  </si>
  <si>
    <t>Expense (k)</t>
  </si>
  <si>
    <t>EOP NBV</t>
  </si>
  <si>
    <t>Less ADIT</t>
  </si>
  <si>
    <t>(l) = (h) + (j)</t>
  </si>
  <si>
    <t>Depreciation</t>
  </si>
  <si>
    <t>Return</t>
  </si>
  <si>
    <t>Net Operating Income</t>
  </si>
  <si>
    <t xml:space="preserve">Amortization </t>
  </si>
  <si>
    <t>AMA Balance</t>
  </si>
  <si>
    <t xml:space="preserve"> as of 10/31/2024</t>
  </si>
  <si>
    <t>n/a</t>
  </si>
  <si>
    <t>Not Rate Base</t>
  </si>
  <si>
    <t>Return on rate base</t>
  </si>
  <si>
    <t>Depreciation deferral balances (Account 182.3)</t>
  </si>
  <si>
    <t>O&amp;M deferral balance (Account 182.3)</t>
  </si>
  <si>
    <t>AMA Balances (Oct 2023-Oct 2024)</t>
  </si>
  <si>
    <t>Tacoma LNG O&amp;M Forecast</t>
  </si>
  <si>
    <t>Tax Benefit of Interest (Line 21 x Line 24 x Line 25)</t>
  </si>
  <si>
    <t>Deferral = O&amp;M, Depreciation, and Return for the period Feb 2022 - Oct 2023</t>
  </si>
  <si>
    <t xml:space="preserve">LNG plant, depreciation, taxes - AMA </t>
  </si>
  <si>
    <r>
      <t xml:space="preserve">(Book </t>
    </r>
    <r>
      <rPr>
        <b/>
        <sz val="10"/>
        <rFont val="Calibri"/>
        <family val="2"/>
      </rPr>
      <t>&lt;</t>
    </r>
    <r>
      <rPr>
        <b/>
        <sz val="10"/>
        <rFont val="Arial"/>
        <family val="2"/>
      </rPr>
      <t xml:space="preserve"> Tax)</t>
    </r>
  </si>
  <si>
    <t>Accum Dep</t>
  </si>
  <si>
    <t>O&amp;M Deferral</t>
  </si>
  <si>
    <t>Total LNG O&amp;M Amortization Exp. (Nov 2023-Oct-2024)</t>
  </si>
  <si>
    <t>Total LNG Depo Amortization Exp. (Nov 2023-Oct-2024)</t>
  </si>
  <si>
    <t xml:space="preserve">Staff </t>
  </si>
  <si>
    <t>Recommended</t>
  </si>
  <si>
    <t>As filed Revenue</t>
  </si>
  <si>
    <t xml:space="preserve"> </t>
  </si>
  <si>
    <t>Used &amp; Useful (Staff)</t>
  </si>
  <si>
    <t>Gas Quality</t>
  </si>
  <si>
    <t xml:space="preserve">Gas Quality Monthly </t>
  </si>
  <si>
    <t>as filedBook Depr</t>
  </si>
  <si>
    <t>a</t>
  </si>
  <si>
    <t>Difference</t>
  </si>
  <si>
    <t>Liquefaction Allocator</t>
  </si>
  <si>
    <r>
      <t xml:space="preserve">2022 GENERAL RATE CASE - </t>
    </r>
    <r>
      <rPr>
        <b/>
        <sz val="10"/>
        <color rgb="FFFF0000"/>
        <rFont val="Times New Roman"/>
        <family val="1"/>
      </rPr>
      <t>Plus</t>
    </r>
    <r>
      <rPr>
        <b/>
        <sz val="10"/>
        <color theme="1"/>
        <rFont val="Times New Roman"/>
        <family val="1"/>
      </rPr>
      <t xml:space="preserve"> </t>
    </r>
    <r>
      <rPr>
        <b/>
        <sz val="10"/>
        <color rgb="FFFF0000"/>
        <rFont val="Times New Roman"/>
        <family val="1"/>
      </rPr>
      <t>Filing Fee Updated Per House Bill 1589, Effective 01.01.2024</t>
    </r>
  </si>
  <si>
    <t>RATE YEARS CALENDAR 2023 AND 2024</t>
  </si>
  <si>
    <t>Deferred Income Taxes</t>
  </si>
  <si>
    <t>From Compliance Filing in UG-230393</t>
  </si>
  <si>
    <t>WBS</t>
  </si>
  <si>
    <t>Entry 1 - JE822</t>
  </si>
  <si>
    <t>Revenue Tracker - Billed</t>
  </si>
  <si>
    <t>Revenue Tracker - Unbilled</t>
  </si>
  <si>
    <t>Revenue Tracker - Unbilled Reversal</t>
  </si>
  <si>
    <t>Return Tracker</t>
  </si>
  <si>
    <t>Depr Tracker</t>
  </si>
  <si>
    <t>Dep Amort</t>
  </si>
  <si>
    <t>O&amp;M Amort</t>
  </si>
  <si>
    <t>Return Amort</t>
  </si>
  <si>
    <t>Tracker Revenue Over/(Under)</t>
  </si>
  <si>
    <t>Journal Entry (If neg. CR 407 &amp; DR Reg A   -   Opposite if pos.)</t>
  </si>
  <si>
    <t>Entry 2 - JE774</t>
  </si>
  <si>
    <t>O&amp;M Tracker</t>
  </si>
  <si>
    <t>Account 18230522 Balance</t>
  </si>
  <si>
    <t>Equity Reserve (GAAP)</t>
  </si>
  <si>
    <t>I/S Proof (Natural Sign)</t>
  </si>
  <si>
    <t>Billed Revenue</t>
  </si>
  <si>
    <t>O&amp;M/Depr Originating Expense</t>
  </si>
  <si>
    <t>Depr &amp; O&amp;M Amort</t>
  </si>
  <si>
    <t>Entry</t>
  </si>
  <si>
    <t>diff</t>
  </si>
  <si>
    <t>(j) (Note 1)</t>
  </si>
  <si>
    <t>Expense (o)</t>
  </si>
  <si>
    <t>LNG plant, depreciation, taxes - AMA ELECTRIC</t>
  </si>
  <si>
    <t>Deferral = O&amp;M, Depreciation, and Return for the period Feb 2022 - April 2025</t>
  </si>
  <si>
    <t xml:space="preserve">  </t>
  </si>
  <si>
    <t>AMA Balances (May 2024-July 2025)</t>
  </si>
  <si>
    <t>AMA Balances (May 2024-Oct 2025)</t>
  </si>
  <si>
    <t>SAP 18239642</t>
  </si>
  <si>
    <t>SAP 18239652</t>
  </si>
  <si>
    <t>SAP 18609802</t>
  </si>
  <si>
    <t>Amortization of the existing deferrals for return, depreciation and O&amp;M</t>
  </si>
  <si>
    <t>SAP 18239972</t>
  </si>
  <si>
    <t>SAP 18230512</t>
  </si>
  <si>
    <t>Depreciation Deferral Nov 23 - Apr 24</t>
  </si>
  <si>
    <t>O&amp;M Deferral Nov 23 - Apr 24</t>
  </si>
  <si>
    <t>Yr1</t>
  </si>
  <si>
    <t>Yr2</t>
  </si>
  <si>
    <t>Yr3</t>
  </si>
  <si>
    <t xml:space="preserve">SAP 18609772 </t>
  </si>
  <si>
    <t>New Deferrals (Nov' 2023 to Apr' 2024)</t>
  </si>
  <si>
    <t>36mos.(3yrs.)</t>
  </si>
  <si>
    <t>PUGET SOUND ENERGY-GAS</t>
  </si>
  <si>
    <t>%'s</t>
  </si>
  <si>
    <t>RATE</t>
  </si>
  <si>
    <t>CONVERSION FACTOR EXCLUDING FEDERAL INCOME TAX ( 1 - LINE 5)</t>
  </si>
  <si>
    <t xml:space="preserve">FEDERAL INCOME TAX </t>
  </si>
  <si>
    <t xml:space="preserve">CONVERSION FACTOR INCL FEDERAL INCOME TAX ( 1 - LINE 5 - LINE 8 ) </t>
  </si>
  <si>
    <t>CAPITAL</t>
  </si>
  <si>
    <t>WEIGHTED</t>
  </si>
  <si>
    <t>STRUCTURE</t>
  </si>
  <si>
    <t>COST</t>
  </si>
  <si>
    <t>Restating through December 2024</t>
  </si>
  <si>
    <t>SHORT AND LONG TERM DEBT</t>
  </si>
  <si>
    <t>EQUITY</t>
  </si>
  <si>
    <t>TOTAL</t>
  </si>
  <si>
    <t>AFTER TAX SHORT TERM DEBT ( (LINE 1)* 79%)</t>
  </si>
  <si>
    <t>TOTAL AFTER TAX COST OF CAPITAL</t>
  </si>
  <si>
    <t>COMPLIANCE</t>
  </si>
  <si>
    <t>REQUESTED COST OF CAPITAL</t>
  </si>
  <si>
    <t xml:space="preserve">Combine ROR for 15 month filing </t>
  </si>
  <si>
    <t xml:space="preserve">Pro-rate ROR for Nov and Dec 2025 </t>
  </si>
  <si>
    <t xml:space="preserve">Pro-rate cost of debt for Nov and Dec 2025 </t>
  </si>
  <si>
    <t xml:space="preserve">Combine cost of debt for 15 month filing </t>
  </si>
  <si>
    <t>Forecast</t>
  </si>
  <si>
    <t>Cost Center</t>
  </si>
  <si>
    <t>Nov 2025</t>
  </si>
  <si>
    <t>Dec 2025</t>
  </si>
  <si>
    <t>Jan 2026</t>
  </si>
  <si>
    <t>Feb 2026</t>
  </si>
  <si>
    <t>Mar 2026</t>
  </si>
  <si>
    <t>Apr 2026</t>
  </si>
  <si>
    <t>May 2026</t>
  </si>
  <si>
    <t>Jun 2026</t>
  </si>
  <si>
    <t>Jul 2026</t>
  </si>
  <si>
    <t>Aug 2026</t>
  </si>
  <si>
    <t>Sep 2026</t>
  </si>
  <si>
    <t>Oct 2026</t>
  </si>
  <si>
    <t>Nov 2026</t>
  </si>
  <si>
    <t>Dec 2026</t>
  </si>
  <si>
    <t>Jan 2027</t>
  </si>
  <si>
    <t>CC_5023 - Tacoma LNG Operations</t>
  </si>
  <si>
    <t>Amortization Exp</t>
  </si>
  <si>
    <t xml:space="preserve">Exisiting Deferral </t>
  </si>
  <si>
    <t xml:space="preserve">Nov 23 - Apr 24 Deferral </t>
  </si>
  <si>
    <t>AMA Balance Existing Deferrals</t>
  </si>
  <si>
    <t>AMA Balance Nov 23 - Apr 24 Deferrals</t>
  </si>
  <si>
    <t xml:space="preserve">Tax Benefit of Interest </t>
  </si>
  <si>
    <t xml:space="preserve">True-ups of actual cost and revenue for period May' 2024 through July' 2025 </t>
  </si>
  <si>
    <t>Amortization of the Nov' 2023 to Apr' 2024  deferrals for return, depreciation and O&amp;M</t>
  </si>
  <si>
    <t>FOR THE TWELVE MONTHS ENDED JUNE 30, 2023</t>
  </si>
  <si>
    <t>2024 GENERAL RATE CASE</t>
  </si>
  <si>
    <t>AMA Balances (Oct 2025 - Oct 2026)</t>
  </si>
  <si>
    <t xml:space="preserve"> as of 10/31/2026</t>
  </si>
  <si>
    <t>Total LNG O&amp;M Amortization Exp. (Nov 2025-Oct 2026)</t>
  </si>
  <si>
    <t>Total LNG Depo Amortization Exp. (Nov 2025 - Oct 2026)</t>
  </si>
  <si>
    <t>Total LNG Def return Amortization Exp. (Nov 2025-Oct 2026)</t>
  </si>
  <si>
    <t>Total post 23 LNG O&amp;M Amortization Exp. (Nov 2025-Oct 2026)</t>
  </si>
  <si>
    <t>Total Post Oct 23 LNG Depreciation Amortization Exp. (Nov 2025- Oct 2026)</t>
  </si>
  <si>
    <t>Total Post Oct 23 LNG Deferred Return Amortization Exp. (Nov 2025-Oct 2026)</t>
  </si>
  <si>
    <t>Pro-rate ROR for Jan 2026 - Oct 2026</t>
  </si>
  <si>
    <t>Pro-rate cost of debt for Jan 2026 - Oct 2026</t>
  </si>
  <si>
    <t>Rev Req = AMA balances as Nov 2025 - Oct 2026</t>
  </si>
  <si>
    <t>12 MONTHS ENDED JUNE 30, 2023</t>
  </si>
  <si>
    <t>Actual revenues</t>
  </si>
  <si>
    <t>Actual costs</t>
  </si>
  <si>
    <t>Tracker True-up</t>
  </si>
  <si>
    <t>Cumulative</t>
  </si>
  <si>
    <t>Existing Deferrals Approved in UG-230398</t>
  </si>
  <si>
    <t>As Approved in UG-230393</t>
  </si>
  <si>
    <t>Revenue Requirement in Current Rates from UG-230393</t>
  </si>
  <si>
    <t>Increase in tracker true up</t>
  </si>
  <si>
    <t>Increase in amortization for new deferrals</t>
  </si>
  <si>
    <t>Increase in revenue requirement</t>
  </si>
  <si>
    <t>Total Requested Revenue Requirement</t>
  </si>
  <si>
    <t>Other (change in conversion factor, ROR, plant rate base, O&amp;M, depreciation)</t>
  </si>
  <si>
    <t>Amount</t>
  </si>
  <si>
    <t>Determination of Return on LNG Plant</t>
  </si>
  <si>
    <t>Attachment D to LNG Accounting Instructions</t>
  </si>
  <si>
    <t>ROR should be checked monthly (Revenue Requirements provides the ROR monthly in the Conversion Factors and Allocations Memo)</t>
  </si>
  <si>
    <t>2022 GRC ROR (Effective Jan 7, 2023 for Gas)</t>
  </si>
  <si>
    <t>2024 GRC RoR (Effective Jan29, 2025)</t>
  </si>
  <si>
    <t>Rate of Return</t>
  </si>
  <si>
    <t>Weighted Average Cost of Debt</t>
  </si>
  <si>
    <t>Federal Tax Rate</t>
  </si>
  <si>
    <t xml:space="preserve">Line </t>
  </si>
  <si>
    <t>One month lag</t>
  </si>
  <si>
    <t>No.</t>
  </si>
  <si>
    <t>TOTAL GAS</t>
  </si>
  <si>
    <t>Plant Balance (Column C of Plant Additions)</t>
  </si>
  <si>
    <t>C3(A)</t>
  </si>
  <si>
    <t>Accumulated Depreciation (Column G of Plant Additions)</t>
  </si>
  <si>
    <t>C3(B)</t>
  </si>
  <si>
    <t>Regulatory Assets</t>
  </si>
  <si>
    <t>C2(A)</t>
  </si>
  <si>
    <t>Deferred Income Taxes (Column K of Plant Additions)</t>
  </si>
  <si>
    <t>C3(C)</t>
  </si>
  <si>
    <t>Net Plant Rate Base</t>
  </si>
  <si>
    <t>Net Operating Income Requirement</t>
  </si>
  <si>
    <t>Tax Benefit of Interest</t>
  </si>
  <si>
    <t>Subtotal Before Gross-Up</t>
  </si>
  <si>
    <t>Gross Up for Federal Income Tax</t>
  </si>
  <si>
    <t>Annual Return</t>
  </si>
  <si>
    <t>Convert to Monthly</t>
  </si>
  <si>
    <t>Monthly Return on Rate Base</t>
  </si>
  <si>
    <t>Prorated 28 days out of 31 days</t>
  </si>
  <si>
    <t>Prorated 3 days out of 31 days</t>
  </si>
  <si>
    <t>Grand Total</t>
  </si>
  <si>
    <t>92400330</t>
  </si>
  <si>
    <t>84780001</t>
  </si>
  <si>
    <t>84770090</t>
  </si>
  <si>
    <t>84730001</t>
  </si>
  <si>
    <t>84730000</t>
  </si>
  <si>
    <t>84620093</t>
  </si>
  <si>
    <t>84620091</t>
  </si>
  <si>
    <t>84620090</t>
  </si>
  <si>
    <t>84470091</t>
  </si>
  <si>
    <t>84470090</t>
  </si>
  <si>
    <t>84430000</t>
  </si>
  <si>
    <t>84420000</t>
  </si>
  <si>
    <t>84410109</t>
  </si>
  <si>
    <t>84410107</t>
  </si>
  <si>
    <t>84390092</t>
  </si>
  <si>
    <t>84390091</t>
  </si>
  <si>
    <t>84390090</t>
  </si>
  <si>
    <t>84360002</t>
  </si>
  <si>
    <t>84340001</t>
  </si>
  <si>
    <t>84330002</t>
  </si>
  <si>
    <t>84220030</t>
  </si>
  <si>
    <t>84200030</t>
  </si>
  <si>
    <t>84100090</t>
  </si>
  <si>
    <t>84100088</t>
  </si>
  <si>
    <t>84100087</t>
  </si>
  <si>
    <t>84100086</t>
  </si>
  <si>
    <t>84000091</t>
  </si>
  <si>
    <t>84000090</t>
  </si>
  <si>
    <t>84000031</t>
  </si>
  <si>
    <t>84000030</t>
  </si>
  <si>
    <t>84000001</t>
  </si>
  <si>
    <t>7-2025</t>
  </si>
  <si>
    <t>6-2025</t>
  </si>
  <si>
    <t>5-2025</t>
  </si>
  <si>
    <t>4-2025</t>
  </si>
  <si>
    <t>3-2025</t>
  </si>
  <si>
    <t>2-2025</t>
  </si>
  <si>
    <t>1-2025</t>
  </si>
  <si>
    <t>12-2024</t>
  </si>
  <si>
    <t>11-2024</t>
  </si>
  <si>
    <t>10-2024</t>
  </si>
  <si>
    <t>9-2024</t>
  </si>
  <si>
    <t>8-2024</t>
  </si>
  <si>
    <t>7-2024</t>
  </si>
  <si>
    <t>6-2024</t>
  </si>
  <si>
    <t>5-2024</t>
  </si>
  <si>
    <t>Row Labels</t>
  </si>
  <si>
    <t>Column Labels</t>
  </si>
  <si>
    <t>Sum of Val.in rep.cur.</t>
  </si>
  <si>
    <t>Calculate Monthly Amortization of Deferred O&amp;M:</t>
  </si>
  <si>
    <t>(For Entry 12)</t>
  </si>
  <si>
    <t>Feb - Dec 2022</t>
  </si>
  <si>
    <t>Jan - Oct 2023</t>
  </si>
  <si>
    <t>Total Deferred</t>
  </si>
  <si>
    <t>Total Def Cost</t>
  </si>
  <si>
    <t>Monthly Amort</t>
  </si>
  <si>
    <t>LNG O&amp;M Deferral tab from Staff Exh BAE-2:</t>
  </si>
  <si>
    <t>LNG Deferred Return tab from Staff Exh BAE-2:</t>
  </si>
  <si>
    <t>LNG Deferred Depreciation approved in UG-230393:</t>
  </si>
  <si>
    <t>Order</t>
  </si>
  <si>
    <t>Actual Cost</t>
  </si>
  <si>
    <t>Feb 2022 - Oct 2023</t>
  </si>
  <si>
    <t>In Rates</t>
  </si>
  <si>
    <t>(48 months)</t>
  </si>
  <si>
    <t xml:space="preserve"> 84000092  Credit Order 840 TLNG Deferral</t>
  </si>
  <si>
    <t xml:space="preserve"> 84100091  Credit Order 841 TLNG Deferral</t>
  </si>
  <si>
    <t xml:space="preserve"> 84200031  Credit Order 842.0 TLNG Deferral</t>
  </si>
  <si>
    <t xml:space="preserve"> 84220031  Credit Order 842.2 TLNG Deferral</t>
  </si>
  <si>
    <t xml:space="preserve"> 84330003  Credit Order 843.3 TLNG Deferral</t>
  </si>
  <si>
    <t xml:space="preserve"> 84340002  Credit Order 843.4 TLNG Deferral</t>
  </si>
  <si>
    <t xml:space="preserve"> 84390093  Credit Order 843.9 TLNG Deferral</t>
  </si>
  <si>
    <t xml:space="preserve"> 84410108  Credit Order 844.1 TLNG Deferral</t>
  </si>
  <si>
    <t xml:space="preserve"> 84420100  Credit Order 844.2 TLNG Deferral</t>
  </si>
  <si>
    <t xml:space="preserve"> 84470000  Credit Order 844.7 TLNG Deferral</t>
  </si>
  <si>
    <t xml:space="preserve"> 84620092  Credit Order 846.2 TLNG Deferral</t>
  </si>
  <si>
    <t xml:space="preserve"> 84730002  Credit Order 847.3 TLNG Deferral</t>
  </si>
  <si>
    <t xml:space="preserve"> 84770091  Credit Order 847.7 TLNG Deferral</t>
  </si>
  <si>
    <t xml:space="preserve"> 92400301  Credit Order 924 TLNG Deferral</t>
  </si>
  <si>
    <t>Calculate Monthly Pre-October 2023 Monthly Amortization of Depr Deferral (Entry 12):</t>
  </si>
  <si>
    <t>Balance Approved for Amortization in Order 7</t>
  </si>
  <si>
    <t>48 Month Amort</t>
  </si>
  <si>
    <t>Transfer Post October 2023 O&amp;M Deferral Transfer to new Account (Entry 7):</t>
  </si>
  <si>
    <t>Balance 4/30/2023 Account 18239652</t>
  </si>
  <si>
    <t>Deferred O&amp;M to be transferred to new Acct</t>
  </si>
  <si>
    <t>Transfer Post October 2023 Depreciation Deferral Transfer to new Account (Entry 8):</t>
  </si>
  <si>
    <t>Balance 4/30/2023 Account 18239642</t>
  </si>
  <si>
    <t>Transfer Post October 2023 Deferred Return to new Account (Entry 9):</t>
  </si>
  <si>
    <t>Balance 4/30/2023 Account 18609802</t>
  </si>
  <si>
    <t>Deferred Return Write-off Adjustment (Entry 6)</t>
  </si>
  <si>
    <t>Deferred Return to be transferred to new Acct</t>
  </si>
  <si>
    <t>&lt;-- agrees to amounts deferred in SAP since 10/2023</t>
  </si>
  <si>
    <t>Deferred Return Amortization over 48 months (Entry 11):</t>
  </si>
  <si>
    <t>&lt;-- agrees to UG-230393 w/p</t>
  </si>
  <si>
    <t>Transfer Post October 2023 Equity Reserve to new Account (Entry 9):</t>
  </si>
  <si>
    <t>Reserve Entries Post Oct-2023 Acct 25321082</t>
  </si>
  <si>
    <t>Equity Reserve on Def Return</t>
  </si>
  <si>
    <t>Balance to Transfer to New Equity Reserve Account</t>
  </si>
  <si>
    <t>&lt;-- agrees to SAP</t>
  </si>
  <si>
    <t>Equity Reserve Amortization over 48 months (Entry 11):</t>
  </si>
  <si>
    <t>Equity reserve originally recorded in 25321082</t>
  </si>
  <si>
    <t>Reserve at 12/2023 and write-off per Order 07</t>
  </si>
  <si>
    <t xml:space="preserve">Transfers of Post October 2023 Reserve to Account 25321042 </t>
  </si>
  <si>
    <t>Remaining Reserve Associated with Def Return Allowed</t>
  </si>
  <si>
    <t>Amortization over 48 months</t>
  </si>
  <si>
    <t>Additional Reserve for Post October 2023 Deferred Return (Entry 10):</t>
  </si>
  <si>
    <t>Debit 419.1 Interest Income</t>
  </si>
  <si>
    <t>Credit Account 25321042</t>
  </si>
  <si>
    <t xml:space="preserve">Total </t>
  </si>
  <si>
    <t>B. Depr 1604 Report</t>
  </si>
  <si>
    <t>G303 INT Misc Intangible Assets</t>
  </si>
  <si>
    <t>Software</t>
  </si>
  <si>
    <t>Specific depreciation</t>
  </si>
  <si>
    <t>C. PP SS HRD CMM</t>
  </si>
  <si>
    <t>G397 GEN Communication Equipment</t>
  </si>
  <si>
    <t xml:space="preserve">Communication Equipment </t>
  </si>
  <si>
    <t>G3912 GEN Computer Hardware</t>
  </si>
  <si>
    <t>Hardware</t>
  </si>
  <si>
    <t>A. Depr 1085 Report</t>
  </si>
  <si>
    <t>G3646 OSP Compressor Station Equip, Tacoma LNG</t>
  </si>
  <si>
    <t>G3645 OSP Measuring and Reg Equip, Tacoma LNG</t>
  </si>
  <si>
    <t>G3643 OSP LNG Processing Terminal Equip, Tacoma LNG</t>
  </si>
  <si>
    <t>G3635 OSP Other Equip, Tacoma LNG</t>
  </si>
  <si>
    <t>G3633 OSP Compressor Equip, Tacoma LNG</t>
  </si>
  <si>
    <t>G3632 OSP Vaporizing Equip, Tacoma LNG</t>
  </si>
  <si>
    <t>G3631 OSP Liquefaction Equip, Tacoma LNG</t>
  </si>
  <si>
    <t>G363 OSP Purification Equip, Tacoma LNG</t>
  </si>
  <si>
    <t>G362 OSP Gas Holders, Tacoma LNG</t>
  </si>
  <si>
    <t>G361 OSP Str/Impv, Tacoma LNG</t>
  </si>
  <si>
    <t>LNG Plant assets</t>
  </si>
  <si>
    <t>Depr Rate</t>
  </si>
  <si>
    <t>Group depreciation</t>
  </si>
  <si>
    <t>Depreciation Deferral for Tacoma LNG - PSE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</si>
</sst>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[$-409]mmmm\ d\,\ yyyy;@"/>
    <numFmt numFmtId="168" formatCode="0.0000"/>
    <numFmt numFmtId="169" formatCode="_(&quot;$&quot;* #,##0.000000_);_(&quot;$&quot;* \(#,##0.000000\);_(&quot;$&quot;* &quot;-&quot;??_);_(@_)"/>
    <numFmt numFmtId="170" formatCode="0.000%"/>
    <numFmt numFmtId="171" formatCode="0.0000%"/>
    <numFmt numFmtId="172" formatCode="0.00000000"/>
    <numFmt numFmtId="173" formatCode="0.0%"/>
    <numFmt numFmtId="174" formatCode="_(* #,##0.000000_);_(* \(#,##0.000000\);_(* &quot;-&quot;_);_(@_)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666666"/>
      <name val="Arial"/>
      <family val="2"/>
    </font>
    <font>
      <b/>
      <sz val="11"/>
      <color rgb="FF666666"/>
      <name val="Arial"/>
      <family val="2"/>
    </font>
    <font>
      <b/>
      <sz val="9"/>
      <color rgb="FFFFFFFF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0"/>
      <name val="Calibri"/>
      <family val="2"/>
    </font>
    <font>
      <b/>
      <sz val="10"/>
      <color rgb="FFFF0000"/>
      <name val="Times New Roman"/>
      <family val="1"/>
    </font>
    <font>
      <b/>
      <sz val="10"/>
      <color theme="0"/>
      <name val="Arial"/>
      <family val="2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rgb="FF0000FF"/>
      <name val="Arial"/>
      <family val="2"/>
    </font>
    <font>
      <sz val="8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Arial"/>
      <family val="2"/>
    </font>
    <font>
      <b/>
      <sz val="11"/>
      <name val="Times New Roman"/>
      <family val="1"/>
    </font>
    <font>
      <b/>
      <i/>
      <sz val="10"/>
      <color theme="1"/>
      <name val="Times New Roman"/>
      <family val="1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0"/>
      <name val="Arial"/>
    </font>
    <font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A66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33" fillId="13" borderId="0" applyNumberFormat="0" applyBorder="0" applyAlignment="0" applyProtection="0"/>
    <xf numFmtId="0" fontId="37" fillId="0" borderId="0"/>
    <xf numFmtId="44" fontId="37" fillId="0" borderId="0" applyFont="0" applyFill="0" applyBorder="0" applyAlignment="0" applyProtection="0"/>
  </cellStyleXfs>
  <cellXfs count="519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4" fontId="0" fillId="0" borderId="0" xfId="1" applyNumberFormat="1" applyFont="1"/>
    <xf numFmtId="0" fontId="2" fillId="0" borderId="0" xfId="0" applyFont="1"/>
    <xf numFmtId="9" fontId="0" fillId="0" borderId="0" xfId="0" applyNumberFormat="1"/>
    <xf numFmtId="10" fontId="0" fillId="0" borderId="0" xfId="2" applyNumberFormat="1" applyFont="1"/>
    <xf numFmtId="10" fontId="0" fillId="0" borderId="0" xfId="0" applyNumberFormat="1"/>
    <xf numFmtId="10" fontId="0" fillId="0" borderId="1" xfId="2" applyNumberFormat="1" applyFont="1" applyBorder="1"/>
    <xf numFmtId="10" fontId="2" fillId="0" borderId="0" xfId="2" applyNumberFormat="1" applyFont="1"/>
    <xf numFmtId="9" fontId="0" fillId="0" borderId="1" xfId="0" applyNumberFormat="1" applyBorder="1"/>
    <xf numFmtId="0" fontId="3" fillId="0" borderId="0" xfId="0" applyFont="1" applyFill="1"/>
    <xf numFmtId="0" fontId="4" fillId="0" borderId="0" xfId="0" applyFont="1" applyFill="1" applyAlignment="1">
      <alignment horizontal="centerContinuous"/>
    </xf>
    <xf numFmtId="0" fontId="3" fillId="0" borderId="0" xfId="0" applyFont="1" applyFill="1" applyAlignment="1">
      <alignment horizontal="centerContinuous"/>
    </xf>
    <xf numFmtId="0" fontId="5" fillId="0" borderId="0" xfId="0" applyFont="1" applyFill="1" applyAlignment="1">
      <alignment horizontal="centerContinuous"/>
    </xf>
    <xf numFmtId="0" fontId="4" fillId="0" borderId="0" xfId="0" applyNumberFormat="1" applyFont="1" applyFill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3" fillId="0" borderId="1" xfId="0" applyFont="1" applyFill="1" applyBorder="1"/>
    <xf numFmtId="0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left"/>
    </xf>
    <xf numFmtId="0" fontId="3" fillId="0" borderId="0" xfId="0" applyNumberFormat="1" applyFont="1" applyFill="1" applyAlignment="1"/>
    <xf numFmtId="166" fontId="3" fillId="0" borderId="0" xfId="0" applyNumberFormat="1" applyFont="1" applyFill="1" applyAlignment="1"/>
    <xf numFmtId="166" fontId="3" fillId="0" borderId="1" xfId="0" applyNumberFormat="1" applyFont="1" applyFill="1" applyBorder="1" applyAlignment="1"/>
    <xf numFmtId="166" fontId="3" fillId="0" borderId="0" xfId="0" applyNumberFormat="1" applyFont="1" applyFill="1" applyBorder="1" applyAlignment="1"/>
    <xf numFmtId="9" fontId="3" fillId="0" borderId="0" xfId="0" applyNumberFormat="1" applyFont="1" applyFill="1" applyAlignment="1"/>
    <xf numFmtId="166" fontId="3" fillId="0" borderId="3" xfId="0" applyNumberFormat="1" applyFont="1" applyFill="1" applyBorder="1" applyAlignment="1" applyProtection="1">
      <protection locked="0"/>
    </xf>
    <xf numFmtId="0" fontId="6" fillId="0" borderId="0" xfId="0" applyFont="1" applyFill="1"/>
    <xf numFmtId="0" fontId="7" fillId="0" borderId="0" xfId="0" applyFont="1" applyFill="1"/>
    <xf numFmtId="0" fontId="7" fillId="0" borderId="0" xfId="0" applyFont="1" applyFill="1" applyBorder="1"/>
    <xf numFmtId="0" fontId="7" fillId="0" borderId="0" xfId="0" applyNumberFormat="1" applyFont="1" applyFill="1" applyAlignment="1"/>
    <xf numFmtId="0" fontId="6" fillId="0" borderId="0" xfId="0" applyFont="1" applyFill="1" applyAlignment="1">
      <alignment horizontal="centerContinuous"/>
    </xf>
    <xf numFmtId="14" fontId="6" fillId="0" borderId="0" xfId="0" applyNumberFormat="1" applyFont="1" applyFill="1" applyAlignment="1">
      <alignment horizontal="centerContinuous"/>
    </xf>
    <xf numFmtId="0" fontId="6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4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/>
    <xf numFmtId="0" fontId="6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7" fillId="0" borderId="2" xfId="0" applyFont="1" applyFill="1" applyBorder="1"/>
    <xf numFmtId="0" fontId="7" fillId="0" borderId="2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Continuous"/>
    </xf>
    <xf numFmtId="0" fontId="7" fillId="0" borderId="5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7" fillId="0" borderId="0" xfId="0" quotePrefix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Continuous"/>
    </xf>
    <xf numFmtId="0" fontId="7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7" fillId="0" borderId="1" xfId="0" quotePrefix="1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9" xfId="0" applyNumberFormat="1" applyFont="1" applyFill="1" applyBorder="1" applyAlignment="1"/>
    <xf numFmtId="0" fontId="7" fillId="0" borderId="0" xfId="0" applyFont="1" applyFill="1" applyBorder="1" applyAlignment="1">
      <alignment horizontal="right"/>
    </xf>
    <xf numFmtId="6" fontId="7" fillId="0" borderId="0" xfId="0" applyNumberFormat="1" applyFont="1" applyFill="1" applyBorder="1"/>
    <xf numFmtId="6" fontId="7" fillId="0" borderId="0" xfId="0" applyNumberFormat="1" applyFont="1" applyFill="1" applyBorder="1" applyAlignment="1">
      <alignment horizontal="center"/>
    </xf>
    <xf numFmtId="5" fontId="7" fillId="0" borderId="0" xfId="0" applyNumberFormat="1" applyFont="1" applyFill="1" applyBorder="1"/>
    <xf numFmtId="5" fontId="7" fillId="0" borderId="5" xfId="0" applyNumberFormat="1" applyFont="1" applyFill="1" applyBorder="1"/>
    <xf numFmtId="0" fontId="7" fillId="0" borderId="8" xfId="0" applyNumberFormat="1" applyFont="1" applyFill="1" applyBorder="1" applyAlignment="1"/>
    <xf numFmtId="17" fontId="7" fillId="0" borderId="0" xfId="0" applyNumberFormat="1" applyFont="1" applyFill="1" applyBorder="1"/>
    <xf numFmtId="38" fontId="7" fillId="0" borderId="0" xfId="0" applyNumberFormat="1" applyFont="1" applyFill="1" applyBorder="1"/>
    <xf numFmtId="165" fontId="7" fillId="0" borderId="0" xfId="0" applyNumberFormat="1" applyFont="1" applyFill="1" applyBorder="1"/>
    <xf numFmtId="165" fontId="7" fillId="0" borderId="8" xfId="0" applyNumberFormat="1" applyFont="1" applyFill="1" applyBorder="1" applyAlignment="1"/>
    <xf numFmtId="165" fontId="7" fillId="0" borderId="8" xfId="0" applyNumberFormat="1" applyFont="1" applyFill="1" applyBorder="1"/>
    <xf numFmtId="0" fontId="7" fillId="0" borderId="0" xfId="0" applyNumberFormat="1" applyFont="1" applyFill="1" applyBorder="1" applyAlignment="1"/>
    <xf numFmtId="43" fontId="7" fillId="0" borderId="0" xfId="0" applyNumberFormat="1" applyFont="1" applyFill="1" applyBorder="1"/>
    <xf numFmtId="41" fontId="7" fillId="0" borderId="0" xfId="0" applyNumberFormat="1" applyFont="1" applyFill="1" applyBorder="1"/>
    <xf numFmtId="165" fontId="7" fillId="0" borderId="5" xfId="0" applyNumberFormat="1" applyFont="1" applyFill="1" applyBorder="1"/>
    <xf numFmtId="17" fontId="7" fillId="0" borderId="1" xfId="0" applyNumberFormat="1" applyFont="1" applyFill="1" applyBorder="1"/>
    <xf numFmtId="0" fontId="7" fillId="0" borderId="1" xfId="0" applyNumberFormat="1" applyFont="1" applyFill="1" applyBorder="1" applyAlignment="1"/>
    <xf numFmtId="165" fontId="7" fillId="0" borderId="1" xfId="0" applyNumberFormat="1" applyFont="1" applyFill="1" applyBorder="1"/>
    <xf numFmtId="41" fontId="7" fillId="0" borderId="1" xfId="0" applyNumberFormat="1" applyFont="1" applyFill="1" applyBorder="1"/>
    <xf numFmtId="165" fontId="7" fillId="0" borderId="9" xfId="0" applyNumberFormat="1" applyFont="1" applyFill="1" applyBorder="1" applyAlignment="1"/>
    <xf numFmtId="43" fontId="7" fillId="0" borderId="1" xfId="0" applyNumberFormat="1" applyFont="1" applyFill="1" applyBorder="1"/>
    <xf numFmtId="0" fontId="2" fillId="0" borderId="0" xfId="0" applyFont="1" applyBorder="1" applyAlignment="1">
      <alignment horizontal="center"/>
    </xf>
    <xf numFmtId="167" fontId="8" fillId="0" borderId="0" xfId="0" applyNumberFormat="1" applyFont="1" applyFill="1" applyBorder="1" applyAlignment="1">
      <alignment horizontal="right"/>
    </xf>
    <xf numFmtId="0" fontId="0" fillId="0" borderId="0" xfId="0" applyFont="1" applyFill="1"/>
    <xf numFmtId="40" fontId="7" fillId="0" borderId="0" xfId="0" applyNumberFormat="1" applyFont="1" applyFill="1" applyBorder="1"/>
    <xf numFmtId="49" fontId="0" fillId="0" borderId="0" xfId="0" applyNumberFormat="1"/>
    <xf numFmtId="37" fontId="10" fillId="0" borderId="16" xfId="3" applyNumberFormat="1" applyFont="1" applyFill="1" applyBorder="1" applyAlignment="1" applyProtection="1">
      <alignment vertical="center"/>
      <protection locked="0"/>
    </xf>
    <xf numFmtId="49" fontId="11" fillId="0" borderId="17" xfId="4" applyNumberFormat="1" applyFont="1" applyFill="1" applyBorder="1" applyAlignment="1" applyProtection="1">
      <alignment horizontal="left" indent="1"/>
    </xf>
    <xf numFmtId="49" fontId="12" fillId="2" borderId="18" xfId="0" applyNumberFormat="1" applyFont="1" applyFill="1" applyBorder="1" applyAlignment="1">
      <alignment horizontal="center"/>
    </xf>
    <xf numFmtId="166" fontId="6" fillId="0" borderId="0" xfId="0" applyNumberFormat="1" applyFont="1" applyFill="1" applyAlignment="1">
      <alignment horizontal="left"/>
    </xf>
    <xf numFmtId="166" fontId="7" fillId="0" borderId="0" xfId="0" applyNumberFormat="1" applyFont="1" applyFill="1" applyAlignment="1">
      <alignment horizontal="left"/>
    </xf>
    <xf numFmtId="0" fontId="0" fillId="0" borderId="0" xfId="0" applyFill="1"/>
    <xf numFmtId="166" fontId="6" fillId="0" borderId="0" xfId="0" applyNumberFormat="1" applyFont="1" applyFill="1" applyAlignment="1">
      <alignment horizontal="right"/>
    </xf>
    <xf numFmtId="0" fontId="7" fillId="0" borderId="0" xfId="0" applyFont="1" applyFill="1" applyAlignment="1">
      <alignment horizontal="center" wrapText="1"/>
    </xf>
    <xf numFmtId="43" fontId="7" fillId="0" borderId="0" xfId="0" applyNumberFormat="1" applyFont="1" applyFill="1" applyAlignment="1">
      <alignment horizontal="left"/>
    </xf>
    <xf numFmtId="165" fontId="7" fillId="0" borderId="0" xfId="0" applyNumberFormat="1" applyFont="1" applyFill="1" applyAlignment="1">
      <alignment horizontal="left"/>
    </xf>
    <xf numFmtId="13" fontId="7" fillId="0" borderId="0" xfId="0" applyNumberFormat="1" applyFont="1" applyFill="1"/>
    <xf numFmtId="0" fontId="6" fillId="0" borderId="19" xfId="0" applyNumberFormat="1" applyFont="1" applyFill="1" applyBorder="1" applyAlignment="1">
      <alignment horizontal="center"/>
    </xf>
    <xf numFmtId="0" fontId="6" fillId="0" borderId="20" xfId="0" applyNumberFormat="1" applyFont="1" applyFill="1" applyBorder="1" applyAlignment="1">
      <alignment horizontal="centerContinuous" vertical="center"/>
    </xf>
    <xf numFmtId="0" fontId="6" fillId="0" borderId="21" xfId="0" applyNumberFormat="1" applyFont="1" applyFill="1" applyBorder="1" applyAlignment="1">
      <alignment horizontal="centerContinuous" vertical="center"/>
    </xf>
    <xf numFmtId="166" fontId="6" fillId="0" borderId="19" xfId="0" applyNumberFormat="1" applyFont="1" applyFill="1" applyBorder="1" applyAlignment="1">
      <alignment horizontal="center"/>
    </xf>
    <xf numFmtId="166" fontId="6" fillId="0" borderId="22" xfId="0" applyNumberFormat="1" applyFont="1" applyFill="1" applyBorder="1" applyAlignment="1">
      <alignment horizontal="center"/>
    </xf>
    <xf numFmtId="0" fontId="6" fillId="0" borderId="12" xfId="0" applyNumberFormat="1" applyFont="1" applyFill="1" applyBorder="1" applyAlignment="1">
      <alignment horizontal="center"/>
    </xf>
    <xf numFmtId="0" fontId="6" fillId="0" borderId="10" xfId="0" applyNumberFormat="1" applyFont="1" applyFill="1" applyBorder="1" applyAlignment="1">
      <alignment horizontal="centerContinuous" vertical="center"/>
    </xf>
    <xf numFmtId="0" fontId="6" fillId="0" borderId="11" xfId="0" applyNumberFormat="1" applyFont="1" applyFill="1" applyBorder="1" applyAlignment="1">
      <alignment horizontal="centerContinuous" vertical="center"/>
    </xf>
    <xf numFmtId="0" fontId="14" fillId="0" borderId="10" xfId="0" applyNumberFormat="1" applyFont="1" applyFill="1" applyBorder="1" applyAlignment="1">
      <alignment horizontal="right" vertical="center"/>
    </xf>
    <xf numFmtId="0" fontId="6" fillId="0" borderId="11" xfId="0" applyNumberFormat="1" applyFont="1" applyFill="1" applyBorder="1" applyAlignment="1">
      <alignment horizontal="center"/>
    </xf>
    <xf numFmtId="166" fontId="6" fillId="0" borderId="12" xfId="0" applyNumberFormat="1" applyFont="1" applyFill="1" applyBorder="1" applyAlignment="1">
      <alignment horizontal="center"/>
    </xf>
    <xf numFmtId="166" fontId="6" fillId="0" borderId="11" xfId="0" applyNumberFormat="1" applyFont="1" applyFill="1" applyBorder="1" applyAlignment="1">
      <alignment horizontal="center"/>
    </xf>
    <xf numFmtId="0" fontId="7" fillId="0" borderId="12" xfId="0" applyNumberFormat="1" applyFont="1" applyFill="1" applyBorder="1" applyAlignment="1"/>
    <xf numFmtId="0" fontId="6" fillId="0" borderId="10" xfId="0" applyNumberFormat="1" applyFont="1" applyFill="1" applyBorder="1" applyAlignment="1">
      <alignment horizontal="center"/>
    </xf>
    <xf numFmtId="9" fontId="6" fillId="0" borderId="11" xfId="0" applyNumberFormat="1" applyFont="1" applyFill="1" applyBorder="1" applyAlignment="1">
      <alignment horizontal="center"/>
    </xf>
    <xf numFmtId="0" fontId="6" fillId="0" borderId="15" xfId="0" applyNumberFormat="1" applyFont="1" applyFill="1" applyBorder="1" applyAlignment="1">
      <alignment horizontal="center"/>
    </xf>
    <xf numFmtId="0" fontId="6" fillId="0" borderId="13" xfId="0" applyNumberFormat="1" applyFont="1" applyFill="1" applyBorder="1" applyAlignment="1">
      <alignment horizontal="center"/>
    </xf>
    <xf numFmtId="0" fontId="6" fillId="0" borderId="14" xfId="0" applyNumberFormat="1" applyFont="1" applyFill="1" applyBorder="1" applyAlignment="1">
      <alignment horizontal="center"/>
    </xf>
    <xf numFmtId="166" fontId="6" fillId="0" borderId="15" xfId="0" applyNumberFormat="1" applyFont="1" applyFill="1" applyBorder="1" applyAlignment="1">
      <alignment horizontal="center"/>
    </xf>
    <xf numFmtId="9" fontId="6" fillId="0" borderId="14" xfId="0" applyNumberFormat="1" applyFont="1" applyFill="1" applyBorder="1" applyAlignment="1">
      <alignment horizontal="center"/>
    </xf>
    <xf numFmtId="166" fontId="6" fillId="0" borderId="14" xfId="0" quotePrefix="1" applyNumberFormat="1" applyFont="1" applyFill="1" applyBorder="1" applyAlignment="1">
      <alignment horizontal="center"/>
    </xf>
    <xf numFmtId="167" fontId="7" fillId="0" borderId="12" xfId="0" applyNumberFormat="1" applyFont="1" applyFill="1" applyBorder="1" applyAlignment="1">
      <alignment horizontal="right"/>
    </xf>
    <xf numFmtId="41" fontId="7" fillId="0" borderId="10" xfId="0" applyNumberFormat="1" applyFont="1" applyFill="1" applyBorder="1" applyAlignment="1"/>
    <xf numFmtId="41" fontId="7" fillId="0" borderId="11" xfId="0" applyNumberFormat="1" applyFont="1" applyFill="1" applyBorder="1" applyAlignment="1"/>
    <xf numFmtId="41" fontId="7" fillId="0" borderId="10" xfId="0" applyNumberFormat="1" applyFont="1" applyFill="1" applyBorder="1" applyAlignment="1">
      <alignment horizontal="center"/>
    </xf>
    <xf numFmtId="41" fontId="7" fillId="0" borderId="11" xfId="0" applyNumberFormat="1" applyFont="1" applyFill="1" applyBorder="1" applyAlignment="1">
      <alignment horizontal="left"/>
    </xf>
    <xf numFmtId="41" fontId="7" fillId="0" borderId="12" xfId="0" applyNumberFormat="1" applyFont="1" applyFill="1" applyBorder="1" applyAlignment="1"/>
    <xf numFmtId="165" fontId="7" fillId="0" borderId="11" xfId="0" applyNumberFormat="1" applyFont="1" applyFill="1" applyBorder="1" applyAlignment="1"/>
    <xf numFmtId="41" fontId="7" fillId="0" borderId="0" xfId="0" applyNumberFormat="1" applyFont="1" applyFill="1" applyBorder="1" applyAlignment="1"/>
    <xf numFmtId="164" fontId="7" fillId="0" borderId="0" xfId="1" applyNumberFormat="1" applyFont="1" applyFill="1" applyBorder="1" applyAlignment="1">
      <alignment horizontal="center"/>
    </xf>
    <xf numFmtId="164" fontId="7" fillId="0" borderId="0" xfId="1" applyNumberFormat="1" applyFont="1" applyFill="1" applyBorder="1"/>
    <xf numFmtId="164" fontId="7" fillId="0" borderId="1" xfId="1" applyNumberFormat="1" applyFont="1" applyFill="1" applyBorder="1"/>
    <xf numFmtId="164" fontId="7" fillId="0" borderId="0" xfId="1" applyNumberFormat="1" applyFont="1" applyFill="1" applyBorder="1" applyAlignment="1">
      <alignment horizontal="left" indent="4"/>
    </xf>
    <xf numFmtId="164" fontId="7" fillId="0" borderId="1" xfId="1" applyNumberFormat="1" applyFont="1" applyFill="1" applyBorder="1" applyAlignment="1">
      <alignment horizontal="left" indent="4"/>
    </xf>
    <xf numFmtId="0" fontId="0" fillId="0" borderId="0" xfId="0" applyFont="1" applyFill="1" applyAlignment="1">
      <alignment wrapText="1"/>
    </xf>
    <xf numFmtId="164" fontId="0" fillId="0" borderId="0" xfId="0" applyNumberFormat="1" applyFont="1" applyFill="1"/>
    <xf numFmtId="165" fontId="7" fillId="0" borderId="0" xfId="0" applyNumberFormat="1" applyFont="1" applyFill="1" applyAlignment="1"/>
    <xf numFmtId="41" fontId="0" fillId="0" borderId="0" xfId="0" applyNumberFormat="1" applyFont="1" applyFill="1"/>
    <xf numFmtId="164" fontId="7" fillId="0" borderId="0" xfId="0" applyNumberFormat="1" applyFont="1" applyFill="1" applyBorder="1" applyAlignment="1"/>
    <xf numFmtId="0" fontId="16" fillId="0" borderId="0" xfId="0" applyFont="1" applyFill="1"/>
    <xf numFmtId="164" fontId="17" fillId="0" borderId="0" xfId="1" applyNumberFormat="1" applyFont="1" applyFill="1" applyBorder="1"/>
    <xf numFmtId="165" fontId="17" fillId="0" borderId="2" xfId="3" applyNumberFormat="1" applyFont="1" applyFill="1" applyBorder="1"/>
    <xf numFmtId="17" fontId="7" fillId="0" borderId="24" xfId="0" applyNumberFormat="1" applyFont="1" applyFill="1" applyBorder="1"/>
    <xf numFmtId="38" fontId="7" fillId="0" borderId="24" xfId="0" applyNumberFormat="1" applyFont="1" applyFill="1" applyBorder="1"/>
    <xf numFmtId="165" fontId="7" fillId="0" borderId="24" xfId="0" applyNumberFormat="1" applyFont="1" applyFill="1" applyBorder="1"/>
    <xf numFmtId="164" fontId="7" fillId="0" borderId="24" xfId="1" applyNumberFormat="1" applyFont="1" applyFill="1" applyBorder="1" applyAlignment="1">
      <alignment horizontal="left" indent="4"/>
    </xf>
    <xf numFmtId="41" fontId="7" fillId="0" borderId="24" xfId="0" applyNumberFormat="1" applyFont="1" applyFill="1" applyBorder="1"/>
    <xf numFmtId="165" fontId="7" fillId="0" borderId="23" xfId="0" applyNumberFormat="1" applyFont="1" applyFill="1" applyBorder="1"/>
    <xf numFmtId="165" fontId="7" fillId="0" borderId="25" xfId="0" applyNumberFormat="1" applyFont="1" applyFill="1" applyBorder="1" applyAlignment="1"/>
    <xf numFmtId="0" fontId="7" fillId="0" borderId="24" xfId="0" applyNumberFormat="1" applyFont="1" applyFill="1" applyBorder="1" applyAlignment="1"/>
    <xf numFmtId="43" fontId="0" fillId="0" borderId="0" xfId="3" applyNumberFormat="1" applyFont="1"/>
    <xf numFmtId="0" fontId="0" fillId="0" borderId="0" xfId="0" applyAlignment="1">
      <alignment horizontal="right"/>
    </xf>
    <xf numFmtId="164" fontId="0" fillId="0" borderId="3" xfId="0" applyNumberFormat="1" applyBorder="1"/>
    <xf numFmtId="9" fontId="7" fillId="0" borderId="0" xfId="2" applyNumberFormat="1" applyFont="1" applyFill="1" applyAlignment="1"/>
    <xf numFmtId="0" fontId="7" fillId="0" borderId="0" xfId="0" applyNumberFormat="1" applyFont="1" applyFill="1" applyAlignment="1">
      <alignment horizontal="center"/>
    </xf>
    <xf numFmtId="9" fontId="7" fillId="0" borderId="0" xfId="0" applyNumberFormat="1" applyFont="1" applyFill="1" applyAlignment="1">
      <alignment horizontal="center"/>
    </xf>
    <xf numFmtId="164" fontId="7" fillId="0" borderId="24" xfId="1" applyNumberFormat="1" applyFont="1" applyFill="1" applyBorder="1"/>
    <xf numFmtId="165" fontId="7" fillId="0" borderId="0" xfId="0" applyNumberFormat="1" applyFont="1" applyFill="1" applyBorder="1" applyAlignment="1"/>
    <xf numFmtId="17" fontId="7" fillId="0" borderId="2" xfId="0" applyNumberFormat="1" applyFont="1" applyFill="1" applyBorder="1"/>
    <xf numFmtId="0" fontId="7" fillId="0" borderId="2" xfId="0" applyNumberFormat="1" applyFont="1" applyFill="1" applyBorder="1" applyAlignment="1"/>
    <xf numFmtId="165" fontId="7" fillId="0" borderId="2" xfId="0" applyNumberFormat="1" applyFont="1" applyFill="1" applyBorder="1"/>
    <xf numFmtId="164" fontId="7" fillId="0" borderId="2" xfId="1" applyNumberFormat="1" applyFont="1" applyFill="1" applyBorder="1"/>
    <xf numFmtId="41" fontId="7" fillId="0" borderId="2" xfId="0" applyNumberFormat="1" applyFont="1" applyFill="1" applyBorder="1"/>
    <xf numFmtId="165" fontId="7" fillId="0" borderId="2" xfId="0" applyNumberFormat="1" applyFont="1" applyFill="1" applyBorder="1" applyAlignment="1"/>
    <xf numFmtId="41" fontId="7" fillId="0" borderId="26" xfId="0" applyNumberFormat="1" applyFont="1" applyFill="1" applyBorder="1" applyAlignment="1"/>
    <xf numFmtId="41" fontId="7" fillId="0" borderId="24" xfId="0" applyNumberFormat="1" applyFont="1" applyFill="1" applyBorder="1" applyAlignment="1"/>
    <xf numFmtId="41" fontId="7" fillId="0" borderId="19" xfId="0" applyNumberFormat="1" applyFont="1" applyFill="1" applyBorder="1" applyAlignment="1"/>
    <xf numFmtId="0" fontId="6" fillId="0" borderId="27" xfId="0" applyNumberFormat="1" applyFont="1" applyFill="1" applyBorder="1" applyAlignment="1">
      <alignment horizontal="centerContinuous" vertical="center"/>
    </xf>
    <xf numFmtId="0" fontId="6" fillId="0" borderId="28" xfId="0" applyNumberFormat="1" applyFont="1" applyFill="1" applyBorder="1" applyAlignment="1">
      <alignment horizontal="centerContinuous" vertical="center"/>
    </xf>
    <xf numFmtId="0" fontId="7" fillId="0" borderId="30" xfId="0" applyNumberFormat="1" applyFont="1" applyFill="1" applyBorder="1" applyAlignment="1">
      <alignment horizontal="centerContinuous"/>
    </xf>
    <xf numFmtId="0" fontId="7" fillId="0" borderId="31" xfId="0" applyNumberFormat="1" applyFont="1" applyFill="1" applyBorder="1" applyAlignment="1">
      <alignment horizontal="centerContinuous"/>
    </xf>
    <xf numFmtId="0" fontId="6" fillId="0" borderId="29" xfId="0" applyNumberFormat="1" applyFont="1" applyFill="1" applyBorder="1" applyAlignment="1">
      <alignment horizontal="centerContinuous"/>
    </xf>
    <xf numFmtId="167" fontId="8" fillId="0" borderId="0" xfId="0" applyNumberFormat="1" applyFont="1" applyFill="1" applyBorder="1" applyAlignment="1">
      <alignment horizontal="left"/>
    </xf>
    <xf numFmtId="9" fontId="6" fillId="0" borderId="12" xfId="0" applyNumberFormat="1" applyFont="1" applyFill="1" applyBorder="1" applyAlignment="1">
      <alignment horizontal="center"/>
    </xf>
    <xf numFmtId="9" fontId="6" fillId="0" borderId="15" xfId="0" applyNumberFormat="1" applyFont="1" applyFill="1" applyBorder="1" applyAlignment="1">
      <alignment horizontal="center"/>
    </xf>
    <xf numFmtId="165" fontId="7" fillId="0" borderId="12" xfId="0" applyNumberFormat="1" applyFont="1" applyFill="1" applyBorder="1" applyAlignment="1"/>
    <xf numFmtId="43" fontId="7" fillId="0" borderId="2" xfId="0" applyNumberFormat="1" applyFont="1" applyFill="1" applyBorder="1"/>
    <xf numFmtId="43" fontId="7" fillId="0" borderId="24" xfId="0" applyNumberFormat="1" applyFont="1" applyFill="1" applyBorder="1"/>
    <xf numFmtId="165" fontId="0" fillId="0" borderId="0" xfId="3" applyNumberFormat="1" applyFont="1"/>
    <xf numFmtId="164" fontId="0" fillId="0" borderId="2" xfId="0" applyNumberFormat="1" applyBorder="1"/>
    <xf numFmtId="9" fontId="0" fillId="0" borderId="0" xfId="2" applyFont="1"/>
    <xf numFmtId="164" fontId="0" fillId="0" borderId="0" xfId="0" applyNumberFormat="1"/>
    <xf numFmtId="165" fontId="0" fillId="0" borderId="0" xfId="0" applyNumberFormat="1"/>
    <xf numFmtId="0" fontId="0" fillId="0" borderId="0" xfId="0" applyFont="1" applyFill="1" applyAlignment="1">
      <alignment horizontal="center"/>
    </xf>
    <xf numFmtId="37" fontId="0" fillId="0" borderId="0" xfId="0" applyNumberFormat="1"/>
    <xf numFmtId="0" fontId="18" fillId="0" borderId="0" xfId="0" applyFont="1" applyFill="1"/>
    <xf numFmtId="0" fontId="17" fillId="0" borderId="0" xfId="0" applyFont="1" applyFill="1"/>
    <xf numFmtId="0" fontId="16" fillId="0" borderId="0" xfId="0" applyFont="1" applyFill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0" xfId="0" applyFont="1" applyFill="1" applyAlignment="1">
      <alignment horizontal="left"/>
    </xf>
    <xf numFmtId="0" fontId="17" fillId="0" borderId="0" xfId="0" applyFont="1" applyFill="1" applyAlignment="1">
      <alignment horizontal="center"/>
    </xf>
    <xf numFmtId="0" fontId="17" fillId="0" borderId="0" xfId="0" applyFont="1" applyFill="1" applyAlignment="1">
      <alignment horizontal="left" indent="1"/>
    </xf>
    <xf numFmtId="164" fontId="17" fillId="0" borderId="0" xfId="1" applyNumberFormat="1" applyFont="1" applyFill="1"/>
    <xf numFmtId="164" fontId="19" fillId="0" borderId="0" xfId="1" applyNumberFormat="1" applyFont="1" applyFill="1"/>
    <xf numFmtId="164" fontId="19" fillId="0" borderId="0" xfId="0" applyNumberFormat="1" applyFont="1" applyFill="1"/>
    <xf numFmtId="165" fontId="17" fillId="0" borderId="0" xfId="3" applyNumberFormat="1" applyFont="1" applyFill="1"/>
    <xf numFmtId="0" fontId="17" fillId="0" borderId="0" xfId="0" applyFont="1" applyFill="1" applyAlignment="1">
      <alignment horizontal="left"/>
    </xf>
    <xf numFmtId="10" fontId="17" fillId="0" borderId="0" xfId="2" applyNumberFormat="1" applyFont="1" applyFill="1"/>
    <xf numFmtId="9" fontId="17" fillId="0" borderId="0" xfId="2" applyFont="1" applyFill="1"/>
    <xf numFmtId="164" fontId="17" fillId="0" borderId="2" xfId="1" applyNumberFormat="1" applyFont="1" applyFill="1" applyBorder="1"/>
    <xf numFmtId="0" fontId="17" fillId="0" borderId="0" xfId="0" applyFont="1" applyFill="1" applyAlignment="1"/>
    <xf numFmtId="166" fontId="17" fillId="0" borderId="0" xfId="1" applyNumberFormat="1" applyFont="1" applyFill="1"/>
    <xf numFmtId="164" fontId="17" fillId="0" borderId="3" xfId="1" applyNumberFormat="1" applyFont="1" applyFill="1" applyBorder="1"/>
    <xf numFmtId="164" fontId="17" fillId="0" borderId="0" xfId="1" applyNumberFormat="1" applyFont="1" applyFill="1" applyAlignment="1">
      <alignment horizontal="right"/>
    </xf>
    <xf numFmtId="42" fontId="17" fillId="0" borderId="0" xfId="0" applyNumberFormat="1" applyFont="1" applyFill="1"/>
    <xf numFmtId="0" fontId="13" fillId="0" borderId="0" xfId="0" applyNumberFormat="1" applyFont="1" applyFill="1" applyBorder="1" applyAlignment="1">
      <alignment horizontal="center"/>
    </xf>
    <xf numFmtId="164" fontId="0" fillId="0" borderId="0" xfId="1" applyNumberFormat="1" applyFont="1" applyFill="1"/>
    <xf numFmtId="165" fontId="6" fillId="0" borderId="0" xfId="0" applyNumberFormat="1" applyFont="1" applyFill="1" applyBorder="1"/>
    <xf numFmtId="164" fontId="17" fillId="0" borderId="0" xfId="1" applyNumberFormat="1" applyFont="1" applyFill="1" applyAlignment="1">
      <alignment horizontal="center"/>
    </xf>
    <xf numFmtId="164" fontId="17" fillId="0" borderId="0" xfId="1" applyNumberFormat="1" applyFont="1" applyFill="1" applyAlignment="1"/>
    <xf numFmtId="164" fontId="17" fillId="0" borderId="2" xfId="1" applyNumberFormat="1" applyFont="1" applyFill="1" applyBorder="1" applyAlignment="1"/>
    <xf numFmtId="165" fontId="17" fillId="0" borderId="0" xfId="3" applyNumberFormat="1" applyFont="1" applyFill="1" applyBorder="1"/>
    <xf numFmtId="164" fontId="17" fillId="0" borderId="0" xfId="1" applyNumberFormat="1" applyFont="1" applyFill="1" applyBorder="1" applyAlignment="1"/>
    <xf numFmtId="167" fontId="8" fillId="0" borderId="12" xfId="0" applyNumberFormat="1" applyFont="1" applyFill="1" applyBorder="1" applyAlignment="1">
      <alignment horizontal="right"/>
    </xf>
    <xf numFmtId="167" fontId="8" fillId="0" borderId="19" xfId="0" applyNumberFormat="1" applyFont="1" applyFill="1" applyBorder="1" applyAlignment="1">
      <alignment horizontal="right"/>
    </xf>
    <xf numFmtId="167" fontId="8" fillId="0" borderId="32" xfId="0" applyNumberFormat="1" applyFont="1" applyFill="1" applyBorder="1" applyAlignment="1">
      <alignment horizontal="right"/>
    </xf>
    <xf numFmtId="41" fontId="7" fillId="0" borderId="29" xfId="0" applyNumberFormat="1" applyFont="1" applyFill="1" applyBorder="1" applyAlignment="1"/>
    <xf numFmtId="41" fontId="7" fillId="0" borderId="30" xfId="0" applyNumberFormat="1" applyFont="1" applyFill="1" applyBorder="1" applyAlignment="1"/>
    <xf numFmtId="41" fontId="7" fillId="0" borderId="32" xfId="0" applyNumberFormat="1" applyFont="1" applyFill="1" applyBorder="1" applyAlignment="1"/>
    <xf numFmtId="0" fontId="0" fillId="0" borderId="0" xfId="0" applyFont="1" applyFill="1" applyAlignment="1"/>
    <xf numFmtId="41" fontId="17" fillId="0" borderId="0" xfId="1" applyNumberFormat="1" applyFont="1" applyFill="1" applyAlignment="1"/>
    <xf numFmtId="41" fontId="17" fillId="0" borderId="0" xfId="1" applyNumberFormat="1" applyFont="1" applyFill="1"/>
    <xf numFmtId="49" fontId="0" fillId="0" borderId="0" xfId="0" applyNumberFormat="1" applyFill="1"/>
    <xf numFmtId="37" fontId="0" fillId="0" borderId="0" xfId="0" applyNumberFormat="1" applyFill="1"/>
    <xf numFmtId="37" fontId="9" fillId="0" borderId="0" xfId="0" applyNumberFormat="1" applyFont="1" applyFill="1"/>
    <xf numFmtId="165" fontId="6" fillId="0" borderId="5" xfId="0" applyNumberFormat="1" applyFont="1" applyFill="1" applyBorder="1"/>
    <xf numFmtId="0" fontId="16" fillId="0" borderId="0" xfId="0" applyFont="1" applyAlignment="1">
      <alignment horizontal="center"/>
    </xf>
    <xf numFmtId="0" fontId="6" fillId="0" borderId="0" xfId="0" applyFont="1"/>
    <xf numFmtId="168" fontId="0" fillId="4" borderId="32" xfId="0" applyNumberFormat="1" applyFill="1" applyBorder="1" applyAlignment="1">
      <alignment horizontal="center"/>
    </xf>
    <xf numFmtId="165" fontId="7" fillId="0" borderId="0" xfId="3" applyNumberFormat="1" applyFont="1" applyFill="1"/>
    <xf numFmtId="167" fontId="8" fillId="3" borderId="12" xfId="0" applyNumberFormat="1" applyFont="1" applyFill="1" applyBorder="1" applyAlignment="1">
      <alignment horizontal="right"/>
    </xf>
    <xf numFmtId="41" fontId="7" fillId="3" borderId="11" xfId="0" applyNumberFormat="1" applyFont="1" applyFill="1" applyBorder="1" applyAlignment="1"/>
    <xf numFmtId="41" fontId="7" fillId="5" borderId="11" xfId="0" applyNumberFormat="1" applyFont="1" applyFill="1" applyBorder="1" applyAlignment="1"/>
    <xf numFmtId="41" fontId="7" fillId="3" borderId="0" xfId="0" applyNumberFormat="1" applyFont="1" applyFill="1" applyBorder="1" applyAlignment="1"/>
    <xf numFmtId="41" fontId="7" fillId="6" borderId="0" xfId="0" applyNumberFormat="1" applyFont="1" applyFill="1" applyBorder="1" applyAlignment="1"/>
    <xf numFmtId="164" fontId="17" fillId="0" borderId="0" xfId="0" applyNumberFormat="1" applyFont="1" applyFill="1"/>
    <xf numFmtId="169" fontId="19" fillId="0" borderId="0" xfId="0" applyNumberFormat="1" applyFont="1" applyFill="1"/>
    <xf numFmtId="41" fontId="0" fillId="0" borderId="0" xfId="0" applyNumberFormat="1" applyFill="1"/>
    <xf numFmtId="10" fontId="19" fillId="0" borderId="0" xfId="2" applyNumberFormat="1" applyFont="1" applyFill="1"/>
    <xf numFmtId="9" fontId="19" fillId="0" borderId="0" xfId="2" applyNumberFormat="1" applyFont="1" applyFill="1"/>
    <xf numFmtId="43" fontId="17" fillId="0" borderId="0" xfId="3" applyFont="1" applyFill="1"/>
    <xf numFmtId="41" fontId="7" fillId="5" borderId="32" xfId="0" applyNumberFormat="1" applyFont="1" applyFill="1" applyBorder="1" applyAlignment="1"/>
    <xf numFmtId="41" fontId="7" fillId="5" borderId="33" xfId="0" applyNumberFormat="1" applyFont="1" applyFill="1" applyBorder="1" applyAlignment="1"/>
    <xf numFmtId="10" fontId="15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41" fontId="7" fillId="6" borderId="34" xfId="0" applyNumberFormat="1" applyFont="1" applyFill="1" applyBorder="1" applyAlignment="1"/>
    <xf numFmtId="41" fontId="7" fillId="6" borderId="30" xfId="0" applyNumberFormat="1" applyFont="1" applyFill="1" applyBorder="1" applyAlignment="1"/>
    <xf numFmtId="10" fontId="15" fillId="0" borderId="35" xfId="0" applyNumberFormat="1" applyFont="1" applyFill="1" applyBorder="1" applyAlignment="1">
      <alignment horizontal="center"/>
    </xf>
    <xf numFmtId="41" fontId="7" fillId="0" borderId="22" xfId="0" applyNumberFormat="1" applyFont="1" applyFill="1" applyBorder="1" applyAlignment="1"/>
    <xf numFmtId="41" fontId="7" fillId="0" borderId="31" xfId="0" applyNumberFormat="1" applyFont="1" applyFill="1" applyBorder="1" applyAlignment="1"/>
    <xf numFmtId="9" fontId="0" fillId="0" borderId="0" xfId="0" applyNumberFormat="1" applyFont="1" applyFill="1"/>
    <xf numFmtId="43" fontId="7" fillId="0" borderId="0" xfId="0" applyNumberFormat="1" applyFont="1" applyFill="1"/>
    <xf numFmtId="0" fontId="21" fillId="0" borderId="0" xfId="0" applyNumberFormat="1" applyFont="1" applyFill="1" applyAlignment="1">
      <alignment horizontal="left"/>
    </xf>
    <xf numFmtId="166" fontId="21" fillId="0" borderId="0" xfId="0" applyNumberFormat="1" applyFont="1" applyFill="1" applyAlignment="1"/>
    <xf numFmtId="0" fontId="22" fillId="7" borderId="0" xfId="0" applyFont="1" applyFill="1" applyAlignment="1">
      <alignment horizontal="centerContinuous"/>
    </xf>
    <xf numFmtId="43" fontId="0" fillId="0" borderId="0" xfId="3" applyFont="1"/>
    <xf numFmtId="43" fontId="0" fillId="0" borderId="0" xfId="0" applyNumberFormat="1"/>
    <xf numFmtId="14" fontId="2" fillId="0" borderId="1" xfId="0" applyNumberFormat="1" applyFont="1" applyBorder="1" applyAlignment="1">
      <alignment horizontal="center"/>
    </xf>
    <xf numFmtId="0" fontId="0" fillId="0" borderId="2" xfId="0" applyBorder="1"/>
    <xf numFmtId="43" fontId="0" fillId="0" borderId="0" xfId="3" applyFont="1" applyFill="1"/>
    <xf numFmtId="43" fontId="18" fillId="0" borderId="0" xfId="3" applyFont="1"/>
    <xf numFmtId="43" fontId="23" fillId="0" borderId="0" xfId="3" applyFont="1"/>
    <xf numFmtId="0" fontId="23" fillId="0" borderId="0" xfId="0" applyFont="1"/>
    <xf numFmtId="0" fontId="0" fillId="0" borderId="36" xfId="0" applyBorder="1"/>
    <xf numFmtId="43" fontId="0" fillId="0" borderId="2" xfId="0" applyNumberFormat="1" applyBorder="1"/>
    <xf numFmtId="0" fontId="0" fillId="5" borderId="3" xfId="0" applyFill="1" applyBorder="1" applyAlignment="1">
      <alignment wrapText="1"/>
    </xf>
    <xf numFmtId="43" fontId="0" fillId="5" borderId="3" xfId="3" applyFont="1" applyFill="1" applyBorder="1"/>
    <xf numFmtId="0" fontId="0" fillId="0" borderId="0" xfId="0" applyAlignment="1">
      <alignment wrapText="1"/>
    </xf>
    <xf numFmtId="43" fontId="0" fillId="0" borderId="0" xfId="3" applyFont="1" applyFill="1" applyBorder="1"/>
    <xf numFmtId="0" fontId="2" fillId="8" borderId="0" xfId="0" applyFont="1" applyFill="1" applyAlignment="1">
      <alignment wrapText="1"/>
    </xf>
    <xf numFmtId="43" fontId="2" fillId="8" borderId="37" xfId="3" applyFont="1" applyFill="1" applyBorder="1" applyAlignment="1">
      <alignment vertical="center"/>
    </xf>
    <xf numFmtId="43" fontId="0" fillId="8" borderId="0" xfId="3" applyFont="1" applyFill="1" applyBorder="1"/>
    <xf numFmtId="0" fontId="24" fillId="0" borderId="0" xfId="0" applyFont="1"/>
    <xf numFmtId="43" fontId="0" fillId="0" borderId="36" xfId="0" applyNumberFormat="1" applyBorder="1"/>
    <xf numFmtId="41" fontId="7" fillId="0" borderId="12" xfId="0" applyNumberFormat="1" applyFont="1" applyBorder="1"/>
    <xf numFmtId="41" fontId="7" fillId="0" borderId="10" xfId="0" applyNumberFormat="1" applyFont="1" applyBorder="1"/>
    <xf numFmtId="41" fontId="7" fillId="0" borderId="0" xfId="0" applyNumberFormat="1" applyFont="1"/>
    <xf numFmtId="41" fontId="7" fillId="0" borderId="11" xfId="0" applyNumberFormat="1" applyFont="1" applyBorder="1"/>
    <xf numFmtId="167" fontId="8" fillId="0" borderId="0" xfId="0" applyNumberFormat="1" applyFont="1" applyAlignment="1">
      <alignment horizontal="right"/>
    </xf>
    <xf numFmtId="167" fontId="8" fillId="0" borderId="38" xfId="0" applyNumberFormat="1" applyFont="1" applyBorder="1" applyAlignment="1">
      <alignment horizontal="right"/>
    </xf>
    <xf numFmtId="165" fontId="7" fillId="0" borderId="11" xfId="0" applyNumberFormat="1" applyFont="1" applyBorder="1"/>
    <xf numFmtId="41" fontId="7" fillId="0" borderId="11" xfId="0" applyNumberFormat="1" applyFont="1" applyBorder="1" applyAlignment="1">
      <alignment horizontal="left"/>
    </xf>
    <xf numFmtId="41" fontId="7" fillId="0" borderId="10" xfId="0" applyNumberFormat="1" applyFont="1" applyBorder="1" applyAlignment="1">
      <alignment horizontal="center"/>
    </xf>
    <xf numFmtId="167" fontId="7" fillId="0" borderId="12" xfId="0" applyNumberFormat="1" applyFont="1" applyBorder="1" applyAlignment="1">
      <alignment horizontal="right"/>
    </xf>
    <xf numFmtId="166" fontId="6" fillId="0" borderId="14" xfId="0" quotePrefix="1" applyNumberFormat="1" applyFont="1" applyBorder="1" applyAlignment="1">
      <alignment horizontal="center"/>
    </xf>
    <xf numFmtId="9" fontId="6" fillId="0" borderId="14" xfId="0" applyNumberFormat="1" applyFont="1" applyBorder="1" applyAlignment="1">
      <alignment horizontal="center"/>
    </xf>
    <xf numFmtId="166" fontId="6" fillId="0" borderId="15" xfId="0" applyNumberFormat="1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166" fontId="6" fillId="0" borderId="11" xfId="0" applyNumberFormat="1" applyFont="1" applyBorder="1" applyAlignment="1">
      <alignment horizontal="center"/>
    </xf>
    <xf numFmtId="9" fontId="6" fillId="0" borderId="11" xfId="0" applyNumberFormat="1" applyFont="1" applyBorder="1" applyAlignment="1">
      <alignment horizontal="center"/>
    </xf>
    <xf numFmtId="166" fontId="6" fillId="0" borderId="12" xfId="0" applyNumberFormat="1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7" fillId="0" borderId="12" xfId="0" applyFont="1" applyBorder="1"/>
    <xf numFmtId="0" fontId="6" fillId="0" borderId="10" xfId="0" applyFont="1" applyBorder="1" applyAlignment="1">
      <alignment horizontal="centerContinuous" vertical="center"/>
    </xf>
    <xf numFmtId="0" fontId="6" fillId="0" borderId="11" xfId="0" applyFont="1" applyBorder="1" applyAlignment="1">
      <alignment horizontal="centerContinuous" vertical="center"/>
    </xf>
    <xf numFmtId="0" fontId="14" fillId="0" borderId="10" xfId="0" applyFont="1" applyBorder="1" applyAlignment="1">
      <alignment horizontal="right" vertical="center"/>
    </xf>
    <xf numFmtId="10" fontId="15" fillId="0" borderId="11" xfId="0" applyNumberFormat="1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166" fontId="6" fillId="0" borderId="22" xfId="0" applyNumberFormat="1" applyFont="1" applyBorder="1" applyAlignment="1">
      <alignment horizontal="center"/>
    </xf>
    <xf numFmtId="166" fontId="6" fillId="0" borderId="19" xfId="0" applyNumberFormat="1" applyFont="1" applyBorder="1" applyAlignment="1">
      <alignment horizontal="center"/>
    </xf>
    <xf numFmtId="0" fontId="6" fillId="0" borderId="21" xfId="0" applyFont="1" applyBorder="1" applyAlignment="1">
      <alignment horizontal="centerContinuous" vertical="center"/>
    </xf>
    <xf numFmtId="0" fontId="6" fillId="0" borderId="20" xfId="0" applyFont="1" applyBorder="1" applyAlignment="1">
      <alignment horizontal="centerContinuous" vertical="center"/>
    </xf>
    <xf numFmtId="0" fontId="6" fillId="0" borderId="19" xfId="0" applyFont="1" applyBorder="1" applyAlignment="1">
      <alignment horizontal="center"/>
    </xf>
    <xf numFmtId="0" fontId="7" fillId="0" borderId="0" xfId="0" applyFont="1"/>
    <xf numFmtId="0" fontId="13" fillId="0" borderId="0" xfId="0" applyFont="1" applyAlignment="1">
      <alignment horizontal="center"/>
    </xf>
    <xf numFmtId="170" fontId="6" fillId="0" borderId="0" xfId="0" applyNumberFormat="1" applyFont="1" applyAlignment="1">
      <alignment horizontal="center"/>
    </xf>
    <xf numFmtId="10" fontId="6" fillId="0" borderId="0" xfId="2" applyNumberFormat="1" applyFont="1" applyFill="1" applyBorder="1" applyAlignment="1">
      <alignment horizontal="center"/>
    </xf>
    <xf numFmtId="42" fontId="25" fillId="0" borderId="0" xfId="0" applyNumberFormat="1" applyFont="1" applyAlignment="1">
      <alignment horizontal="center"/>
    </xf>
    <xf numFmtId="0" fontId="15" fillId="0" borderId="0" xfId="0" applyFont="1"/>
    <xf numFmtId="166" fontId="6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left"/>
    </xf>
    <xf numFmtId="13" fontId="7" fillId="0" borderId="0" xfId="0" applyNumberFormat="1" applyFont="1"/>
    <xf numFmtId="165" fontId="7" fillId="0" borderId="0" xfId="0" applyNumberFormat="1" applyFont="1" applyAlignment="1">
      <alignment horizontal="left"/>
    </xf>
    <xf numFmtId="43" fontId="7" fillId="0" borderId="0" xfId="0" applyNumberFormat="1" applyFont="1" applyAlignment="1">
      <alignment horizontal="left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166" fontId="6" fillId="0" borderId="0" xfId="0" applyNumberFormat="1" applyFont="1" applyAlignment="1">
      <alignment horizontal="left"/>
    </xf>
    <xf numFmtId="0" fontId="17" fillId="0" borderId="0" xfId="0" applyFont="1" applyFill="1" applyAlignment="1">
      <alignment horizontal="right"/>
    </xf>
    <xf numFmtId="0" fontId="0" fillId="0" borderId="0" xfId="0" applyBorder="1"/>
    <xf numFmtId="0" fontId="6" fillId="3" borderId="0" xfId="0" applyFont="1" applyFill="1"/>
    <xf numFmtId="0" fontId="7" fillId="3" borderId="0" xfId="0" applyFont="1" applyFill="1"/>
    <xf numFmtId="0" fontId="7" fillId="3" borderId="0" xfId="0" applyFont="1" applyFill="1" applyBorder="1"/>
    <xf numFmtId="0" fontId="7" fillId="3" borderId="0" xfId="0" applyNumberFormat="1" applyFont="1" applyFill="1" applyAlignment="1"/>
    <xf numFmtId="44" fontId="17" fillId="0" borderId="0" xfId="0" applyNumberFormat="1" applyFont="1" applyFill="1"/>
    <xf numFmtId="41" fontId="7" fillId="9" borderId="11" xfId="0" applyNumberFormat="1" applyFont="1" applyFill="1" applyBorder="1"/>
    <xf numFmtId="41" fontId="7" fillId="9" borderId="10" xfId="0" applyNumberFormat="1" applyFont="1" applyFill="1" applyBorder="1"/>
    <xf numFmtId="41" fontId="7" fillId="9" borderId="0" xfId="0" applyNumberFormat="1" applyFont="1" applyFill="1"/>
    <xf numFmtId="17" fontId="6" fillId="0" borderId="0" xfId="0" applyNumberFormat="1" applyFont="1" applyFill="1" applyBorder="1"/>
    <xf numFmtId="0" fontId="6" fillId="0" borderId="0" xfId="0" applyNumberFormat="1" applyFont="1" applyFill="1" applyBorder="1" applyAlignment="1"/>
    <xf numFmtId="164" fontId="6" fillId="0" borderId="0" xfId="1" applyNumberFormat="1" applyFont="1" applyFill="1" applyBorder="1"/>
    <xf numFmtId="41" fontId="6" fillId="0" borderId="0" xfId="0" applyNumberFormat="1" applyFont="1" applyFill="1" applyBorder="1"/>
    <xf numFmtId="165" fontId="6" fillId="0" borderId="8" xfId="0" applyNumberFormat="1" applyFont="1" applyFill="1" applyBorder="1" applyAlignment="1"/>
    <xf numFmtId="0" fontId="6" fillId="0" borderId="0" xfId="0" applyNumberFormat="1" applyFont="1" applyFill="1" applyAlignment="1"/>
    <xf numFmtId="164" fontId="6" fillId="0" borderId="0" xfId="1" applyNumberFormat="1" applyFont="1" applyFill="1" applyBorder="1" applyAlignment="1">
      <alignment horizontal="left" indent="4"/>
    </xf>
    <xf numFmtId="9" fontId="6" fillId="0" borderId="0" xfId="2" applyNumberFormat="1" applyFont="1" applyFill="1" applyAlignment="1"/>
    <xf numFmtId="38" fontId="7" fillId="10" borderId="24" xfId="0" applyNumberFormat="1" applyFont="1" applyFill="1" applyBorder="1"/>
    <xf numFmtId="165" fontId="7" fillId="10" borderId="0" xfId="0" applyNumberFormat="1" applyFont="1" applyFill="1" applyBorder="1"/>
    <xf numFmtId="165" fontId="7" fillId="10" borderId="24" xfId="0" applyNumberFormat="1" applyFont="1" applyFill="1" applyBorder="1"/>
    <xf numFmtId="0" fontId="4" fillId="0" borderId="0" xfId="0" applyFont="1" applyAlignment="1">
      <alignment horizontal="centerContinuous"/>
    </xf>
    <xf numFmtId="0" fontId="4" fillId="0" borderId="0" xfId="0" applyFont="1"/>
    <xf numFmtId="0" fontId="3" fillId="0" borderId="0" xfId="0" applyFont="1"/>
    <xf numFmtId="166" fontId="4" fillId="0" borderId="0" xfId="0" applyNumberFormat="1" applyFont="1" applyAlignment="1">
      <alignment horizontal="right"/>
    </xf>
    <xf numFmtId="0" fontId="8" fillId="0" borderId="0" xfId="0" applyFont="1"/>
    <xf numFmtId="0" fontId="27" fillId="0" borderId="0" xfId="0" applyFont="1" applyAlignment="1" applyProtection="1">
      <alignment horizontal="centerContinuous"/>
      <protection locked="0"/>
    </xf>
    <xf numFmtId="0" fontId="28" fillId="0" borderId="0" xfId="0" applyFont="1" applyAlignment="1">
      <alignment horizontal="centerContinuous"/>
    </xf>
    <xf numFmtId="0" fontId="4" fillId="0" borderId="0" xfId="0" applyFont="1" applyAlignment="1" applyProtection="1">
      <alignment horizontal="centerContinuous"/>
      <protection locked="0"/>
    </xf>
    <xf numFmtId="0" fontId="27" fillId="0" borderId="0" xfId="0" applyFont="1" applyAlignment="1">
      <alignment horizontal="centerContinuous"/>
    </xf>
    <xf numFmtId="0" fontId="29" fillId="0" borderId="0" xfId="0" applyFont="1" applyAlignment="1">
      <alignment horizontal="centerContinuous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66" fontId="3" fillId="0" borderId="0" xfId="0" applyNumberFormat="1" applyFont="1"/>
    <xf numFmtId="171" fontId="3" fillId="0" borderId="0" xfId="0" applyNumberFormat="1" applyFont="1" applyAlignment="1">
      <alignment horizontal="center"/>
    </xf>
    <xf numFmtId="166" fontId="3" fillId="0" borderId="1" xfId="0" applyNumberFormat="1" applyFont="1" applyBorder="1"/>
    <xf numFmtId="9" fontId="3" fillId="0" borderId="0" xfId="0" applyNumberFormat="1" applyFont="1" applyAlignment="1">
      <alignment horizontal="center"/>
    </xf>
    <xf numFmtId="166" fontId="3" fillId="0" borderId="39" xfId="0" applyNumberFormat="1" applyFont="1" applyBorder="1" applyProtection="1">
      <protection locked="0"/>
    </xf>
    <xf numFmtId="172" fontId="8" fillId="0" borderId="0" xfId="0" applyNumberFormat="1" applyFont="1"/>
    <xf numFmtId="0" fontId="5" fillId="0" borderId="0" xfId="0" applyFont="1" applyAlignment="1">
      <alignment horizontal="centerContinuous"/>
    </xf>
    <xf numFmtId="0" fontId="3" fillId="0" borderId="0" xfId="0" applyFont="1" applyAlignment="1">
      <alignment horizontal="centerContinuous"/>
    </xf>
    <xf numFmtId="0" fontId="4" fillId="0" borderId="40" xfId="0" applyFont="1" applyBorder="1" applyAlignment="1">
      <alignment horizontal="left"/>
    </xf>
    <xf numFmtId="0" fontId="3" fillId="0" borderId="2" xfId="0" applyFont="1" applyBorder="1"/>
    <xf numFmtId="0" fontId="3" fillId="0" borderId="4" xfId="0" applyFont="1" applyBorder="1"/>
    <xf numFmtId="0" fontId="3" fillId="0" borderId="38" xfId="0" applyFont="1" applyBorder="1"/>
    <xf numFmtId="10" fontId="3" fillId="0" borderId="0" xfId="0" applyNumberFormat="1" applyFont="1"/>
    <xf numFmtId="10" fontId="3" fillId="0" borderId="5" xfId="0" applyNumberFormat="1" applyFont="1" applyBorder="1"/>
    <xf numFmtId="9" fontId="3" fillId="0" borderId="2" xfId="0" applyNumberFormat="1" applyFont="1" applyBorder="1"/>
    <xf numFmtId="10" fontId="4" fillId="3" borderId="4" xfId="0" applyNumberFormat="1" applyFont="1" applyFill="1" applyBorder="1"/>
    <xf numFmtId="0" fontId="3" fillId="0" borderId="5" xfId="0" applyFont="1" applyBorder="1"/>
    <xf numFmtId="10" fontId="30" fillId="0" borderId="0" xfId="0" applyNumberFormat="1" applyFont="1"/>
    <xf numFmtId="0" fontId="3" fillId="0" borderId="41" xfId="0" applyFont="1" applyBorder="1"/>
    <xf numFmtId="9" fontId="3" fillId="0" borderId="36" xfId="0" applyNumberFormat="1" applyFont="1" applyBorder="1"/>
    <xf numFmtId="0" fontId="3" fillId="0" borderId="36" xfId="0" applyFont="1" applyBorder="1"/>
    <xf numFmtId="10" fontId="3" fillId="0" borderId="42" xfId="0" applyNumberFormat="1" applyFont="1" applyBorder="1"/>
    <xf numFmtId="0" fontId="21" fillId="0" borderId="38" xfId="0" applyFont="1" applyBorder="1"/>
    <xf numFmtId="0" fontId="4" fillId="0" borderId="26" xfId="0" applyFont="1" applyBorder="1" applyAlignment="1">
      <alignment horizontal="left"/>
    </xf>
    <xf numFmtId="0" fontId="3" fillId="0" borderId="24" xfId="0" applyFont="1" applyBorder="1"/>
    <xf numFmtId="0" fontId="3" fillId="0" borderId="22" xfId="0" applyFont="1" applyBorder="1"/>
    <xf numFmtId="0" fontId="3" fillId="0" borderId="10" xfId="0" applyFont="1" applyBorder="1"/>
    <xf numFmtId="10" fontId="3" fillId="0" borderId="11" xfId="0" applyNumberFormat="1" applyFont="1" applyBorder="1"/>
    <xf numFmtId="173" fontId="3" fillId="0" borderId="2" xfId="0" applyNumberFormat="1" applyFont="1" applyBorder="1"/>
    <xf numFmtId="10" fontId="4" fillId="11" borderId="43" xfId="0" applyNumberFormat="1" applyFont="1" applyFill="1" applyBorder="1"/>
    <xf numFmtId="0" fontId="3" fillId="0" borderId="11" xfId="0" applyFont="1" applyBorder="1"/>
    <xf numFmtId="0" fontId="3" fillId="0" borderId="44" xfId="0" applyFont="1" applyBorder="1"/>
    <xf numFmtId="9" fontId="3" fillId="0" borderId="45" xfId="0" applyNumberFormat="1" applyFont="1" applyBorder="1"/>
    <xf numFmtId="0" fontId="3" fillId="0" borderId="45" xfId="0" applyFont="1" applyBorder="1"/>
    <xf numFmtId="10" fontId="3" fillId="0" borderId="46" xfId="0" applyNumberFormat="1" applyFont="1" applyBorder="1"/>
    <xf numFmtId="10" fontId="3" fillId="0" borderId="2" xfId="0" applyNumberFormat="1" applyFont="1" applyBorder="1"/>
    <xf numFmtId="0" fontId="5" fillId="0" borderId="0" xfId="0" applyFont="1" applyAlignment="1">
      <alignment horizontal="center"/>
    </xf>
    <xf numFmtId="10" fontId="17" fillId="0" borderId="0" xfId="1" applyNumberFormat="1" applyFont="1" applyFill="1" applyBorder="1"/>
    <xf numFmtId="9" fontId="17" fillId="0" borderId="0" xfId="2" applyFont="1" applyFill="1" applyBorder="1"/>
    <xf numFmtId="10" fontId="17" fillId="0" borderId="0" xfId="2" applyNumberFormat="1" applyFont="1" applyFill="1" applyBorder="1"/>
    <xf numFmtId="0" fontId="2" fillId="0" borderId="34" xfId="0" applyFont="1" applyBorder="1"/>
    <xf numFmtId="165" fontId="2" fillId="0" borderId="34" xfId="3" applyNumberFormat="1" applyFont="1" applyBorder="1"/>
    <xf numFmtId="174" fontId="17" fillId="0" borderId="0" xfId="1" applyNumberFormat="1" applyFont="1" applyFill="1" applyAlignment="1"/>
    <xf numFmtId="0" fontId="2" fillId="0" borderId="1" xfId="0" applyFont="1" applyFill="1" applyBorder="1" applyAlignment="1">
      <alignment horizontal="center"/>
    </xf>
    <xf numFmtId="164" fontId="23" fillId="0" borderId="0" xfId="1" applyNumberFormat="1" applyFont="1" applyFill="1"/>
    <xf numFmtId="164" fontId="23" fillId="0" borderId="0" xfId="1" applyNumberFormat="1" applyFont="1"/>
    <xf numFmtId="165" fontId="23" fillId="0" borderId="0" xfId="3" applyNumberFormat="1" applyFont="1" applyFill="1"/>
    <xf numFmtId="165" fontId="23" fillId="0" borderId="0" xfId="3" applyNumberFormat="1" applyFont="1"/>
    <xf numFmtId="43" fontId="23" fillId="0" borderId="0" xfId="0" applyNumberFormat="1" applyFont="1"/>
    <xf numFmtId="14" fontId="31" fillId="0" borderId="1" xfId="0" applyNumberFormat="1" applyFont="1" applyBorder="1" applyAlignment="1">
      <alignment horizontal="center"/>
    </xf>
    <xf numFmtId="165" fontId="23" fillId="0" borderId="0" xfId="0" applyNumberFormat="1" applyFont="1"/>
    <xf numFmtId="165" fontId="23" fillId="0" borderId="2" xfId="0" applyNumberFormat="1" applyFont="1" applyBorder="1"/>
    <xf numFmtId="43" fontId="23" fillId="0" borderId="2" xfId="0" applyNumberFormat="1" applyFont="1" applyBorder="1"/>
    <xf numFmtId="165" fontId="23" fillId="5" borderId="3" xfId="3" applyNumberFormat="1" applyFont="1" applyFill="1" applyBorder="1"/>
    <xf numFmtId="165" fontId="23" fillId="0" borderId="0" xfId="3" applyNumberFormat="1" applyFont="1" applyFill="1" applyBorder="1"/>
    <xf numFmtId="165" fontId="23" fillId="0" borderId="47" xfId="3" applyNumberFormat="1" applyFont="1" applyFill="1" applyBorder="1"/>
    <xf numFmtId="165" fontId="31" fillId="8" borderId="37" xfId="3" applyNumberFormat="1" applyFont="1" applyFill="1" applyBorder="1" applyAlignment="1">
      <alignment vertical="center"/>
    </xf>
    <xf numFmtId="165" fontId="23" fillId="8" borderId="0" xfId="3" applyNumberFormat="1" applyFont="1" applyFill="1" applyBorder="1"/>
    <xf numFmtId="4" fontId="23" fillId="0" borderId="0" xfId="0" applyNumberFormat="1" applyFont="1"/>
    <xf numFmtId="43" fontId="23" fillId="0" borderId="36" xfId="0" applyNumberFormat="1" applyFont="1" applyBorder="1"/>
    <xf numFmtId="164" fontId="23" fillId="0" borderId="0" xfId="0" applyNumberFormat="1" applyFont="1"/>
    <xf numFmtId="164" fontId="23" fillId="0" borderId="2" xfId="0" applyNumberFormat="1" applyFont="1" applyBorder="1"/>
    <xf numFmtId="0" fontId="23" fillId="0" borderId="2" xfId="0" applyFont="1" applyBorder="1"/>
    <xf numFmtId="0" fontId="15" fillId="3" borderId="0" xfId="0" applyFont="1" applyFill="1"/>
    <xf numFmtId="1" fontId="18" fillId="0" borderId="0" xfId="0" applyNumberFormat="1" applyFont="1"/>
    <xf numFmtId="164" fontId="17" fillId="0" borderId="2" xfId="1" applyNumberFormat="1" applyFont="1" applyFill="1" applyBorder="1" applyAlignment="1">
      <alignment horizontal="center"/>
    </xf>
    <xf numFmtId="164" fontId="17" fillId="0" borderId="47" xfId="1" applyNumberFormat="1" applyFont="1" applyFill="1" applyBorder="1" applyAlignment="1">
      <alignment horizontal="center"/>
    </xf>
    <xf numFmtId="164" fontId="17" fillId="0" borderId="36" xfId="1" applyNumberFormat="1" applyFont="1" applyFill="1" applyBorder="1" applyAlignment="1">
      <alignment horizontal="center"/>
    </xf>
    <xf numFmtId="0" fontId="32" fillId="12" borderId="48" xfId="0" applyFont="1" applyFill="1" applyBorder="1" applyAlignment="1">
      <alignment horizontal="center"/>
    </xf>
    <xf numFmtId="0" fontId="32" fillId="12" borderId="36" xfId="0" applyFont="1" applyFill="1" applyBorder="1" applyAlignment="1">
      <alignment horizontal="left" indent="1"/>
    </xf>
    <xf numFmtId="164" fontId="32" fillId="12" borderId="42" xfId="1" applyNumberFormat="1" applyFont="1" applyFill="1" applyBorder="1" applyAlignment="1"/>
    <xf numFmtId="0" fontId="0" fillId="0" borderId="0" xfId="0" applyAlignment="1">
      <alignment horizontal="left"/>
    </xf>
    <xf numFmtId="0" fontId="34" fillId="14" borderId="0" xfId="0" applyFont="1" applyFill="1"/>
    <xf numFmtId="0" fontId="34" fillId="14" borderId="0" xfId="0" applyFont="1" applyFill="1" applyAlignment="1">
      <alignment wrapText="1"/>
    </xf>
    <xf numFmtId="0" fontId="0" fillId="14" borderId="0" xfId="0" applyFill="1"/>
    <xf numFmtId="10" fontId="0" fillId="14" borderId="0" xfId="0" applyNumberFormat="1" applyFill="1"/>
    <xf numFmtId="9" fontId="0" fillId="14" borderId="0" xfId="0" applyNumberFormat="1" applyFill="1"/>
    <xf numFmtId="0" fontId="35" fillId="0" borderId="0" xfId="0" applyFont="1"/>
    <xf numFmtId="14" fontId="2" fillId="15" borderId="1" xfId="0" applyNumberFormat="1" applyFont="1" applyFill="1" applyBorder="1" applyAlignment="1">
      <alignment horizontal="center"/>
    </xf>
    <xf numFmtId="14" fontId="2" fillId="14" borderId="1" xfId="0" applyNumberFormat="1" applyFont="1" applyFill="1" applyBorder="1" applyAlignment="1">
      <alignment horizontal="center"/>
    </xf>
    <xf numFmtId="0" fontId="0" fillId="15" borderId="0" xfId="0" applyFill="1"/>
    <xf numFmtId="0" fontId="34" fillId="0" borderId="0" xfId="0" applyFont="1"/>
    <xf numFmtId="41" fontId="0" fillId="0" borderId="0" xfId="0" applyNumberFormat="1"/>
    <xf numFmtId="43" fontId="0" fillId="15" borderId="0" xfId="3" applyFont="1" applyFill="1"/>
    <xf numFmtId="43" fontId="23" fillId="14" borderId="0" xfId="3" applyFont="1" applyFill="1"/>
    <xf numFmtId="0" fontId="36" fillId="0" borderId="0" xfId="0" applyFont="1"/>
    <xf numFmtId="41" fontId="0" fillId="0" borderId="2" xfId="0" applyNumberFormat="1" applyBorder="1"/>
    <xf numFmtId="43" fontId="0" fillId="0" borderId="2" xfId="3" applyFont="1" applyBorder="1"/>
    <xf numFmtId="43" fontId="0" fillId="0" borderId="2" xfId="3" applyFont="1" applyFill="1" applyBorder="1"/>
    <xf numFmtId="43" fontId="0" fillId="15" borderId="2" xfId="3" applyFont="1" applyFill="1" applyBorder="1"/>
    <xf numFmtId="43" fontId="0" fillId="14" borderId="2" xfId="3" applyFont="1" applyFill="1" applyBorder="1"/>
    <xf numFmtId="10" fontId="0" fillId="15" borderId="0" xfId="0" applyNumberFormat="1" applyFill="1"/>
    <xf numFmtId="43" fontId="0" fillId="14" borderId="0" xfId="3" applyFont="1" applyFill="1"/>
    <xf numFmtId="9" fontId="0" fillId="15" borderId="1" xfId="0" applyNumberFormat="1" applyFill="1" applyBorder="1"/>
    <xf numFmtId="9" fontId="0" fillId="14" borderId="1" xfId="0" applyNumberFormat="1" applyFill="1" applyBorder="1"/>
    <xf numFmtId="41" fontId="0" fillId="15" borderId="0" xfId="0" applyNumberFormat="1" applyFill="1"/>
    <xf numFmtId="41" fontId="0" fillId="14" borderId="0" xfId="0" applyNumberFormat="1" applyFill="1"/>
    <xf numFmtId="42" fontId="0" fillId="0" borderId="3" xfId="0" applyNumberFormat="1" applyBorder="1"/>
    <xf numFmtId="43" fontId="0" fillId="0" borderId="3" xfId="3" applyFont="1" applyBorder="1"/>
    <xf numFmtId="43" fontId="0" fillId="0" borderId="3" xfId="3" applyFont="1" applyFill="1" applyBorder="1"/>
    <xf numFmtId="43" fontId="0" fillId="15" borderId="3" xfId="3" applyFont="1" applyFill="1" applyBorder="1"/>
    <xf numFmtId="43" fontId="0" fillId="14" borderId="3" xfId="3" applyFont="1" applyFill="1" applyBorder="1"/>
    <xf numFmtId="42" fontId="0" fillId="0" borderId="0" xfId="0" applyNumberFormat="1"/>
    <xf numFmtId="43" fontId="0" fillId="0" borderId="0" xfId="3" applyFont="1" applyBorder="1"/>
    <xf numFmtId="43" fontId="0" fillId="15" borderId="0" xfId="3" applyFont="1" applyFill="1" applyBorder="1"/>
    <xf numFmtId="43" fontId="2" fillId="0" borderId="0" xfId="0" applyNumberFormat="1" applyFont="1"/>
    <xf numFmtId="43" fontId="18" fillId="15" borderId="0" xfId="0" applyNumberFormat="1" applyFont="1" applyFill="1" applyAlignment="1">
      <alignment vertical="top" wrapText="1"/>
    </xf>
    <xf numFmtId="0" fontId="0" fillId="0" borderId="0" xfId="0" applyAlignment="1">
      <alignment vertical="top"/>
    </xf>
    <xf numFmtId="0" fontId="18" fillId="0" borderId="0" xfId="0" applyFont="1"/>
    <xf numFmtId="0" fontId="37" fillId="0" borderId="0" xfId="6" applyAlignment="1">
      <alignment vertical="top"/>
    </xf>
    <xf numFmtId="164" fontId="0" fillId="0" borderId="0" xfId="7" applyNumberFormat="1" applyFont="1" applyAlignment="1">
      <alignment vertical="top"/>
    </xf>
    <xf numFmtId="0" fontId="0" fillId="0" borderId="0" xfId="0" pivotButton="1"/>
    <xf numFmtId="0" fontId="0" fillId="0" borderId="0" xfId="0" applyNumberFormat="1"/>
    <xf numFmtId="164" fontId="0" fillId="0" borderId="0" xfId="0" applyNumberFormat="1" applyAlignment="1">
      <alignment horizontal="left"/>
    </xf>
    <xf numFmtId="164" fontId="37" fillId="0" borderId="0" xfId="6" applyNumberFormat="1" applyAlignment="1">
      <alignment vertical="top"/>
    </xf>
    <xf numFmtId="14" fontId="0" fillId="0" borderId="0" xfId="0" applyNumberForma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4" fontId="0" fillId="0" borderId="0" xfId="0" applyNumberFormat="1"/>
    <xf numFmtId="43" fontId="0" fillId="0" borderId="1" xfId="3" applyFont="1" applyBorder="1"/>
    <xf numFmtId="4" fontId="0" fillId="0" borderId="1" xfId="0" applyNumberFormat="1" applyBorder="1"/>
    <xf numFmtId="43" fontId="0" fillId="0" borderId="1" xfId="0" applyNumberFormat="1" applyBorder="1"/>
    <xf numFmtId="43" fontId="2" fillId="0" borderId="1" xfId="0" applyNumberFormat="1" applyFont="1" applyBorder="1"/>
    <xf numFmtId="44" fontId="31" fillId="13" borderId="0" xfId="5" applyNumberFormat="1" applyFont="1"/>
    <xf numFmtId="0" fontId="38" fillId="0" borderId="0" xfId="0" applyFont="1" applyAlignment="1">
      <alignment horizontal="right"/>
    </xf>
    <xf numFmtId="43" fontId="18" fillId="0" borderId="0" xfId="0" applyNumberFormat="1" applyFont="1"/>
    <xf numFmtId="44" fontId="0" fillId="0" borderId="0" xfId="1" applyFont="1"/>
    <xf numFmtId="44" fontId="2" fillId="0" borderId="0" xfId="1" applyFont="1"/>
    <xf numFmtId="44" fontId="0" fillId="0" borderId="0" xfId="0" applyNumberFormat="1"/>
    <xf numFmtId="8" fontId="2" fillId="0" borderId="0" xfId="0" applyNumberFormat="1" applyFont="1"/>
    <xf numFmtId="8" fontId="0" fillId="0" borderId="0" xfId="0" applyNumberFormat="1"/>
    <xf numFmtId="17" fontId="0" fillId="0" borderId="0" xfId="0" applyNumberFormat="1"/>
    <xf numFmtId="44" fontId="0" fillId="0" borderId="0" xfId="1" applyFont="1" applyFill="1"/>
    <xf numFmtId="43" fontId="0" fillId="0" borderId="45" xfId="3" applyFont="1" applyBorder="1"/>
    <xf numFmtId="44" fontId="2" fillId="0" borderId="0" xfId="0" applyNumberFormat="1" applyFont="1"/>
    <xf numFmtId="8" fontId="2" fillId="0" borderId="0" xfId="1" applyNumberFormat="1" applyFont="1"/>
    <xf numFmtId="17" fontId="2" fillId="0" borderId="0" xfId="0" applyNumberFormat="1" applyFont="1"/>
    <xf numFmtId="8" fontId="7" fillId="0" borderId="0" xfId="0" applyNumberFormat="1" applyFont="1" applyFill="1"/>
    <xf numFmtId="43" fontId="0" fillId="0" borderId="0" xfId="0" applyNumberFormat="1" applyAlignment="1">
      <alignment horizontal="center"/>
    </xf>
    <xf numFmtId="0" fontId="39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9" fillId="0" borderId="0" xfId="0" applyFont="1"/>
    <xf numFmtId="43" fontId="40" fillId="0" borderId="0" xfId="0" applyNumberFormat="1" applyFont="1"/>
    <xf numFmtId="43" fontId="41" fillId="0" borderId="0" xfId="0" applyNumberFormat="1" applyFont="1" applyAlignment="1">
      <alignment horizontal="center"/>
    </xf>
    <xf numFmtId="43" fontId="39" fillId="0" borderId="0" xfId="0" applyNumberFormat="1" applyFont="1" applyAlignment="1">
      <alignment horizontal="center"/>
    </xf>
    <xf numFmtId="43" fontId="42" fillId="0" borderId="0" xfId="0" applyNumberFormat="1" applyFont="1" applyAlignment="1">
      <alignment horizontal="center"/>
    </xf>
    <xf numFmtId="43" fontId="42" fillId="0" borderId="0" xfId="3" applyFont="1" applyFill="1" applyAlignment="1">
      <alignment horizontal="center"/>
    </xf>
    <xf numFmtId="43" fontId="42" fillId="3" borderId="0" xfId="0" applyNumberFormat="1" applyFont="1" applyFill="1" applyAlignment="1">
      <alignment horizontal="center"/>
    </xf>
    <xf numFmtId="0" fontId="41" fillId="0" borderId="0" xfId="0" applyFont="1" applyAlignment="1">
      <alignment horizontal="right"/>
    </xf>
    <xf numFmtId="0" fontId="41" fillId="0" borderId="0" xfId="0" applyFont="1" applyAlignment="1">
      <alignment horizontal="center"/>
    </xf>
    <xf numFmtId="43" fontId="35" fillId="0" borderId="0" xfId="3" applyFont="1" applyFill="1" applyAlignment="1">
      <alignment horizontal="center"/>
    </xf>
    <xf numFmtId="43" fontId="41" fillId="0" borderId="0" xfId="0" applyNumberFormat="1" applyFont="1"/>
    <xf numFmtId="9" fontId="39" fillId="0" borderId="0" xfId="2" applyFont="1" applyAlignment="1">
      <alignment horizontal="center"/>
    </xf>
    <xf numFmtId="0" fontId="41" fillId="0" borderId="0" xfId="0" applyFont="1" applyAlignment="1">
      <alignment horizontal="left" indent="2"/>
    </xf>
    <xf numFmtId="0" fontId="43" fillId="0" borderId="0" xfId="0" applyFont="1"/>
    <xf numFmtId="10" fontId="39" fillId="0" borderId="0" xfId="2" applyNumberFormat="1" applyFont="1" applyAlignment="1">
      <alignment horizontal="center"/>
    </xf>
    <xf numFmtId="0" fontId="39" fillId="0" borderId="0" xfId="0" applyFont="1" applyAlignment="1">
      <alignment horizontal="left" indent="2"/>
    </xf>
    <xf numFmtId="0" fontId="39" fillId="0" borderId="0" xfId="0" applyFont="1" applyAlignment="1">
      <alignment horizontal="left"/>
    </xf>
    <xf numFmtId="0" fontId="39" fillId="0" borderId="0" xfId="0" applyFont="1" applyAlignment="1">
      <alignment horizontal="left" indent="7"/>
    </xf>
    <xf numFmtId="43" fontId="39" fillId="0" borderId="1" xfId="0" applyNumberFormat="1" applyFont="1" applyBorder="1"/>
    <xf numFmtId="43" fontId="35" fillId="0" borderId="1" xfId="0" applyNumberFormat="1" applyFont="1" applyBorder="1" applyAlignment="1">
      <alignment horizontal="center"/>
    </xf>
    <xf numFmtId="43" fontId="35" fillId="0" borderId="1" xfId="3" applyFont="1" applyBorder="1" applyAlignment="1">
      <alignment horizontal="center"/>
    </xf>
    <xf numFmtId="43" fontId="39" fillId="0" borderId="0" xfId="0" applyNumberFormat="1" applyFont="1"/>
    <xf numFmtId="43" fontId="35" fillId="0" borderId="0" xfId="0" applyNumberFormat="1" applyFont="1" applyAlignment="1">
      <alignment horizontal="center"/>
    </xf>
    <xf numFmtId="43" fontId="35" fillId="0" borderId="0" xfId="3" applyFont="1" applyAlignment="1">
      <alignment horizontal="center"/>
    </xf>
    <xf numFmtId="17" fontId="44" fillId="0" borderId="0" xfId="0" applyNumberFormat="1" applyFont="1" applyAlignment="1">
      <alignment horizontal="center"/>
    </xf>
    <xf numFmtId="0" fontId="43" fillId="0" borderId="0" xfId="0" applyFont="1" applyAlignment="1">
      <alignment horizontal="center" wrapText="1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</cellXfs>
  <cellStyles count="8">
    <cellStyle name="Accent1" xfId="5" builtinId="29"/>
    <cellStyle name="Comma" xfId="3" builtinId="3"/>
    <cellStyle name="Currency" xfId="1" builtinId="4"/>
    <cellStyle name="Currency 2" xfId="7" xr:uid="{2C624F2B-845B-482D-B3AF-E7181DE76125}"/>
    <cellStyle name="Normal" xfId="0" builtinId="0"/>
    <cellStyle name="Normal 2" xfId="6" xr:uid="{CE9BB185-8569-446F-B237-4DF7933B0882}"/>
    <cellStyle name="Normal 5" xfId="4" xr:uid="{00000000-0005-0000-0000-000003000000}"/>
    <cellStyle name="Percent" xfId="2" builtinId="5"/>
  </cellStyles>
  <dxfs count="2"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644394</xdr:colOff>
      <xdr:row>23</xdr:row>
      <xdr:rowOff>193806</xdr:rowOff>
    </xdr:from>
    <xdr:to>
      <xdr:col>24</xdr:col>
      <xdr:colOff>87475</xdr:colOff>
      <xdr:row>25</xdr:row>
      <xdr:rowOff>145791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B3ABF7-2982-490D-A17C-F5C618512947}"/>
            </a:ext>
          </a:extLst>
        </xdr:cNvPr>
        <xdr:cNvSpPr txBox="1"/>
      </xdr:nvSpPr>
      <xdr:spPr>
        <a:xfrm>
          <a:off x="12943074" y="4765806"/>
          <a:ext cx="631801" cy="3329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0000FF"/>
              </a:solidFill>
            </a:rPr>
            <a:t>A1(A)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182881</xdr:colOff>
      <xdr:row>3</xdr:row>
      <xdr:rowOff>129541</xdr:rowOff>
    </xdr:from>
    <xdr:to>
      <xdr:col>15</xdr:col>
      <xdr:colOff>458747</xdr:colOff>
      <xdr:row>17</xdr:row>
      <xdr:rowOff>76201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0A27DD-1E27-4C18-B7CC-CD9D7EEB0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41581" y="678181"/>
          <a:ext cx="5152666" cy="2506980"/>
        </a:xfrm>
        <a:prstGeom prst="rect">
          <a:avLst/>
        </a:prstGeom>
      </xdr:spPr>
    </xdr:pic>
    <xdr:clientData/>
  </xdr:twoCellAnchor>
  <xdr:twoCellAnchor editAs="oneCell">
    <xdr:from>
      <xdr:col>7</xdr:col>
      <xdr:colOff>182880</xdr:colOff>
      <xdr:row>18</xdr:row>
      <xdr:rowOff>7620</xdr:rowOff>
    </xdr:from>
    <xdr:to>
      <xdr:col>15</xdr:col>
      <xdr:colOff>477669</xdr:colOff>
      <xdr:row>32</xdr:row>
      <xdr:rowOff>30480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836F70-D432-4356-8984-BCB450789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41580" y="3299460"/>
          <a:ext cx="5171589" cy="258318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32</xdr:row>
      <xdr:rowOff>137161</xdr:rowOff>
    </xdr:from>
    <xdr:to>
      <xdr:col>15</xdr:col>
      <xdr:colOff>476066</xdr:colOff>
      <xdr:row>54</xdr:row>
      <xdr:rowOff>137160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73A893E-8F1D-4C2C-96E1-5A264857A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649200" y="5989321"/>
          <a:ext cx="5162366" cy="4023359"/>
        </a:xfrm>
        <a:prstGeom prst="rect">
          <a:avLst/>
        </a:prstGeom>
      </xdr:spPr>
    </xdr:pic>
    <xdr:clientData/>
  </xdr:twoCellAnchor>
  <xdr:twoCellAnchor editAs="oneCell">
    <xdr:from>
      <xdr:col>7</xdr:col>
      <xdr:colOff>205740</xdr:colOff>
      <xdr:row>55</xdr:row>
      <xdr:rowOff>53340</xdr:rowOff>
    </xdr:from>
    <xdr:to>
      <xdr:col>15</xdr:col>
      <xdr:colOff>462822</xdr:colOff>
      <xdr:row>77</xdr:row>
      <xdr:rowOff>24130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A9262B-0D59-4278-81DF-86AD851DC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64440" y="10111740"/>
          <a:ext cx="5133882" cy="4001770"/>
        </a:xfrm>
        <a:prstGeom prst="rect">
          <a:avLst/>
        </a:prstGeom>
      </xdr:spPr>
    </xdr:pic>
    <xdr:clientData/>
  </xdr:twoCellAnchor>
  <xdr:twoCellAnchor editAs="oneCell">
    <xdr:from>
      <xdr:col>18</xdr:col>
      <xdr:colOff>28849</xdr:colOff>
      <xdr:row>3</xdr:row>
      <xdr:rowOff>133895</xdr:rowOff>
    </xdr:from>
    <xdr:to>
      <xdr:col>25</xdr:col>
      <xdr:colOff>13609</xdr:colOff>
      <xdr:row>28</xdr:row>
      <xdr:rowOff>146256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2C9B4DF-6DF8-44ED-8B1A-E26DF4F3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808589" y="682535"/>
          <a:ext cx="4251960" cy="4584361"/>
        </a:xfrm>
        <a:prstGeom prst="rect">
          <a:avLst/>
        </a:prstGeom>
      </xdr:spPr>
    </xdr:pic>
    <xdr:clientData/>
  </xdr:twoCellAnchor>
  <xdr:twoCellAnchor editAs="oneCell">
    <xdr:from>
      <xdr:col>7</xdr:col>
      <xdr:colOff>213360</xdr:colOff>
      <xdr:row>76</xdr:row>
      <xdr:rowOff>91440</xdr:rowOff>
    </xdr:from>
    <xdr:to>
      <xdr:col>15</xdr:col>
      <xdr:colOff>482637</xdr:colOff>
      <xdr:row>98</xdr:row>
      <xdr:rowOff>100116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7C5B9B1-E2C7-4397-B193-1193E158E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672060" y="13997940"/>
          <a:ext cx="5146077" cy="403203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30</xdr:row>
      <xdr:rowOff>0</xdr:rowOff>
    </xdr:from>
    <xdr:to>
      <xdr:col>25</xdr:col>
      <xdr:colOff>1328719</xdr:colOff>
      <xdr:row>69</xdr:row>
      <xdr:rowOff>13711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649ED94-3269-41E1-8D9A-15FFB3BEB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779740" y="5486400"/>
          <a:ext cx="5595919" cy="715365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69</xdr:row>
      <xdr:rowOff>0</xdr:rowOff>
    </xdr:from>
    <xdr:to>
      <xdr:col>31</xdr:col>
      <xdr:colOff>392111</xdr:colOff>
      <xdr:row>104</xdr:row>
      <xdr:rowOff>132533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73C0013-6A1B-4CD3-8496-B98F18D73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779740" y="12626340"/>
          <a:ext cx="9117011" cy="6533333"/>
        </a:xfrm>
        <a:prstGeom prst="rect">
          <a:avLst/>
        </a:prstGeom>
      </xdr:spPr>
    </xdr:pic>
    <xdr:clientData/>
  </xdr:twoCellAnchor>
  <xdr:twoCellAnchor editAs="oneCell">
    <xdr:from>
      <xdr:col>25</xdr:col>
      <xdr:colOff>149678</xdr:colOff>
      <xdr:row>4</xdr:row>
      <xdr:rowOff>13607</xdr:rowOff>
    </xdr:from>
    <xdr:to>
      <xdr:col>36</xdr:col>
      <xdr:colOff>84395</xdr:colOff>
      <xdr:row>19</xdr:row>
      <xdr:rowOff>166007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F7A94BF-7344-4FDA-ABA2-D3ED39F7A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96618" y="745127"/>
          <a:ext cx="7440417" cy="28956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42</xdr:col>
      <xdr:colOff>591456</xdr:colOff>
      <xdr:row>47</xdr:row>
      <xdr:rowOff>23132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6B0616D-665D-4A21-852B-90C4A9DB5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75840" y="6766560"/>
          <a:ext cx="9758316" cy="1851932"/>
        </a:xfrm>
        <a:prstGeom prst="rect">
          <a:avLst/>
        </a:prstGeom>
      </xdr:spPr>
    </xdr:pic>
    <xdr:clientData/>
  </xdr:twoCellAnchor>
  <xdr:twoCellAnchor editAs="oneCell">
    <xdr:from>
      <xdr:col>27</xdr:col>
      <xdr:colOff>501650</xdr:colOff>
      <xdr:row>20</xdr:row>
      <xdr:rowOff>101600</xdr:rowOff>
    </xdr:from>
    <xdr:to>
      <xdr:col>41</xdr:col>
      <xdr:colOff>439058</xdr:colOff>
      <xdr:row>35</xdr:row>
      <xdr:rowOff>88771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E28818-3768-408B-85EF-5B92A8B78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567890" y="3759200"/>
          <a:ext cx="9104268" cy="2730371"/>
        </a:xfrm>
        <a:prstGeom prst="rect">
          <a:avLst/>
        </a:prstGeom>
      </xdr:spPr>
    </xdr:pic>
    <xdr:clientData/>
  </xdr:twoCellAnchor>
  <xdr:twoCellAnchor editAs="oneCell">
    <xdr:from>
      <xdr:col>43</xdr:col>
      <xdr:colOff>421822</xdr:colOff>
      <xdr:row>5</xdr:row>
      <xdr:rowOff>163285</xdr:rowOff>
    </xdr:from>
    <xdr:to>
      <xdr:col>52</xdr:col>
      <xdr:colOff>91881</xdr:colOff>
      <xdr:row>28</xdr:row>
      <xdr:rowOff>134166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343251B-00E0-4F11-8B64-20706BB83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874122" y="1077685"/>
          <a:ext cx="5156459" cy="417712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24</xdr:row>
      <xdr:rowOff>0</xdr:rowOff>
    </xdr:from>
    <xdr:to>
      <xdr:col>26</xdr:col>
      <xdr:colOff>349866</xdr:colOff>
      <xdr:row>43</xdr:row>
      <xdr:rowOff>22404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59075" y="4600575"/>
          <a:ext cx="5228571" cy="364761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17</xdr:col>
      <xdr:colOff>189790</xdr:colOff>
      <xdr:row>22</xdr:row>
      <xdr:rowOff>56738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952500"/>
          <a:ext cx="5676190" cy="329523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ham, Linh" id="{0D1340A7-85D7-4232-B80E-A60594387262}" userId="S::linh.pham@pse.com::9ba81d5b-01b3-41b9-b055-687c6c4f5a50" providerId="AD"/>
</personList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Support/Actual%20O&amp;M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ham, Linh" refreshedDate="45897.586892245374" createdVersion="8" refreshedVersion="8" minRefreshableVersion="3" recordCount="1591" xr:uid="{6D1FD05C-DAD9-4F82-AC02-E4F090E163EC}">
  <cacheSource type="worksheet">
    <worksheetSource ref="A1:M1592" sheet="Sheet1" r:id="rId2"/>
  </cacheSource>
  <cacheFields count="13">
    <cacheField name="Order" numFmtId="0">
      <sharedItems count="34">
        <s v="84220030"/>
        <s v="84000030"/>
        <s v="84360002"/>
        <s v="84430000"/>
        <s v="84730000"/>
        <s v="84420000"/>
        <s v="84100087"/>
        <s v="84340001"/>
        <s v="84100088"/>
        <s v="84390091"/>
        <s v="84390092"/>
        <s v="84620093"/>
        <s v="84780001"/>
        <s v="84000001"/>
        <s v="84200030"/>
        <s v="84330002"/>
        <s v="84410107"/>
        <s v="84730001"/>
        <s v="84620091"/>
        <s v="92400330"/>
        <s v="84620090"/>
        <s v="84100090"/>
        <s v="84390090"/>
        <s v="84470090"/>
        <s v="84770090"/>
        <s v="84000090"/>
        <s v="84470091"/>
        <s v="84410109"/>
        <s v="84000091"/>
        <s v="84100086"/>
        <s v="84000031"/>
        <s v="84320002"/>
        <s v="84100089"/>
        <s v=""/>
      </sharedItems>
    </cacheField>
    <cacheField name="Cost Element" numFmtId="0">
      <sharedItems/>
    </cacheField>
    <cacheField name="Offsetting acct no." numFmtId="0">
      <sharedItems/>
    </cacheField>
    <cacheField name="Cost element name" numFmtId="0">
      <sharedItems/>
    </cacheField>
    <cacheField name="Name of offsetting account" numFmtId="0">
      <sharedItems/>
    </cacheField>
    <cacheField name="Name" numFmtId="0">
      <sharedItems/>
    </cacheField>
    <cacheField name="Functional Area" numFmtId="0">
      <sharedItems/>
    </cacheField>
    <cacheField name="Func. Area Text" numFmtId="0">
      <sharedItems/>
    </cacheField>
    <cacheField name="Val.in rep.cur." numFmtId="4">
      <sharedItems containsString="0" containsBlank="1" containsNumber="1" minValue="-736069.65" maxValue="302944.43"/>
    </cacheField>
    <cacheField name="Period" numFmtId="0">
      <sharedItems/>
    </cacheField>
    <cacheField name="Ref. fiscal year" numFmtId="0">
      <sharedItems containsMixedTypes="1" containsNumber="1" containsInteger="1" minValue="2023" maxValue="2025"/>
    </cacheField>
    <cacheField name="Posting Date" numFmtId="14">
      <sharedItems containsNonDate="0" containsDate="1" containsString="0" containsBlank="1" minDate="2023-04-30T00:00:00" maxDate="2025-08-01T00:00:00"/>
    </cacheField>
    <cacheField name="Month Year" numFmtId="0">
      <sharedItems containsBlank="1" count="29">
        <s v="10-2023"/>
        <s v="10-2024"/>
        <s v="11-2023"/>
        <s v="11-2024"/>
        <s v="1-2024"/>
        <s v="1-2025"/>
        <s v="12-2023"/>
        <s v="12-2024"/>
        <s v="2-2024"/>
        <s v="2-2025"/>
        <s v="3-2024"/>
        <s v="3-2025"/>
        <s v="4-2023"/>
        <s v="4-2024"/>
        <s v="4-2025"/>
        <s v="5-2023"/>
        <s v="5-2024"/>
        <s v="5-2025"/>
        <s v="6-2023"/>
        <s v="6-2024"/>
        <s v="6-2025"/>
        <s v="7-2023"/>
        <s v="7-2024"/>
        <s v="7-2025"/>
        <s v="8-2023"/>
        <s v="8-2024"/>
        <s v="9-2023"/>
        <s v="9-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1">
  <r>
    <x v="0"/>
    <s v="61100000"/>
    <s v="23200543"/>
    <s v="Utilities"/>
    <s v="AP Non-SAP Sys"/>
    <s v="Tacoma Public Utilities - PSE August Power Costs"/>
    <s v="2060"/>
    <s v="Utility Oper. &amp; Maint."/>
    <n v="-48583.89"/>
    <s v="10"/>
    <s v="2023"/>
    <d v="2023-10-09T00:00:00"/>
    <x v="0"/>
  </r>
  <r>
    <x v="1"/>
    <s v="62300065"/>
    <s v="23201013"/>
    <s v="O/S - Continuing"/>
    <s v="GR/IR Clearing Accou"/>
    <s v="0007644035"/>
    <s v="2060"/>
    <s v="Utility Oper. &amp; Maint."/>
    <n v="460"/>
    <s v="10"/>
    <s v="2023"/>
    <d v="2023-10-12T00:00:00"/>
    <x v="0"/>
  </r>
  <r>
    <x v="1"/>
    <s v="62300065"/>
    <s v="23201013"/>
    <s v="O/S - Continuing"/>
    <s v="GR/IR Clearing Accou"/>
    <s v="0007638605"/>
    <s v="2060"/>
    <s v="Utility Oper. &amp; Maint."/>
    <n v="276.74"/>
    <s v="10"/>
    <s v="2023"/>
    <d v="2023-10-12T00:00:00"/>
    <x v="0"/>
  </r>
  <r>
    <x v="1"/>
    <s v="62300065"/>
    <s v="23201013"/>
    <s v="O/S - Continuing"/>
    <s v="GR/IR Clearing Accou"/>
    <s v="0007626965"/>
    <s v="2060"/>
    <s v="Utility Oper. &amp; Maint."/>
    <n v="368"/>
    <s v="10"/>
    <s v="2023"/>
    <d v="2023-10-12T00:00:00"/>
    <x v="0"/>
  </r>
  <r>
    <x v="1"/>
    <s v="62300065"/>
    <s v="23201013"/>
    <s v="O/S - Continuing"/>
    <s v="GR/IR Clearing Accou"/>
    <s v="Temporary Staffing - Joshua Lee Collins"/>
    <s v="2060"/>
    <s v="Utility Oper. &amp; Maint."/>
    <n v="-0.74"/>
    <s v="10"/>
    <s v="2023"/>
    <d v="2023-10-12T00:00:00"/>
    <x v="0"/>
  </r>
  <r>
    <x v="0"/>
    <s v="61100000"/>
    <s v="101611"/>
    <s v="Utilities"/>
    <s v="CITY OF TACOMA"/>
    <s v="101611 -CITY OF TACOMA"/>
    <s v="2060"/>
    <s v="Utility Oper. &amp; Maint."/>
    <n v="49626.84"/>
    <s v="10"/>
    <s v="2023"/>
    <d v="2023-10-19T00:00:00"/>
    <x v="0"/>
  </r>
  <r>
    <x v="0"/>
    <s v="61100000"/>
    <s v="23200543"/>
    <s v="Utilities"/>
    <s v="AP Non-SAP Sys"/>
    <s v="Tacoma Public Utilities - PSE August Power Costs"/>
    <s v="2060"/>
    <s v="Utility Oper. &amp; Maint."/>
    <n v="96842.58"/>
    <s v="10"/>
    <s v="2023"/>
    <d v="2023-10-30T00:00:00"/>
    <x v="0"/>
  </r>
  <r>
    <x v="2"/>
    <s v="62300175"/>
    <s v="62300175"/>
    <s v="O/S Svc – NAES"/>
    <s v="O/S Svc – NAES"/>
    <s v="Tacoma LNG Vaporization for PSE Maintenance"/>
    <s v="2060"/>
    <s v="Utility Oper. &amp; Maint."/>
    <n v="-145"/>
    <s v="10"/>
    <s v="2023"/>
    <d v="2023-10-31T00:00:00"/>
    <x v="0"/>
  </r>
  <r>
    <x v="3"/>
    <s v="62300175"/>
    <s v="13500222"/>
    <s v="O/S Svc – NAES"/>
    <s v="Tacoma LNG Cash Adva"/>
    <s v="TLNG Liquefaction System for PSE Operations"/>
    <s v="2060"/>
    <s v="Utility Oper. &amp; Maint."/>
    <n v="7374.36"/>
    <s v="10"/>
    <s v="2023"/>
    <d v="2023-10-31T00:00:00"/>
    <x v="0"/>
  </r>
  <r>
    <x v="4"/>
    <s v="62300175"/>
    <s v="13500222"/>
    <s v="O/S Svc – NAES"/>
    <s v="Tacoma LNG Cash Adva"/>
    <s v="TLNG Liquefaction System for PSE Maintenance"/>
    <s v="2060"/>
    <s v="Utility Oper. &amp; Maint."/>
    <n v="1444.9"/>
    <s v="10"/>
    <s v="2023"/>
    <d v="2023-10-31T00:00:00"/>
    <x v="0"/>
  </r>
  <r>
    <x v="5"/>
    <s v="62300175"/>
    <s v="13500222"/>
    <s v="O/S Svc – NAES"/>
    <s v="Tacoma LNG Cash Adva"/>
    <s v="TLNG Truck Loading System for PSE Operatoins"/>
    <s v="2060"/>
    <s v="Utility Oper. &amp; Maint."/>
    <n v="181.06"/>
    <s v="10"/>
    <s v="2023"/>
    <d v="2023-10-31T00:00:00"/>
    <x v="0"/>
  </r>
  <r>
    <x v="6"/>
    <s v="62300175"/>
    <s v="13500222"/>
    <s v="O/S Svc – NAES"/>
    <s v="Tacoma LNG Cash Adva"/>
    <s v="TLNG Pre-Treatment System for PSE Operations"/>
    <s v="2060"/>
    <s v="Utility Oper. &amp; Maint."/>
    <n v="1822.28"/>
    <s v="10"/>
    <s v="2023"/>
    <d v="2023-10-31T00:00:00"/>
    <x v="0"/>
  </r>
  <r>
    <x v="7"/>
    <s v="62300175"/>
    <s v="13500222"/>
    <s v="O/S Svc – NAES"/>
    <s v="Tacoma LNG Cash Adva"/>
    <s v="TLNG Pre-Treatment System for PSE Maintenance"/>
    <s v="2060"/>
    <s v="Utility Oper. &amp; Maint."/>
    <n v="230.66"/>
    <s v="10"/>
    <s v="2023"/>
    <d v="2023-10-31T00:00:00"/>
    <x v="0"/>
  </r>
  <r>
    <x v="8"/>
    <s v="62300175"/>
    <s v="13500222"/>
    <s v="O/S Svc – NAES"/>
    <s v="Tacoma LNG Cash Adva"/>
    <s v="TLNG Plant Utilities System for PSE Operations"/>
    <s v="2060"/>
    <s v="Utility Oper. &amp; Maint."/>
    <n v="511.18"/>
    <s v="10"/>
    <s v="2023"/>
    <d v="2023-10-31T00:00:00"/>
    <x v="0"/>
  </r>
  <r>
    <x v="9"/>
    <s v="62300175"/>
    <s v="13500222"/>
    <s v="O/S Svc – NAES"/>
    <s v="Tacoma LNG Cash Adva"/>
    <s v="TLNG Plant Utilities System for PSE Maintenance"/>
    <s v="2060"/>
    <s v="Utility Oper. &amp; Maint."/>
    <n v="351.34"/>
    <s v="10"/>
    <s v="2023"/>
    <d v="2023-10-31T00:00:00"/>
    <x v="0"/>
  </r>
  <r>
    <x v="10"/>
    <s v="62300175"/>
    <s v="13500222"/>
    <s v="O/S Svc – NAES"/>
    <s v="Tacoma LNG Cash Adva"/>
    <s v="TLNG Fuel System for PSE Maintenance"/>
    <s v="2060"/>
    <s v="Utility Oper. &amp; Maint."/>
    <n v="72.88"/>
    <s v="10"/>
    <s v="2023"/>
    <d v="2023-10-31T00:00:00"/>
    <x v="0"/>
  </r>
  <r>
    <x v="11"/>
    <s v="69990112"/>
    <s v="69990111"/>
    <s v="Transfer - Pyr Tx OH"/>
    <s v="Transfer - Benefits"/>
    <s v="October 2023 - Xfr Costs to COH Pool - Part A"/>
    <s v="2060"/>
    <s v="Utility Oper. &amp; Maint."/>
    <n v="-17.399999999999999"/>
    <s v="10"/>
    <s v="2023"/>
    <d v="2023-10-31T00:00:00"/>
    <x v="0"/>
  </r>
  <r>
    <x v="11"/>
    <s v="69990160"/>
    <s v="69990111"/>
    <s v="Trans Transport OH"/>
    <s v="Transfer - Benefits"/>
    <s v="October 2023 - Xfr Costs to COH Pool - Part A"/>
    <s v="2060"/>
    <s v="Utility Oper. &amp; Maint."/>
    <n v="-17.59"/>
    <s v="10"/>
    <s v="2023"/>
    <d v="2023-10-31T00:00:00"/>
    <x v="0"/>
  </r>
  <r>
    <x v="11"/>
    <s v="69990115"/>
    <s v="69990111"/>
    <s v="Transfer - Incent OH"/>
    <s v="Transfer - Benefits"/>
    <s v="October 2023 - Xfr Costs to COH Pool - Part A"/>
    <s v="2060"/>
    <s v="Utility Oper. &amp; Maint."/>
    <n v="-19.350000000000001"/>
    <s v="10"/>
    <s v="2023"/>
    <d v="2023-10-31T00:00:00"/>
    <x v="0"/>
  </r>
  <r>
    <x v="11"/>
    <s v="69990114"/>
    <s v="69990111"/>
    <s v="Transfer - PTO OH"/>
    <s v="Transfer - Benefits"/>
    <s v="October 2023 - Xfr Costs to COH Pool - Part A"/>
    <s v="2060"/>
    <s v="Utility Oper. &amp; Maint."/>
    <n v="-31.47"/>
    <s v="10"/>
    <s v="2023"/>
    <d v="2023-10-31T00:00:00"/>
    <x v="0"/>
  </r>
  <r>
    <x v="11"/>
    <s v="69990111"/>
    <s v="69990111"/>
    <s v="Transfer - Beneftis"/>
    <s v="Transfer - Benefits"/>
    <s v="October 2023 - Xfr Costs to COH Pool - Part A"/>
    <s v="2060"/>
    <s v="Utility Oper. &amp; Maint."/>
    <n v="-58.65"/>
    <s v="10"/>
    <s v="2023"/>
    <d v="2023-10-31T00:00:00"/>
    <x v="0"/>
  </r>
  <r>
    <x v="11"/>
    <s v="69990071"/>
    <s v="69990111"/>
    <s v="Transfer - Labor"/>
    <s v="Transfer - Benefits"/>
    <s v="October 2023 - Xfr Costs to COH Pool - Part A"/>
    <s v="2060"/>
    <s v="Utility Oper. &amp; Maint."/>
    <n v="-195.48"/>
    <s v="10"/>
    <s v="2023"/>
    <d v="2023-10-31T00:00:00"/>
    <x v="0"/>
  </r>
  <r>
    <x v="12"/>
    <s v="62300175"/>
    <s v=""/>
    <s v="O/S Svc – NAES"/>
    <s v=""/>
    <s v="ORD 84780001"/>
    <s v=""/>
    <s v=""/>
    <n v="23368.89"/>
    <s v="10"/>
    <n v="2023"/>
    <d v="2023-10-31T00:00:00"/>
    <x v="0"/>
  </r>
  <r>
    <x v="13"/>
    <s v="62300175"/>
    <s v=""/>
    <s v="O/S Svc – NAES"/>
    <s v=""/>
    <s v="ORD 84000001"/>
    <s v=""/>
    <s v=""/>
    <n v="15782.99"/>
    <s v="10"/>
    <n v="2023"/>
    <d v="2023-10-31T00:00:00"/>
    <x v="0"/>
  </r>
  <r>
    <x v="14"/>
    <s v="60870001"/>
    <s v=""/>
    <s v="Rent/Lease-Non Cancl"/>
    <s v=""/>
    <s v="ORD 84200030"/>
    <s v=""/>
    <s v=""/>
    <n v="104522.84"/>
    <s v="10"/>
    <n v="2023"/>
    <d v="2023-10-31T00:00:00"/>
    <x v="0"/>
  </r>
  <r>
    <x v="15"/>
    <s v="62300175"/>
    <s v=""/>
    <s v="O/S Svc – NAES"/>
    <s v=""/>
    <s v="ORD 84330002"/>
    <s v=""/>
    <s v=""/>
    <n v="32301.39"/>
    <s v="10"/>
    <n v="2023"/>
    <d v="2023-10-31T00:00:00"/>
    <x v="0"/>
  </r>
  <r>
    <x v="16"/>
    <s v="84311002"/>
    <s v=""/>
    <s v="Analyst 2 Ex"/>
    <s v=""/>
    <s v="ORD 84410107"/>
    <s v=""/>
    <s v=""/>
    <n v="774.23"/>
    <s v="10"/>
    <n v="2023"/>
    <d v="2023-10-31T00:00:00"/>
    <x v="0"/>
  </r>
  <r>
    <x v="16"/>
    <s v="84311015"/>
    <s v=""/>
    <s v="Manager 2 Ex"/>
    <s v=""/>
    <s v="ORD 84410107"/>
    <s v=""/>
    <s v=""/>
    <n v="4555.45"/>
    <s v="10"/>
    <n v="2023"/>
    <d v="2023-10-31T00:00:00"/>
    <x v="0"/>
  </r>
  <r>
    <x v="16"/>
    <s v="60330000"/>
    <s v=""/>
    <s v="Emp Exp - Meals"/>
    <s v=""/>
    <s v="ORD 84410107"/>
    <s v=""/>
    <s v=""/>
    <n v="74.209999999999994"/>
    <s v="10"/>
    <n v="2023"/>
    <d v="2023-10-31T00:00:00"/>
    <x v="0"/>
  </r>
  <r>
    <x v="16"/>
    <s v="60333000"/>
    <s v=""/>
    <s v="Emp Exp - Mileage Re"/>
    <s v=""/>
    <s v="ORD 84410107"/>
    <s v=""/>
    <s v=""/>
    <n v="135.62"/>
    <s v="10"/>
    <n v="2023"/>
    <d v="2023-10-31T00:00:00"/>
    <x v="0"/>
  </r>
  <r>
    <x v="16"/>
    <s v="60335000"/>
    <s v=""/>
    <s v="Emp Exp - Lodging"/>
    <s v=""/>
    <s v="ORD 84410107"/>
    <s v=""/>
    <s v=""/>
    <n v="292.52"/>
    <s v="10"/>
    <n v="2023"/>
    <d v="2023-10-31T00:00:00"/>
    <x v="0"/>
  </r>
  <r>
    <x v="16"/>
    <s v="62250010"/>
    <s v=""/>
    <s v="Hardware"/>
    <s v=""/>
    <s v="ORD 84410107"/>
    <s v=""/>
    <s v=""/>
    <n v="8.4"/>
    <s v="10"/>
    <n v="2023"/>
    <d v="2023-10-31T00:00:00"/>
    <x v="0"/>
  </r>
  <r>
    <x v="16"/>
    <s v="62300175"/>
    <s v=""/>
    <s v="O/S Svc – NAES"/>
    <s v=""/>
    <s v="ORD 84410107"/>
    <s v=""/>
    <s v=""/>
    <n v="32815.03"/>
    <s v="10"/>
    <n v="2023"/>
    <d v="2023-10-31T00:00:00"/>
    <x v="0"/>
  </r>
  <r>
    <x v="16"/>
    <s v="84100013"/>
    <s v=""/>
    <s v="Fleet Gas Ops OH"/>
    <s v=""/>
    <s v="ORD 84410107"/>
    <s v=""/>
    <s v=""/>
    <n v="479.67"/>
    <s v="10"/>
    <n v="2023"/>
    <d v="2023-10-31T00:00:00"/>
    <x v="0"/>
  </r>
  <r>
    <x v="16"/>
    <s v="84100021"/>
    <s v=""/>
    <s v="Payroll Taxes OH"/>
    <s v=""/>
    <s v="ORD 84410107"/>
    <s v=""/>
    <s v=""/>
    <n v="474.34"/>
    <s v="10"/>
    <n v="2023"/>
    <d v="2023-10-31T00:00:00"/>
    <x v="0"/>
  </r>
  <r>
    <x v="16"/>
    <s v="84100022"/>
    <s v=""/>
    <s v="Benefits OH"/>
    <s v=""/>
    <s v="ORD 84410107"/>
    <s v=""/>
    <s v=""/>
    <n v="1598.91"/>
    <s v="10"/>
    <n v="2023"/>
    <d v="2023-10-31T00:00:00"/>
    <x v="0"/>
  </r>
  <r>
    <x v="16"/>
    <s v="84100023"/>
    <s v=""/>
    <s v="Paid Time Off OH"/>
    <s v=""/>
    <s v="ORD 84410107"/>
    <s v=""/>
    <s v=""/>
    <n v="858.08"/>
    <s v="10"/>
    <n v="2023"/>
    <d v="2023-10-31T00:00:00"/>
    <x v="0"/>
  </r>
  <r>
    <x v="16"/>
    <s v="84100024"/>
    <s v=""/>
    <s v="Incentives OH"/>
    <s v=""/>
    <s v="ORD 84410107"/>
    <s v=""/>
    <s v=""/>
    <n v="527.64"/>
    <s v="10"/>
    <n v="2023"/>
    <d v="2023-10-31T00:00:00"/>
    <x v="0"/>
  </r>
  <r>
    <x v="17"/>
    <s v="62300175"/>
    <s v=""/>
    <s v="O/S Svc – NAES"/>
    <s v=""/>
    <s v="ORD 84730001"/>
    <s v=""/>
    <s v=""/>
    <n v="161.78"/>
    <s v="10"/>
    <n v="2023"/>
    <d v="2023-10-31T00:00:00"/>
    <x v="0"/>
  </r>
  <r>
    <x v="18"/>
    <s v="62300175"/>
    <s v=""/>
    <s v="O/S Svc – NAES"/>
    <s v=""/>
    <s v="ORD 84620091"/>
    <s v=""/>
    <s v=""/>
    <n v="9015.39"/>
    <s v="10"/>
    <n v="2023"/>
    <d v="2023-10-31T00:00:00"/>
    <x v="0"/>
  </r>
  <r>
    <x v="19"/>
    <s v="60250000"/>
    <s v=""/>
    <s v="Workers Comp Payment"/>
    <s v=""/>
    <s v="ORD 92400330"/>
    <s v=""/>
    <s v=""/>
    <n v="128.52000000000001"/>
    <s v="10"/>
    <n v="2023"/>
    <d v="2023-10-31T00:00:00"/>
    <x v="0"/>
  </r>
  <r>
    <x v="19"/>
    <s v="62300175"/>
    <s v=""/>
    <s v="O/S Svc – NAES"/>
    <s v=""/>
    <s v="ORD 92400330"/>
    <s v=""/>
    <s v=""/>
    <n v="1569.25"/>
    <s v="10"/>
    <n v="2023"/>
    <d v="2023-10-31T00:00:00"/>
    <x v="0"/>
  </r>
  <r>
    <x v="20"/>
    <s v="62300175"/>
    <s v=""/>
    <s v="O/S Svc – NAES"/>
    <s v=""/>
    <s v="ORD 84620090"/>
    <s v=""/>
    <s v=""/>
    <n v="2885.39"/>
    <s v="10"/>
    <n v="2023"/>
    <d v="2023-10-31T00:00:00"/>
    <x v="0"/>
  </r>
  <r>
    <x v="21"/>
    <s v="62300175"/>
    <s v=""/>
    <s v="O/S Svc – NAES"/>
    <s v=""/>
    <s v="ORD 84100090"/>
    <s v=""/>
    <s v=""/>
    <n v="28550.9"/>
    <s v="10"/>
    <n v="2023"/>
    <d v="2023-10-31T00:00:00"/>
    <x v="0"/>
  </r>
  <r>
    <x v="22"/>
    <s v="62300175"/>
    <s v=""/>
    <s v="O/S Svc – NAES"/>
    <s v=""/>
    <s v="ORD 84390090"/>
    <s v=""/>
    <s v=""/>
    <n v="31923.48"/>
    <s v="10"/>
    <n v="2023"/>
    <d v="2023-10-31T00:00:00"/>
    <x v="0"/>
  </r>
  <r>
    <x v="23"/>
    <s v="62300175"/>
    <s v=""/>
    <s v="O/S Svc – NAES"/>
    <s v=""/>
    <s v="ORD 84470090"/>
    <s v=""/>
    <s v=""/>
    <n v="1422.69"/>
    <s v="10"/>
    <n v="2023"/>
    <d v="2023-10-31T00:00:00"/>
    <x v="0"/>
  </r>
  <r>
    <x v="24"/>
    <s v="62300175"/>
    <s v=""/>
    <s v="O/S Svc – NAES"/>
    <s v=""/>
    <s v="ORD 84770090"/>
    <s v=""/>
    <s v=""/>
    <n v="1953.45"/>
    <s v="10"/>
    <n v="2023"/>
    <d v="2023-10-31T00:00:00"/>
    <x v="0"/>
  </r>
  <r>
    <x v="1"/>
    <s v="62300175"/>
    <s v=""/>
    <s v="O/S Svc – NAES"/>
    <s v=""/>
    <s v="ORD 84000030"/>
    <s v=""/>
    <s v=""/>
    <n v="22665.02"/>
    <s v="10"/>
    <n v="2023"/>
    <d v="2023-10-31T00:00:00"/>
    <x v="0"/>
  </r>
  <r>
    <x v="25"/>
    <s v="62300175"/>
    <s v=""/>
    <s v="O/S Svc – NAES"/>
    <s v=""/>
    <s v="ORD 84000090"/>
    <s v=""/>
    <s v=""/>
    <n v="2968.65"/>
    <s v="10"/>
    <n v="2023"/>
    <d v="2023-10-31T00:00:00"/>
    <x v="0"/>
  </r>
  <r>
    <x v="11"/>
    <s v="84100013"/>
    <s v=""/>
    <s v="Fleet Gas Ops OH"/>
    <s v=""/>
    <s v=""/>
    <s v=""/>
    <s v=""/>
    <n v="70.37"/>
    <s v="10"/>
    <n v="2023"/>
    <d v="2023-10-31T00:00:00"/>
    <x v="0"/>
  </r>
  <r>
    <x v="11"/>
    <s v="84100021"/>
    <s v=""/>
    <s v="Payroll Taxes OH"/>
    <s v=""/>
    <s v=""/>
    <s v=""/>
    <s v=""/>
    <n v="69.59"/>
    <s v="10"/>
    <n v="2023"/>
    <d v="2023-10-31T00:00:00"/>
    <x v="0"/>
  </r>
  <r>
    <x v="11"/>
    <s v="84100022"/>
    <s v=""/>
    <s v="Benefits OH"/>
    <s v=""/>
    <s v=""/>
    <s v=""/>
    <s v=""/>
    <n v="234.58"/>
    <s v="10"/>
    <n v="2023"/>
    <d v="2023-10-31T00:00:00"/>
    <x v="0"/>
  </r>
  <r>
    <x v="11"/>
    <s v="84100023"/>
    <s v=""/>
    <s v="Paid Time Off OH"/>
    <s v=""/>
    <s v=""/>
    <s v=""/>
    <s v=""/>
    <n v="125.89"/>
    <s v="10"/>
    <n v="2023"/>
    <d v="2023-10-31T00:00:00"/>
    <x v="0"/>
  </r>
  <r>
    <x v="11"/>
    <s v="84100024"/>
    <s v=""/>
    <s v="Incentives OH"/>
    <s v=""/>
    <s v=""/>
    <s v=""/>
    <s v=""/>
    <n v="77.41"/>
    <s v="10"/>
    <n v="2023"/>
    <d v="2023-10-31T00:00:00"/>
    <x v="0"/>
  </r>
  <r>
    <x v="11"/>
    <s v="84311007"/>
    <s v=""/>
    <s v="Consultant Ex"/>
    <s v=""/>
    <s v=""/>
    <s v="2060"/>
    <s v="Utility Oper. &amp; Maint."/>
    <n v="130.32"/>
    <s v="10"/>
    <n v="2023"/>
    <d v="2023-10-31T00:00:00"/>
    <x v="0"/>
  </r>
  <r>
    <x v="11"/>
    <s v="84311007"/>
    <s v=""/>
    <s v="Consultant Ex"/>
    <s v=""/>
    <s v=""/>
    <s v="2060"/>
    <s v="Utility Oper. &amp; Maint."/>
    <n v="130.32"/>
    <s v="10"/>
    <n v="2023"/>
    <d v="2023-10-31T00:00:00"/>
    <x v="0"/>
  </r>
  <r>
    <x v="11"/>
    <s v="84311007"/>
    <s v=""/>
    <s v="Consultant Ex"/>
    <s v=""/>
    <s v=""/>
    <s v="2060"/>
    <s v="Utility Oper. &amp; Maint."/>
    <n v="521.28"/>
    <s v="10"/>
    <n v="2023"/>
    <d v="2023-10-31T00:00:00"/>
    <x v="0"/>
  </r>
  <r>
    <x v="0"/>
    <s v="61100000"/>
    <s v="23200543"/>
    <s v="Utilities"/>
    <s v="AP Non-SAP Sys"/>
    <s v="Tacoma Public Utilities - Power cost for LNG lique"/>
    <s v="2060"/>
    <s v="Utility Oper. &amp; Maint."/>
    <n v="-88256.4"/>
    <s v="10"/>
    <s v="2024"/>
    <d v="2024-10-08T00:00:00"/>
    <x v="1"/>
  </r>
  <r>
    <x v="0"/>
    <s v="61100000"/>
    <s v="101611"/>
    <s v="Utilities"/>
    <s v="CITY OF TACOMA"/>
    <s v="101611 -CITY OF TACOMA"/>
    <s v="2060"/>
    <s v="Utility Oper. &amp; Maint."/>
    <n v="47182.43"/>
    <s v="10"/>
    <s v="2024"/>
    <d v="2024-10-18T00:00:00"/>
    <x v="1"/>
  </r>
  <r>
    <x v="0"/>
    <s v="61100000"/>
    <s v="23200543"/>
    <s v="Utilities"/>
    <s v="AP Non-SAP Sys"/>
    <s v="Tacoma Public Utilities -  Power cost for LNG liqu"/>
    <s v="2060"/>
    <s v="Utility Oper. &amp; Maint."/>
    <n v="69661"/>
    <s v="10"/>
    <s v="2024"/>
    <d v="2024-10-30T00:00:00"/>
    <x v="1"/>
  </r>
  <r>
    <x v="3"/>
    <s v="62300175"/>
    <s v="13500222"/>
    <s v="O/S Svc – NAES"/>
    <s v="Tacoma LNG Cash Adva"/>
    <s v="TLNG Liquefaction System for PSE Operations"/>
    <s v="2060"/>
    <s v="Utility Oper. &amp; Maint."/>
    <n v="5575.68"/>
    <s v="10"/>
    <s v="2024"/>
    <d v="2024-10-31T00:00:00"/>
    <x v="1"/>
  </r>
  <r>
    <x v="4"/>
    <s v="62300175"/>
    <s v="13500222"/>
    <s v="O/S Svc – NAES"/>
    <s v="Tacoma LNG Cash Adva"/>
    <s v="TLNG Liquefaction System for PSE Maintenance"/>
    <s v="2060"/>
    <s v="Utility Oper. &amp; Maint."/>
    <n v="3059.96"/>
    <s v="10"/>
    <s v="2024"/>
    <d v="2024-10-31T00:00:00"/>
    <x v="1"/>
  </r>
  <r>
    <x v="5"/>
    <s v="62300175"/>
    <s v="13500222"/>
    <s v="O/S Svc – NAES"/>
    <s v="Tacoma LNG Cash Adva"/>
    <s v="TLNG Truck Loading System for PSE Operatoins"/>
    <s v="2060"/>
    <s v="Utility Oper. &amp; Maint."/>
    <n v="211.32"/>
    <s v="10"/>
    <s v="2024"/>
    <d v="2024-10-31T00:00:00"/>
    <x v="1"/>
  </r>
  <r>
    <x v="6"/>
    <s v="62300175"/>
    <s v="13500222"/>
    <s v="O/S Svc – NAES"/>
    <s v="Tacoma LNG Cash Adva"/>
    <s v="TLNG Pre-Treatment System for PSE Operations"/>
    <s v="2060"/>
    <s v="Utility Oper. &amp; Maint."/>
    <n v="708.69"/>
    <s v="10"/>
    <s v="2024"/>
    <d v="2024-10-31T00:00:00"/>
    <x v="1"/>
  </r>
  <r>
    <x v="7"/>
    <s v="62300175"/>
    <s v="13500222"/>
    <s v="O/S Svc – NAES"/>
    <s v="Tacoma LNG Cash Adva"/>
    <s v="TLNG Pre-Treatment System for PSE Maintenance"/>
    <s v="2060"/>
    <s v="Utility Oper. &amp; Maint."/>
    <n v="674.66"/>
    <s v="10"/>
    <s v="2024"/>
    <d v="2024-10-31T00:00:00"/>
    <x v="1"/>
  </r>
  <r>
    <x v="9"/>
    <s v="62300175"/>
    <s v="13500222"/>
    <s v="O/S Svc – NAES"/>
    <s v="Tacoma LNG Cash Adva"/>
    <s v="TLNG Plant Utilities System for PSE Maintenance"/>
    <s v="2060"/>
    <s v="Utility Oper. &amp; Maint."/>
    <n v="352.31"/>
    <s v="10"/>
    <s v="2024"/>
    <d v="2024-10-31T00:00:00"/>
    <x v="1"/>
  </r>
  <r>
    <x v="10"/>
    <s v="62300175"/>
    <s v="13500222"/>
    <s v="O/S Svc – NAES"/>
    <s v="Tacoma LNG Cash Adva"/>
    <s v="TLNG Fuel System for PSE Maintenance"/>
    <s v="2060"/>
    <s v="Utility Oper. &amp; Maint."/>
    <n v="112.98"/>
    <s v="10"/>
    <s v="2024"/>
    <d v="2024-10-31T00:00:00"/>
    <x v="1"/>
  </r>
  <r>
    <x v="7"/>
    <s v="62300175"/>
    <s v="13500222"/>
    <s v="O/S Svc – NAES"/>
    <s v="Tacoma LNG Cash Adva"/>
    <s v="TLNG Pre-Treatment System for PSE Maintenance"/>
    <s v="2060"/>
    <s v="Utility Oper. &amp; Maint."/>
    <n v="2.63"/>
    <s v="10"/>
    <s v="2024"/>
    <d v="2024-10-31T00:00:00"/>
    <x v="1"/>
  </r>
  <r>
    <x v="26"/>
    <s v="62300175"/>
    <s v=""/>
    <s v="O/S Svc – NAES"/>
    <s v=""/>
    <s v="ORD 84470091"/>
    <s v=""/>
    <s v=""/>
    <n v="5482.82"/>
    <s v="10"/>
    <n v="2024"/>
    <d v="2024-10-31T00:00:00"/>
    <x v="1"/>
  </r>
  <r>
    <x v="13"/>
    <s v="62300175"/>
    <s v=""/>
    <s v="O/S Svc – NAES"/>
    <s v=""/>
    <s v="ORD 84000001"/>
    <s v=""/>
    <s v=""/>
    <n v="9424.36"/>
    <s v="10"/>
    <n v="2024"/>
    <d v="2024-10-31T00:00:00"/>
    <x v="1"/>
  </r>
  <r>
    <x v="14"/>
    <s v="60870001"/>
    <s v=""/>
    <s v="Rent/Lease-Non Cancl"/>
    <s v=""/>
    <s v="ORD 84200030"/>
    <s v=""/>
    <s v=""/>
    <n v="91351.35"/>
    <s v="10"/>
    <n v="2024"/>
    <d v="2024-10-31T00:00:00"/>
    <x v="1"/>
  </r>
  <r>
    <x v="14"/>
    <s v="61100000"/>
    <s v=""/>
    <s v="Utilities"/>
    <s v=""/>
    <s v="ORD 84200030"/>
    <s v=""/>
    <s v=""/>
    <n v="18753.009999999998"/>
    <s v="10"/>
    <n v="2024"/>
    <d v="2024-10-31T00:00:00"/>
    <x v="1"/>
  </r>
  <r>
    <x v="15"/>
    <s v="62300175"/>
    <s v=""/>
    <s v="O/S Svc – NAES"/>
    <s v=""/>
    <s v="ORD 84330002"/>
    <s v=""/>
    <s v=""/>
    <n v="42302.11"/>
    <s v="10"/>
    <n v="2024"/>
    <d v="2024-10-31T00:00:00"/>
    <x v="1"/>
  </r>
  <r>
    <x v="16"/>
    <s v="84311002"/>
    <s v=""/>
    <s v="Analyst 2 Ex"/>
    <s v=""/>
    <s v="ORD 84410107"/>
    <s v=""/>
    <s v=""/>
    <n v="839.57"/>
    <s v="10"/>
    <n v="2024"/>
    <d v="2024-10-31T00:00:00"/>
    <x v="1"/>
  </r>
  <r>
    <x v="16"/>
    <s v="84311007"/>
    <s v=""/>
    <s v="Consultant Ex"/>
    <s v=""/>
    <s v="ORD 84410107"/>
    <s v=""/>
    <s v=""/>
    <n v="233.76"/>
    <s v="10"/>
    <n v="2024"/>
    <d v="2024-10-31T00:00:00"/>
    <x v="1"/>
  </r>
  <r>
    <x v="16"/>
    <s v="84311009"/>
    <s v=""/>
    <s v="Engineer Ex"/>
    <s v=""/>
    <s v="ORD 84410107"/>
    <s v=""/>
    <s v=""/>
    <n v="445.92"/>
    <s v="10"/>
    <n v="2024"/>
    <d v="2024-10-31T00:00:00"/>
    <x v="1"/>
  </r>
  <r>
    <x v="16"/>
    <s v="84311011"/>
    <s v=""/>
    <s v="Engineer Consult Ex"/>
    <s v=""/>
    <s v="ORD 84410107"/>
    <s v=""/>
    <s v=""/>
    <n v="2686.3"/>
    <s v="10"/>
    <n v="2024"/>
    <d v="2024-10-31T00:00:00"/>
    <x v="1"/>
  </r>
  <r>
    <x v="16"/>
    <s v="62300175"/>
    <s v=""/>
    <s v="O/S Svc – NAES"/>
    <s v=""/>
    <s v="ORD 84410107"/>
    <s v=""/>
    <s v=""/>
    <n v="48009.279999999999"/>
    <s v="10"/>
    <n v="2024"/>
    <d v="2024-10-31T00:00:00"/>
    <x v="1"/>
  </r>
  <r>
    <x v="16"/>
    <s v="84100013"/>
    <s v=""/>
    <s v="Fleet Gas Ops OH"/>
    <s v=""/>
    <s v="ORD 84410107"/>
    <s v=""/>
    <s v=""/>
    <n v="525.69000000000005"/>
    <s v="10"/>
    <n v="2024"/>
    <d v="2024-10-31T00:00:00"/>
    <x v="1"/>
  </r>
  <r>
    <x v="16"/>
    <s v="84100021"/>
    <s v=""/>
    <s v="Payroll Taxes OH"/>
    <s v=""/>
    <s v="ORD 84410107"/>
    <s v=""/>
    <s v=""/>
    <n v="395.32"/>
    <s v="10"/>
    <n v="2024"/>
    <d v="2024-10-31T00:00:00"/>
    <x v="1"/>
  </r>
  <r>
    <x v="16"/>
    <s v="84100022"/>
    <s v=""/>
    <s v="Benefits OH"/>
    <s v=""/>
    <s v="ORD 84410107"/>
    <s v=""/>
    <s v=""/>
    <n v="984.1"/>
    <s v="10"/>
    <n v="2024"/>
    <d v="2024-10-31T00:00:00"/>
    <x v="1"/>
  </r>
  <r>
    <x v="16"/>
    <s v="84100023"/>
    <s v=""/>
    <s v="Paid Time Off OH"/>
    <s v=""/>
    <s v="ORD 84410107"/>
    <s v=""/>
    <s v=""/>
    <n v="656.06"/>
    <s v="10"/>
    <n v="2024"/>
    <d v="2024-10-31T00:00:00"/>
    <x v="1"/>
  </r>
  <r>
    <x v="16"/>
    <s v="84100024"/>
    <s v=""/>
    <s v="Incentives OH"/>
    <s v=""/>
    <s v="ORD 84410107"/>
    <s v=""/>
    <s v=""/>
    <n v="458.41"/>
    <s v="10"/>
    <n v="2024"/>
    <d v="2024-10-31T00:00:00"/>
    <x v="1"/>
  </r>
  <r>
    <x v="17"/>
    <s v="62300175"/>
    <s v=""/>
    <s v="O/S Svc – NAES"/>
    <s v=""/>
    <s v="ORD 84730001"/>
    <s v=""/>
    <s v=""/>
    <n v="118.9"/>
    <s v="10"/>
    <n v="2024"/>
    <d v="2024-10-31T00:00:00"/>
    <x v="1"/>
  </r>
  <r>
    <x v="9"/>
    <s v="62300175"/>
    <s v=""/>
    <s v="O/S Svc – NAES"/>
    <s v=""/>
    <s v="ORD 84390091"/>
    <s v=""/>
    <s v=""/>
    <n v="316"/>
    <s v="10"/>
    <n v="2024"/>
    <d v="2024-10-31T00:00:00"/>
    <x v="1"/>
  </r>
  <r>
    <x v="18"/>
    <s v="62300175"/>
    <s v=""/>
    <s v="O/S Svc – NAES"/>
    <s v=""/>
    <s v="ORD 84620091"/>
    <s v=""/>
    <s v=""/>
    <n v="12590.02"/>
    <s v="10"/>
    <n v="2024"/>
    <d v="2024-10-31T00:00:00"/>
    <x v="1"/>
  </r>
  <r>
    <x v="19"/>
    <s v="60250000"/>
    <s v=""/>
    <s v="Workers Comp Payment"/>
    <s v=""/>
    <s v="ORD 92400330"/>
    <s v=""/>
    <s v=""/>
    <n v="141.68"/>
    <s v="10"/>
    <n v="2024"/>
    <d v="2024-10-31T00:00:00"/>
    <x v="1"/>
  </r>
  <r>
    <x v="19"/>
    <s v="62300175"/>
    <s v=""/>
    <s v="O/S Svc – NAES"/>
    <s v=""/>
    <s v="ORD 92400330"/>
    <s v=""/>
    <s v=""/>
    <n v="2100.88"/>
    <s v="10"/>
    <n v="2024"/>
    <d v="2024-10-31T00:00:00"/>
    <x v="1"/>
  </r>
  <r>
    <x v="20"/>
    <s v="62300175"/>
    <s v=""/>
    <s v="O/S Svc – NAES"/>
    <s v=""/>
    <s v="ORD 84620090"/>
    <s v=""/>
    <s v=""/>
    <n v="3403.29"/>
    <s v="10"/>
    <n v="2024"/>
    <d v="2024-10-31T00:00:00"/>
    <x v="1"/>
  </r>
  <r>
    <x v="21"/>
    <s v="62300175"/>
    <s v=""/>
    <s v="O/S Svc – NAES"/>
    <s v=""/>
    <s v="ORD 84100090"/>
    <s v=""/>
    <s v=""/>
    <n v="37132.32"/>
    <s v="10"/>
    <n v="2024"/>
    <d v="2024-10-31T00:00:00"/>
    <x v="1"/>
  </r>
  <r>
    <x v="22"/>
    <s v="62300175"/>
    <s v=""/>
    <s v="O/S Svc – NAES"/>
    <s v=""/>
    <s v="ORD 84390090"/>
    <s v=""/>
    <s v=""/>
    <n v="29839.1"/>
    <s v="10"/>
    <n v="2024"/>
    <d v="2024-10-31T00:00:00"/>
    <x v="1"/>
  </r>
  <r>
    <x v="24"/>
    <s v="62300175"/>
    <s v=""/>
    <s v="O/S Svc – NAES"/>
    <s v=""/>
    <s v="ORD 84770090"/>
    <s v=""/>
    <s v=""/>
    <n v="25590.33"/>
    <s v="10"/>
    <n v="2024"/>
    <d v="2024-10-31T00:00:00"/>
    <x v="1"/>
  </r>
  <r>
    <x v="1"/>
    <s v="62300175"/>
    <s v=""/>
    <s v="O/S Svc – NAES"/>
    <s v=""/>
    <s v="ORD 84000030"/>
    <s v=""/>
    <s v=""/>
    <n v="47369.88"/>
    <s v="10"/>
    <n v="2024"/>
    <d v="2024-10-31T00:00:00"/>
    <x v="1"/>
  </r>
  <r>
    <x v="25"/>
    <s v="62300175"/>
    <s v=""/>
    <s v="O/S Svc – NAES"/>
    <s v=""/>
    <s v="ORD 84000090"/>
    <s v=""/>
    <s v=""/>
    <n v="10720.69"/>
    <s v="10"/>
    <n v="2024"/>
    <d v="2024-10-31T00:00:00"/>
    <x v="1"/>
  </r>
  <r>
    <x v="0"/>
    <s v="61100000"/>
    <s v="23200543"/>
    <s v="Utilities"/>
    <s v="AP Non-SAP Sys"/>
    <s v="Tacoma Public Utilities - PSE August Power Costs"/>
    <s v="2060"/>
    <s v="Utility Oper. &amp; Maint."/>
    <n v="-96842.58"/>
    <s v="11"/>
    <s v="2023"/>
    <d v="2023-11-08T00:00:00"/>
    <x v="2"/>
  </r>
  <r>
    <x v="0"/>
    <s v="61100000"/>
    <s v="101611"/>
    <s v="Utilities"/>
    <s v="CITY OF TACOMA"/>
    <s v="101611 -CITY OF TACOMA"/>
    <s v="2060"/>
    <s v="Utility Oper. &amp; Maint."/>
    <n v="89884.5"/>
    <s v="11"/>
    <s v="2023"/>
    <d v="2023-11-16T00:00:00"/>
    <x v="2"/>
  </r>
  <r>
    <x v="0"/>
    <s v="61100000"/>
    <s v="23200543"/>
    <s v="Utilities"/>
    <s v="AP Non-SAP Sys"/>
    <s v="Tacoma Public Utilities - PSE August Power Costs"/>
    <s v="2060"/>
    <s v="Utility Oper. &amp; Maint."/>
    <n v="96842.58"/>
    <s v="11"/>
    <s v="2023"/>
    <d v="2023-11-29T00:00:00"/>
    <x v="2"/>
  </r>
  <r>
    <x v="0"/>
    <s v="61100000"/>
    <s v="23200543"/>
    <s v="Utilities"/>
    <s v="AP Non-SAP Sys"/>
    <s v="Tacoma Public Utilities - PSE November Power Costs"/>
    <s v="2060"/>
    <s v="Utility Oper. &amp; Maint."/>
    <n v="55788.35"/>
    <s v="11"/>
    <s v="2023"/>
    <d v="2023-11-29T00:00:00"/>
    <x v="2"/>
  </r>
  <r>
    <x v="5"/>
    <s v="62300175"/>
    <s v="15400112"/>
    <s v="O/S Svc – NAES"/>
    <s v="Plant Mat Inv - TLNG"/>
    <s v="TLNG Truck Loading System for PSE Operatoins"/>
    <s v="2060"/>
    <s v="Utility Oper. &amp; Maint."/>
    <n v="-639"/>
    <s v="11"/>
    <s v="2023"/>
    <d v="2023-11-30T00:00:00"/>
    <x v="2"/>
  </r>
  <r>
    <x v="7"/>
    <s v="62300175"/>
    <s v="15400112"/>
    <s v="O/S Svc – NAES"/>
    <s v="Plant Mat Inv - TLNG"/>
    <s v="TLNG Pre-Treatment System for PSE Maintenance"/>
    <s v="2060"/>
    <s v="Utility Oper. &amp; Maint."/>
    <n v="-13.81"/>
    <s v="11"/>
    <s v="2023"/>
    <d v="2023-11-30T00:00:00"/>
    <x v="2"/>
  </r>
  <r>
    <x v="10"/>
    <s v="62300175"/>
    <s v="15400112"/>
    <s v="O/S Svc – NAES"/>
    <s v="Plant Mat Inv - TLNG"/>
    <s v="TLNG Fuel System for PSE Maintenance"/>
    <s v="2060"/>
    <s v="Utility Oper. &amp; Maint."/>
    <n v="-12.9"/>
    <s v="11"/>
    <s v="2023"/>
    <d v="2023-11-30T00:00:00"/>
    <x v="2"/>
  </r>
  <r>
    <x v="4"/>
    <s v="62300175"/>
    <s v="13500222"/>
    <s v="O/S Svc – NAES"/>
    <s v="Tacoma LNG Cash Adva"/>
    <s v="TLNG Liquefaction System for PSE Maintenance"/>
    <s v="2060"/>
    <s v="Utility Oper. &amp; Maint."/>
    <n v="657.6"/>
    <s v="11"/>
    <s v="2023"/>
    <d v="2023-11-30T00:00:00"/>
    <x v="2"/>
  </r>
  <r>
    <x v="9"/>
    <s v="62300175"/>
    <s v="13500222"/>
    <s v="O/S Svc – NAES"/>
    <s v="Tacoma LNG Cash Adva"/>
    <s v="TLNG Plant Utilities System for PSE Maintenance"/>
    <s v="2060"/>
    <s v="Utility Oper. &amp; Maint."/>
    <n v="2067.5100000000002"/>
    <s v="11"/>
    <s v="2023"/>
    <d v="2023-11-30T00:00:00"/>
    <x v="2"/>
  </r>
  <r>
    <x v="2"/>
    <s v="62300175"/>
    <s v="13500222"/>
    <s v="O/S Svc – NAES"/>
    <s v="Tacoma LNG Cash Adva"/>
    <s v="Tacoma LNG Vaporization for PSE Maintenance"/>
    <s v="2060"/>
    <s v="Utility Oper. &amp; Maint."/>
    <n v="111.95"/>
    <s v="11"/>
    <s v="2023"/>
    <d v="2023-11-30T00:00:00"/>
    <x v="2"/>
  </r>
  <r>
    <x v="27"/>
    <s v="62300065"/>
    <s v=""/>
    <s v="O/S - Continuing"/>
    <s v=""/>
    <s v="ORD 84410109"/>
    <s v=""/>
    <s v=""/>
    <n v="3467.24"/>
    <s v="11"/>
    <n v="2023"/>
    <d v="2023-11-30T00:00:00"/>
    <x v="2"/>
  </r>
  <r>
    <x v="12"/>
    <s v="62300175"/>
    <s v=""/>
    <s v="O/S Svc – NAES"/>
    <s v=""/>
    <s v="ORD 84780001"/>
    <s v=""/>
    <s v=""/>
    <n v="6922.98"/>
    <s v="11"/>
    <n v="2023"/>
    <d v="2023-11-30T00:00:00"/>
    <x v="2"/>
  </r>
  <r>
    <x v="13"/>
    <s v="62300175"/>
    <s v=""/>
    <s v="O/S Svc – NAES"/>
    <s v=""/>
    <s v="ORD 84000001"/>
    <s v=""/>
    <s v=""/>
    <n v="12809.22"/>
    <s v="11"/>
    <n v="2023"/>
    <d v="2023-11-30T00:00:00"/>
    <x v="2"/>
  </r>
  <r>
    <x v="14"/>
    <s v="60870001"/>
    <s v=""/>
    <s v="Rent/Lease-Non Cancl"/>
    <s v=""/>
    <s v="ORD 84200030"/>
    <s v=""/>
    <s v=""/>
    <n v="104522.84"/>
    <s v="11"/>
    <n v="2023"/>
    <d v="2023-11-30T00:00:00"/>
    <x v="2"/>
  </r>
  <r>
    <x v="15"/>
    <s v="62300175"/>
    <s v=""/>
    <s v="O/S Svc – NAES"/>
    <s v=""/>
    <s v="ORD 84330002"/>
    <s v=""/>
    <s v=""/>
    <n v="-508.76"/>
    <s v="11"/>
    <n v="2023"/>
    <d v="2023-11-30T00:00:00"/>
    <x v="2"/>
  </r>
  <r>
    <x v="16"/>
    <s v="84311002"/>
    <s v=""/>
    <s v="Analyst 2 Ex"/>
    <s v=""/>
    <s v="ORD 84410107"/>
    <s v=""/>
    <s v=""/>
    <n v="663.63"/>
    <s v="11"/>
    <n v="2023"/>
    <d v="2023-11-30T00:00:00"/>
    <x v="2"/>
  </r>
  <r>
    <x v="16"/>
    <s v="84311015"/>
    <s v=""/>
    <s v="Manager 2 Ex"/>
    <s v=""/>
    <s v="ORD 84410107"/>
    <s v=""/>
    <s v=""/>
    <n v="3904.68"/>
    <s v="11"/>
    <n v="2023"/>
    <d v="2023-11-30T00:00:00"/>
    <x v="2"/>
  </r>
  <r>
    <x v="16"/>
    <s v="62300175"/>
    <s v=""/>
    <s v="O/S Svc – NAES"/>
    <s v=""/>
    <s v="ORD 84410107"/>
    <s v=""/>
    <s v=""/>
    <n v="43787.93"/>
    <s v="11"/>
    <n v="2023"/>
    <d v="2023-11-30T00:00:00"/>
    <x v="2"/>
  </r>
  <r>
    <x v="16"/>
    <s v="84100013"/>
    <s v=""/>
    <s v="Fleet Gas Ops OH"/>
    <s v=""/>
    <s v="ORD 84410107"/>
    <s v=""/>
    <s v=""/>
    <n v="411.15"/>
    <s v="11"/>
    <n v="2023"/>
    <d v="2023-11-30T00:00:00"/>
    <x v="2"/>
  </r>
  <r>
    <x v="16"/>
    <s v="84100021"/>
    <s v=""/>
    <s v="Payroll Taxes OH"/>
    <s v=""/>
    <s v="ORD 84410107"/>
    <s v=""/>
    <s v=""/>
    <n v="406.58"/>
    <s v="11"/>
    <n v="2023"/>
    <d v="2023-11-30T00:00:00"/>
    <x v="2"/>
  </r>
  <r>
    <x v="16"/>
    <s v="84100022"/>
    <s v=""/>
    <s v="Benefits OH"/>
    <s v=""/>
    <s v="ORD 84410107"/>
    <s v=""/>
    <s v=""/>
    <n v="1370.49"/>
    <s v="11"/>
    <n v="2023"/>
    <d v="2023-11-30T00:00:00"/>
    <x v="2"/>
  </r>
  <r>
    <x v="16"/>
    <s v="84100023"/>
    <s v=""/>
    <s v="Paid Time Off OH"/>
    <s v=""/>
    <s v="ORD 84410107"/>
    <s v=""/>
    <s v=""/>
    <n v="735.5"/>
    <s v="11"/>
    <n v="2023"/>
    <d v="2023-11-30T00:00:00"/>
    <x v="2"/>
  </r>
  <r>
    <x v="16"/>
    <s v="84100024"/>
    <s v=""/>
    <s v="Incentives OH"/>
    <s v=""/>
    <s v="ORD 84410107"/>
    <s v=""/>
    <s v=""/>
    <n v="452.26"/>
    <s v="11"/>
    <n v="2023"/>
    <d v="2023-11-30T00:00:00"/>
    <x v="2"/>
  </r>
  <r>
    <x v="17"/>
    <s v="62300175"/>
    <s v=""/>
    <s v="O/S Svc – NAES"/>
    <s v=""/>
    <s v="ORD 84730001"/>
    <s v=""/>
    <s v=""/>
    <n v="-28.5"/>
    <s v="11"/>
    <n v="2023"/>
    <d v="2023-11-30T00:00:00"/>
    <x v="2"/>
  </r>
  <r>
    <x v="18"/>
    <s v="62300175"/>
    <s v=""/>
    <s v="O/S Svc – NAES"/>
    <s v=""/>
    <s v="ORD 84620091"/>
    <s v=""/>
    <s v=""/>
    <n v="5094.1000000000004"/>
    <s v="11"/>
    <n v="2023"/>
    <d v="2023-11-30T00:00:00"/>
    <x v="2"/>
  </r>
  <r>
    <x v="19"/>
    <s v="60250000"/>
    <s v=""/>
    <s v="Workers Comp Payment"/>
    <s v=""/>
    <s v="ORD 92400330"/>
    <s v=""/>
    <s v=""/>
    <n v="128.52000000000001"/>
    <s v="11"/>
    <n v="2023"/>
    <d v="2023-11-30T00:00:00"/>
    <x v="2"/>
  </r>
  <r>
    <x v="19"/>
    <s v="62300175"/>
    <s v=""/>
    <s v="O/S Svc – NAES"/>
    <s v=""/>
    <s v="ORD 92400330"/>
    <s v=""/>
    <s v=""/>
    <n v="1507.6"/>
    <s v="11"/>
    <n v="2023"/>
    <d v="2023-11-30T00:00:00"/>
    <x v="2"/>
  </r>
  <r>
    <x v="20"/>
    <s v="62300175"/>
    <s v=""/>
    <s v="O/S Svc – NAES"/>
    <s v=""/>
    <s v="ORD 84620090"/>
    <s v=""/>
    <s v=""/>
    <n v="3057.52"/>
    <s v="11"/>
    <n v="2023"/>
    <d v="2023-11-30T00:00:00"/>
    <x v="2"/>
  </r>
  <r>
    <x v="28"/>
    <s v="62300175"/>
    <s v=""/>
    <s v="O/S Svc – NAES"/>
    <s v=""/>
    <s v="ORD 84000091"/>
    <s v=""/>
    <s v=""/>
    <n v="143.99"/>
    <s v="11"/>
    <n v="2023"/>
    <d v="2023-11-30T00:00:00"/>
    <x v="2"/>
  </r>
  <r>
    <x v="21"/>
    <s v="62300175"/>
    <s v=""/>
    <s v="O/S Svc – NAES"/>
    <s v=""/>
    <s v="ORD 84100090"/>
    <s v=""/>
    <s v=""/>
    <n v="55134.16"/>
    <s v="11"/>
    <n v="2023"/>
    <d v="2023-11-30T00:00:00"/>
    <x v="2"/>
  </r>
  <r>
    <x v="22"/>
    <s v="62300175"/>
    <s v=""/>
    <s v="O/S Svc – NAES"/>
    <s v=""/>
    <s v="ORD 84390090"/>
    <s v=""/>
    <s v=""/>
    <n v="22336.75"/>
    <s v="11"/>
    <n v="2023"/>
    <d v="2023-11-30T00:00:00"/>
    <x v="2"/>
  </r>
  <r>
    <x v="23"/>
    <s v="62300175"/>
    <s v=""/>
    <s v="O/S Svc – NAES"/>
    <s v=""/>
    <s v="ORD 84470090"/>
    <s v=""/>
    <s v=""/>
    <n v="122"/>
    <s v="11"/>
    <n v="2023"/>
    <d v="2023-11-30T00:00:00"/>
    <x v="2"/>
  </r>
  <r>
    <x v="24"/>
    <s v="62300175"/>
    <s v=""/>
    <s v="O/S Svc – NAES"/>
    <s v=""/>
    <s v="ORD 84770090"/>
    <s v=""/>
    <s v=""/>
    <n v="1312.64"/>
    <s v="11"/>
    <n v="2023"/>
    <d v="2023-11-30T00:00:00"/>
    <x v="2"/>
  </r>
  <r>
    <x v="1"/>
    <s v="62300175"/>
    <s v=""/>
    <s v="O/S Svc – NAES"/>
    <s v=""/>
    <s v="ORD 84000030"/>
    <s v=""/>
    <s v=""/>
    <n v="24299.02"/>
    <s v="11"/>
    <n v="2023"/>
    <d v="2023-11-30T00:00:00"/>
    <x v="2"/>
  </r>
  <r>
    <x v="25"/>
    <s v="62300175"/>
    <s v=""/>
    <s v="O/S Svc – NAES"/>
    <s v=""/>
    <s v="ORD 84000090"/>
    <s v=""/>
    <s v=""/>
    <n v="6231.39"/>
    <s v="11"/>
    <n v="2023"/>
    <d v="2023-11-30T00:00:00"/>
    <x v="2"/>
  </r>
  <r>
    <x v="0"/>
    <s v="61100000"/>
    <s v="23200543"/>
    <s v="Utilities"/>
    <s v="AP Non-SAP Sys"/>
    <s v="Tacoma Public Utilities -  Power cost for LNG liqu"/>
    <s v="2060"/>
    <s v="Utility Oper. &amp; Maint."/>
    <n v="-69661"/>
    <s v="11"/>
    <s v="2024"/>
    <d v="2024-11-12T00:00:00"/>
    <x v="3"/>
  </r>
  <r>
    <x v="0"/>
    <s v="61100000"/>
    <s v="61100000"/>
    <s v="Utilities"/>
    <s v="Utilities"/>
    <s v="101611 -CITY OF TACOMA"/>
    <s v="2060"/>
    <s v="Utility Oper. &amp; Maint."/>
    <n v="-6894.38"/>
    <s v="11"/>
    <s v="2024"/>
    <d v="2024-11-19T00:00:00"/>
    <x v="3"/>
  </r>
  <r>
    <x v="0"/>
    <s v="61100000"/>
    <s v="101611"/>
    <s v="Utilities"/>
    <s v="CITY OF TACOMA"/>
    <s v="101611 -CITY OF TACOMA"/>
    <s v="2060"/>
    <s v="Utility Oper. &amp; Maint."/>
    <n v="74182.16"/>
    <s v="11"/>
    <s v="2024"/>
    <d v="2024-11-19T00:00:00"/>
    <x v="3"/>
  </r>
  <r>
    <x v="0"/>
    <s v="61100000"/>
    <s v="23200543"/>
    <s v="Utilities"/>
    <s v="AP Non-SAP Sys"/>
    <s v="Power cost for LNG liquefaction - Nov usage"/>
    <s v="2060"/>
    <s v="Utility Oper. &amp; Maint."/>
    <n v="46012"/>
    <s v="11"/>
    <s v="2024"/>
    <d v="2024-11-26T00:00:00"/>
    <x v="3"/>
  </r>
  <r>
    <x v="5"/>
    <s v="62300175"/>
    <s v="62300175"/>
    <s v="O/S Svc – NAES"/>
    <s v="O/S Svc – NAES"/>
    <s v="TLNG Truck Loading System for PSE Operations"/>
    <s v="2060"/>
    <s v="Utility Oper. &amp; Maint."/>
    <n v="-76.069999999999993"/>
    <s v="11"/>
    <s v="2024"/>
    <d v="2024-11-30T00:00:00"/>
    <x v="3"/>
  </r>
  <r>
    <x v="10"/>
    <s v="62300175"/>
    <s v="62300175"/>
    <s v="O/S Svc – NAES"/>
    <s v="O/S Svc – NAES"/>
    <s v="TLNG Fuel System for PSE Maintenance"/>
    <s v="2060"/>
    <s v="Utility Oper. &amp; Maint."/>
    <n v="-44.2"/>
    <s v="11"/>
    <s v="2024"/>
    <d v="2024-11-30T00:00:00"/>
    <x v="3"/>
  </r>
  <r>
    <x v="4"/>
    <s v="62300175"/>
    <s v="13500222"/>
    <s v="O/S Svc – NAES"/>
    <s v="Tacoma LNG Cash Adva"/>
    <s v="TLNG Liquefaction System for PSE Maintenance"/>
    <s v="2060"/>
    <s v="Utility Oper. &amp; Maint."/>
    <n v="134.22"/>
    <s v="11"/>
    <s v="2024"/>
    <d v="2024-11-30T00:00:00"/>
    <x v="3"/>
  </r>
  <r>
    <x v="7"/>
    <s v="62300175"/>
    <s v="13500222"/>
    <s v="O/S Svc – NAES"/>
    <s v="Tacoma LNG Cash Adva"/>
    <s v="TLNG Pre-Treatment System for PSE Maintenance"/>
    <s v="2060"/>
    <s v="Utility Oper. &amp; Maint."/>
    <n v="35.75"/>
    <s v="11"/>
    <s v="2024"/>
    <d v="2024-11-30T00:00:00"/>
    <x v="3"/>
  </r>
  <r>
    <x v="8"/>
    <s v="62300175"/>
    <s v="13500222"/>
    <s v="O/S Svc – NAES"/>
    <s v="Tacoma LNG Cash Adva"/>
    <s v="TLNG Plant Utilities System for PSE Operations"/>
    <s v="2060"/>
    <s v="Utility Oper. &amp; Maint."/>
    <n v="953.72"/>
    <s v="11"/>
    <s v="2024"/>
    <d v="2024-11-30T00:00:00"/>
    <x v="3"/>
  </r>
  <r>
    <x v="9"/>
    <s v="62300175"/>
    <s v="13500222"/>
    <s v="O/S Svc – NAES"/>
    <s v="Tacoma LNG Cash Adva"/>
    <s v="TLNG Plant Utilities System for PSE Maintenance"/>
    <s v="2060"/>
    <s v="Utility Oper. &amp; Maint."/>
    <n v="51.56"/>
    <s v="11"/>
    <s v="2024"/>
    <d v="2024-11-30T00:00:00"/>
    <x v="3"/>
  </r>
  <r>
    <x v="29"/>
    <s v="62300175"/>
    <s v="13500222"/>
    <s v="O/S Svc – NAES"/>
    <s v="Tacoma LNG Cash Adva"/>
    <s v="Tacoma LNG Vaporization for PSE Operations"/>
    <s v="2060"/>
    <s v="Utility Oper. &amp; Maint."/>
    <n v="958.27"/>
    <s v="11"/>
    <s v="2024"/>
    <d v="2024-11-30T00:00:00"/>
    <x v="3"/>
  </r>
  <r>
    <x v="7"/>
    <s v="62300175"/>
    <s v="13500222"/>
    <s v="O/S Svc – NAES"/>
    <s v="Tacoma LNG Cash Adva"/>
    <s v="TLNG Pre-Treatment System for PSE Maintenance"/>
    <s v="2060"/>
    <s v="Utility Oper. &amp; Maint."/>
    <n v="100.73"/>
    <s v="11"/>
    <s v="2024"/>
    <d v="2024-11-30T00:00:00"/>
    <x v="3"/>
  </r>
  <r>
    <x v="26"/>
    <s v="62300175"/>
    <s v=""/>
    <s v="O/S Svc – NAES"/>
    <s v=""/>
    <s v="ORD 84470091"/>
    <s v=""/>
    <s v=""/>
    <n v="3906.94"/>
    <s v="11"/>
    <n v="2024"/>
    <d v="2024-11-30T00:00:00"/>
    <x v="3"/>
  </r>
  <r>
    <x v="13"/>
    <s v="62300175"/>
    <s v=""/>
    <s v="O/S Svc – NAES"/>
    <s v=""/>
    <s v="ORD 84000001"/>
    <s v=""/>
    <s v=""/>
    <n v="12658.72"/>
    <s v="11"/>
    <n v="2024"/>
    <d v="2024-11-30T00:00:00"/>
    <x v="3"/>
  </r>
  <r>
    <x v="14"/>
    <s v="60870001"/>
    <s v=""/>
    <s v="Rent/Lease-Non Cancl"/>
    <s v=""/>
    <s v="ORD 84200030"/>
    <s v=""/>
    <s v=""/>
    <n v="91351.35"/>
    <s v="11"/>
    <n v="2024"/>
    <d v="2024-11-30T00:00:00"/>
    <x v="3"/>
  </r>
  <r>
    <x v="14"/>
    <s v="61100000"/>
    <s v=""/>
    <s v="Utilities"/>
    <s v=""/>
    <s v="ORD 84200030"/>
    <s v=""/>
    <s v=""/>
    <n v="18753.009999999998"/>
    <s v="11"/>
    <n v="2024"/>
    <d v="2024-11-30T00:00:00"/>
    <x v="3"/>
  </r>
  <r>
    <x v="15"/>
    <s v="62300175"/>
    <s v=""/>
    <s v="O/S Svc – NAES"/>
    <s v=""/>
    <s v="ORD 84330002"/>
    <s v=""/>
    <s v=""/>
    <n v="4277.08"/>
    <s v="11"/>
    <n v="2024"/>
    <d v="2024-11-30T00:00:00"/>
    <x v="3"/>
  </r>
  <r>
    <x v="16"/>
    <s v="84311002"/>
    <s v=""/>
    <s v="Analyst 2 Ex"/>
    <s v=""/>
    <s v="ORD 84410107"/>
    <s v=""/>
    <s v=""/>
    <n v="605.1"/>
    <s v="11"/>
    <n v="2024"/>
    <d v="2024-11-30T00:00:00"/>
    <x v="3"/>
  </r>
  <r>
    <x v="16"/>
    <s v="84311007"/>
    <s v=""/>
    <s v="Consultant Ex"/>
    <s v=""/>
    <s v="ORD 84410107"/>
    <s v=""/>
    <s v=""/>
    <n v="467.52"/>
    <s v="11"/>
    <n v="2024"/>
    <d v="2024-11-30T00:00:00"/>
    <x v="3"/>
  </r>
  <r>
    <x v="16"/>
    <s v="84311009"/>
    <s v=""/>
    <s v="Engineer Ex"/>
    <s v=""/>
    <s v="ORD 84410107"/>
    <s v=""/>
    <s v=""/>
    <n v="375.51"/>
    <s v="11"/>
    <n v="2024"/>
    <d v="2024-11-30T00:00:00"/>
    <x v="3"/>
  </r>
  <r>
    <x v="16"/>
    <s v="84311011"/>
    <s v=""/>
    <s v="Engineer Consult Ex"/>
    <s v=""/>
    <s v="ORD 84410107"/>
    <s v=""/>
    <s v=""/>
    <n v="2149.04"/>
    <s v="11"/>
    <n v="2024"/>
    <d v="2024-11-30T00:00:00"/>
    <x v="3"/>
  </r>
  <r>
    <x v="16"/>
    <s v="62300175"/>
    <s v=""/>
    <s v="O/S Svc – NAES"/>
    <s v=""/>
    <s v="ORD 84410107"/>
    <s v=""/>
    <s v=""/>
    <n v="44640.88"/>
    <s v="11"/>
    <n v="2024"/>
    <d v="2024-11-30T00:00:00"/>
    <x v="3"/>
  </r>
  <r>
    <x v="16"/>
    <s v="84100013"/>
    <s v=""/>
    <s v="Fleet Gas Ops OH"/>
    <s v=""/>
    <s v="ORD 84410107"/>
    <s v=""/>
    <s v=""/>
    <n v="377.7"/>
    <s v="11"/>
    <n v="2024"/>
    <d v="2024-11-30T00:00:00"/>
    <x v="3"/>
  </r>
  <r>
    <x v="16"/>
    <s v="84100021"/>
    <s v=""/>
    <s v="Payroll Taxes OH"/>
    <s v=""/>
    <s v="ORD 84410107"/>
    <s v=""/>
    <s v=""/>
    <n v="338.13"/>
    <s v="11"/>
    <n v="2024"/>
    <d v="2024-11-30T00:00:00"/>
    <x v="3"/>
  </r>
  <r>
    <x v="16"/>
    <s v="84100022"/>
    <s v=""/>
    <s v="Benefits OH"/>
    <s v=""/>
    <s v="ORD 84410107"/>
    <s v=""/>
    <s v=""/>
    <n v="841.74"/>
    <s v="11"/>
    <n v="2024"/>
    <d v="2024-11-30T00:00:00"/>
    <x v="3"/>
  </r>
  <r>
    <x v="16"/>
    <s v="84100023"/>
    <s v=""/>
    <s v="Paid Time Off OH"/>
    <s v=""/>
    <s v="ORD 84410107"/>
    <s v=""/>
    <s v=""/>
    <n v="561.16"/>
    <s v="11"/>
    <n v="2024"/>
    <d v="2024-11-30T00:00:00"/>
    <x v="3"/>
  </r>
  <r>
    <x v="16"/>
    <s v="84100024"/>
    <s v=""/>
    <s v="Incentives OH"/>
    <s v=""/>
    <s v="ORD 84410107"/>
    <s v=""/>
    <s v=""/>
    <n v="392.09"/>
    <s v="11"/>
    <n v="2024"/>
    <d v="2024-11-30T00:00:00"/>
    <x v="3"/>
  </r>
  <r>
    <x v="17"/>
    <s v="62300175"/>
    <s v=""/>
    <s v="O/S Svc – NAES"/>
    <s v=""/>
    <s v="ORD 84730001"/>
    <s v=""/>
    <s v=""/>
    <n v="133.36000000000001"/>
    <s v="11"/>
    <n v="2024"/>
    <d v="2024-11-30T00:00:00"/>
    <x v="3"/>
  </r>
  <r>
    <x v="9"/>
    <s v="62300175"/>
    <s v=""/>
    <s v="O/S Svc – NAES"/>
    <s v=""/>
    <s v="ORD 84390091"/>
    <s v=""/>
    <s v=""/>
    <n v="682.9"/>
    <s v="11"/>
    <n v="2024"/>
    <d v="2024-11-30T00:00:00"/>
    <x v="3"/>
  </r>
  <r>
    <x v="18"/>
    <s v="62300175"/>
    <s v=""/>
    <s v="O/S Svc – NAES"/>
    <s v=""/>
    <s v="ORD 84620091"/>
    <s v=""/>
    <s v=""/>
    <n v="9269.9599999999991"/>
    <s v="11"/>
    <n v="2024"/>
    <d v="2024-11-30T00:00:00"/>
    <x v="3"/>
  </r>
  <r>
    <x v="19"/>
    <s v="60250000"/>
    <s v=""/>
    <s v="Workers Comp Payment"/>
    <s v=""/>
    <s v="ORD 92400330"/>
    <s v=""/>
    <s v=""/>
    <n v="141.68"/>
    <s v="11"/>
    <n v="2024"/>
    <d v="2024-11-30T00:00:00"/>
    <x v="3"/>
  </r>
  <r>
    <x v="19"/>
    <s v="62300175"/>
    <s v=""/>
    <s v="O/S Svc – NAES"/>
    <s v=""/>
    <s v="ORD 92400330"/>
    <s v=""/>
    <s v=""/>
    <n v="1292.81"/>
    <s v="11"/>
    <n v="2024"/>
    <d v="2024-11-30T00:00:00"/>
    <x v="3"/>
  </r>
  <r>
    <x v="20"/>
    <s v="62300175"/>
    <s v=""/>
    <s v="O/S Svc – NAES"/>
    <s v=""/>
    <s v="ORD 84620090"/>
    <s v=""/>
    <s v=""/>
    <n v="2842.48"/>
    <s v="11"/>
    <n v="2024"/>
    <d v="2024-11-30T00:00:00"/>
    <x v="3"/>
  </r>
  <r>
    <x v="28"/>
    <s v="62300175"/>
    <s v=""/>
    <s v="O/S Svc – NAES"/>
    <s v=""/>
    <s v="ORD 84000091"/>
    <s v=""/>
    <s v=""/>
    <n v="3998.9"/>
    <s v="11"/>
    <n v="2024"/>
    <d v="2024-11-30T00:00:00"/>
    <x v="3"/>
  </r>
  <r>
    <x v="21"/>
    <s v="62300175"/>
    <s v=""/>
    <s v="O/S Svc – NAES"/>
    <s v=""/>
    <s v="ORD 84100090"/>
    <s v=""/>
    <s v=""/>
    <n v="52710.17"/>
    <s v="11"/>
    <n v="2024"/>
    <d v="2024-11-30T00:00:00"/>
    <x v="3"/>
  </r>
  <r>
    <x v="22"/>
    <s v="62300175"/>
    <s v=""/>
    <s v="O/S Svc – NAES"/>
    <s v=""/>
    <s v="ORD 84390090"/>
    <s v=""/>
    <s v=""/>
    <n v="13506.91"/>
    <s v="11"/>
    <n v="2024"/>
    <d v="2024-11-30T00:00:00"/>
    <x v="3"/>
  </r>
  <r>
    <x v="23"/>
    <s v="62300175"/>
    <s v=""/>
    <s v="O/S Svc – NAES"/>
    <s v=""/>
    <s v="ORD 84470090"/>
    <s v=""/>
    <s v=""/>
    <n v="154.68"/>
    <s v="11"/>
    <n v="2024"/>
    <d v="2024-11-30T00:00:00"/>
    <x v="3"/>
  </r>
  <r>
    <x v="24"/>
    <s v="62300175"/>
    <s v=""/>
    <s v="O/S Svc – NAES"/>
    <s v=""/>
    <s v="ORD 84770090"/>
    <s v=""/>
    <s v=""/>
    <n v="18028.09"/>
    <s v="11"/>
    <n v="2024"/>
    <d v="2024-11-30T00:00:00"/>
    <x v="3"/>
  </r>
  <r>
    <x v="25"/>
    <s v="62300175"/>
    <s v=""/>
    <s v="O/S Svc – NAES"/>
    <s v=""/>
    <s v="ORD 84000090"/>
    <s v=""/>
    <s v=""/>
    <n v="41778.92"/>
    <s v="11"/>
    <n v="2024"/>
    <d v="2024-11-30T00:00:00"/>
    <x v="3"/>
  </r>
  <r>
    <x v="0"/>
    <s v="61100000"/>
    <s v="101611"/>
    <s v="Utilities"/>
    <s v="CITY OF TACOMA"/>
    <s v="101611 -CITY OF TACOMA"/>
    <s v="2060"/>
    <s v="Utility Oper. &amp; Maint."/>
    <n v="55726.62"/>
    <s v="1"/>
    <s v="2024"/>
    <d v="2024-01-02T00:00:00"/>
    <x v="4"/>
  </r>
  <r>
    <x v="0"/>
    <s v="61100000"/>
    <s v="101611"/>
    <s v="Utilities"/>
    <s v="CITY OF TACOMA"/>
    <s v="101611 -CITY OF TACOMA"/>
    <s v="2060"/>
    <s v="Utility Oper. &amp; Maint."/>
    <n v="43986.17"/>
    <s v="1"/>
    <s v="2024"/>
    <d v="2024-01-05T00:00:00"/>
    <x v="4"/>
  </r>
  <r>
    <x v="0"/>
    <s v="61100000"/>
    <s v="23200543"/>
    <s v="Utilities"/>
    <s v="AP Non-SAP Sys"/>
    <s v="City of Tacoma"/>
    <s v="2060"/>
    <s v="Utility Oper. &amp; Maint."/>
    <n v="-55726.62"/>
    <s v="1"/>
    <s v="2024"/>
    <d v="2024-01-09T00:00:00"/>
    <x v="4"/>
  </r>
  <r>
    <x v="19"/>
    <s v="62000010"/>
    <s v="23201013"/>
    <s v="Insurance Premiums"/>
    <s v="GR/IR Clearing Accou"/>
    <s v="MARSH"/>
    <s v="2060"/>
    <s v="Utility Oper. &amp; Maint."/>
    <n v="28323.14"/>
    <s v="1"/>
    <s v="2024"/>
    <d v="2024-01-17T00:00:00"/>
    <x v="4"/>
  </r>
  <r>
    <x v="0"/>
    <s v="61100000"/>
    <s v="101611"/>
    <s v="Utilities"/>
    <s v="CITY OF TACOMA"/>
    <s v="101611 -CITY OF TACOMA"/>
    <s v="2060"/>
    <s v="Utility Oper. &amp; Maint."/>
    <n v="43986.17"/>
    <s v="1"/>
    <s v="2024"/>
    <d v="2024-01-18T00:00:00"/>
    <x v="4"/>
  </r>
  <r>
    <x v="0"/>
    <s v="61100000"/>
    <s v="23200543"/>
    <s v="Utilities"/>
    <s v="AP Non-SAP Sys"/>
    <s v="Tacoma Public Utilities - Power cost for LNG lique"/>
    <s v="2060"/>
    <s v="Utility Oper. &amp; Maint."/>
    <n v="50759.51"/>
    <s v="1"/>
    <s v="2024"/>
    <d v="2024-01-30T00:00:00"/>
    <x v="4"/>
  </r>
  <r>
    <x v="4"/>
    <s v="62300175"/>
    <s v="13500222"/>
    <s v="O/S Svc – NAES"/>
    <s v="Tacoma LNG Cash Adva"/>
    <s v="TLNG Liquefaction System for PSE Maintenance"/>
    <s v="2060"/>
    <s v="Utility Oper. &amp; Maint."/>
    <n v="946.78"/>
    <s v="1"/>
    <s v="2024"/>
    <d v="2024-01-31T00:00:00"/>
    <x v="4"/>
  </r>
  <r>
    <x v="5"/>
    <s v="62300175"/>
    <s v="13500222"/>
    <s v="O/S Svc – NAES"/>
    <s v="Tacoma LNG Cash Adva"/>
    <s v="TLNG Truck Loading System for PSE Operatoins"/>
    <s v="2060"/>
    <s v="Utility Oper. &amp; Maint."/>
    <n v="8199.42"/>
    <s v="1"/>
    <s v="2024"/>
    <d v="2024-01-31T00:00:00"/>
    <x v="4"/>
  </r>
  <r>
    <x v="7"/>
    <s v="62300175"/>
    <s v="13500222"/>
    <s v="O/S Svc – NAES"/>
    <s v="Tacoma LNG Cash Adva"/>
    <s v="TLNG Pre-Treatment System for PSE Maintenance"/>
    <s v="2060"/>
    <s v="Utility Oper. &amp; Maint."/>
    <n v="899.35"/>
    <s v="1"/>
    <s v="2024"/>
    <d v="2024-01-31T00:00:00"/>
    <x v="4"/>
  </r>
  <r>
    <x v="8"/>
    <s v="62300175"/>
    <s v="13500222"/>
    <s v="O/S Svc – NAES"/>
    <s v="Tacoma LNG Cash Adva"/>
    <s v="TLNG Plant Utilities System for PSE Operations"/>
    <s v="2060"/>
    <s v="Utility Oper. &amp; Maint."/>
    <n v="507.99"/>
    <s v="1"/>
    <s v="2024"/>
    <d v="2024-01-31T00:00:00"/>
    <x v="4"/>
  </r>
  <r>
    <x v="9"/>
    <s v="62300175"/>
    <s v="13500222"/>
    <s v="O/S Svc – NAES"/>
    <s v="Tacoma LNG Cash Adva"/>
    <s v="TLNG Plant Utilities System for PSE Maintenance"/>
    <s v="2060"/>
    <s v="Utility Oper. &amp; Maint."/>
    <n v="353"/>
    <s v="1"/>
    <s v="2024"/>
    <d v="2024-01-31T00:00:00"/>
    <x v="4"/>
  </r>
  <r>
    <x v="29"/>
    <s v="62300175"/>
    <s v="13500222"/>
    <s v="O/S Svc – NAES"/>
    <s v="Tacoma LNG Cash Adva"/>
    <s v="Tacoma LNG Vaporization for PSE Operations"/>
    <s v="2060"/>
    <s v="Utility Oper. &amp; Maint."/>
    <n v="6557.61"/>
    <s v="1"/>
    <s v="2024"/>
    <d v="2024-01-31T00:00:00"/>
    <x v="4"/>
  </r>
  <r>
    <x v="2"/>
    <s v="62300175"/>
    <s v="13500222"/>
    <s v="O/S Svc – NAES"/>
    <s v="Tacoma LNG Cash Adva"/>
    <s v="Tacoma LNG Vaporization for PSE Maintenance"/>
    <s v="2060"/>
    <s v="Utility Oper. &amp; Maint."/>
    <n v="574.11"/>
    <s v="1"/>
    <s v="2024"/>
    <d v="2024-01-31T00:00:00"/>
    <x v="4"/>
  </r>
  <r>
    <x v="9"/>
    <s v="62300175"/>
    <s v="13500222"/>
    <s v="O/S Svc – NAES"/>
    <s v="Tacoma LNG Cash Adva"/>
    <s v="TLNG Plant Utilities System for PSE Maintenance"/>
    <s v="2060"/>
    <s v="Utility Oper. &amp; Maint."/>
    <n v="213.28"/>
    <s v="1"/>
    <s v="2024"/>
    <d v="2024-01-31T00:00:00"/>
    <x v="4"/>
  </r>
  <r>
    <x v="13"/>
    <s v="62300175"/>
    <s v=""/>
    <s v="O/S Svc – NAES"/>
    <s v=""/>
    <s v="ORD 84000001"/>
    <s v=""/>
    <s v=""/>
    <n v="10601.2"/>
    <s v="1"/>
    <n v="2024"/>
    <d v="2024-01-31T00:00:00"/>
    <x v="4"/>
  </r>
  <r>
    <x v="14"/>
    <s v="60870001"/>
    <s v=""/>
    <s v="Rent/Lease-Non Cancl"/>
    <s v=""/>
    <s v="ORD 84200030"/>
    <s v=""/>
    <s v=""/>
    <n v="104522.84"/>
    <s v="1"/>
    <n v="2024"/>
    <d v="2024-01-31T00:00:00"/>
    <x v="4"/>
  </r>
  <r>
    <x v="14"/>
    <s v="62300065"/>
    <s v=""/>
    <s v="O/S - Continuing"/>
    <s v=""/>
    <s v="ORD 84200030"/>
    <s v=""/>
    <s v=""/>
    <n v="54000.69"/>
    <s v="1"/>
    <n v="2024"/>
    <d v="2024-01-31T00:00:00"/>
    <x v="4"/>
  </r>
  <r>
    <x v="15"/>
    <s v="62300175"/>
    <s v=""/>
    <s v="O/S Svc – NAES"/>
    <s v=""/>
    <s v="ORD 84330002"/>
    <s v=""/>
    <s v=""/>
    <n v="1940.65"/>
    <s v="1"/>
    <n v="2024"/>
    <d v="2024-01-31T00:00:00"/>
    <x v="4"/>
  </r>
  <r>
    <x v="16"/>
    <s v="84311002"/>
    <s v=""/>
    <s v="Analyst 2 Ex"/>
    <s v=""/>
    <s v="ORD 84410107"/>
    <s v=""/>
    <s v=""/>
    <n v="743.15"/>
    <s v="1"/>
    <n v="2024"/>
    <d v="2024-01-31T00:00:00"/>
    <x v="4"/>
  </r>
  <r>
    <x v="16"/>
    <s v="84311007"/>
    <s v=""/>
    <s v="Consultant Ex"/>
    <s v=""/>
    <s v="ORD 84410107"/>
    <s v=""/>
    <s v=""/>
    <n v="2684.94"/>
    <s v="1"/>
    <n v="2024"/>
    <d v="2024-01-31T00:00:00"/>
    <x v="4"/>
  </r>
  <r>
    <x v="16"/>
    <s v="84311011"/>
    <s v=""/>
    <s v="Engineer Consult Ex"/>
    <s v=""/>
    <s v="ORD 84410107"/>
    <s v=""/>
    <s v=""/>
    <n v="268.63"/>
    <s v="1"/>
    <n v="2024"/>
    <d v="2024-01-31T00:00:00"/>
    <x v="4"/>
  </r>
  <r>
    <x v="16"/>
    <s v="84311015"/>
    <s v=""/>
    <s v="Manager 2 Ex"/>
    <s v=""/>
    <s v="ORD 84410107"/>
    <s v=""/>
    <s v=""/>
    <n v="902.11"/>
    <s v="1"/>
    <n v="2024"/>
    <d v="2024-01-31T00:00:00"/>
    <x v="4"/>
  </r>
  <r>
    <x v="16"/>
    <s v="60330000"/>
    <s v=""/>
    <s v="Emp Exp - Meals"/>
    <s v=""/>
    <s v="ORD 84410107"/>
    <s v=""/>
    <s v=""/>
    <n v="60.38"/>
    <s v="1"/>
    <n v="2024"/>
    <d v="2024-01-31T00:00:00"/>
    <x v="4"/>
  </r>
  <r>
    <x v="16"/>
    <s v="60333000"/>
    <s v=""/>
    <s v="Emp Exp - Mileage Re"/>
    <s v=""/>
    <s v="ORD 84410107"/>
    <s v=""/>
    <s v=""/>
    <n v="508.57"/>
    <s v="1"/>
    <n v="2024"/>
    <d v="2024-01-31T00:00:00"/>
    <x v="4"/>
  </r>
  <r>
    <x v="16"/>
    <s v="60333150"/>
    <s v=""/>
    <s v="Emp Exp-Grnd Trn xcl"/>
    <s v=""/>
    <s v="ORD 84410107"/>
    <s v=""/>
    <s v=""/>
    <n v="6.45"/>
    <s v="1"/>
    <n v="2024"/>
    <d v="2024-01-31T00:00:00"/>
    <x v="4"/>
  </r>
  <r>
    <x v="16"/>
    <s v="60335000"/>
    <s v=""/>
    <s v="Emp Exp - Lodging"/>
    <s v=""/>
    <s v="ORD 84410107"/>
    <s v=""/>
    <s v=""/>
    <n v="249.27"/>
    <s v="1"/>
    <n v="2024"/>
    <d v="2024-01-31T00:00:00"/>
    <x v="4"/>
  </r>
  <r>
    <x v="16"/>
    <s v="60700000"/>
    <s v=""/>
    <s v="Office Supplies/Serv"/>
    <s v=""/>
    <s v="ORD 84410107"/>
    <s v=""/>
    <s v=""/>
    <n v="86.84"/>
    <s v="1"/>
    <n v="2024"/>
    <d v="2024-01-31T00:00:00"/>
    <x v="4"/>
  </r>
  <r>
    <x v="16"/>
    <s v="62250010"/>
    <s v=""/>
    <s v="Hardware"/>
    <s v=""/>
    <s v="ORD 84410107"/>
    <s v=""/>
    <s v=""/>
    <n v="14.01"/>
    <s v="1"/>
    <n v="2024"/>
    <d v="2024-01-31T00:00:00"/>
    <x v="4"/>
  </r>
  <r>
    <x v="16"/>
    <s v="62300175"/>
    <s v=""/>
    <s v="O/S Svc – NAES"/>
    <s v=""/>
    <s v="ORD 84410107"/>
    <s v=""/>
    <s v=""/>
    <n v="43359.58"/>
    <s v="1"/>
    <n v="2024"/>
    <d v="2024-01-31T00:00:00"/>
    <x v="4"/>
  </r>
  <r>
    <x v="16"/>
    <s v="84100013"/>
    <s v=""/>
    <s v="Fleet Gas Ops OH"/>
    <s v=""/>
    <s v="ORD 84410107"/>
    <s v=""/>
    <s v=""/>
    <n v="505.87"/>
    <s v="1"/>
    <n v="2024"/>
    <d v="2024-01-31T00:00:00"/>
    <x v="4"/>
  </r>
  <r>
    <x v="16"/>
    <s v="84100021"/>
    <s v=""/>
    <s v="Payroll Taxes OH"/>
    <s v=""/>
    <s v="ORD 84410107"/>
    <s v=""/>
    <s v=""/>
    <n v="432.29"/>
    <s v="1"/>
    <n v="2024"/>
    <d v="2024-01-31T00:00:00"/>
    <x v="4"/>
  </r>
  <r>
    <x v="16"/>
    <s v="84100022"/>
    <s v=""/>
    <s v="Benefits OH"/>
    <s v=""/>
    <s v="ORD 84410107"/>
    <s v=""/>
    <s v=""/>
    <n v="1076.1199999999999"/>
    <s v="1"/>
    <n v="2024"/>
    <d v="2024-01-31T00:00:00"/>
    <x v="4"/>
  </r>
  <r>
    <x v="16"/>
    <s v="84100023"/>
    <s v=""/>
    <s v="Paid Time Off OH"/>
    <s v=""/>
    <s v="ORD 84410107"/>
    <s v=""/>
    <s v=""/>
    <n v="717.42"/>
    <s v="1"/>
    <n v="2024"/>
    <d v="2024-01-31T00:00:00"/>
    <x v="4"/>
  </r>
  <r>
    <x v="16"/>
    <s v="84100024"/>
    <s v=""/>
    <s v="Incentives OH"/>
    <s v=""/>
    <s v="ORD 84410107"/>
    <s v=""/>
    <s v=""/>
    <n v="501.27"/>
    <s v="1"/>
    <n v="2024"/>
    <d v="2024-01-31T00:00:00"/>
    <x v="4"/>
  </r>
  <r>
    <x v="9"/>
    <s v="60330000"/>
    <s v=""/>
    <s v="Emp Exp - Meals"/>
    <s v=""/>
    <s v="ORD 84390091"/>
    <s v=""/>
    <s v=""/>
    <n v="31.94"/>
    <s v="1"/>
    <n v="2024"/>
    <d v="2024-01-31T00:00:00"/>
    <x v="4"/>
  </r>
  <r>
    <x v="18"/>
    <s v="62300175"/>
    <s v=""/>
    <s v="O/S Svc – NAES"/>
    <s v=""/>
    <s v="ORD 84620091"/>
    <s v=""/>
    <s v=""/>
    <n v="10700.06"/>
    <s v="1"/>
    <n v="2024"/>
    <d v="2024-01-31T00:00:00"/>
    <x v="4"/>
  </r>
  <r>
    <x v="19"/>
    <s v="60250000"/>
    <s v=""/>
    <s v="Workers Comp Payment"/>
    <s v=""/>
    <s v="ORD 92400330"/>
    <s v=""/>
    <s v=""/>
    <n v="141.68"/>
    <s v="1"/>
    <n v="2024"/>
    <d v="2024-01-31T00:00:00"/>
    <x v="4"/>
  </r>
  <r>
    <x v="19"/>
    <s v="62300175"/>
    <s v=""/>
    <s v="O/S Svc – NAES"/>
    <s v=""/>
    <s v="ORD 92400330"/>
    <s v=""/>
    <s v=""/>
    <n v="1650.15"/>
    <s v="1"/>
    <n v="2024"/>
    <d v="2024-01-31T00:00:00"/>
    <x v="4"/>
  </r>
  <r>
    <x v="20"/>
    <s v="62300175"/>
    <s v=""/>
    <s v="O/S Svc – NAES"/>
    <s v=""/>
    <s v="ORD 84620090"/>
    <s v=""/>
    <s v=""/>
    <n v="701.17"/>
    <s v="1"/>
    <n v="2024"/>
    <d v="2024-01-31T00:00:00"/>
    <x v="4"/>
  </r>
  <r>
    <x v="28"/>
    <s v="62300175"/>
    <s v=""/>
    <s v="O/S Svc – NAES"/>
    <s v=""/>
    <s v="ORD 84000091"/>
    <s v=""/>
    <s v=""/>
    <n v="45.83"/>
    <s v="1"/>
    <n v="2024"/>
    <d v="2024-01-31T00:00:00"/>
    <x v="4"/>
  </r>
  <r>
    <x v="28"/>
    <s v="63100000"/>
    <s v=""/>
    <s v="Permits, Fees &amp; Ease"/>
    <s v=""/>
    <s v="ORD 84000091"/>
    <s v=""/>
    <s v=""/>
    <n v="25.8"/>
    <s v="1"/>
    <n v="2024"/>
    <d v="2024-01-31T00:00:00"/>
    <x v="4"/>
  </r>
  <r>
    <x v="21"/>
    <s v="62300175"/>
    <s v=""/>
    <s v="O/S Svc – NAES"/>
    <s v=""/>
    <s v="ORD 84100090"/>
    <s v=""/>
    <s v=""/>
    <n v="41917.03"/>
    <s v="1"/>
    <n v="2024"/>
    <d v="2024-01-31T00:00:00"/>
    <x v="4"/>
  </r>
  <r>
    <x v="22"/>
    <s v="62300175"/>
    <s v=""/>
    <s v="O/S Svc – NAES"/>
    <s v=""/>
    <s v="ORD 84390090"/>
    <s v=""/>
    <s v=""/>
    <n v="13705.68"/>
    <s v="1"/>
    <n v="2024"/>
    <d v="2024-01-31T00:00:00"/>
    <x v="4"/>
  </r>
  <r>
    <x v="23"/>
    <s v="62300175"/>
    <s v=""/>
    <s v="O/S Svc – NAES"/>
    <s v=""/>
    <s v="ORD 84470090"/>
    <s v=""/>
    <s v=""/>
    <n v="118.57"/>
    <s v="1"/>
    <n v="2024"/>
    <d v="2024-01-31T00:00:00"/>
    <x v="4"/>
  </r>
  <r>
    <x v="24"/>
    <s v="62300175"/>
    <s v=""/>
    <s v="O/S Svc – NAES"/>
    <s v=""/>
    <s v="ORD 84770090"/>
    <s v=""/>
    <s v=""/>
    <n v="3476.55"/>
    <s v="1"/>
    <n v="2024"/>
    <d v="2024-01-31T00:00:00"/>
    <x v="4"/>
  </r>
  <r>
    <x v="1"/>
    <s v="62300175"/>
    <s v=""/>
    <s v="O/S Svc – NAES"/>
    <s v=""/>
    <s v="ORD 84000030"/>
    <s v=""/>
    <s v=""/>
    <n v="22665.02"/>
    <s v="1"/>
    <n v="2024"/>
    <d v="2024-01-31T00:00:00"/>
    <x v="4"/>
  </r>
  <r>
    <x v="25"/>
    <s v="62300175"/>
    <s v=""/>
    <s v="O/S Svc – NAES"/>
    <s v=""/>
    <s v="ORD 84000090"/>
    <s v=""/>
    <s v=""/>
    <n v="12868.14"/>
    <s v="1"/>
    <n v="2024"/>
    <d v="2024-01-31T00:00:00"/>
    <x v="4"/>
  </r>
  <r>
    <x v="25"/>
    <s v="84313006"/>
    <s v=""/>
    <s v="CT Technician IBEW"/>
    <s v=""/>
    <s v=""/>
    <s v="2060"/>
    <s v="Utility Oper. &amp; Maint."/>
    <n v="245"/>
    <s v="1"/>
    <n v="2024"/>
    <d v="2024-01-31T00:00:00"/>
    <x v="4"/>
  </r>
  <r>
    <x v="25"/>
    <s v="84313006"/>
    <s v=""/>
    <s v="CT Technician IBEW"/>
    <s v=""/>
    <s v=""/>
    <s v="2060"/>
    <s v="Utility Oper. &amp; Maint."/>
    <n v="122.5"/>
    <s v="1"/>
    <n v="2024"/>
    <d v="2024-01-31T00:00:00"/>
    <x v="4"/>
  </r>
  <r>
    <x v="25"/>
    <s v="84323006"/>
    <s v=""/>
    <s v="CT Techn IBEW OT"/>
    <s v=""/>
    <s v=""/>
    <s v="2060"/>
    <s v="Utility Oper. &amp; Maint."/>
    <n v="230.26"/>
    <s v="1"/>
    <n v="2024"/>
    <d v="2024-01-31T00:00:00"/>
    <x v="4"/>
  </r>
  <r>
    <x v="25"/>
    <s v="84313006"/>
    <s v=""/>
    <s v="CT Technician IBEW"/>
    <s v=""/>
    <s v=""/>
    <s v="2060"/>
    <s v="Utility Oper. &amp; Maint."/>
    <n v="245"/>
    <s v="1"/>
    <n v="2024"/>
    <d v="2024-01-31T00:00:00"/>
    <x v="4"/>
  </r>
  <r>
    <x v="25"/>
    <s v="84313006"/>
    <s v=""/>
    <s v="CT Technician IBEW"/>
    <s v=""/>
    <s v=""/>
    <s v="2060"/>
    <s v="Utility Oper. &amp; Maint."/>
    <n v="122.5"/>
    <s v="1"/>
    <n v="2024"/>
    <d v="2024-01-31T00:00:00"/>
    <x v="4"/>
  </r>
  <r>
    <x v="25"/>
    <s v="84323006"/>
    <s v=""/>
    <s v="CT Techn IBEW OT"/>
    <s v=""/>
    <s v=""/>
    <s v="2060"/>
    <s v="Utility Oper. &amp; Maint."/>
    <n v="230.26"/>
    <s v="1"/>
    <n v="2024"/>
    <d v="2024-01-31T00:00:00"/>
    <x v="4"/>
  </r>
  <r>
    <x v="0"/>
    <s v="61100000"/>
    <s v="23200543"/>
    <s v="Utilities"/>
    <s v="AP Non-SAP Sys"/>
    <s v="Tacoma Public Utilities - Power cost for LNG lique"/>
    <s v="2060"/>
    <s v="Utility Oper. &amp; Maint."/>
    <n v="-58232.02"/>
    <s v="1"/>
    <s v="2025"/>
    <d v="2025-01-09T00:00:00"/>
    <x v="5"/>
  </r>
  <r>
    <x v="0"/>
    <s v="61100000"/>
    <s v="101611"/>
    <s v="Utilities"/>
    <s v="CITY OF TACOMA"/>
    <s v="101611 -CITY OF TACOMA"/>
    <s v="2060"/>
    <s v="Utility Oper. &amp; Maint."/>
    <n v="45876.79"/>
    <s v="1"/>
    <s v="2025"/>
    <d v="2025-01-14T00:00:00"/>
    <x v="5"/>
  </r>
  <r>
    <x v="0"/>
    <s v="61100000"/>
    <s v="101611"/>
    <s v="Utilities"/>
    <s v="CITY OF TACOMA"/>
    <s v="101611 -CITY OF TACOMA"/>
    <s v="2060"/>
    <s v="Utility Oper. &amp; Maint."/>
    <n v="61214.69"/>
    <s v="1"/>
    <s v="2025"/>
    <d v="2025-01-16T00:00:00"/>
    <x v="5"/>
  </r>
  <r>
    <x v="0"/>
    <s v="61100000"/>
    <s v="23200543"/>
    <s v="Utilities"/>
    <s v="AP Non-SAP Sys"/>
    <s v="Tacoma Public Utilities - Power cost for LNG lique"/>
    <s v="2060"/>
    <s v="Utility Oper. &amp; Maint."/>
    <n v="51838"/>
    <s v="1"/>
    <s v="2025"/>
    <d v="2025-01-30T00:00:00"/>
    <x v="5"/>
  </r>
  <r>
    <x v="8"/>
    <s v="62300175"/>
    <s v="62300175"/>
    <s v="O/S Svc – NAES"/>
    <s v="O/S Svc – NAES"/>
    <s v="TLNG Plant Utilities System for PSE Operations"/>
    <s v="2060"/>
    <s v="Utility Oper. &amp; Maint."/>
    <n v="-21.07"/>
    <s v="1"/>
    <s v="2025"/>
    <d v="2025-01-31T00:00:00"/>
    <x v="5"/>
  </r>
  <r>
    <x v="4"/>
    <s v="62300175"/>
    <s v="13500222"/>
    <s v="O/S Svc – NAES"/>
    <s v="Tacoma LNG Cash Adva"/>
    <s v="TLNG Liquefaction System for PSE Maintenance"/>
    <s v="2060"/>
    <s v="Utility Oper. &amp; Maint."/>
    <n v="394.51"/>
    <s v="1"/>
    <s v="2025"/>
    <d v="2025-01-31T00:00:00"/>
    <x v="5"/>
  </r>
  <r>
    <x v="5"/>
    <s v="62300175"/>
    <s v="13500222"/>
    <s v="O/S Svc – NAES"/>
    <s v="Tacoma LNG Cash Adva"/>
    <s v="TLNG Truck Loading System for PSE Operations"/>
    <s v="2060"/>
    <s v="Utility Oper. &amp; Maint."/>
    <n v="3017.88"/>
    <s v="1"/>
    <s v="2025"/>
    <d v="2025-01-31T00:00:00"/>
    <x v="5"/>
  </r>
  <r>
    <x v="7"/>
    <s v="62300175"/>
    <s v="13500222"/>
    <s v="O/S Svc – NAES"/>
    <s v="Tacoma LNG Cash Adva"/>
    <s v="TLNG Pre-Treatment System for PSE Maintenance"/>
    <s v="2060"/>
    <s v="Utility Oper. &amp; Maint."/>
    <n v="110.04"/>
    <s v="1"/>
    <s v="2025"/>
    <d v="2025-01-31T00:00:00"/>
    <x v="5"/>
  </r>
  <r>
    <x v="9"/>
    <s v="62300175"/>
    <s v="13500222"/>
    <s v="O/S Svc – NAES"/>
    <s v="Tacoma LNG Cash Adva"/>
    <s v="TLNG Plant Utilities System for PSE Maintenance"/>
    <s v="2060"/>
    <s v="Utility Oper. &amp; Maint."/>
    <n v="1116.1300000000001"/>
    <s v="1"/>
    <s v="2025"/>
    <d v="2025-01-31T00:00:00"/>
    <x v="5"/>
  </r>
  <r>
    <x v="10"/>
    <s v="62300175"/>
    <s v="13500222"/>
    <s v="O/S Svc – NAES"/>
    <s v="Tacoma LNG Cash Adva"/>
    <s v="TLNG Fuel System for PSE Maintenance"/>
    <s v="2060"/>
    <s v="Utility Oper. &amp; Maint."/>
    <n v="36.28"/>
    <s v="1"/>
    <s v="2025"/>
    <d v="2025-01-31T00:00:00"/>
    <x v="5"/>
  </r>
  <r>
    <x v="29"/>
    <s v="62300175"/>
    <s v="13500222"/>
    <s v="O/S Svc – NAES"/>
    <s v="Tacoma LNG Cash Adva"/>
    <s v="Tacoma LNG Vaporization for PSE Operations"/>
    <s v="2060"/>
    <s v="Utility Oper. &amp; Maint."/>
    <n v="14.89"/>
    <s v="1"/>
    <s v="2025"/>
    <d v="2025-01-31T00:00:00"/>
    <x v="5"/>
  </r>
  <r>
    <x v="2"/>
    <s v="62300175"/>
    <s v="13500222"/>
    <s v="O/S Svc – NAES"/>
    <s v="Tacoma LNG Cash Adva"/>
    <s v="Tacoma LNG Vaporization for PSE Maintenance"/>
    <s v="2060"/>
    <s v="Utility Oper. &amp; Maint."/>
    <n v="5059.43"/>
    <s v="1"/>
    <s v="2025"/>
    <d v="2025-01-31T00:00:00"/>
    <x v="5"/>
  </r>
  <r>
    <x v="7"/>
    <s v="62300175"/>
    <s v="13500222"/>
    <s v="O/S Svc – NAES"/>
    <s v="Tacoma LNG Cash Adva"/>
    <s v="TLNG Pre-Treatment System for PSE Maintenance"/>
    <s v="2060"/>
    <s v="Utility Oper. &amp; Maint."/>
    <n v="28.61"/>
    <s v="1"/>
    <s v="2025"/>
    <d v="2025-01-31T00:00:00"/>
    <x v="5"/>
  </r>
  <r>
    <x v="19"/>
    <s v="60250000"/>
    <s v=""/>
    <s v="Workers Comp Payment"/>
    <s v=""/>
    <s v="ORD 92400330"/>
    <s v=""/>
    <s v=""/>
    <n v="283.36"/>
    <s v="1"/>
    <n v="2025"/>
    <d v="2025-01-31T00:00:00"/>
    <x v="5"/>
  </r>
  <r>
    <x v="13"/>
    <s v="62300175"/>
    <s v=""/>
    <s v="O/S Svc – NAES"/>
    <s v=""/>
    <s v="ORD 84000001"/>
    <s v=""/>
    <s v=""/>
    <n v="7856.78"/>
    <s v="1"/>
    <n v="2025"/>
    <d v="2025-01-31T00:00:00"/>
    <x v="5"/>
  </r>
  <r>
    <x v="14"/>
    <s v="60870001"/>
    <s v=""/>
    <s v="Rent/Lease-Non Cancl"/>
    <s v=""/>
    <s v="ORD 84200030"/>
    <s v=""/>
    <s v=""/>
    <n v="91351.35"/>
    <s v="1"/>
    <n v="2025"/>
    <d v="2025-01-31T00:00:00"/>
    <x v="5"/>
  </r>
  <r>
    <x v="15"/>
    <s v="62300175"/>
    <s v=""/>
    <s v="O/S Svc – NAES"/>
    <s v=""/>
    <s v="ORD 84330002"/>
    <s v=""/>
    <s v=""/>
    <n v="3584.96"/>
    <s v="1"/>
    <n v="2025"/>
    <d v="2025-01-31T00:00:00"/>
    <x v="5"/>
  </r>
  <r>
    <x v="16"/>
    <s v="84311002"/>
    <s v=""/>
    <s v="Analyst 2 Ex"/>
    <s v=""/>
    <s v="ORD 84410107"/>
    <s v=""/>
    <s v=""/>
    <n v="716.18"/>
    <s v="1"/>
    <n v="2025"/>
    <d v="2025-01-31T00:00:00"/>
    <x v="5"/>
  </r>
  <r>
    <x v="16"/>
    <s v="84311007"/>
    <s v=""/>
    <s v="Consultant Ex"/>
    <s v=""/>
    <s v="ORD 84410107"/>
    <s v=""/>
    <s v=""/>
    <n v="468.55"/>
    <s v="1"/>
    <n v="2025"/>
    <d v="2025-01-31T00:00:00"/>
    <x v="5"/>
  </r>
  <r>
    <x v="16"/>
    <s v="84311009"/>
    <s v=""/>
    <s v="Engineer Ex"/>
    <s v=""/>
    <s v="ORD 84410107"/>
    <s v=""/>
    <s v=""/>
    <n v="23.96"/>
    <s v="1"/>
    <n v="2025"/>
    <d v="2025-01-31T00:00:00"/>
    <x v="5"/>
  </r>
  <r>
    <x v="16"/>
    <s v="84311011"/>
    <s v=""/>
    <s v="Engineer Consult Ex"/>
    <s v=""/>
    <s v="ORD 84410107"/>
    <s v=""/>
    <s v=""/>
    <n v="2553.58"/>
    <s v="1"/>
    <n v="2025"/>
    <d v="2025-01-31T00:00:00"/>
    <x v="5"/>
  </r>
  <r>
    <x v="16"/>
    <s v="84311014"/>
    <s v=""/>
    <s v="Manager 1 Ex"/>
    <s v=""/>
    <s v="ORD 84410107"/>
    <s v=""/>
    <s v=""/>
    <n v="255.38"/>
    <s v="1"/>
    <n v="2025"/>
    <d v="2025-01-31T00:00:00"/>
    <x v="5"/>
  </r>
  <r>
    <x v="16"/>
    <s v="62300175"/>
    <s v=""/>
    <s v="O/S Svc – NAES"/>
    <s v=""/>
    <s v="ORD 84410107"/>
    <s v=""/>
    <s v=""/>
    <n v="45073.49"/>
    <s v="1"/>
    <n v="2025"/>
    <d v="2025-01-31T00:00:00"/>
    <x v="5"/>
  </r>
  <r>
    <x v="16"/>
    <s v="84100013"/>
    <s v=""/>
    <s v="Fleet Gas Ops OH"/>
    <s v=""/>
    <s v="ORD 84410107"/>
    <s v=""/>
    <s v=""/>
    <n v="462.03"/>
    <s v="1"/>
    <n v="2025"/>
    <d v="2025-01-31T00:00:00"/>
    <x v="5"/>
  </r>
  <r>
    <x v="16"/>
    <s v="84100021"/>
    <s v=""/>
    <s v="Payroll Taxes OH"/>
    <s v=""/>
    <s v="ORD 84410107"/>
    <s v=""/>
    <s v=""/>
    <n v="385.7"/>
    <s v="1"/>
    <n v="2025"/>
    <d v="2025-01-31T00:00:00"/>
    <x v="5"/>
  </r>
  <r>
    <x v="16"/>
    <s v="84100022"/>
    <s v=""/>
    <s v="Benefits OH"/>
    <s v=""/>
    <s v="ORD 84410107"/>
    <s v=""/>
    <s v=""/>
    <n v="948.17"/>
    <s v="1"/>
    <n v="2025"/>
    <d v="2025-01-31T00:00:00"/>
    <x v="5"/>
  </r>
  <r>
    <x v="16"/>
    <s v="84100023"/>
    <s v=""/>
    <s v="Paid Time Off OH"/>
    <s v=""/>
    <s v="ORD 84410107"/>
    <s v=""/>
    <s v=""/>
    <n v="703.09"/>
    <s v="1"/>
    <n v="2025"/>
    <d v="2025-01-31T00:00:00"/>
    <x v="5"/>
  </r>
  <r>
    <x v="16"/>
    <s v="84100024"/>
    <s v=""/>
    <s v="Incentives OH"/>
    <s v=""/>
    <s v="ORD 84410107"/>
    <s v=""/>
    <s v=""/>
    <n v="449.98"/>
    <s v="1"/>
    <n v="2025"/>
    <d v="2025-01-31T00:00:00"/>
    <x v="5"/>
  </r>
  <r>
    <x v="18"/>
    <s v="62300175"/>
    <s v=""/>
    <s v="O/S Svc – NAES"/>
    <s v=""/>
    <s v="ORD 84620091"/>
    <s v=""/>
    <s v=""/>
    <n v="11408.49"/>
    <s v="1"/>
    <n v="2025"/>
    <d v="2025-01-31T00:00:00"/>
    <x v="5"/>
  </r>
  <r>
    <x v="19"/>
    <s v="60250000"/>
    <s v=""/>
    <s v="Workers Comp Payment"/>
    <s v=""/>
    <s v="ORD 92400330"/>
    <s v=""/>
    <s v=""/>
    <n v="-141.68"/>
    <s v="1"/>
    <n v="2025"/>
    <d v="2025-01-31T00:00:00"/>
    <x v="5"/>
  </r>
  <r>
    <x v="19"/>
    <s v="62300175"/>
    <s v=""/>
    <s v="O/S Svc – NAES"/>
    <s v=""/>
    <s v="ORD 92400330"/>
    <s v=""/>
    <s v=""/>
    <n v="5307.64"/>
    <s v="1"/>
    <n v="2025"/>
    <d v="2025-01-31T00:00:00"/>
    <x v="5"/>
  </r>
  <r>
    <x v="20"/>
    <s v="62300175"/>
    <s v=""/>
    <s v="O/S Svc – NAES"/>
    <s v=""/>
    <s v="ORD 84620090"/>
    <s v=""/>
    <s v=""/>
    <n v="3976.88"/>
    <s v="1"/>
    <n v="2025"/>
    <d v="2025-01-31T00:00:00"/>
    <x v="5"/>
  </r>
  <r>
    <x v="21"/>
    <s v="62300175"/>
    <s v=""/>
    <s v="O/S Svc – NAES"/>
    <s v=""/>
    <s v="ORD 84100090"/>
    <s v=""/>
    <s v=""/>
    <n v="49975.9"/>
    <s v="1"/>
    <n v="2025"/>
    <d v="2025-01-31T00:00:00"/>
    <x v="5"/>
  </r>
  <r>
    <x v="22"/>
    <s v="62300175"/>
    <s v=""/>
    <s v="O/S Svc – NAES"/>
    <s v=""/>
    <s v="ORD 84390090"/>
    <s v=""/>
    <s v=""/>
    <n v="14971.31"/>
    <s v="1"/>
    <n v="2025"/>
    <d v="2025-01-31T00:00:00"/>
    <x v="5"/>
  </r>
  <r>
    <x v="24"/>
    <s v="62300175"/>
    <s v=""/>
    <s v="O/S Svc – NAES"/>
    <s v=""/>
    <s v="ORD 84770090"/>
    <s v=""/>
    <s v=""/>
    <n v="1824.96"/>
    <s v="1"/>
    <n v="2025"/>
    <d v="2025-01-31T00:00:00"/>
    <x v="5"/>
  </r>
  <r>
    <x v="1"/>
    <s v="62300175"/>
    <s v=""/>
    <s v="O/S Svc – NAES"/>
    <s v=""/>
    <s v="ORD 84000030"/>
    <s v=""/>
    <s v=""/>
    <n v="24490.23"/>
    <s v="1"/>
    <n v="2025"/>
    <d v="2025-01-31T00:00:00"/>
    <x v="5"/>
  </r>
  <r>
    <x v="30"/>
    <s v="62300175"/>
    <s v=""/>
    <s v="O/S Svc – NAES"/>
    <s v=""/>
    <s v="ORD 84000031"/>
    <s v=""/>
    <s v=""/>
    <n v="302944.43"/>
    <s v="1"/>
    <n v="2025"/>
    <d v="2025-01-31T00:00:00"/>
    <x v="5"/>
  </r>
  <r>
    <x v="25"/>
    <s v="62300175"/>
    <s v=""/>
    <s v="O/S Svc – NAES"/>
    <s v=""/>
    <s v="ORD 84000090"/>
    <s v=""/>
    <s v=""/>
    <n v="3496.57"/>
    <s v="1"/>
    <n v="2025"/>
    <d v="2025-01-31T00:00:00"/>
    <x v="5"/>
  </r>
  <r>
    <x v="4"/>
    <s v="60600200"/>
    <s v="23201013"/>
    <s v="Non-Coded Gen Str OH"/>
    <s v="GR/IR Clearing Accou"/>
    <s v=""/>
    <s v="2060"/>
    <s v="Utility Oper. &amp; Maint."/>
    <n v="665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14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216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6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473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59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70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6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3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72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7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3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473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59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398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240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27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8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7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4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3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4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24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3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9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2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28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5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8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0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8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2745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2222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6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3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5073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6108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5884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3915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693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4612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02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6799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6799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32191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26478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31776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46147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52164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24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254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8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88621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88389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6082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370"/>
    <s v="12"/>
    <s v="2023"/>
    <d v="2023-12-07T00:00:00"/>
    <x v="6"/>
  </r>
  <r>
    <x v="4"/>
    <s v="60600200"/>
    <s v="23201013"/>
    <s v="Non-Coded Gen Str OH"/>
    <s v="GR/IR Clearing Accou"/>
    <s v=""/>
    <s v="2060"/>
    <s v="Utility Oper. &amp; Maint."/>
    <n v="1300"/>
    <s v="12"/>
    <s v="2023"/>
    <d v="2023-12-07T00:00:00"/>
    <x v="6"/>
  </r>
  <r>
    <x v="4"/>
    <s v="60600200"/>
    <s v="101541"/>
    <s v="Non-Coded Gen Str OH"/>
    <s v="ATLAS COPCO COMPTEC LLC"/>
    <s v="MRL Compressor Spare Filter Assembly"/>
    <s v="2060"/>
    <s v="Utility Oper. &amp; Maint."/>
    <n v="69.12"/>
    <s v="12"/>
    <s v="2023"/>
    <d v="2023-12-07T00:00:00"/>
    <x v="6"/>
  </r>
  <r>
    <x v="4"/>
    <s v="60600200"/>
    <s v="101541"/>
    <s v="Non-Coded Gen Str OH"/>
    <s v="ATLAS COPCO COMPTEC LLC"/>
    <s v="Pipe Flange Gasket"/>
    <s v="2060"/>
    <s v="Utility Oper. &amp; Maint."/>
    <n v="11.85"/>
    <s v="12"/>
    <s v="2023"/>
    <d v="2023-12-07T00:00:00"/>
    <x v="6"/>
  </r>
  <r>
    <x v="4"/>
    <s v="60600200"/>
    <s v="101541"/>
    <s v="Non-Coded Gen Str OH"/>
    <s v="ATLAS COPCO COMPTEC LLC"/>
    <s v="Pipe Flange Gasket"/>
    <s v="2060"/>
    <s v="Utility Oper. &amp; Maint."/>
    <n v="22.45"/>
    <s v="12"/>
    <s v="2023"/>
    <d v="2023-12-07T00:00:00"/>
    <x v="6"/>
  </r>
  <r>
    <x v="4"/>
    <s v="60600200"/>
    <s v="101541"/>
    <s v="Non-Coded Gen Str OH"/>
    <s v="ATLAS COPCO COMPTEC LLC"/>
    <s v="Pipe Flange Gasket"/>
    <s v="2060"/>
    <s v="Utility Oper. &amp; Maint."/>
    <n v="1.66"/>
    <s v="12"/>
    <s v="2023"/>
    <d v="2023-12-07T00:00:00"/>
    <x v="6"/>
  </r>
  <r>
    <x v="4"/>
    <s v="60600200"/>
    <s v="101541"/>
    <s v="Non-Coded Gen Str OH"/>
    <s v="ATLAS COPCO COMPTEC LLC"/>
    <s v="Repair part for pump"/>
    <s v="2060"/>
    <s v="Utility Oper. &amp; Maint."/>
    <n v="49.16"/>
    <s v="12"/>
    <s v="2023"/>
    <d v="2023-12-07T00:00:00"/>
    <x v="6"/>
  </r>
  <r>
    <x v="4"/>
    <s v="60600200"/>
    <s v="101541"/>
    <s v="Non-Coded Gen Str OH"/>
    <s v="ATLAS COPCO COMPTEC LLC"/>
    <s v="Flexible parts associated with the drive coupling"/>
    <s v="2060"/>
    <s v="Utility Oper. &amp; Maint."/>
    <n v="16.53"/>
    <s v="12"/>
    <s v="2023"/>
    <d v="2023-12-07T00:00:00"/>
    <x v="6"/>
  </r>
  <r>
    <x v="4"/>
    <s v="60600200"/>
    <s v="101541"/>
    <s v="Non-Coded Gen Str OH"/>
    <s v="ATLAS COPCO COMPTEC LLC"/>
    <s v="ball bearings"/>
    <s v="2060"/>
    <s v="Utility Oper. &amp; Maint."/>
    <n v="7.28"/>
    <s v="12"/>
    <s v="2023"/>
    <d v="2023-12-07T00:00:00"/>
    <x v="6"/>
  </r>
  <r>
    <x v="4"/>
    <s v="60600200"/>
    <s v="101541"/>
    <s v="Non-Coded Gen Str OH"/>
    <s v="ATLAS COPCO COMPTEC LLC"/>
    <s v="LOCK NUT"/>
    <s v="2060"/>
    <s v="Utility Oper. &amp; Maint."/>
    <n v="0.63"/>
    <s v="12"/>
    <s v="2023"/>
    <d v="2023-12-07T00:00:00"/>
    <x v="6"/>
  </r>
  <r>
    <x v="4"/>
    <s v="60600200"/>
    <s v="101541"/>
    <s v="Non-Coded Gen Str OH"/>
    <s v="ATLAS COPCO COMPTEC LLC"/>
    <s v="internal circlip"/>
    <s v="2060"/>
    <s v="Utility Oper. &amp; Maint."/>
    <n v="0.31"/>
    <s v="12"/>
    <s v="2023"/>
    <d v="2023-12-07T00:00:00"/>
    <x v="6"/>
  </r>
  <r>
    <x v="4"/>
    <s v="60600200"/>
    <s v="101541"/>
    <s v="Non-Coded Gen Str OH"/>
    <s v="ATLAS COPCO COMPTEC LLC"/>
    <s v="ball bearing"/>
    <s v="2060"/>
    <s v="Utility Oper. &amp; Maint."/>
    <n v="7.48"/>
    <s v="12"/>
    <s v="2023"/>
    <d v="2023-12-07T00:00:00"/>
    <x v="6"/>
  </r>
  <r>
    <x v="4"/>
    <s v="60600200"/>
    <s v="101541"/>
    <s v="Non-Coded Gen Str OH"/>
    <s v="ATLAS COPCO COMPTEC LLC"/>
    <s v="spring wave washer"/>
    <s v="2060"/>
    <s v="Utility Oper. &amp; Maint."/>
    <n v="0.73"/>
    <s v="12"/>
    <s v="2023"/>
    <d v="2023-12-07T00:00:00"/>
    <x v="6"/>
  </r>
  <r>
    <x v="4"/>
    <s v="60600200"/>
    <s v="101541"/>
    <s v="Non-Coded Gen Str OH"/>
    <s v="ATLAS COPCO COMPTEC LLC"/>
    <s v="spring wave washer"/>
    <s v="2060"/>
    <s v="Utility Oper. &amp; Maint."/>
    <n v="0.1"/>
    <s v="12"/>
    <s v="2023"/>
    <d v="2023-12-07T00:00:00"/>
    <x v="6"/>
  </r>
  <r>
    <x v="4"/>
    <s v="60600200"/>
    <s v="101541"/>
    <s v="Non-Coded Gen Str OH"/>
    <s v="ATLAS COPCO COMPTEC LLC"/>
    <s v="internal circlip"/>
    <s v="2060"/>
    <s v="Utility Oper. &amp; Maint."/>
    <n v="0.31"/>
    <s v="12"/>
    <s v="2023"/>
    <d v="2023-12-07T00:00:00"/>
    <x v="6"/>
  </r>
  <r>
    <x v="4"/>
    <s v="60600200"/>
    <s v="101541"/>
    <s v="Non-Coded Gen Str OH"/>
    <s v="ATLAS COPCO COMPTEC LLC"/>
    <s v="pump repair part"/>
    <s v="2060"/>
    <s v="Utility Oper. &amp; Maint."/>
    <n v="49.16"/>
    <s v="12"/>
    <s v="2023"/>
    <d v="2023-12-07T00:00:00"/>
    <x v="6"/>
  </r>
  <r>
    <x v="4"/>
    <s v="60600200"/>
    <s v="101541"/>
    <s v="Non-Coded Gen Str OH"/>
    <s v="ATLAS COPCO COMPTEC LLC"/>
    <s v="pump flexible coupling parts"/>
    <s v="2060"/>
    <s v="Utility Oper. &amp; Maint."/>
    <n v="16.53"/>
    <s v="12"/>
    <s v="2023"/>
    <d v="2023-12-07T00:00:00"/>
    <x v="6"/>
  </r>
  <r>
    <x v="4"/>
    <s v="60600200"/>
    <s v="101541"/>
    <s v="Non-Coded Gen Str OH"/>
    <s v="ATLAS COPCO COMPTEC LLC"/>
    <s v="valve repair parts"/>
    <s v="2060"/>
    <s v="Utility Oper. &amp; Maint."/>
    <n v="41.37"/>
    <s v="12"/>
    <s v="2023"/>
    <d v="2023-12-07T00:00:00"/>
    <x v="6"/>
  </r>
  <r>
    <x v="4"/>
    <s v="60600200"/>
    <s v="101541"/>
    <s v="Non-Coded Gen Str OH"/>
    <s v="ATLAS COPCO COMPTEC LLC"/>
    <s v="120&quot; diameter o-ring"/>
    <s v="2060"/>
    <s v="Utility Oper. &amp; Maint."/>
    <n v="24.94"/>
    <s v="12"/>
    <s v="2023"/>
    <d v="2023-12-07T00:00:00"/>
    <x v="6"/>
  </r>
  <r>
    <x v="4"/>
    <s v="60600200"/>
    <s v="101541"/>
    <s v="Non-Coded Gen Str OH"/>
    <s v="ATLAS COPCO COMPTEC LLC"/>
    <s v="o-ring seal"/>
    <s v="2060"/>
    <s v="Utility Oper. &amp; Maint."/>
    <n v="2.8"/>
    <s v="12"/>
    <s v="2023"/>
    <d v="2023-12-07T00:00:00"/>
    <x v="6"/>
  </r>
  <r>
    <x v="4"/>
    <s v="60600200"/>
    <s v="101541"/>
    <s v="Non-Coded Gen Str OH"/>
    <s v="ATLAS COPCO COMPTEC LLC"/>
    <s v="o-ring seal"/>
    <s v="2060"/>
    <s v="Utility Oper. &amp; Maint."/>
    <n v="0.84"/>
    <s v="12"/>
    <s v="2023"/>
    <d v="2023-12-07T00:00:00"/>
    <x v="6"/>
  </r>
  <r>
    <x v="4"/>
    <s v="60600200"/>
    <s v="101541"/>
    <s v="Non-Coded Gen Str OH"/>
    <s v="ATLAS COPCO COMPTEC LLC"/>
    <s v="o-ring seal"/>
    <s v="2060"/>
    <s v="Utility Oper. &amp; Maint."/>
    <n v="1.76"/>
    <s v="12"/>
    <s v="2023"/>
    <d v="2023-12-07T00:00:00"/>
    <x v="6"/>
  </r>
  <r>
    <x v="4"/>
    <s v="60600200"/>
    <s v="101541"/>
    <s v="Non-Coded Gen Str OH"/>
    <s v="ATLAS COPCO COMPTEC LLC"/>
    <s v="o-ring seal"/>
    <s v="2060"/>
    <s v="Utility Oper. &amp; Maint."/>
    <n v="0.41"/>
    <s v="12"/>
    <s v="2023"/>
    <d v="2023-12-07T00:00:00"/>
    <x v="6"/>
  </r>
  <r>
    <x v="4"/>
    <s v="60600200"/>
    <s v="101541"/>
    <s v="Non-Coded Gen Str OH"/>
    <s v="ATLAS COPCO COMPTEC LLC"/>
    <s v="o-ring seal"/>
    <s v="2060"/>
    <s v="Utility Oper. &amp; Maint."/>
    <n v="1.35"/>
    <s v="12"/>
    <s v="2023"/>
    <d v="2023-12-07T00:00:00"/>
    <x v="6"/>
  </r>
  <r>
    <x v="4"/>
    <s v="60600200"/>
    <s v="101541"/>
    <s v="Non-Coded Gen Str OH"/>
    <s v="ATLAS COPCO COMPTEC LLC"/>
    <s v="o-ring seal"/>
    <s v="2060"/>
    <s v="Utility Oper. &amp; Maint."/>
    <n v="0.41"/>
    <s v="12"/>
    <s v="2023"/>
    <d v="2023-12-07T00:00:00"/>
    <x v="6"/>
  </r>
  <r>
    <x v="4"/>
    <s v="60600200"/>
    <s v="101541"/>
    <s v="Non-Coded Gen Str OH"/>
    <s v="ATLAS COPCO COMPTEC LLC"/>
    <s v="o-ring seal"/>
    <s v="2060"/>
    <s v="Utility Oper. &amp; Maint."/>
    <n v="2.4900000000000002"/>
    <s v="12"/>
    <s v="2023"/>
    <d v="2023-12-07T00:00:00"/>
    <x v="6"/>
  </r>
  <r>
    <x v="4"/>
    <s v="60600200"/>
    <s v="101541"/>
    <s v="Non-Coded Gen Str OH"/>
    <s v="ATLAS COPCO COMPTEC LLC"/>
    <s v="o-ring seal"/>
    <s v="2060"/>
    <s v="Utility Oper. &amp; Maint."/>
    <n v="0.31"/>
    <s v="12"/>
    <s v="2023"/>
    <d v="2023-12-07T00:00:00"/>
    <x v="6"/>
  </r>
  <r>
    <x v="4"/>
    <s v="60600200"/>
    <s v="101541"/>
    <s v="Non-Coded Gen Str OH"/>
    <s v="ATLAS COPCO COMPTEC LLC"/>
    <s v="o-ring seal"/>
    <s v="2060"/>
    <s v="Utility Oper. &amp; Maint."/>
    <n v="1.98"/>
    <s v="12"/>
    <s v="2023"/>
    <d v="2023-12-07T00:00:00"/>
    <x v="6"/>
  </r>
  <r>
    <x v="4"/>
    <s v="60600200"/>
    <s v="101541"/>
    <s v="Non-Coded Gen Str OH"/>
    <s v="ATLAS COPCO COMPTEC LLC"/>
    <s v="o-ring seal"/>
    <s v="2060"/>
    <s v="Utility Oper. &amp; Maint."/>
    <n v="0.21"/>
    <s v="12"/>
    <s v="2023"/>
    <d v="2023-12-07T00:00:00"/>
    <x v="6"/>
  </r>
  <r>
    <x v="4"/>
    <s v="60600200"/>
    <s v="101541"/>
    <s v="Non-Coded Gen Str OH"/>
    <s v="ATLAS COPCO COMPTEC LLC"/>
    <s v="o-ring seal"/>
    <s v="2060"/>
    <s v="Utility Oper. &amp; Maint."/>
    <n v="0.1"/>
    <s v="12"/>
    <s v="2023"/>
    <d v="2023-12-07T00:00:00"/>
    <x v="6"/>
  </r>
  <r>
    <x v="4"/>
    <s v="60600200"/>
    <s v="101541"/>
    <s v="Non-Coded Gen Str OH"/>
    <s v="ATLAS COPCO COMPTEC LLC"/>
    <s v="pipe plug"/>
    <s v="2060"/>
    <s v="Utility Oper. &amp; Maint."/>
    <n v="2.91"/>
    <s v="12"/>
    <s v="2023"/>
    <d v="2023-12-07T00:00:00"/>
    <x v="6"/>
  </r>
  <r>
    <x v="4"/>
    <s v="60600200"/>
    <s v="101541"/>
    <s v="Non-Coded Gen Str OH"/>
    <s v="ATLAS COPCO COMPTEC LLC"/>
    <s v="pipe plug"/>
    <s v="2060"/>
    <s v="Utility Oper. &amp; Maint."/>
    <n v="1.56"/>
    <s v="12"/>
    <s v="2023"/>
    <d v="2023-12-07T00:00:00"/>
    <x v="6"/>
  </r>
  <r>
    <x v="4"/>
    <s v="60600200"/>
    <s v="101541"/>
    <s v="Non-Coded Gen Str OH"/>
    <s v="ATLAS COPCO COMPTEC LLC"/>
    <s v="pipe plug"/>
    <s v="2060"/>
    <s v="Utility Oper. &amp; Maint."/>
    <n v="1.88"/>
    <s v="12"/>
    <s v="2023"/>
    <d v="2023-12-07T00:00:00"/>
    <x v="6"/>
  </r>
  <r>
    <x v="4"/>
    <s v="60600200"/>
    <s v="101541"/>
    <s v="Non-Coded Gen Str OH"/>
    <s v="ATLAS COPCO COMPTEC LLC"/>
    <s v="shoulder screw"/>
    <s v="2060"/>
    <s v="Utility Oper. &amp; Maint."/>
    <n v="1.04"/>
    <s v="12"/>
    <s v="2023"/>
    <d v="2023-12-07T00:00:00"/>
    <x v="6"/>
  </r>
  <r>
    <x v="4"/>
    <s v="60600200"/>
    <s v="101541"/>
    <s v="Non-Coded Gen Str OH"/>
    <s v="ATLAS COPCO COMPTEC LLC"/>
    <s v="shoulder screw"/>
    <s v="2060"/>
    <s v="Utility Oper. &amp; Maint."/>
    <n v="0.84"/>
    <s v="12"/>
    <s v="2023"/>
    <d v="2023-12-07T00:00:00"/>
    <x v="6"/>
  </r>
  <r>
    <x v="4"/>
    <s v="60600200"/>
    <s v="101541"/>
    <s v="Non-Coded Gen Str OH"/>
    <s v="ATLAS COPCO COMPTEC LLC"/>
    <s v="bushing"/>
    <s v="2060"/>
    <s v="Utility Oper. &amp; Maint."/>
    <n v="285.32"/>
    <s v="12"/>
    <s v="2023"/>
    <d v="2023-12-07T00:00:00"/>
    <x v="6"/>
  </r>
  <r>
    <x v="4"/>
    <s v="60600200"/>
    <s v="101541"/>
    <s v="Non-Coded Gen Str OH"/>
    <s v="ATLAS COPCO COMPTEC LLC"/>
    <s v="bushing"/>
    <s v="2060"/>
    <s v="Utility Oper. &amp; Maint."/>
    <n v="230.96"/>
    <s v="12"/>
    <s v="2023"/>
    <d v="2023-12-07T00:00:00"/>
    <x v="6"/>
  </r>
  <r>
    <x v="4"/>
    <s v="60600200"/>
    <s v="101541"/>
    <s v="Non-Coded Gen Str OH"/>
    <s v="ATLAS COPCO COMPTEC LLC"/>
    <s v="o-ring"/>
    <s v="2060"/>
    <s v="Utility Oper. &amp; Maint."/>
    <n v="0.63"/>
    <s v="12"/>
    <s v="2023"/>
    <d v="2023-12-07T00:00:00"/>
    <x v="6"/>
  </r>
  <r>
    <x v="4"/>
    <s v="60600200"/>
    <s v="101541"/>
    <s v="Non-Coded Gen Str OH"/>
    <s v="ATLAS COPCO COMPTEC LLC"/>
    <s v="o-ring"/>
    <s v="2060"/>
    <s v="Utility Oper. &amp; Maint."/>
    <n v="0.31"/>
    <s v="12"/>
    <s v="2023"/>
    <d v="2023-12-07T00:00:00"/>
    <x v="6"/>
  </r>
  <r>
    <x v="4"/>
    <s v="60600200"/>
    <s v="101541"/>
    <s v="Non-Coded Gen Str OH"/>
    <s v="ATLAS COPCO COMPTEC LLC"/>
    <s v="bushing"/>
    <s v="2060"/>
    <s v="Utility Oper. &amp; Maint."/>
    <n v="527.29"/>
    <s v="12"/>
    <s v="2023"/>
    <d v="2023-12-07T00:00:00"/>
    <x v="6"/>
  </r>
  <r>
    <x v="4"/>
    <s v="60600200"/>
    <s v="101541"/>
    <s v="Non-Coded Gen Str OH"/>
    <s v="ATLAS COPCO COMPTEC LLC"/>
    <s v="special carbon ring seal"/>
    <s v="2060"/>
    <s v="Utility Oper. &amp; Maint."/>
    <n v="1674.3"/>
    <s v="12"/>
    <s v="2023"/>
    <d v="2023-12-07T00:00:00"/>
    <x v="6"/>
  </r>
  <r>
    <x v="4"/>
    <s v="60600200"/>
    <s v="101541"/>
    <s v="Non-Coded Gen Str OH"/>
    <s v="ATLAS COPCO COMPTEC LLC"/>
    <s v="spacer piece"/>
    <s v="2060"/>
    <s v="Utility Oper. &amp; Maint."/>
    <n v="611.6"/>
    <s v="12"/>
    <s v="2023"/>
    <d v="2023-12-07T00:00:00"/>
    <x v="6"/>
  </r>
  <r>
    <x v="4"/>
    <s v="60600200"/>
    <s v="101541"/>
    <s v="Non-Coded Gen Str OH"/>
    <s v="ATLAS COPCO COMPTEC LLC"/>
    <s v="oil seal"/>
    <s v="2060"/>
    <s v="Utility Oper. &amp; Maint."/>
    <n v="406.93"/>
    <s v="12"/>
    <s v="2023"/>
    <d v="2023-12-07T00:00:00"/>
    <x v="6"/>
  </r>
  <r>
    <x v="4"/>
    <s v="60600200"/>
    <s v="101541"/>
    <s v="Non-Coded Gen Str OH"/>
    <s v="ATLAS COPCO COMPTEC LLC"/>
    <s v="labyrinth seal"/>
    <s v="2060"/>
    <s v="Utility Oper. &amp; Maint."/>
    <n v="175.98"/>
    <s v="12"/>
    <s v="2023"/>
    <d v="2023-12-07T00:00:00"/>
    <x v="6"/>
  </r>
  <r>
    <x v="4"/>
    <s v="60600200"/>
    <s v="101541"/>
    <s v="Non-Coded Gen Str OH"/>
    <s v="ATLAS COPCO COMPTEC LLC"/>
    <s v="seal plate"/>
    <s v="2060"/>
    <s v="Utility Oper. &amp; Maint."/>
    <n v="479.38"/>
    <s v="12"/>
    <s v="2023"/>
    <d v="2023-12-07T00:00:00"/>
    <x v="6"/>
  </r>
  <r>
    <x v="4"/>
    <s v="60600200"/>
    <s v="101541"/>
    <s v="Non-Coded Gen Str OH"/>
    <s v="ATLAS COPCO COMPTEC LLC"/>
    <s v="internal circlip"/>
    <s v="2060"/>
    <s v="Utility Oper. &amp; Maint."/>
    <n v="10.61"/>
    <s v="12"/>
    <s v="2023"/>
    <d v="2023-12-07T00:00:00"/>
    <x v="6"/>
  </r>
  <r>
    <x v="4"/>
    <s v="60600200"/>
    <s v="101541"/>
    <s v="Non-Coded Gen Str OH"/>
    <s v="ATLAS COPCO COMPTEC LLC"/>
    <s v="low speed bearing"/>
    <s v="2060"/>
    <s v="Utility Oper. &amp; Maint."/>
    <n v="706.71"/>
    <s v="12"/>
    <s v="2023"/>
    <d v="2023-12-07T00:00:00"/>
    <x v="6"/>
  </r>
  <r>
    <x v="4"/>
    <s v="60600200"/>
    <s v="101541"/>
    <s v="Non-Coded Gen Str OH"/>
    <s v="ATLAS COPCO COMPTEC LLC"/>
    <s v="low speed bearing"/>
    <s v="2060"/>
    <s v="Utility Oper. &amp; Maint."/>
    <n v="706.71"/>
    <s v="12"/>
    <s v="2023"/>
    <d v="2023-12-07T00:00:00"/>
    <x v="6"/>
  </r>
  <r>
    <x v="4"/>
    <s v="60600200"/>
    <s v="101541"/>
    <s v="Non-Coded Gen Str OH"/>
    <s v="ATLAS COPCO COMPTEC LLC"/>
    <s v="tilt pad bearing"/>
    <s v="2060"/>
    <s v="Utility Oper. &amp; Maint."/>
    <n v="3345.99"/>
    <s v="12"/>
    <s v="2023"/>
    <d v="2023-12-07T00:00:00"/>
    <x v="6"/>
  </r>
  <r>
    <x v="4"/>
    <s v="60600200"/>
    <s v="101541"/>
    <s v="Non-Coded Gen Str OH"/>
    <s v="ATLAS COPCO COMPTEC LLC"/>
    <s v="tilt &amp; thrust bearing pad"/>
    <s v="2060"/>
    <s v="Utility Oper. &amp; Maint."/>
    <n v="4796.6099999999997"/>
    <s v="12"/>
    <s v="2023"/>
    <d v="2023-12-07T00:00:00"/>
    <x v="6"/>
  </r>
  <r>
    <x v="4"/>
    <s v="60600200"/>
    <s v="101541"/>
    <s v="Non-Coded Gen Str OH"/>
    <s v="ATLAS COPCO COMPTEC LLC"/>
    <s v="tilt &amp; thrust bearing pad"/>
    <s v="2060"/>
    <s v="Utility Oper. &amp; Maint."/>
    <n v="2752.17"/>
    <s v="12"/>
    <s v="2023"/>
    <d v="2023-12-07T00:00:00"/>
    <x v="6"/>
  </r>
  <r>
    <x v="4"/>
    <s v="60600200"/>
    <s v="101541"/>
    <s v="Non-Coded Gen Str OH"/>
    <s v="ATLAS COPCO COMPTEC LLC"/>
    <s v="tilt &amp; thrust bearing pad"/>
    <s v="2060"/>
    <s v="Utility Oper. &amp; Maint."/>
    <n v="3302.86"/>
    <s v="12"/>
    <s v="2023"/>
    <d v="2023-12-07T00:00:00"/>
    <x v="6"/>
  </r>
  <r>
    <x v="4"/>
    <s v="60600200"/>
    <s v="101541"/>
    <s v="Non-Coded Gen Str OH"/>
    <s v="ATLAS COPCO COMPTEC LLC"/>
    <s v="thrust bearing"/>
    <s v="2060"/>
    <s v="Utility Oper. &amp; Maint."/>
    <n v="5422.03"/>
    <s v="12"/>
    <s v="2023"/>
    <d v="2023-12-07T00:00:00"/>
    <x v="6"/>
  </r>
  <r>
    <x v="4"/>
    <s v="60600200"/>
    <s v="101541"/>
    <s v="Non-Coded Gen Str OH"/>
    <s v="ATLAS COPCO COMPTEC LLC"/>
    <s v="shim"/>
    <s v="2060"/>
    <s v="Utility Oper. &amp; Maint."/>
    <n v="130.34"/>
    <s v="12"/>
    <s v="2023"/>
    <d v="2023-12-07T00:00:00"/>
    <x v="6"/>
  </r>
  <r>
    <x v="4"/>
    <s v="60600200"/>
    <s v="101541"/>
    <s v="Non-Coded Gen Str OH"/>
    <s v="ATLAS COPCO COMPTEC LLC"/>
    <s v="flat head screw"/>
    <s v="2060"/>
    <s v="Utility Oper. &amp; Maint."/>
    <n v="2.4900000000000002"/>
    <s v="12"/>
    <s v="2023"/>
    <d v="2023-12-07T00:00:00"/>
    <x v="6"/>
  </r>
  <r>
    <x v="4"/>
    <s v="60600200"/>
    <s v="101541"/>
    <s v="Non-Coded Gen Str OH"/>
    <s v="ATLAS COPCO COMPTEC LLC"/>
    <s v="flat head screw"/>
    <s v="2060"/>
    <s v="Utility Oper. &amp; Maint."/>
    <n v="0.84"/>
    <s v="12"/>
    <s v="2023"/>
    <d v="2023-12-07T00:00:00"/>
    <x v="6"/>
  </r>
  <r>
    <x v="4"/>
    <s v="60600200"/>
    <s v="101541"/>
    <s v="Non-Coded Gen Str OH"/>
    <s v="ATLAS COPCO COMPTEC LLC"/>
    <s v="1st stage rotor"/>
    <s v="2060"/>
    <s v="Utility Oper. &amp; Maint."/>
    <n v="9211.4500000000007"/>
    <s v="12"/>
    <s v="2023"/>
    <d v="2023-12-07T00:00:00"/>
    <x v="6"/>
  </r>
  <r>
    <x v="4"/>
    <s v="60600200"/>
    <s v="101541"/>
    <s v="Non-Coded Gen Str OH"/>
    <s v="ATLAS COPCO COMPTEC LLC"/>
    <s v="2nd stage rotor"/>
    <s v="2060"/>
    <s v="Utility Oper. &amp; Maint."/>
    <n v="9187.33"/>
    <s v="12"/>
    <s v="2023"/>
    <d v="2023-12-07T00:00:00"/>
    <x v="6"/>
  </r>
  <r>
    <x v="4"/>
    <s v="60600200"/>
    <s v="101541"/>
    <s v="Non-Coded Gen Str OH"/>
    <s v="ATLAS COPCO COMPTEC LLC"/>
    <s v="electrical cable"/>
    <s v="2060"/>
    <s v="Utility Oper. &amp; Maint."/>
    <n v="632.16999999999996"/>
    <s v="12"/>
    <s v="2023"/>
    <d v="2023-12-07T00:00:00"/>
    <x v="6"/>
  </r>
  <r>
    <x v="4"/>
    <s v="60600200"/>
    <s v="101541"/>
    <s v="Non-Coded Gen Str OH"/>
    <s v="ATLAS COPCO COMPTEC LLC"/>
    <s v="probe sensor"/>
    <s v="2060"/>
    <s v="Utility Oper. &amp; Maint."/>
    <n v="142.4"/>
    <s v="12"/>
    <s v="2023"/>
    <d v="2023-12-07T00:00:00"/>
    <x v="6"/>
  </r>
  <r>
    <x v="4"/>
    <s v="60600200"/>
    <s v="101541"/>
    <s v="Non-Coded Gen Str OH"/>
    <s v="ATLAS COPCO COMPTEC LLC"/>
    <s v="probe sensor"/>
    <s v="2060"/>
    <s v="Utility Oper. &amp; Maint."/>
    <n v="135.15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525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1279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1279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105055.46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13.26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1117.97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1012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95098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92287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1012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9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154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1276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1276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2462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1276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1470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294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46003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46003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41582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41582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21665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33324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10882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66388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2891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1393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20041.599999999999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17289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27623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720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60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2160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391"/>
    <s v="12"/>
    <s v="2023"/>
    <d v="2023-12-07T00:00:00"/>
    <x v="6"/>
  </r>
  <r>
    <x v="4"/>
    <s v="60600000"/>
    <s v="23201013"/>
    <s v="Matl-SupDirect Purch"/>
    <s v="GR/IR Clearing Accou"/>
    <s v=""/>
    <s v="2060"/>
    <s v="Utility Oper. &amp; Maint."/>
    <n v="36"/>
    <s v="12"/>
    <s v="2023"/>
    <d v="2023-12-07T00:00:00"/>
    <x v="6"/>
  </r>
  <r>
    <x v="4"/>
    <s v="60600000"/>
    <s v="101541"/>
    <s v="Matl-SupDirect Purch"/>
    <s v="ATLAS COPCO COMPTEC LLC"/>
    <s v="retaining ring - 1 SET"/>
    <s v="2060"/>
    <s v="Utility Oper. &amp; Maint."/>
    <n v="55.2"/>
    <s v="12"/>
    <s v="2023"/>
    <d v="2023-12-07T00:00:00"/>
    <x v="6"/>
  </r>
  <r>
    <x v="4"/>
    <s v="60600000"/>
    <s v="101541"/>
    <s v="Matl-SupDirect Purch"/>
    <s v="ATLAS COPCO COMPTEC LLC"/>
    <s v="sealing ring"/>
    <s v="2060"/>
    <s v="Utility Oper. &amp; Maint."/>
    <n v="134.47"/>
    <s v="12"/>
    <s v="2023"/>
    <d v="2023-12-07T00:00:00"/>
    <x v="6"/>
  </r>
  <r>
    <x v="4"/>
    <s v="60600000"/>
    <s v="101541"/>
    <s v="Matl-SupDirect Purch"/>
    <s v="ATLAS COPCO COMPTEC LLC"/>
    <s v="o-ring"/>
    <s v="2060"/>
    <s v="Utility Oper. &amp; Maint."/>
    <n v="134.47"/>
    <s v="12"/>
    <s v="2023"/>
    <d v="2023-12-07T00:00:00"/>
    <x v="6"/>
  </r>
  <r>
    <x v="4"/>
    <s v="60600000"/>
    <s v="101541"/>
    <s v="Matl-SupDirect Purch"/>
    <s v="ATLAS COPCO COMPTEC LLC"/>
    <s v="mechanical seal"/>
    <s v="2060"/>
    <s v="Utility Oper. &amp; Maint."/>
    <n v="9998.18"/>
    <s v="12"/>
    <s v="2023"/>
    <d v="2023-12-07T00:00:00"/>
    <x v="6"/>
  </r>
  <r>
    <x v="4"/>
    <s v="60600000"/>
    <s v="101541"/>
    <s v="Matl-SupDirect Purch"/>
    <s v="ATLAS COPCO COMPTEC LLC"/>
    <s v="sealing ring"/>
    <s v="2060"/>
    <s v="Utility Oper. &amp; Maint."/>
    <n v="106.4"/>
    <s v="12"/>
    <s v="2023"/>
    <d v="2023-12-07T00:00:00"/>
    <x v="6"/>
  </r>
  <r>
    <x v="4"/>
    <s v="60600000"/>
    <s v="101541"/>
    <s v="Matl-SupDirect Purch"/>
    <s v="ATLAS COPCO COMPTEC LLC"/>
    <s v="seal ring"/>
    <s v="2060"/>
    <s v="Utility Oper. &amp; Maint."/>
    <n v="106.4"/>
    <s v="12"/>
    <s v="2023"/>
    <d v="2023-12-07T00:00:00"/>
    <x v="6"/>
  </r>
  <r>
    <x v="4"/>
    <s v="60600000"/>
    <s v="101541"/>
    <s v="Matl-SupDirect Purch"/>
    <s v="ATLAS COPCO COMPTEC LLC"/>
    <s v="retaining ring"/>
    <s v="2060"/>
    <s v="Utility Oper. &amp; Maint."/>
    <n v="0.95"/>
    <s v="12"/>
    <s v="2023"/>
    <d v="2023-12-07T00:00:00"/>
    <x v="6"/>
  </r>
  <r>
    <x v="4"/>
    <s v="60600000"/>
    <s v="101541"/>
    <s v="Matl-SupDirect Purch"/>
    <s v="ATLAS COPCO COMPTEC LLC"/>
    <s v="sliding sleeve"/>
    <s v="2060"/>
    <s v="Utility Oper. &amp; Maint."/>
    <n v="16.190000000000001"/>
    <s v="12"/>
    <s v="2023"/>
    <d v="2023-12-07T00:00:00"/>
    <x v="6"/>
  </r>
  <r>
    <x v="4"/>
    <s v="60600000"/>
    <s v="101541"/>
    <s v="Matl-SupDirect Purch"/>
    <s v="ATLAS COPCO COMPTEC LLC"/>
    <s v="gasket"/>
    <s v="2060"/>
    <s v="Utility Oper. &amp; Maint."/>
    <n v="6.31"/>
    <s v="12"/>
    <s v="2023"/>
    <d v="2023-12-07T00:00:00"/>
    <x v="6"/>
  </r>
  <r>
    <x v="4"/>
    <s v="60600000"/>
    <s v="101541"/>
    <s v="Matl-SupDirect Purch"/>
    <s v="ATLAS COPCO COMPTEC LLC"/>
    <s v="stop sleeve"/>
    <s v="2060"/>
    <s v="Utility Oper. &amp; Maint."/>
    <n v="227.09"/>
    <s v="12"/>
    <s v="2023"/>
    <d v="2023-12-07T00:00:00"/>
    <x v="6"/>
  </r>
  <r>
    <x v="4"/>
    <s v="60600000"/>
    <s v="101541"/>
    <s v="Matl-SupDirect Purch"/>
    <s v="ATLAS COPCO COMPTEC LLC"/>
    <s v="spindle"/>
    <s v="2060"/>
    <s v="Utility Oper. &amp; Maint."/>
    <n v="41.11"/>
    <s v="12"/>
    <s v="2023"/>
    <d v="2023-12-07T00:00:00"/>
    <x v="6"/>
  </r>
  <r>
    <x v="4"/>
    <s v="60600000"/>
    <s v="101541"/>
    <s v="Matl-SupDirect Purch"/>
    <s v="ATLAS COPCO COMPTEC LLC"/>
    <s v="bolt"/>
    <s v="2060"/>
    <s v="Utility Oper. &amp; Maint."/>
    <n v="3.79"/>
    <s v="12"/>
    <s v="2023"/>
    <d v="2023-12-07T00:00:00"/>
    <x v="6"/>
  </r>
  <r>
    <x v="4"/>
    <s v="60600000"/>
    <s v="101541"/>
    <s v="Matl-SupDirect Purch"/>
    <s v="ATLAS COPCO COMPTEC LLC"/>
    <s v="probe"/>
    <s v="2060"/>
    <s v="Utility Oper. &amp; Maint."/>
    <n v="134.15"/>
    <s v="12"/>
    <s v="2023"/>
    <d v="2023-12-07T00:00:00"/>
    <x v="6"/>
  </r>
  <r>
    <x v="4"/>
    <s v="60600000"/>
    <s v="101541"/>
    <s v="Matl-SupDirect Purch"/>
    <s v="ATLAS COPCO COMPTEC LLC"/>
    <s v="probe"/>
    <s v="2060"/>
    <s v="Utility Oper. &amp; Maint."/>
    <n v="134.15"/>
    <s v="12"/>
    <s v="2023"/>
    <d v="2023-12-07T00:00:00"/>
    <x v="6"/>
  </r>
  <r>
    <x v="4"/>
    <s v="60600000"/>
    <s v="101541"/>
    <s v="Matl-SupDirect Purch"/>
    <s v="ATLAS COPCO COMPTEC LLC"/>
    <s v="probe"/>
    <s v="2060"/>
    <s v="Utility Oper. &amp; Maint."/>
    <n v="258.85000000000002"/>
    <s v="12"/>
    <s v="2023"/>
    <d v="2023-12-07T00:00:00"/>
    <x v="6"/>
  </r>
  <r>
    <x v="4"/>
    <s v="60600000"/>
    <s v="101541"/>
    <s v="Matl-SupDirect Purch"/>
    <s v="ATLAS COPCO COMPTEC LLC"/>
    <s v="probe"/>
    <s v="2060"/>
    <s v="Utility Oper. &amp; Maint."/>
    <n v="134.15"/>
    <s v="12"/>
    <s v="2023"/>
    <d v="2023-12-07T00:00:00"/>
    <x v="6"/>
  </r>
  <r>
    <x v="4"/>
    <s v="60600000"/>
    <s v="101541"/>
    <s v="Matl-SupDirect Purch"/>
    <s v="ATLAS COPCO COMPTEC LLC"/>
    <s v="probe accessories"/>
    <s v="2060"/>
    <s v="Utility Oper. &amp; Maint."/>
    <n v="154.55000000000001"/>
    <s v="12"/>
    <s v="2023"/>
    <d v="2023-12-07T00:00:00"/>
    <x v="6"/>
  </r>
  <r>
    <x v="4"/>
    <s v="60600000"/>
    <s v="101541"/>
    <s v="Matl-SupDirect Purch"/>
    <s v="ATLAS COPCO COMPTEC LLC"/>
    <s v="radial bearing"/>
    <s v="2060"/>
    <s v="Utility Oper. &amp; Maint."/>
    <n v="4836.55"/>
    <s v="12"/>
    <s v="2023"/>
    <d v="2023-12-07T00:00:00"/>
    <x v="6"/>
  </r>
  <r>
    <x v="4"/>
    <s v="60600000"/>
    <s v="101541"/>
    <s v="Matl-SupDirect Purch"/>
    <s v="ATLAS COPCO COMPTEC LLC"/>
    <s v="radial axial bearing"/>
    <s v="2060"/>
    <s v="Utility Oper. &amp; Maint."/>
    <n v="4836.55"/>
    <s v="12"/>
    <s v="2023"/>
    <d v="2023-12-07T00:00:00"/>
    <x v="6"/>
  </r>
  <r>
    <x v="4"/>
    <s v="60600000"/>
    <s v="101541"/>
    <s v="Matl-SupDirect Purch"/>
    <s v="ATLAS COPCO COMPTEC LLC"/>
    <s v="radial bearing"/>
    <s v="2060"/>
    <s v="Utility Oper. &amp; Maint."/>
    <n v="4371.75"/>
    <s v="12"/>
    <s v="2023"/>
    <d v="2023-12-07T00:00:00"/>
    <x v="6"/>
  </r>
  <r>
    <x v="4"/>
    <s v="60600000"/>
    <s v="101541"/>
    <s v="Matl-SupDirect Purch"/>
    <s v="ATLAS COPCO COMPTEC LLC"/>
    <s v="radial axial bearing"/>
    <s v="2060"/>
    <s v="Utility Oper. &amp; Maint."/>
    <n v="4371.75"/>
    <s v="12"/>
    <s v="2023"/>
    <d v="2023-12-07T00:00:00"/>
    <x v="6"/>
  </r>
  <r>
    <x v="4"/>
    <s v="60600000"/>
    <s v="101541"/>
    <s v="Matl-SupDirect Purch"/>
    <s v="ATLAS COPCO COMPTEC LLC"/>
    <s v="radial bearing"/>
    <s v="2060"/>
    <s v="Utility Oper. &amp; Maint."/>
    <n v="2277.77"/>
    <s v="12"/>
    <s v="2023"/>
    <d v="2023-12-07T00:00:00"/>
    <x v="6"/>
  </r>
  <r>
    <x v="4"/>
    <s v="60600000"/>
    <s v="101541"/>
    <s v="Matl-SupDirect Purch"/>
    <s v="ATLAS COPCO COMPTEC LLC"/>
    <s v="radial axial bearing"/>
    <s v="2060"/>
    <s v="Utility Oper. &amp; Maint."/>
    <n v="3503.54"/>
    <s v="12"/>
    <s v="2023"/>
    <d v="2023-12-07T00:00:00"/>
    <x v="6"/>
  </r>
  <r>
    <x v="4"/>
    <s v="60600000"/>
    <s v="101541"/>
    <s v="Matl-SupDirect Purch"/>
    <s v="ATLAS COPCO COMPTEC LLC"/>
    <s v="shaft seal"/>
    <s v="2060"/>
    <s v="Utility Oper. &amp; Maint."/>
    <n v="1144.0899999999999"/>
    <s v="12"/>
    <s v="2023"/>
    <d v="2023-12-07T00:00:00"/>
    <x v="6"/>
  </r>
  <r>
    <x v="4"/>
    <s v="60600000"/>
    <s v="101541"/>
    <s v="Matl-SupDirect Purch"/>
    <s v="ATLAS COPCO COMPTEC LLC"/>
    <s v="main oil pump assembly"/>
    <s v="2060"/>
    <s v="Utility Oper. &amp; Maint."/>
    <n v="6979.74"/>
    <s v="12"/>
    <s v="2023"/>
    <d v="2023-12-07T00:00:00"/>
    <x v="6"/>
  </r>
  <r>
    <x v="4"/>
    <s v="60600000"/>
    <s v="101541"/>
    <s v="Matl-SupDirect Purch"/>
    <s v="ATLAS COPCO COMPTEC LLC"/>
    <s v="repair kit"/>
    <s v="2060"/>
    <s v="Utility Oper. &amp; Maint."/>
    <n v="303.95"/>
    <s v="12"/>
    <s v="2023"/>
    <d v="2023-12-07T00:00:00"/>
    <x v="6"/>
  </r>
  <r>
    <x v="4"/>
    <s v="60600000"/>
    <s v="101541"/>
    <s v="Matl-SupDirect Purch"/>
    <s v="ATLAS COPCO COMPTEC LLC"/>
    <s v="resistance thermometer"/>
    <s v="2060"/>
    <s v="Utility Oper. &amp; Maint."/>
    <n v="146.46"/>
    <s v="12"/>
    <s v="2023"/>
    <d v="2023-12-07T00:00:00"/>
    <x v="6"/>
  </r>
  <r>
    <x v="4"/>
    <s v="60600000"/>
    <s v="101541"/>
    <s v="Matl-SupDirect Purch"/>
    <s v="ATLAS COPCO COMPTEC LLC"/>
    <s v="tensioning device"/>
    <s v="2060"/>
    <s v="Utility Oper. &amp; Maint."/>
    <n v="1817.68"/>
    <s v="12"/>
    <s v="2023"/>
    <d v="2023-12-07T00:00:00"/>
    <x v="6"/>
  </r>
  <r>
    <x v="4"/>
    <s v="60600000"/>
    <s v="101541"/>
    <s v="Matl-SupDirect Purch"/>
    <s v="ATLAS COPCO COMPTEC LLC"/>
    <s v="pulling device"/>
    <s v="2060"/>
    <s v="Utility Oper. &amp; Maint."/>
    <n v="2904.12"/>
    <s v="12"/>
    <s v="2023"/>
    <d v="2023-12-07T00:00:00"/>
    <x v="6"/>
  </r>
  <r>
    <x v="0"/>
    <s v="61100000"/>
    <s v="23200543"/>
    <s v="Utilities"/>
    <s v="AP Non-SAP Sys"/>
    <s v="Tacoma Public Utilities - PSE August Power Costs"/>
    <s v="2060"/>
    <s v="Utility Oper. &amp; Maint."/>
    <n v="-96842.58"/>
    <s v="12"/>
    <s v="2023"/>
    <d v="2023-12-08T00:00:00"/>
    <x v="6"/>
  </r>
  <r>
    <x v="0"/>
    <s v="61100000"/>
    <s v="23200543"/>
    <s v="Utilities"/>
    <s v="AP Non-SAP Sys"/>
    <s v="Tacoma Public Utilities - PSE November Power Costs"/>
    <s v="2060"/>
    <s v="Utility Oper. &amp; Maint."/>
    <n v="-55788.35"/>
    <s v="12"/>
    <s v="2023"/>
    <d v="2023-12-08T00:00:00"/>
    <x v="6"/>
  </r>
  <r>
    <x v="4"/>
    <s v="60600000"/>
    <s v="15400112"/>
    <s v="Matl-SupDirect Purch"/>
    <s v="Plant Mat Inv - TLNG"/>
    <s v="Rclss rcv'd Tacoma LNG parts from exp to inventory"/>
    <s v="2060"/>
    <s v="Utility Oper. &amp; Maint."/>
    <n v="-736069.65"/>
    <s v="12"/>
    <s v="2023"/>
    <d v="2023-12-22T00:00:00"/>
    <x v="6"/>
  </r>
  <r>
    <x v="4"/>
    <s v="60600200"/>
    <s v="15400112"/>
    <s v="Non-Coded Gen Str OH"/>
    <s v="Plant Mat Inv - TLNG"/>
    <s v="Rclss rcv'd Tacoma LNG parts from exp to inventory"/>
    <s v="2060"/>
    <s v="Utility Oper. &amp; Maint."/>
    <n v="-480260.06"/>
    <s v="12"/>
    <s v="2023"/>
    <d v="2023-12-22T00:00:00"/>
    <x v="6"/>
  </r>
  <r>
    <x v="4"/>
    <s v="62300175"/>
    <s v="13500222"/>
    <s v="O/S Svc – NAES"/>
    <s v="Tacoma LNG Cash Adva"/>
    <s v="TLNG Liquefaction System for PSE Maintenance"/>
    <s v="2060"/>
    <s v="Utility Oper. &amp; Maint."/>
    <n v="2935.74"/>
    <s v="12"/>
    <s v="2023"/>
    <d v="2023-12-31T00:00:00"/>
    <x v="6"/>
  </r>
  <r>
    <x v="5"/>
    <s v="62300175"/>
    <s v="13500222"/>
    <s v="O/S Svc – NAES"/>
    <s v="Tacoma LNG Cash Adva"/>
    <s v="TLNG Truck Loading System for PSE Operatoins"/>
    <s v="2060"/>
    <s v="Utility Oper. &amp; Maint."/>
    <n v="1195.79"/>
    <s v="12"/>
    <s v="2023"/>
    <d v="2023-12-31T00:00:00"/>
    <x v="6"/>
  </r>
  <r>
    <x v="7"/>
    <s v="62300175"/>
    <s v="13500222"/>
    <s v="O/S Svc – NAES"/>
    <s v="Tacoma LNG Cash Adva"/>
    <s v="TLNG Pre-Treatment System for PSE Maintenance"/>
    <s v="2060"/>
    <s v="Utility Oper. &amp; Maint."/>
    <n v="25.52"/>
    <s v="12"/>
    <s v="2023"/>
    <d v="2023-12-31T00:00:00"/>
    <x v="6"/>
  </r>
  <r>
    <x v="9"/>
    <s v="62300175"/>
    <s v="13500222"/>
    <s v="O/S Svc – NAES"/>
    <s v="Tacoma LNG Cash Adva"/>
    <s v="TLNG Plant Utilities System for PSE Maintenance"/>
    <s v="2060"/>
    <s v="Utility Oper. &amp; Maint."/>
    <n v="899.72"/>
    <s v="12"/>
    <s v="2023"/>
    <d v="2023-12-31T00:00:00"/>
    <x v="6"/>
  </r>
  <r>
    <x v="10"/>
    <s v="62300175"/>
    <s v="13500222"/>
    <s v="O/S Svc – NAES"/>
    <s v="Tacoma LNG Cash Adva"/>
    <s v="TLNG Fuel System for PSE Maintenance"/>
    <s v="2060"/>
    <s v="Utility Oper. &amp; Maint."/>
    <n v="4609.1099999999997"/>
    <s v="12"/>
    <s v="2023"/>
    <d v="2023-12-31T00:00:00"/>
    <x v="6"/>
  </r>
  <r>
    <x v="29"/>
    <s v="62300175"/>
    <s v="13500222"/>
    <s v="O/S Svc – NAES"/>
    <s v="Tacoma LNG Cash Adva"/>
    <s v="Tacoma LNG Vaporization for PSE Operations"/>
    <s v="2060"/>
    <s v="Utility Oper. &amp; Maint."/>
    <n v="6341.03"/>
    <s v="12"/>
    <s v="2023"/>
    <d v="2023-12-31T00:00:00"/>
    <x v="6"/>
  </r>
  <r>
    <x v="2"/>
    <s v="62300175"/>
    <s v="13500222"/>
    <s v="O/S Svc – NAES"/>
    <s v="Tacoma LNG Cash Adva"/>
    <s v="Tacoma LNG Vaporization for PSE Maintenance"/>
    <s v="2060"/>
    <s v="Utility Oper. &amp; Maint."/>
    <n v="41.2"/>
    <s v="12"/>
    <s v="2023"/>
    <d v="2023-12-31T00:00:00"/>
    <x v="6"/>
  </r>
  <r>
    <x v="4"/>
    <s v="62300175"/>
    <s v="13500222"/>
    <s v="O/S Svc – NAES"/>
    <s v="Tacoma LNG Cash Adva"/>
    <s v="TLNG Liquefaction System for PSE Maintenance"/>
    <s v="2060"/>
    <s v="Utility Oper. &amp; Maint."/>
    <n v="466.32"/>
    <s v="12"/>
    <s v="2023"/>
    <d v="2023-12-31T00:00:00"/>
    <x v="6"/>
  </r>
  <r>
    <x v="9"/>
    <s v="62300175"/>
    <s v="13500222"/>
    <s v="O/S Svc – NAES"/>
    <s v="Tacoma LNG Cash Adva"/>
    <s v="TLNG Plant Utilities System for PSE Maintenance"/>
    <s v="2060"/>
    <s v="Utility Oper. &amp; Maint."/>
    <n v="703.54"/>
    <s v="12"/>
    <s v="2023"/>
    <d v="2023-12-31T00:00:00"/>
    <x v="6"/>
  </r>
  <r>
    <x v="0"/>
    <s v="61100000"/>
    <s v="23200543"/>
    <s v="Utilities"/>
    <s v="AP Non-SAP Sys"/>
    <s v="City of Tacoma"/>
    <s v="2060"/>
    <s v="Utility Oper. &amp; Maint."/>
    <n v="55726.62"/>
    <s v="12"/>
    <s v="2023"/>
    <d v="2023-12-31T00:00:00"/>
    <x v="6"/>
  </r>
  <r>
    <x v="31"/>
    <s v="62300175"/>
    <s v=""/>
    <s v="O/S Svc – NAES"/>
    <s v=""/>
    <s v="ORD 84320002"/>
    <s v=""/>
    <s v=""/>
    <n v="38327.629999999997"/>
    <s v="12"/>
    <n v="2023"/>
    <d v="2023-12-31T00:00:00"/>
    <x v="6"/>
  </r>
  <r>
    <x v="26"/>
    <s v="62300175"/>
    <s v=""/>
    <s v="O/S Svc – NAES"/>
    <s v=""/>
    <s v="ORD 84470091"/>
    <s v=""/>
    <s v=""/>
    <n v="11857.25"/>
    <s v="12"/>
    <n v="2023"/>
    <d v="2023-12-31T00:00:00"/>
    <x v="6"/>
  </r>
  <r>
    <x v="12"/>
    <s v="62300175"/>
    <s v=""/>
    <s v="O/S Svc – NAES"/>
    <s v=""/>
    <s v="ORD 84780001"/>
    <s v=""/>
    <s v=""/>
    <n v="-8086.15"/>
    <s v="12"/>
    <n v="2023"/>
    <d v="2023-12-31T00:00:00"/>
    <x v="6"/>
  </r>
  <r>
    <x v="13"/>
    <s v="62300175"/>
    <s v=""/>
    <s v="O/S Svc – NAES"/>
    <s v=""/>
    <s v="ORD 84000001"/>
    <s v=""/>
    <s v=""/>
    <n v="26619.93"/>
    <s v="12"/>
    <n v="2023"/>
    <d v="2023-12-31T00:00:00"/>
    <x v="6"/>
  </r>
  <r>
    <x v="14"/>
    <s v="60870001"/>
    <s v=""/>
    <s v="Rent/Lease-Non Cancl"/>
    <s v=""/>
    <s v="ORD 84200030"/>
    <s v=""/>
    <s v=""/>
    <n v="104522.84"/>
    <s v="12"/>
    <n v="2023"/>
    <d v="2023-12-31T00:00:00"/>
    <x v="6"/>
  </r>
  <r>
    <x v="15"/>
    <s v="62300175"/>
    <s v=""/>
    <s v="O/S Svc – NAES"/>
    <s v=""/>
    <s v="ORD 84330002"/>
    <s v=""/>
    <s v=""/>
    <n v="1226.93"/>
    <s v="12"/>
    <n v="2023"/>
    <d v="2023-12-31T00:00:00"/>
    <x v="6"/>
  </r>
  <r>
    <x v="16"/>
    <s v="84311002"/>
    <s v=""/>
    <s v="Analyst 2 Ex"/>
    <s v=""/>
    <s v="ORD 84410107"/>
    <s v=""/>
    <s v=""/>
    <n v="589.89"/>
    <s v="12"/>
    <n v="2023"/>
    <d v="2023-12-31T00:00:00"/>
    <x v="6"/>
  </r>
  <r>
    <x v="16"/>
    <s v="84311015"/>
    <s v=""/>
    <s v="Manager 2 Ex"/>
    <s v=""/>
    <s v="ORD 84410107"/>
    <s v=""/>
    <s v=""/>
    <n v="3904.68"/>
    <s v="12"/>
    <n v="2023"/>
    <d v="2023-12-31T00:00:00"/>
    <x v="6"/>
  </r>
  <r>
    <x v="16"/>
    <s v="62300175"/>
    <s v=""/>
    <s v="O/S Svc – NAES"/>
    <s v=""/>
    <s v="ORD 84410107"/>
    <s v=""/>
    <s v=""/>
    <n v="43881.440000000002"/>
    <s v="12"/>
    <n v="2023"/>
    <d v="2023-12-31T00:00:00"/>
    <x v="6"/>
  </r>
  <r>
    <x v="16"/>
    <s v="84100013"/>
    <s v=""/>
    <s v="Fleet Gas Ops OH"/>
    <s v=""/>
    <s v="ORD 84410107"/>
    <s v=""/>
    <s v=""/>
    <n v="449.46"/>
    <s v="12"/>
    <n v="2023"/>
    <d v="2023-12-31T00:00:00"/>
    <x v="6"/>
  </r>
  <r>
    <x v="16"/>
    <s v="84100021"/>
    <s v=""/>
    <s v="Payroll Taxes OH"/>
    <s v=""/>
    <s v="ORD 84410107"/>
    <s v=""/>
    <s v=""/>
    <n v="400.02"/>
    <s v="12"/>
    <n v="2023"/>
    <d v="2023-12-31T00:00:00"/>
    <x v="6"/>
  </r>
  <r>
    <x v="16"/>
    <s v="84100022"/>
    <s v=""/>
    <s v="Benefits OH"/>
    <s v=""/>
    <s v="ORD 84410107"/>
    <s v=""/>
    <s v=""/>
    <n v="1348.37"/>
    <s v="12"/>
    <n v="2023"/>
    <d v="2023-12-31T00:00:00"/>
    <x v="6"/>
  </r>
  <r>
    <x v="16"/>
    <s v="84100023"/>
    <s v=""/>
    <s v="Paid Time Off OH"/>
    <s v=""/>
    <s v="ORD 84410107"/>
    <s v=""/>
    <s v=""/>
    <n v="723.63"/>
    <s v="12"/>
    <n v="2023"/>
    <d v="2023-12-31T00:00:00"/>
    <x v="6"/>
  </r>
  <r>
    <x v="16"/>
    <s v="84100024"/>
    <s v=""/>
    <s v="Incentives OH"/>
    <s v=""/>
    <s v="ORD 84410107"/>
    <s v=""/>
    <s v=""/>
    <n v="444.96"/>
    <s v="12"/>
    <n v="2023"/>
    <d v="2023-12-31T00:00:00"/>
    <x v="6"/>
  </r>
  <r>
    <x v="18"/>
    <s v="62300175"/>
    <s v=""/>
    <s v="O/S Svc – NAES"/>
    <s v=""/>
    <s v="ORD 84620091"/>
    <s v=""/>
    <s v=""/>
    <n v="19145.27"/>
    <s v="12"/>
    <n v="2023"/>
    <d v="2023-12-31T00:00:00"/>
    <x v="6"/>
  </r>
  <r>
    <x v="19"/>
    <s v="60250000"/>
    <s v=""/>
    <s v="Workers Comp Payment"/>
    <s v=""/>
    <s v="ORD 92400330"/>
    <s v=""/>
    <s v=""/>
    <n v="141.68"/>
    <s v="12"/>
    <n v="2023"/>
    <d v="2023-12-31T00:00:00"/>
    <x v="6"/>
  </r>
  <r>
    <x v="19"/>
    <s v="62300175"/>
    <s v=""/>
    <s v="O/S Svc – NAES"/>
    <s v=""/>
    <s v="ORD 92400330"/>
    <s v=""/>
    <s v=""/>
    <n v="2193.2800000000002"/>
    <s v="12"/>
    <n v="2023"/>
    <d v="2023-12-31T00:00:00"/>
    <x v="6"/>
  </r>
  <r>
    <x v="20"/>
    <s v="62300175"/>
    <s v=""/>
    <s v="O/S Svc – NAES"/>
    <s v=""/>
    <s v="ORD 84620090"/>
    <s v=""/>
    <s v=""/>
    <n v="2511.66"/>
    <s v="12"/>
    <n v="2023"/>
    <d v="2023-12-31T00:00:00"/>
    <x v="6"/>
  </r>
  <r>
    <x v="28"/>
    <s v="62300175"/>
    <s v=""/>
    <s v="O/S Svc – NAES"/>
    <s v=""/>
    <s v="ORD 84000091"/>
    <s v=""/>
    <s v=""/>
    <n v="-56.33"/>
    <s v="12"/>
    <n v="2023"/>
    <d v="2023-12-31T00:00:00"/>
    <x v="6"/>
  </r>
  <r>
    <x v="21"/>
    <s v="62300175"/>
    <s v=""/>
    <s v="O/S Svc – NAES"/>
    <s v=""/>
    <s v="ORD 84100090"/>
    <s v=""/>
    <s v=""/>
    <n v="52172.88"/>
    <s v="12"/>
    <n v="2023"/>
    <d v="2023-12-31T00:00:00"/>
    <x v="6"/>
  </r>
  <r>
    <x v="22"/>
    <s v="62300175"/>
    <s v=""/>
    <s v="O/S Svc – NAES"/>
    <s v=""/>
    <s v="ORD 84390090"/>
    <s v=""/>
    <s v=""/>
    <n v="77183.64"/>
    <s v="12"/>
    <n v="2023"/>
    <d v="2023-12-31T00:00:00"/>
    <x v="6"/>
  </r>
  <r>
    <x v="23"/>
    <s v="62300175"/>
    <s v=""/>
    <s v="O/S Svc – NAES"/>
    <s v=""/>
    <s v="ORD 84470090"/>
    <s v=""/>
    <s v=""/>
    <n v="3959.56"/>
    <s v="12"/>
    <n v="2023"/>
    <d v="2023-12-31T00:00:00"/>
    <x v="6"/>
  </r>
  <r>
    <x v="24"/>
    <s v="62300175"/>
    <s v=""/>
    <s v="O/S Svc – NAES"/>
    <s v=""/>
    <s v="ORD 84770090"/>
    <s v=""/>
    <s v=""/>
    <n v="9099.51"/>
    <s v="12"/>
    <n v="2023"/>
    <d v="2023-12-31T00:00:00"/>
    <x v="6"/>
  </r>
  <r>
    <x v="1"/>
    <s v="62300175"/>
    <s v=""/>
    <s v="O/S Svc – NAES"/>
    <s v=""/>
    <s v="ORD 84000030"/>
    <s v=""/>
    <s v=""/>
    <n v="22665.02"/>
    <s v="12"/>
    <n v="2023"/>
    <d v="2023-12-31T00:00:00"/>
    <x v="6"/>
  </r>
  <r>
    <x v="25"/>
    <s v="62300175"/>
    <s v=""/>
    <s v="O/S Svc – NAES"/>
    <s v=""/>
    <s v="ORD 84000090"/>
    <s v=""/>
    <s v=""/>
    <n v="29760.74"/>
    <s v="12"/>
    <n v="2023"/>
    <d v="2023-12-31T00:00:00"/>
    <x v="6"/>
  </r>
  <r>
    <x v="0"/>
    <s v="61100000"/>
    <s v="23200543"/>
    <s v="Utilities"/>
    <s v="AP Non-SAP Sys"/>
    <s v="Power cost for LNG liquefaction - Nov usage"/>
    <s v="2060"/>
    <s v="Utility Oper. &amp; Maint."/>
    <n v="-46012"/>
    <s v="12"/>
    <s v="2024"/>
    <d v="2024-12-06T00:00:00"/>
    <x v="7"/>
  </r>
  <r>
    <x v="11"/>
    <s v="62300020"/>
    <s v="147708"/>
    <s v="Outside Svcs - Legal"/>
    <s v="SEYFARTH SHAW LLP"/>
    <s v="147708 -SEYFARTH SHAW LLP"/>
    <s v="2060"/>
    <s v="Utility Oper. &amp; Maint."/>
    <n v="1208"/>
    <s v="12"/>
    <s v="2024"/>
    <d v="2024-12-20T00:00:00"/>
    <x v="7"/>
  </r>
  <r>
    <x v="0"/>
    <s v="61100000"/>
    <s v="23200543"/>
    <s v="Utilities"/>
    <s v="AP Non-SAP Sys"/>
    <s v="Tacoma Public Utilities - Power cost for LNG lique"/>
    <s v="2060"/>
    <s v="Utility Oper. &amp; Maint."/>
    <n v="58232.02"/>
    <s v="12"/>
    <s v="2024"/>
    <d v="2024-12-30T00:00:00"/>
    <x v="7"/>
  </r>
  <r>
    <x v="3"/>
    <s v="62300175"/>
    <s v="13500222"/>
    <s v="O/S Svc – NAES"/>
    <s v="Tacoma LNG Cash Adva"/>
    <s v="TLNG Liquefaction System for PSE Operations"/>
    <s v="2060"/>
    <s v="Utility Oper. &amp; Maint."/>
    <n v="1285.8399999999999"/>
    <s v="12"/>
    <s v="2024"/>
    <d v="2024-12-31T00:00:00"/>
    <x v="7"/>
  </r>
  <r>
    <x v="4"/>
    <s v="62300175"/>
    <s v="13500222"/>
    <s v="O/S Svc – NAES"/>
    <s v="Tacoma LNG Cash Adva"/>
    <s v="TLNG Liquefaction System for PSE Maintenance"/>
    <s v="2060"/>
    <s v="Utility Oper. &amp; Maint."/>
    <n v="3453.43"/>
    <s v="12"/>
    <s v="2024"/>
    <d v="2024-12-31T00:00:00"/>
    <x v="7"/>
  </r>
  <r>
    <x v="5"/>
    <s v="62300175"/>
    <s v="13500222"/>
    <s v="O/S Svc – NAES"/>
    <s v="Tacoma LNG Cash Adva"/>
    <s v="TLNG Truck Loading System for PSE Operations"/>
    <s v="2060"/>
    <s v="Utility Oper. &amp; Maint."/>
    <n v="3126.88"/>
    <s v="12"/>
    <s v="2024"/>
    <d v="2024-12-31T00:00:00"/>
    <x v="7"/>
  </r>
  <r>
    <x v="6"/>
    <s v="62300175"/>
    <s v="13500222"/>
    <s v="O/S Svc – NAES"/>
    <s v="Tacoma LNG Cash Adva"/>
    <s v="TLNG Pre-Treatment System for PSE Operations"/>
    <s v="2060"/>
    <s v="Utility Oper. &amp; Maint."/>
    <n v="79.069999999999993"/>
    <s v="12"/>
    <s v="2024"/>
    <d v="2024-12-31T00:00:00"/>
    <x v="7"/>
  </r>
  <r>
    <x v="7"/>
    <s v="62300175"/>
    <s v="13500222"/>
    <s v="O/S Svc – NAES"/>
    <s v="Tacoma LNG Cash Adva"/>
    <s v="TLNG Pre-Treatment System for PSE Maintenance"/>
    <s v="2060"/>
    <s v="Utility Oper. &amp; Maint."/>
    <n v="1039.9100000000001"/>
    <s v="12"/>
    <s v="2024"/>
    <d v="2024-12-31T00:00:00"/>
    <x v="7"/>
  </r>
  <r>
    <x v="8"/>
    <s v="62300175"/>
    <s v="13500222"/>
    <s v="O/S Svc – NAES"/>
    <s v="Tacoma LNG Cash Adva"/>
    <s v="TLNG Plant Utilities System for PSE Operations"/>
    <s v="2060"/>
    <s v="Utility Oper. &amp; Maint."/>
    <n v="118.52"/>
    <s v="12"/>
    <s v="2024"/>
    <d v="2024-12-31T00:00:00"/>
    <x v="7"/>
  </r>
  <r>
    <x v="9"/>
    <s v="62300175"/>
    <s v="13500222"/>
    <s v="O/S Svc – NAES"/>
    <s v="Tacoma LNG Cash Adva"/>
    <s v="TLNG Plant Utilities System for PSE Maintenance"/>
    <s v="2060"/>
    <s v="Utility Oper. &amp; Maint."/>
    <n v="3965.19"/>
    <s v="12"/>
    <s v="2024"/>
    <d v="2024-12-31T00:00:00"/>
    <x v="7"/>
  </r>
  <r>
    <x v="10"/>
    <s v="62300175"/>
    <s v="13500222"/>
    <s v="O/S Svc – NAES"/>
    <s v="Tacoma LNG Cash Adva"/>
    <s v="TLNG Fuel System for PSE Maintenance"/>
    <s v="2060"/>
    <s v="Utility Oper. &amp; Maint."/>
    <n v="57.88"/>
    <s v="12"/>
    <s v="2024"/>
    <d v="2024-12-31T00:00:00"/>
    <x v="7"/>
  </r>
  <r>
    <x v="29"/>
    <s v="62300175"/>
    <s v="13500222"/>
    <s v="O/S Svc – NAES"/>
    <s v="Tacoma LNG Cash Adva"/>
    <s v="Tacoma LNG Vaporization for PSE Operations"/>
    <s v="2060"/>
    <s v="Utility Oper. &amp; Maint."/>
    <n v="2582.16"/>
    <s v="12"/>
    <s v="2024"/>
    <d v="2024-12-31T00:00:00"/>
    <x v="7"/>
  </r>
  <r>
    <x v="2"/>
    <s v="62300175"/>
    <s v="13500222"/>
    <s v="O/S Svc – NAES"/>
    <s v="Tacoma LNG Cash Adva"/>
    <s v="Tacoma LNG Vaporization for PSE Maintenance"/>
    <s v="2060"/>
    <s v="Utility Oper. &amp; Maint."/>
    <n v="4129.25"/>
    <s v="12"/>
    <s v="2024"/>
    <d v="2024-12-31T00:00:00"/>
    <x v="7"/>
  </r>
  <r>
    <x v="4"/>
    <s v="62300175"/>
    <s v="13500222"/>
    <s v="O/S Svc – NAES"/>
    <s v="Tacoma LNG Cash Adva"/>
    <s v="TLNG Liquefaction System for PSE Maintenance"/>
    <s v="2060"/>
    <s v="Utility Oper. &amp; Maint."/>
    <n v="38.58"/>
    <s v="12"/>
    <s v="2024"/>
    <d v="2024-12-31T00:00:00"/>
    <x v="7"/>
  </r>
  <r>
    <x v="7"/>
    <s v="62300175"/>
    <s v="13500222"/>
    <s v="O/S Svc – NAES"/>
    <s v="Tacoma LNG Cash Adva"/>
    <s v="TLNG Pre-Treatment System for PSE Maintenance"/>
    <s v="2060"/>
    <s v="Utility Oper. &amp; Maint."/>
    <n v="479.08"/>
    <s v="12"/>
    <s v="2024"/>
    <d v="2024-12-31T00:00:00"/>
    <x v="7"/>
  </r>
  <r>
    <x v="11"/>
    <s v="69990112"/>
    <s v="69990072"/>
    <s v="Transfer - Pyr Tx OH"/>
    <s v="Transfer - Labor OT"/>
    <s v="December 2024 - XFR Costs to COH Pool - Part A1"/>
    <s v="2060"/>
    <s v="Utility Oper. &amp; Maint."/>
    <n v="-28.58"/>
    <s v="12"/>
    <s v="2024"/>
    <d v="2024-12-31T00:00:00"/>
    <x v="7"/>
  </r>
  <r>
    <x v="11"/>
    <s v="69990115"/>
    <s v="69990072"/>
    <s v="Transfer - Incent OH"/>
    <s v="Transfer - Labor OT"/>
    <s v="December 2024 - XFR Costs to COH Pool - Part A1"/>
    <s v="2060"/>
    <s v="Utility Oper. &amp; Maint."/>
    <n v="-33.14"/>
    <s v="12"/>
    <s v="2024"/>
    <d v="2024-12-31T00:00:00"/>
    <x v="7"/>
  </r>
  <r>
    <x v="11"/>
    <s v="69990160"/>
    <s v="69990072"/>
    <s v="Trans Transport OH"/>
    <s v="Transfer - Labor OT"/>
    <s v="December 2024 - XFR Costs to COH Pool - Part A1"/>
    <s v="2060"/>
    <s v="Utility Oper. &amp; Maint."/>
    <n v="-41.05"/>
    <s v="12"/>
    <s v="2024"/>
    <d v="2024-12-31T00:00:00"/>
    <x v="7"/>
  </r>
  <r>
    <x v="11"/>
    <s v="69990114"/>
    <s v="69990072"/>
    <s v="Transfer - PTO OH"/>
    <s v="Transfer - Labor OT"/>
    <s v="December 2024 - XFR Costs to COH Pool - Part A1"/>
    <s v="2060"/>
    <s v="Utility Oper. &amp; Maint."/>
    <n v="-47.43"/>
    <s v="12"/>
    <s v="2024"/>
    <d v="2024-12-31T00:00:00"/>
    <x v="7"/>
  </r>
  <r>
    <x v="11"/>
    <s v="69990111"/>
    <s v="69990072"/>
    <s v="Transfer - Beneftis"/>
    <s v="Transfer - Labor OT"/>
    <s v="December 2024 - XFR Costs to COH Pool - Part A1"/>
    <s v="2060"/>
    <s v="Utility Oper. &amp; Maint."/>
    <n v="-71.150000000000006"/>
    <s v="12"/>
    <s v="2024"/>
    <d v="2024-12-31T00:00:00"/>
    <x v="7"/>
  </r>
  <r>
    <x v="11"/>
    <s v="69990071"/>
    <s v="69990072"/>
    <s v="Transfer - Labor"/>
    <s v="Transfer - Labor OT"/>
    <s v="December 2024 - XFR Costs to COH Pool - Part A1"/>
    <s v="2060"/>
    <s v="Utility Oper. &amp; Maint."/>
    <n v="-304.06"/>
    <s v="12"/>
    <s v="2024"/>
    <d v="2024-12-31T00:00:00"/>
    <x v="7"/>
  </r>
  <r>
    <x v="11"/>
    <s v="69990170"/>
    <s v="69990072"/>
    <s v="Xf Outside Svc-Legal"/>
    <s v="Transfer - Labor OT"/>
    <s v="December 2024 - XFR Costs to COH Pool - Part A1"/>
    <s v="2060"/>
    <s v="Utility Oper. &amp; Maint."/>
    <n v="-338.24"/>
    <s v="12"/>
    <s v="2024"/>
    <d v="2024-12-31T00:00:00"/>
    <x v="7"/>
  </r>
  <r>
    <x v="19"/>
    <s v="60250000"/>
    <s v=""/>
    <s v="Workers Comp Payment"/>
    <s v=""/>
    <s v="ORD 92400330"/>
    <s v=""/>
    <s v=""/>
    <n v="141.68"/>
    <s v="12"/>
    <n v="2024"/>
    <d v="2024-12-31T00:00:00"/>
    <x v="7"/>
  </r>
  <r>
    <x v="27"/>
    <s v="62300175"/>
    <s v=""/>
    <s v="O/S Svc – NAES"/>
    <s v=""/>
    <s v="ORD 84410109"/>
    <s v=""/>
    <s v=""/>
    <n v="-6665"/>
    <s v="12"/>
    <n v="2024"/>
    <d v="2024-12-31T00:00:00"/>
    <x v="7"/>
  </r>
  <r>
    <x v="12"/>
    <s v="62300175"/>
    <s v=""/>
    <s v="O/S Svc – NAES"/>
    <s v=""/>
    <s v="ORD 84780001"/>
    <s v=""/>
    <s v=""/>
    <n v="4305.79"/>
    <s v="12"/>
    <n v="2024"/>
    <d v="2024-12-31T00:00:00"/>
    <x v="7"/>
  </r>
  <r>
    <x v="13"/>
    <s v="62300175"/>
    <s v=""/>
    <s v="O/S Svc – NAES"/>
    <s v=""/>
    <s v="ORD 84000001"/>
    <s v=""/>
    <s v=""/>
    <n v="14384.25"/>
    <s v="12"/>
    <n v="2024"/>
    <d v="2024-12-31T00:00:00"/>
    <x v="7"/>
  </r>
  <r>
    <x v="14"/>
    <s v="60870001"/>
    <s v=""/>
    <s v="Rent/Lease-Non Cancl"/>
    <s v=""/>
    <s v="ORD 84200030"/>
    <s v=""/>
    <s v=""/>
    <n v="91351.35"/>
    <s v="12"/>
    <n v="2024"/>
    <d v="2024-12-31T00:00:00"/>
    <x v="7"/>
  </r>
  <r>
    <x v="14"/>
    <s v="61100000"/>
    <s v=""/>
    <s v="Utilities"/>
    <s v=""/>
    <s v="ORD 84200030"/>
    <s v=""/>
    <s v=""/>
    <n v="18753.009999999998"/>
    <s v="12"/>
    <n v="2024"/>
    <d v="2024-12-31T00:00:00"/>
    <x v="7"/>
  </r>
  <r>
    <x v="15"/>
    <s v="62300175"/>
    <s v=""/>
    <s v="O/S Svc – NAES"/>
    <s v=""/>
    <s v="ORD 84330002"/>
    <s v=""/>
    <s v=""/>
    <n v="-21463.75"/>
    <s v="12"/>
    <n v="2024"/>
    <d v="2024-12-31T00:00:00"/>
    <x v="7"/>
  </r>
  <r>
    <x v="16"/>
    <s v="84311002"/>
    <s v=""/>
    <s v="Analyst 2 Ex"/>
    <s v=""/>
    <s v="ORD 84410107"/>
    <s v=""/>
    <s v=""/>
    <n v="642.91"/>
    <s v="12"/>
    <n v="2024"/>
    <d v="2024-12-31T00:00:00"/>
    <x v="7"/>
  </r>
  <r>
    <x v="16"/>
    <s v="84311009"/>
    <s v=""/>
    <s v="Engineer Ex"/>
    <s v=""/>
    <s v="ORD 84410107"/>
    <s v=""/>
    <s v=""/>
    <n v="398.98"/>
    <s v="12"/>
    <n v="2024"/>
    <d v="2024-12-31T00:00:00"/>
    <x v="7"/>
  </r>
  <r>
    <x v="16"/>
    <s v="84311011"/>
    <s v=""/>
    <s v="Engineer Consult Ex"/>
    <s v=""/>
    <s v="ORD 84410107"/>
    <s v=""/>
    <s v=""/>
    <n v="2551.98"/>
    <s v="12"/>
    <n v="2024"/>
    <d v="2024-12-31T00:00:00"/>
    <x v="7"/>
  </r>
  <r>
    <x v="16"/>
    <s v="84311014"/>
    <s v=""/>
    <s v="Manager 1 Ex"/>
    <s v=""/>
    <s v="ORD 84410107"/>
    <s v=""/>
    <s v=""/>
    <n v="338.29"/>
    <s v="12"/>
    <n v="2024"/>
    <d v="2024-12-31T00:00:00"/>
    <x v="7"/>
  </r>
  <r>
    <x v="16"/>
    <s v="60333000"/>
    <s v=""/>
    <s v="Emp Exp - Mileage Re"/>
    <s v=""/>
    <s v="ORD 84410107"/>
    <s v=""/>
    <s v=""/>
    <n v="19.440000000000001"/>
    <s v="12"/>
    <n v="2024"/>
    <d v="2024-12-31T00:00:00"/>
    <x v="7"/>
  </r>
  <r>
    <x v="16"/>
    <s v="62300175"/>
    <s v=""/>
    <s v="O/S Svc – NAES"/>
    <s v=""/>
    <s v="ORD 84410107"/>
    <s v=""/>
    <s v=""/>
    <n v="74811.81"/>
    <s v="12"/>
    <n v="2024"/>
    <d v="2024-12-31T00:00:00"/>
    <x v="7"/>
  </r>
  <r>
    <x v="16"/>
    <s v="84100013"/>
    <s v=""/>
    <s v="Fleet Gas Ops OH"/>
    <s v=""/>
    <s v="ORD 84410107"/>
    <s v=""/>
    <s v=""/>
    <n v="530.84"/>
    <s v="12"/>
    <n v="2024"/>
    <d v="2024-12-31T00:00:00"/>
    <x v="7"/>
  </r>
  <r>
    <x v="16"/>
    <s v="84100021"/>
    <s v=""/>
    <s v="Payroll Taxes OH"/>
    <s v=""/>
    <s v="ORD 84410107"/>
    <s v=""/>
    <s v=""/>
    <n v="369.62"/>
    <s v="12"/>
    <n v="2024"/>
    <d v="2024-12-31T00:00:00"/>
    <x v="7"/>
  </r>
  <r>
    <x v="16"/>
    <s v="84100022"/>
    <s v=""/>
    <s v="Benefits OH"/>
    <s v=""/>
    <s v="ORD 84410107"/>
    <s v=""/>
    <s v=""/>
    <n v="920.13"/>
    <s v="12"/>
    <n v="2024"/>
    <d v="2024-12-31T00:00:00"/>
    <x v="7"/>
  </r>
  <r>
    <x v="16"/>
    <s v="84100023"/>
    <s v=""/>
    <s v="Paid Time Off OH"/>
    <s v=""/>
    <s v="ORD 84410107"/>
    <s v=""/>
    <s v=""/>
    <n v="613.41999999999996"/>
    <s v="12"/>
    <n v="2024"/>
    <d v="2024-12-31T00:00:00"/>
    <x v="7"/>
  </r>
  <r>
    <x v="16"/>
    <s v="84100024"/>
    <s v=""/>
    <s v="Incentives OH"/>
    <s v=""/>
    <s v="ORD 84410107"/>
    <s v=""/>
    <s v=""/>
    <n v="428.61"/>
    <s v="12"/>
    <n v="2024"/>
    <d v="2024-12-31T00:00:00"/>
    <x v="7"/>
  </r>
  <r>
    <x v="17"/>
    <s v="62300175"/>
    <s v=""/>
    <s v="O/S Svc – NAES"/>
    <s v=""/>
    <s v="ORD 84730001"/>
    <s v=""/>
    <s v=""/>
    <n v="-75"/>
    <s v="12"/>
    <n v="2024"/>
    <d v="2024-12-31T00:00:00"/>
    <x v="7"/>
  </r>
  <r>
    <x v="18"/>
    <s v="62300175"/>
    <s v=""/>
    <s v="O/S Svc – NAES"/>
    <s v=""/>
    <s v="ORD 84620091"/>
    <s v=""/>
    <s v=""/>
    <n v="13002.88"/>
    <s v="12"/>
    <n v="2024"/>
    <d v="2024-12-31T00:00:00"/>
    <x v="7"/>
  </r>
  <r>
    <x v="19"/>
    <s v="62300175"/>
    <s v=""/>
    <s v="O/S Svc – NAES"/>
    <s v=""/>
    <s v="ORD 92400330"/>
    <s v=""/>
    <s v=""/>
    <n v="3212"/>
    <s v="12"/>
    <n v="2024"/>
    <d v="2024-12-31T00:00:00"/>
    <x v="7"/>
  </r>
  <r>
    <x v="20"/>
    <s v="62300175"/>
    <s v=""/>
    <s v="O/S Svc – NAES"/>
    <s v=""/>
    <s v="ORD 84620090"/>
    <s v=""/>
    <s v=""/>
    <n v="3178.09"/>
    <s v="12"/>
    <n v="2024"/>
    <d v="2024-12-31T00:00:00"/>
    <x v="7"/>
  </r>
  <r>
    <x v="28"/>
    <s v="62300175"/>
    <s v=""/>
    <s v="O/S Svc – NAES"/>
    <s v=""/>
    <s v="ORD 84000091"/>
    <s v=""/>
    <s v=""/>
    <n v="28761.74"/>
    <s v="12"/>
    <n v="2024"/>
    <d v="2024-12-31T00:00:00"/>
    <x v="7"/>
  </r>
  <r>
    <x v="21"/>
    <s v="62300175"/>
    <s v=""/>
    <s v="O/S Svc – NAES"/>
    <s v=""/>
    <s v="ORD 84100090"/>
    <s v=""/>
    <s v=""/>
    <n v="56445.06"/>
    <s v="12"/>
    <n v="2024"/>
    <d v="2024-12-31T00:00:00"/>
    <x v="7"/>
  </r>
  <r>
    <x v="22"/>
    <s v="62300175"/>
    <s v=""/>
    <s v="O/S Svc – NAES"/>
    <s v=""/>
    <s v="ORD 84390090"/>
    <s v=""/>
    <s v=""/>
    <n v="38102.720000000001"/>
    <s v="12"/>
    <n v="2024"/>
    <d v="2024-12-31T00:00:00"/>
    <x v="7"/>
  </r>
  <r>
    <x v="23"/>
    <s v="62300175"/>
    <s v=""/>
    <s v="O/S Svc – NAES"/>
    <s v=""/>
    <s v="ORD 84470090"/>
    <s v=""/>
    <s v=""/>
    <n v="5430.81"/>
    <s v="12"/>
    <n v="2024"/>
    <d v="2024-12-31T00:00:00"/>
    <x v="7"/>
  </r>
  <r>
    <x v="24"/>
    <s v="62300175"/>
    <s v=""/>
    <s v="O/S Svc – NAES"/>
    <s v=""/>
    <s v="ORD 84770090"/>
    <s v=""/>
    <s v=""/>
    <n v="2929.98"/>
    <s v="12"/>
    <n v="2024"/>
    <d v="2024-12-31T00:00:00"/>
    <x v="7"/>
  </r>
  <r>
    <x v="1"/>
    <s v="62300175"/>
    <s v=""/>
    <s v="O/S Svc – NAES"/>
    <s v=""/>
    <s v="ORD 84000030"/>
    <s v=""/>
    <s v=""/>
    <n v="71054.83"/>
    <s v="12"/>
    <n v="2024"/>
    <d v="2024-12-31T00:00:00"/>
    <x v="7"/>
  </r>
  <r>
    <x v="25"/>
    <s v="62300175"/>
    <s v=""/>
    <s v="O/S Svc – NAES"/>
    <s v=""/>
    <s v="ORD 84000090"/>
    <s v=""/>
    <s v=""/>
    <n v="13142.41"/>
    <s v="12"/>
    <n v="2024"/>
    <d v="2024-12-31T00:00:00"/>
    <x v="7"/>
  </r>
  <r>
    <x v="11"/>
    <s v="84100013"/>
    <s v=""/>
    <s v="Fleet Gas Ops OH"/>
    <s v=""/>
    <s v=""/>
    <s v=""/>
    <s v=""/>
    <n v="146.6"/>
    <s v="12"/>
    <n v="2024"/>
    <d v="2024-12-31T00:00:00"/>
    <x v="7"/>
  </r>
  <r>
    <x v="11"/>
    <s v="84100021"/>
    <s v=""/>
    <s v="Payroll Taxes OH"/>
    <s v=""/>
    <s v=""/>
    <s v=""/>
    <s v=""/>
    <n v="102.08"/>
    <s v="12"/>
    <n v="2024"/>
    <d v="2024-12-31T00:00:00"/>
    <x v="7"/>
  </r>
  <r>
    <x v="11"/>
    <s v="84100022"/>
    <s v=""/>
    <s v="Benefits OH"/>
    <s v=""/>
    <s v=""/>
    <s v=""/>
    <s v=""/>
    <n v="254.11"/>
    <s v="12"/>
    <n v="2024"/>
    <d v="2024-12-31T00:00:00"/>
    <x v="7"/>
  </r>
  <r>
    <x v="11"/>
    <s v="84100023"/>
    <s v=""/>
    <s v="Paid Time Off OH"/>
    <s v=""/>
    <s v=""/>
    <s v=""/>
    <s v=""/>
    <n v="169.4"/>
    <s v="12"/>
    <n v="2024"/>
    <d v="2024-12-31T00:00:00"/>
    <x v="7"/>
  </r>
  <r>
    <x v="11"/>
    <s v="84100024"/>
    <s v=""/>
    <s v="Incentives OH"/>
    <s v=""/>
    <s v=""/>
    <s v=""/>
    <s v=""/>
    <n v="118.37"/>
    <s v="12"/>
    <n v="2024"/>
    <d v="2024-12-31T00:00:00"/>
    <x v="7"/>
  </r>
  <r>
    <x v="11"/>
    <s v="84311007"/>
    <s v=""/>
    <s v="Consultant Ex"/>
    <s v=""/>
    <s v=""/>
    <s v="2060"/>
    <s v="Utility Oper. &amp; Maint."/>
    <n v="271.48"/>
    <s v="12"/>
    <n v="2024"/>
    <d v="2024-12-31T00:00:00"/>
    <x v="7"/>
  </r>
  <r>
    <x v="11"/>
    <s v="84311007"/>
    <s v=""/>
    <s v="Consultant Ex"/>
    <s v=""/>
    <s v=""/>
    <s v="2060"/>
    <s v="Utility Oper. &amp; Maint."/>
    <n v="271.48"/>
    <s v="12"/>
    <n v="2024"/>
    <d v="2024-12-31T00:00:00"/>
    <x v="7"/>
  </r>
  <r>
    <x v="11"/>
    <s v="84311007"/>
    <s v=""/>
    <s v="Consultant Ex"/>
    <s v=""/>
    <s v=""/>
    <s v="2060"/>
    <s v="Utility Oper. &amp; Maint."/>
    <n v="271.48"/>
    <s v="12"/>
    <n v="2024"/>
    <d v="2024-12-31T00:00:00"/>
    <x v="7"/>
  </r>
  <r>
    <x v="11"/>
    <s v="84311007"/>
    <s v=""/>
    <s v="Consultant Ex"/>
    <s v=""/>
    <s v=""/>
    <s v="2060"/>
    <s v="Utility Oper. &amp; Maint."/>
    <n v="271.48"/>
    <s v="12"/>
    <n v="2024"/>
    <d v="2024-12-31T00:00:00"/>
    <x v="7"/>
  </r>
  <r>
    <x v="4"/>
    <s v="60600000"/>
    <s v="101541"/>
    <s v="Matl-SupDirect Purch"/>
    <s v="ATLAS COPCO COMPTEC LLC"/>
    <s v="mechnical seal"/>
    <s v="2060"/>
    <s v="Utility Oper. &amp; Maint."/>
    <n v="9657.26"/>
    <s v="2"/>
    <s v="2024"/>
    <d v="2024-02-07T00:00:00"/>
    <x v="8"/>
  </r>
  <r>
    <x v="4"/>
    <s v="60600000"/>
    <s v="101541"/>
    <s v="Matl-SupDirect Purch"/>
    <s v="ATLAS COPCO COMPTEC LLC"/>
    <s v="guide vane"/>
    <s v="2060"/>
    <s v="Utility Oper. &amp; Maint."/>
    <n v="9864.77"/>
    <s v="2"/>
    <s v="2024"/>
    <d v="2024-02-07T00:00:00"/>
    <x v="8"/>
  </r>
  <r>
    <x v="4"/>
    <s v="60600000"/>
    <s v="101541"/>
    <s v="Matl-SupDirect Purch"/>
    <s v="ATLAS COPCO COMPTEC LLC"/>
    <s v="cable gland"/>
    <s v="2060"/>
    <s v="Utility Oper. &amp; Maint."/>
    <n v="30.77"/>
    <s v="2"/>
    <s v="2024"/>
    <d v="2024-02-07T00:00:00"/>
    <x v="8"/>
  </r>
  <r>
    <x v="4"/>
    <s v="60600000"/>
    <s v="101541"/>
    <s v="Matl-SupDirect Purch"/>
    <s v="ATLAS COPCO COMPTEC LLC"/>
    <s v="guide bolt"/>
    <s v="2060"/>
    <s v="Utility Oper. &amp; Maint."/>
    <n v="75.34"/>
    <s v="2"/>
    <s v="2024"/>
    <d v="2024-02-07T00:00:00"/>
    <x v="8"/>
  </r>
  <r>
    <x v="4"/>
    <s v="60600000"/>
    <s v="101541"/>
    <s v="Matl-SupDirect Purch"/>
    <s v="ATLAS COPCO COMPTEC LLC"/>
    <s v="round sealing ring"/>
    <s v="2060"/>
    <s v="Utility Oper. &amp; Maint."/>
    <n v="0.42"/>
    <s v="2"/>
    <s v="2024"/>
    <d v="2024-02-07T00:00:00"/>
    <x v="8"/>
  </r>
  <r>
    <x v="0"/>
    <s v="61100000"/>
    <s v="23200543"/>
    <s v="Utilities"/>
    <s v="AP Non-SAP Sys"/>
    <s v="Tacoma Public Utilities - Power cost for LNG lique"/>
    <s v="2060"/>
    <s v="Utility Oper. &amp; Maint."/>
    <n v="-50759.51"/>
    <s v="2"/>
    <s v="2024"/>
    <d v="2024-02-08T00:00:00"/>
    <x v="8"/>
  </r>
  <r>
    <x v="5"/>
    <s v="62300175"/>
    <s v="62300175"/>
    <s v="O/S Svc – NAES"/>
    <s v="O/S Svc – NAES"/>
    <s v="TLNG Truck Loading System for PSE Operatoins"/>
    <s v="2060"/>
    <s v="Utility Oper. &amp; Maint."/>
    <n v="-73.989999999999995"/>
    <s v="2"/>
    <s v="2024"/>
    <d v="2024-02-29T00:00:00"/>
    <x v="8"/>
  </r>
  <r>
    <x v="7"/>
    <s v="62300175"/>
    <s v="62300175"/>
    <s v="O/S Svc – NAES"/>
    <s v="O/S Svc – NAES"/>
    <s v="TLNG Pre-Treatment System for PSE Maintenance"/>
    <s v="2060"/>
    <s v="Utility Oper. &amp; Maint."/>
    <n v="-81.84"/>
    <s v="2"/>
    <s v="2024"/>
    <d v="2024-02-29T00:00:00"/>
    <x v="8"/>
  </r>
  <r>
    <x v="32"/>
    <s v="62300175"/>
    <s v="62300175"/>
    <s v="O/S Svc – NAES"/>
    <s v="O/S Svc – NAES"/>
    <s v="TLNG Fuel System for PSE Operations"/>
    <s v="2060"/>
    <s v="Utility Oper. &amp; Maint."/>
    <n v="-79.06"/>
    <s v="2"/>
    <s v="2024"/>
    <d v="2024-02-29T00:00:00"/>
    <x v="8"/>
  </r>
  <r>
    <x v="29"/>
    <s v="62300175"/>
    <s v="62300175"/>
    <s v="O/S Svc – NAES"/>
    <s v="O/S Svc – NAES"/>
    <s v="Tacoma LNG Vaporization for PSE Operations"/>
    <s v="2060"/>
    <s v="Utility Oper. &amp; Maint."/>
    <n v="-1964"/>
    <s v="2"/>
    <s v="2024"/>
    <d v="2024-02-29T00:00:00"/>
    <x v="8"/>
  </r>
  <r>
    <x v="2"/>
    <s v="62300175"/>
    <s v="62300175"/>
    <s v="O/S Svc – NAES"/>
    <s v="O/S Svc – NAES"/>
    <s v="Tacoma LNG Vaporization for PSE Maintenance"/>
    <s v="2060"/>
    <s v="Utility Oper. &amp; Maint."/>
    <n v="-154"/>
    <s v="2"/>
    <s v="2024"/>
    <d v="2024-02-29T00:00:00"/>
    <x v="8"/>
  </r>
  <r>
    <x v="3"/>
    <s v="62300175"/>
    <s v="13500222"/>
    <s v="O/S Svc – NAES"/>
    <s v="Tacoma LNG Cash Adva"/>
    <s v="TLNG Liquefaction System for PSE Operations"/>
    <s v="2060"/>
    <s v="Utility Oper. &amp; Maint."/>
    <n v="4139.62"/>
    <s v="2"/>
    <s v="2024"/>
    <d v="2024-02-29T00:00:00"/>
    <x v="8"/>
  </r>
  <r>
    <x v="4"/>
    <s v="62300175"/>
    <s v="13500222"/>
    <s v="O/S Svc – NAES"/>
    <s v="Tacoma LNG Cash Adva"/>
    <s v="TLNG Liquefaction System for PSE Maintenance"/>
    <s v="2060"/>
    <s v="Utility Oper. &amp; Maint."/>
    <n v="139.05000000000001"/>
    <s v="2"/>
    <s v="2024"/>
    <d v="2024-02-29T00:00:00"/>
    <x v="8"/>
  </r>
  <r>
    <x v="6"/>
    <s v="62300175"/>
    <s v="13500222"/>
    <s v="O/S Svc – NAES"/>
    <s v="Tacoma LNG Cash Adva"/>
    <s v="TLNG Pre-Treatment System for PSE Operations"/>
    <s v="2060"/>
    <s v="Utility Oper. &amp; Maint."/>
    <n v="6544.77"/>
    <s v="2"/>
    <s v="2024"/>
    <d v="2024-02-29T00:00:00"/>
    <x v="8"/>
  </r>
  <r>
    <x v="8"/>
    <s v="62300175"/>
    <s v="13500222"/>
    <s v="O/S Svc – NAES"/>
    <s v="Tacoma LNG Cash Adva"/>
    <s v="TLNG Plant Utilities System for PSE Operations"/>
    <s v="2060"/>
    <s v="Utility Oper. &amp; Maint."/>
    <n v="1246.97"/>
    <s v="2"/>
    <s v="2024"/>
    <d v="2024-02-29T00:00:00"/>
    <x v="8"/>
  </r>
  <r>
    <x v="9"/>
    <s v="62300175"/>
    <s v="13500222"/>
    <s v="O/S Svc – NAES"/>
    <s v="Tacoma LNG Cash Adva"/>
    <s v="TLNG Plant Utilities System for PSE Maintenance"/>
    <s v="2060"/>
    <s v="Utility Oper. &amp; Maint."/>
    <n v="1934.68"/>
    <s v="2"/>
    <s v="2024"/>
    <d v="2024-02-29T00:00:00"/>
    <x v="8"/>
  </r>
  <r>
    <x v="10"/>
    <s v="62300175"/>
    <s v="13500222"/>
    <s v="O/S Svc – NAES"/>
    <s v="Tacoma LNG Cash Adva"/>
    <s v="TLNG Fuel System for PSE Maintenance"/>
    <s v="2060"/>
    <s v="Utility Oper. &amp; Maint."/>
    <n v="83.64"/>
    <s v="2"/>
    <s v="2024"/>
    <d v="2024-02-29T00:00:00"/>
    <x v="8"/>
  </r>
  <r>
    <x v="11"/>
    <s v="69990112"/>
    <s v="69990072"/>
    <s v="Transfer - Pyr Tx OH"/>
    <s v="Transfer - Labor OT"/>
    <s v="February 2024 - Xfr Costs to COH Pool - Part A"/>
    <s v="2060"/>
    <s v="Utility Oper. &amp; Maint."/>
    <n v="-14.29"/>
    <s v="2"/>
    <s v="2024"/>
    <d v="2024-02-29T00:00:00"/>
    <x v="8"/>
  </r>
  <r>
    <x v="11"/>
    <s v="69990115"/>
    <s v="69990072"/>
    <s v="Transfer - Incent OH"/>
    <s v="Transfer - Labor OT"/>
    <s v="February 2024 - Xfr Costs to COH Pool - Part A"/>
    <s v="2060"/>
    <s v="Utility Oper. &amp; Maint."/>
    <n v="-16.57"/>
    <s v="2"/>
    <s v="2024"/>
    <d v="2024-02-29T00:00:00"/>
    <x v="8"/>
  </r>
  <r>
    <x v="11"/>
    <s v="69990160"/>
    <s v="69990072"/>
    <s v="Trans Transport OH"/>
    <s v="Transfer - Labor OT"/>
    <s v="February 2024 - Xfr Costs to COH Pool - Part A"/>
    <s v="2060"/>
    <s v="Utility Oper. &amp; Maint."/>
    <n v="-18.239999999999998"/>
    <s v="2"/>
    <s v="2024"/>
    <d v="2024-02-29T00:00:00"/>
    <x v="8"/>
  </r>
  <r>
    <x v="11"/>
    <s v="69990114"/>
    <s v="69990072"/>
    <s v="Transfer - PTO OH"/>
    <s v="Transfer - Labor OT"/>
    <s v="February 2024 - Xfr Costs to COH Pool - Part A"/>
    <s v="2060"/>
    <s v="Utility Oper. &amp; Maint."/>
    <n v="-23.72"/>
    <s v="2"/>
    <s v="2024"/>
    <d v="2024-02-29T00:00:00"/>
    <x v="8"/>
  </r>
  <r>
    <x v="11"/>
    <s v="69990111"/>
    <s v="69990072"/>
    <s v="Transfer - Beneftis"/>
    <s v="Transfer - Labor OT"/>
    <s v="February 2024 - Xfr Costs to COH Pool - Part A"/>
    <s v="2060"/>
    <s v="Utility Oper. &amp; Maint."/>
    <n v="-35.57"/>
    <s v="2"/>
    <s v="2024"/>
    <d v="2024-02-29T00:00:00"/>
    <x v="8"/>
  </r>
  <r>
    <x v="11"/>
    <s v="69990071"/>
    <s v="69990072"/>
    <s v="Transfer - Labor"/>
    <s v="Transfer - Labor OT"/>
    <s v="February 2024 - Xfr Costs to COH Pool - Part A"/>
    <s v="2060"/>
    <s v="Utility Oper. &amp; Maint."/>
    <n v="-152.03"/>
    <s v="2"/>
    <s v="2024"/>
    <d v="2024-02-29T00:00:00"/>
    <x v="8"/>
  </r>
  <r>
    <x v="13"/>
    <s v="62300175"/>
    <s v=""/>
    <s v="O/S Svc – NAES"/>
    <s v=""/>
    <s v="ORD 84000001"/>
    <s v=""/>
    <s v=""/>
    <n v="10450.969999999999"/>
    <s v="2"/>
    <n v="2024"/>
    <d v="2024-02-29T00:00:00"/>
    <x v="8"/>
  </r>
  <r>
    <x v="14"/>
    <s v="60870001"/>
    <s v=""/>
    <s v="Rent/Lease-Non Cancl"/>
    <s v=""/>
    <s v="ORD 84200030"/>
    <s v=""/>
    <s v=""/>
    <n v="110104.36"/>
    <s v="2"/>
    <n v="2024"/>
    <d v="2024-02-29T00:00:00"/>
    <x v="8"/>
  </r>
  <r>
    <x v="15"/>
    <s v="62300175"/>
    <s v=""/>
    <s v="O/S Svc – NAES"/>
    <s v=""/>
    <s v="ORD 84330002"/>
    <s v=""/>
    <s v=""/>
    <n v="15127.99"/>
    <s v="2"/>
    <n v="2024"/>
    <d v="2024-02-29T00:00:00"/>
    <x v="8"/>
  </r>
  <r>
    <x v="16"/>
    <s v="84311002"/>
    <s v=""/>
    <s v="Analyst 2 Ex"/>
    <s v=""/>
    <s v="ORD 84410107"/>
    <s v=""/>
    <s v=""/>
    <n v="714.79"/>
    <s v="2"/>
    <n v="2024"/>
    <d v="2024-02-29T00:00:00"/>
    <x v="8"/>
  </r>
  <r>
    <x v="16"/>
    <s v="84311007"/>
    <s v=""/>
    <s v="Consultant Ex"/>
    <s v=""/>
    <s v="ORD 84410107"/>
    <s v=""/>
    <s v=""/>
    <n v="29.18"/>
    <s v="2"/>
    <n v="2024"/>
    <d v="2024-02-29T00:00:00"/>
    <x v="8"/>
  </r>
  <r>
    <x v="16"/>
    <s v="84311007"/>
    <s v=""/>
    <s v="Consultant Ex"/>
    <s v=""/>
    <s v="ORD 84410107"/>
    <s v=""/>
    <s v=""/>
    <n v="1713.09"/>
    <s v="2"/>
    <n v="2024"/>
    <d v="2024-02-29T00:00:00"/>
    <x v="8"/>
  </r>
  <r>
    <x v="16"/>
    <s v="84311011"/>
    <s v=""/>
    <s v="Engineer Consult Ex"/>
    <s v=""/>
    <s v="ORD 84410107"/>
    <s v=""/>
    <s v=""/>
    <n v="2417.67"/>
    <s v="2"/>
    <n v="2024"/>
    <d v="2024-02-29T00:00:00"/>
    <x v="8"/>
  </r>
  <r>
    <x v="16"/>
    <s v="60333000"/>
    <s v=""/>
    <s v="Emp Exp - Mileage Re"/>
    <s v=""/>
    <s v="ORD 84410107"/>
    <s v=""/>
    <s v=""/>
    <n v="64.22"/>
    <s v="2"/>
    <n v="2024"/>
    <d v="2024-02-29T00:00:00"/>
    <x v="8"/>
  </r>
  <r>
    <x v="16"/>
    <s v="60333150"/>
    <s v=""/>
    <s v="Emp Exp-Grnd Trn xcl"/>
    <s v=""/>
    <s v="ORD 84410107"/>
    <s v=""/>
    <s v=""/>
    <n v="167.59"/>
    <s v="2"/>
    <n v="2024"/>
    <d v="2024-02-29T00:00:00"/>
    <x v="8"/>
  </r>
  <r>
    <x v="16"/>
    <s v="62300175"/>
    <s v=""/>
    <s v="O/S Svc – NAES"/>
    <s v=""/>
    <s v="ORD 84410107"/>
    <s v=""/>
    <s v=""/>
    <n v="41203.18"/>
    <s v="2"/>
    <n v="2024"/>
    <d v="2024-02-29T00:00:00"/>
    <x v="8"/>
  </r>
  <r>
    <x v="16"/>
    <s v="84100013"/>
    <s v=""/>
    <s v="Fleet Gas Ops OH"/>
    <s v=""/>
    <s v="ORD 84410107"/>
    <s v=""/>
    <s v=""/>
    <n v="584.97"/>
    <s v="2"/>
    <n v="2024"/>
    <d v="2024-02-29T00:00:00"/>
    <x v="8"/>
  </r>
  <r>
    <x v="16"/>
    <s v="84100021"/>
    <s v=""/>
    <s v="Payroll Taxes OH"/>
    <s v=""/>
    <s v="ORD 84410107"/>
    <s v=""/>
    <s v=""/>
    <n v="458.23"/>
    <s v="2"/>
    <n v="2024"/>
    <d v="2024-02-29T00:00:00"/>
    <x v="8"/>
  </r>
  <r>
    <x v="16"/>
    <s v="84100022"/>
    <s v=""/>
    <s v="Benefits OH"/>
    <s v=""/>
    <s v="ORD 84410107"/>
    <s v=""/>
    <s v=""/>
    <n v="1140.69"/>
    <s v="2"/>
    <n v="2024"/>
    <d v="2024-02-29T00:00:00"/>
    <x v="8"/>
  </r>
  <r>
    <x v="16"/>
    <s v="84100023"/>
    <s v=""/>
    <s v="Paid Time Off OH"/>
    <s v=""/>
    <s v="ORD 84410107"/>
    <s v=""/>
    <s v=""/>
    <n v="760.46"/>
    <s v="2"/>
    <n v="2024"/>
    <d v="2024-02-29T00:00:00"/>
    <x v="8"/>
  </r>
  <r>
    <x v="16"/>
    <s v="84100024"/>
    <s v=""/>
    <s v="Incentives OH"/>
    <s v=""/>
    <s v="ORD 84410107"/>
    <s v=""/>
    <s v=""/>
    <n v="531.35"/>
    <s v="2"/>
    <n v="2024"/>
    <d v="2024-02-29T00:00:00"/>
    <x v="8"/>
  </r>
  <r>
    <x v="18"/>
    <s v="62300175"/>
    <s v=""/>
    <s v="O/S Svc – NAES"/>
    <s v=""/>
    <s v="ORD 84620091"/>
    <s v=""/>
    <s v=""/>
    <n v="13607.26"/>
    <s v="2"/>
    <n v="2024"/>
    <d v="2024-02-29T00:00:00"/>
    <x v="8"/>
  </r>
  <r>
    <x v="19"/>
    <s v="60250000"/>
    <s v=""/>
    <s v="Workers Comp Payment"/>
    <s v=""/>
    <s v="ORD 92400330"/>
    <s v=""/>
    <s v=""/>
    <n v="141.68"/>
    <s v="2"/>
    <n v="2024"/>
    <d v="2024-02-29T00:00:00"/>
    <x v="8"/>
  </r>
  <r>
    <x v="19"/>
    <s v="62300175"/>
    <s v=""/>
    <s v="O/S Svc – NAES"/>
    <s v=""/>
    <s v="ORD 92400330"/>
    <s v=""/>
    <s v=""/>
    <n v="1605.35"/>
    <s v="2"/>
    <n v="2024"/>
    <d v="2024-02-29T00:00:00"/>
    <x v="8"/>
  </r>
  <r>
    <x v="20"/>
    <s v="62300175"/>
    <s v=""/>
    <s v="O/S Svc – NAES"/>
    <s v=""/>
    <s v="ORD 84620090"/>
    <s v=""/>
    <s v=""/>
    <n v="6176.46"/>
    <s v="2"/>
    <n v="2024"/>
    <d v="2024-02-29T00:00:00"/>
    <x v="8"/>
  </r>
  <r>
    <x v="28"/>
    <s v="62300175"/>
    <s v=""/>
    <s v="O/S Svc – NAES"/>
    <s v=""/>
    <s v="ORD 84000091"/>
    <s v=""/>
    <s v=""/>
    <n v="-12.04"/>
    <s v="2"/>
    <n v="2024"/>
    <d v="2024-02-29T00:00:00"/>
    <x v="8"/>
  </r>
  <r>
    <x v="21"/>
    <s v="62300175"/>
    <s v=""/>
    <s v="O/S Svc – NAES"/>
    <s v=""/>
    <s v="ORD 84100090"/>
    <s v=""/>
    <s v=""/>
    <n v="48771.96"/>
    <s v="2"/>
    <n v="2024"/>
    <d v="2024-02-29T00:00:00"/>
    <x v="8"/>
  </r>
  <r>
    <x v="22"/>
    <s v="62300175"/>
    <s v=""/>
    <s v="O/S Svc – NAES"/>
    <s v=""/>
    <s v="ORD 84390090"/>
    <s v=""/>
    <s v=""/>
    <n v="29241"/>
    <s v="2"/>
    <n v="2024"/>
    <d v="2024-02-29T00:00:00"/>
    <x v="8"/>
  </r>
  <r>
    <x v="23"/>
    <s v="62300175"/>
    <s v=""/>
    <s v="O/S Svc – NAES"/>
    <s v=""/>
    <s v="ORD 84470090"/>
    <s v=""/>
    <s v=""/>
    <n v="2635.04"/>
    <s v="2"/>
    <n v="2024"/>
    <d v="2024-02-29T00:00:00"/>
    <x v="8"/>
  </r>
  <r>
    <x v="24"/>
    <s v="62300175"/>
    <s v=""/>
    <s v="O/S Svc – NAES"/>
    <s v=""/>
    <s v="ORD 84770090"/>
    <s v=""/>
    <s v=""/>
    <n v="5464.08"/>
    <s v="2"/>
    <n v="2024"/>
    <d v="2024-02-29T00:00:00"/>
    <x v="8"/>
  </r>
  <r>
    <x v="1"/>
    <s v="62300175"/>
    <s v=""/>
    <s v="O/S Svc – NAES"/>
    <s v=""/>
    <s v="ORD 84000030"/>
    <s v=""/>
    <s v=""/>
    <n v="23684.94"/>
    <s v="2"/>
    <n v="2024"/>
    <d v="2024-02-29T00:00:00"/>
    <x v="8"/>
  </r>
  <r>
    <x v="25"/>
    <s v="84311009"/>
    <s v=""/>
    <s v="Engineer Ex"/>
    <s v=""/>
    <s v="ORD 84000090"/>
    <s v=""/>
    <s v=""/>
    <n v="70.41"/>
    <s v="2"/>
    <n v="2024"/>
    <d v="2024-02-29T00:00:00"/>
    <x v="8"/>
  </r>
  <r>
    <x v="25"/>
    <s v="62300175"/>
    <s v=""/>
    <s v="O/S Svc – NAES"/>
    <s v=""/>
    <s v="ORD 84000090"/>
    <s v=""/>
    <s v=""/>
    <n v="16267.38"/>
    <s v="2"/>
    <n v="2024"/>
    <d v="2024-02-29T00:00:00"/>
    <x v="8"/>
  </r>
  <r>
    <x v="25"/>
    <s v="84100013"/>
    <s v=""/>
    <s v="Fleet Gas Ops OH"/>
    <s v=""/>
    <s v="ORD 84000090"/>
    <s v=""/>
    <s v=""/>
    <n v="8.4499999999999993"/>
    <s v="2"/>
    <n v="2024"/>
    <d v="2024-02-29T00:00:00"/>
    <x v="8"/>
  </r>
  <r>
    <x v="25"/>
    <s v="84100021"/>
    <s v=""/>
    <s v="Payroll Taxes OH"/>
    <s v=""/>
    <s v="ORD 84000090"/>
    <s v=""/>
    <s v=""/>
    <n v="6.62"/>
    <s v="2"/>
    <n v="2024"/>
    <d v="2024-02-29T00:00:00"/>
    <x v="8"/>
  </r>
  <r>
    <x v="25"/>
    <s v="84100022"/>
    <s v=""/>
    <s v="Benefits OH"/>
    <s v=""/>
    <s v="ORD 84000090"/>
    <s v=""/>
    <s v=""/>
    <n v="16.48"/>
    <s v="2"/>
    <n v="2024"/>
    <d v="2024-02-29T00:00:00"/>
    <x v="8"/>
  </r>
  <r>
    <x v="25"/>
    <s v="84100023"/>
    <s v=""/>
    <s v="Paid Time Off OH"/>
    <s v=""/>
    <s v="ORD 84000090"/>
    <s v=""/>
    <s v=""/>
    <n v="10.98"/>
    <s v="2"/>
    <n v="2024"/>
    <d v="2024-02-29T00:00:00"/>
    <x v="8"/>
  </r>
  <r>
    <x v="25"/>
    <s v="84100024"/>
    <s v=""/>
    <s v="Incentives OH"/>
    <s v=""/>
    <s v="ORD 84000090"/>
    <s v=""/>
    <s v=""/>
    <n v="7.68"/>
    <s v="2"/>
    <n v="2024"/>
    <d v="2024-02-29T00:00:00"/>
    <x v="8"/>
  </r>
  <r>
    <x v="11"/>
    <s v="84100013"/>
    <s v=""/>
    <s v="Fleet Gas Ops OH"/>
    <s v=""/>
    <s v=""/>
    <s v=""/>
    <s v=""/>
    <n v="65.16"/>
    <s v="2"/>
    <n v="2024"/>
    <d v="2024-02-29T00:00:00"/>
    <x v="8"/>
  </r>
  <r>
    <x v="11"/>
    <s v="84100021"/>
    <s v=""/>
    <s v="Payroll Taxes OH"/>
    <s v=""/>
    <s v=""/>
    <s v=""/>
    <s v=""/>
    <n v="51.04"/>
    <s v="2"/>
    <n v="2024"/>
    <d v="2024-02-29T00:00:00"/>
    <x v="8"/>
  </r>
  <r>
    <x v="11"/>
    <s v="84100022"/>
    <s v=""/>
    <s v="Benefits OH"/>
    <s v=""/>
    <s v=""/>
    <s v=""/>
    <s v=""/>
    <n v="127.05"/>
    <s v="2"/>
    <n v="2024"/>
    <d v="2024-02-29T00:00:00"/>
    <x v="8"/>
  </r>
  <r>
    <x v="11"/>
    <s v="84100023"/>
    <s v=""/>
    <s v="Paid Time Off OH"/>
    <s v=""/>
    <s v=""/>
    <s v=""/>
    <s v=""/>
    <n v="84.7"/>
    <s v="2"/>
    <n v="2024"/>
    <d v="2024-02-29T00:00:00"/>
    <x v="8"/>
  </r>
  <r>
    <x v="11"/>
    <s v="84100024"/>
    <s v=""/>
    <s v="Incentives OH"/>
    <s v=""/>
    <s v=""/>
    <s v=""/>
    <s v=""/>
    <n v="59.18"/>
    <s v="2"/>
    <n v="2024"/>
    <d v="2024-02-29T00:00:00"/>
    <x v="8"/>
  </r>
  <r>
    <x v="11"/>
    <s v="84311007"/>
    <s v=""/>
    <s v="Consultant Ex"/>
    <s v=""/>
    <s v=""/>
    <s v="2060"/>
    <s v="Utility Oper. &amp; Maint."/>
    <n v="271.48"/>
    <s v="2"/>
    <n v="2024"/>
    <d v="2024-02-29T00:00:00"/>
    <x v="8"/>
  </r>
  <r>
    <x v="11"/>
    <s v="84311007"/>
    <s v=""/>
    <s v="Consultant Ex"/>
    <s v=""/>
    <s v=""/>
    <s v="2060"/>
    <s v="Utility Oper. &amp; Maint."/>
    <n v="271.48"/>
    <s v="2"/>
    <n v="2024"/>
    <d v="2024-02-29T00:00:00"/>
    <x v="8"/>
  </r>
  <r>
    <x v="0"/>
    <s v="61100000"/>
    <s v="101611"/>
    <s v="Utilities"/>
    <s v="CITY OF TACOMA"/>
    <s v="101611 -CITY OF TACOMA"/>
    <s v="2060"/>
    <s v="Utility Oper. &amp; Maint."/>
    <n v="51824.82"/>
    <s v="2"/>
    <s v="2025"/>
    <d v="2025-02-05T00:00:00"/>
    <x v="9"/>
  </r>
  <r>
    <x v="0"/>
    <s v="61100000"/>
    <s v="101611"/>
    <s v="Utilities"/>
    <s v="CITY OF TACOMA"/>
    <s v="101611 -CITY OF TACOMA"/>
    <s v="2060"/>
    <s v="Utility Oper. &amp; Maint."/>
    <n v="1554.69"/>
    <s v="2"/>
    <s v="2025"/>
    <d v="2025-02-05T00:00:00"/>
    <x v="9"/>
  </r>
  <r>
    <x v="0"/>
    <s v="61100000"/>
    <s v="23200543"/>
    <s v="Utilities"/>
    <s v="AP Non-SAP Sys"/>
    <s v="Tacoma Public Utilities - Power cost for LNG lique"/>
    <s v="2060"/>
    <s v="Utility Oper. &amp; Maint."/>
    <n v="-51838"/>
    <s v="2"/>
    <s v="2025"/>
    <d v="2025-02-11T00:00:00"/>
    <x v="9"/>
  </r>
  <r>
    <x v="0"/>
    <s v="61100000"/>
    <s v="23200543"/>
    <s v="Utilities"/>
    <s v="AP Non-SAP Sys"/>
    <s v="Tacoma Public Utilities - Power cost for LNG lique"/>
    <s v="2060"/>
    <s v="Utility Oper. &amp; Maint."/>
    <n v="51130"/>
    <s v="2"/>
    <s v="2025"/>
    <d v="2025-02-27T00:00:00"/>
    <x v="9"/>
  </r>
  <r>
    <x v="9"/>
    <s v="62300175"/>
    <s v="62300175"/>
    <s v="O/S Svc – NAES"/>
    <s v="O/S Svc – NAES"/>
    <s v="TLNG Plant Utilities System for PSE Maintenance"/>
    <s v="2060"/>
    <s v="Utility Oper. &amp; Maint."/>
    <n v="-265.27999999999997"/>
    <s v="2"/>
    <s v="2025"/>
    <d v="2025-02-28T00:00:00"/>
    <x v="9"/>
  </r>
  <r>
    <x v="10"/>
    <s v="62300175"/>
    <s v="62300175"/>
    <s v="O/S Svc – NAES"/>
    <s v="O/S Svc – NAES"/>
    <s v="TLNG Fuel System for PSE Maintenance"/>
    <s v="2060"/>
    <s v="Utility Oper. &amp; Maint."/>
    <n v="-13.8"/>
    <s v="2"/>
    <s v="2025"/>
    <d v="2025-02-28T00:00:00"/>
    <x v="9"/>
  </r>
  <r>
    <x v="2"/>
    <s v="62300175"/>
    <s v="62300175"/>
    <s v="O/S Svc – NAES"/>
    <s v="O/S Svc – NAES"/>
    <s v="Tacoma LNG Vaporization for PSE Maintenance"/>
    <s v="2060"/>
    <s v="Utility Oper. &amp; Maint."/>
    <n v="-1586"/>
    <s v="2"/>
    <s v="2025"/>
    <d v="2025-02-28T00:00:00"/>
    <x v="9"/>
  </r>
  <r>
    <x v="4"/>
    <s v="62300175"/>
    <s v="13500222"/>
    <s v="O/S Svc – NAES"/>
    <s v="Tacoma LNG Cash Adva"/>
    <s v="TLNG Liquefaction System for PSE Maintenance"/>
    <s v="2060"/>
    <s v="Utility Oper. &amp; Maint."/>
    <n v="1975.4"/>
    <s v="2"/>
    <s v="2025"/>
    <d v="2025-02-28T00:00:00"/>
    <x v="9"/>
  </r>
  <r>
    <x v="5"/>
    <s v="62300175"/>
    <s v="13500222"/>
    <s v="O/S Svc – NAES"/>
    <s v="Tacoma LNG Cash Adva"/>
    <s v="TLNG Truck Loading System for PSE Operatoins"/>
    <s v="2060"/>
    <s v="Utility Oper. &amp; Maint."/>
    <n v="1662.47"/>
    <s v="2"/>
    <s v="2025"/>
    <d v="2025-02-28T00:00:00"/>
    <x v="9"/>
  </r>
  <r>
    <x v="7"/>
    <s v="62300175"/>
    <s v="13500222"/>
    <s v="O/S Svc – NAES"/>
    <s v="Tacoma LNG Cash Adva"/>
    <s v="TLNG Pre-Treatment System for PSE Maintenance"/>
    <s v="2060"/>
    <s v="Utility Oper. &amp; Maint."/>
    <n v="9.94"/>
    <s v="2"/>
    <s v="2025"/>
    <d v="2025-02-28T00:00:00"/>
    <x v="9"/>
  </r>
  <r>
    <x v="8"/>
    <s v="62300175"/>
    <s v="13500222"/>
    <s v="O/S Svc – NAES"/>
    <s v="Tacoma LNG Cash Adva"/>
    <s v="TLNG Plant Utilities System for PSE Operations"/>
    <s v="2060"/>
    <s v="Utility Oper. &amp; Maint."/>
    <n v="342.19"/>
    <s v="2"/>
    <s v="2025"/>
    <d v="2025-02-28T00:00:00"/>
    <x v="9"/>
  </r>
  <r>
    <x v="13"/>
    <s v="62300175"/>
    <s v=""/>
    <s v="O/S Svc – NAES"/>
    <s v=""/>
    <s v="ORD 84000001"/>
    <s v=""/>
    <s v=""/>
    <n v="4927.8599999999997"/>
    <s v="2"/>
    <n v="2025"/>
    <d v="2025-02-28T00:00:00"/>
    <x v="9"/>
  </r>
  <r>
    <x v="14"/>
    <s v="60870001"/>
    <s v=""/>
    <s v="Rent/Lease-Non Cancl"/>
    <s v=""/>
    <s v="ORD 84200030"/>
    <s v=""/>
    <s v=""/>
    <n v="91351.35"/>
    <s v="2"/>
    <n v="2025"/>
    <d v="2025-02-28T00:00:00"/>
    <x v="9"/>
  </r>
  <r>
    <x v="14"/>
    <s v="61100000"/>
    <s v=""/>
    <s v="Utilities"/>
    <s v=""/>
    <s v="ORD 84200030"/>
    <s v=""/>
    <s v=""/>
    <n v="24632.59"/>
    <s v="2"/>
    <n v="2025"/>
    <d v="2025-02-28T00:00:00"/>
    <x v="9"/>
  </r>
  <r>
    <x v="15"/>
    <s v="62300175"/>
    <s v=""/>
    <s v="O/S Svc – NAES"/>
    <s v=""/>
    <s v="ORD 84330002"/>
    <s v=""/>
    <s v=""/>
    <n v="1990.82"/>
    <s v="2"/>
    <n v="2025"/>
    <d v="2025-02-28T00:00:00"/>
    <x v="9"/>
  </r>
  <r>
    <x v="16"/>
    <s v="84311002"/>
    <s v=""/>
    <s v="Analyst 2 Ex"/>
    <s v=""/>
    <s v="ORD 84410107"/>
    <s v=""/>
    <s v=""/>
    <n v="640.79"/>
    <s v="2"/>
    <n v="2025"/>
    <d v="2025-02-28T00:00:00"/>
    <x v="9"/>
  </r>
  <r>
    <x v="16"/>
    <s v="84311009"/>
    <s v=""/>
    <s v="Engineer Ex"/>
    <s v=""/>
    <s v="ORD 84410107"/>
    <s v=""/>
    <s v=""/>
    <n v="71.88"/>
    <s v="2"/>
    <n v="2025"/>
    <d v="2025-02-28T00:00:00"/>
    <x v="9"/>
  </r>
  <r>
    <x v="16"/>
    <s v="84311011"/>
    <s v=""/>
    <s v="Engineer Consult Ex"/>
    <s v=""/>
    <s v="ORD 84410107"/>
    <s v=""/>
    <s v=""/>
    <n v="2553.58"/>
    <s v="2"/>
    <n v="2025"/>
    <d v="2025-02-28T00:00:00"/>
    <x v="9"/>
  </r>
  <r>
    <x v="16"/>
    <s v="84311014"/>
    <s v=""/>
    <s v="Manager 1 Ex"/>
    <s v=""/>
    <s v="ORD 84410107"/>
    <s v=""/>
    <s v=""/>
    <n v="255.38"/>
    <s v="2"/>
    <n v="2025"/>
    <d v="2025-02-28T00:00:00"/>
    <x v="9"/>
  </r>
  <r>
    <x v="16"/>
    <s v="62300175"/>
    <s v=""/>
    <s v="O/S Svc – NAES"/>
    <s v=""/>
    <s v="ORD 84410107"/>
    <s v=""/>
    <s v=""/>
    <n v="39229.86"/>
    <s v="2"/>
    <n v="2025"/>
    <d v="2025-02-28T00:00:00"/>
    <x v="9"/>
  </r>
  <r>
    <x v="16"/>
    <s v="84100013"/>
    <s v=""/>
    <s v="Fleet Gas Ops OH"/>
    <s v=""/>
    <s v="ORD 84410107"/>
    <s v=""/>
    <s v=""/>
    <n v="404.99"/>
    <s v="2"/>
    <n v="2025"/>
    <d v="2025-02-28T00:00:00"/>
    <x v="9"/>
  </r>
  <r>
    <x v="16"/>
    <s v="84100021"/>
    <s v=""/>
    <s v="Payroll Taxes OH"/>
    <s v=""/>
    <s v="ORD 84410107"/>
    <s v=""/>
    <s v=""/>
    <n v="338.08"/>
    <s v="2"/>
    <n v="2025"/>
    <d v="2025-02-28T00:00:00"/>
    <x v="9"/>
  </r>
  <r>
    <x v="16"/>
    <s v="84100022"/>
    <s v=""/>
    <s v="Benefits OH"/>
    <s v=""/>
    <s v="ORD 84410107"/>
    <s v=""/>
    <s v=""/>
    <n v="831.1"/>
    <s v="2"/>
    <n v="2025"/>
    <d v="2025-02-28T00:00:00"/>
    <x v="9"/>
  </r>
  <r>
    <x v="16"/>
    <s v="84100023"/>
    <s v=""/>
    <s v="Paid Time Off OH"/>
    <s v=""/>
    <s v="ORD 84410107"/>
    <s v=""/>
    <s v=""/>
    <n v="616.28"/>
    <s v="2"/>
    <n v="2025"/>
    <d v="2025-02-28T00:00:00"/>
    <x v="9"/>
  </r>
  <r>
    <x v="16"/>
    <s v="84100024"/>
    <s v=""/>
    <s v="Incentives OH"/>
    <s v=""/>
    <s v="ORD 84410107"/>
    <s v=""/>
    <s v=""/>
    <n v="394.42"/>
    <s v="2"/>
    <n v="2025"/>
    <d v="2025-02-28T00:00:00"/>
    <x v="9"/>
  </r>
  <r>
    <x v="18"/>
    <s v="62300175"/>
    <s v=""/>
    <s v="O/S Svc – NAES"/>
    <s v=""/>
    <s v="ORD 84620091"/>
    <s v=""/>
    <s v=""/>
    <n v="5277.96"/>
    <s v="2"/>
    <n v="2025"/>
    <d v="2025-02-28T00:00:00"/>
    <x v="9"/>
  </r>
  <r>
    <x v="19"/>
    <s v="60250000"/>
    <s v=""/>
    <s v="Workers Comp Payment"/>
    <s v=""/>
    <s v="ORD 92400330"/>
    <s v=""/>
    <s v=""/>
    <n v="117.06"/>
    <s v="2"/>
    <n v="2025"/>
    <d v="2025-02-28T00:00:00"/>
    <x v="9"/>
  </r>
  <r>
    <x v="19"/>
    <s v="62300175"/>
    <s v=""/>
    <s v="O/S Svc – NAES"/>
    <s v=""/>
    <s v="ORD 92400330"/>
    <s v=""/>
    <s v=""/>
    <n v="1245.32"/>
    <s v="2"/>
    <n v="2025"/>
    <d v="2025-02-28T00:00:00"/>
    <x v="9"/>
  </r>
  <r>
    <x v="20"/>
    <s v="62300175"/>
    <s v=""/>
    <s v="O/S Svc – NAES"/>
    <s v=""/>
    <s v="ORD 84620090"/>
    <s v=""/>
    <s v=""/>
    <n v="2786.96"/>
    <s v="2"/>
    <n v="2025"/>
    <d v="2025-02-28T00:00:00"/>
    <x v="9"/>
  </r>
  <r>
    <x v="20"/>
    <s v="63100000"/>
    <s v=""/>
    <s v="Permits, Fees &amp; Ease"/>
    <s v=""/>
    <s v="ORD 84620090"/>
    <s v=""/>
    <s v=""/>
    <n v="-260.18"/>
    <s v="2"/>
    <n v="2025"/>
    <d v="2025-02-28T00:00:00"/>
    <x v="9"/>
  </r>
  <r>
    <x v="28"/>
    <s v="62300175"/>
    <s v=""/>
    <s v="O/S Svc – NAES"/>
    <s v=""/>
    <s v="ORD 84000091"/>
    <s v=""/>
    <s v=""/>
    <n v="710.79"/>
    <s v="2"/>
    <n v="2025"/>
    <d v="2025-02-28T00:00:00"/>
    <x v="9"/>
  </r>
  <r>
    <x v="21"/>
    <s v="62300175"/>
    <s v=""/>
    <s v="O/S Svc – NAES"/>
    <s v=""/>
    <s v="ORD 84100090"/>
    <s v=""/>
    <s v=""/>
    <n v="43191.96"/>
    <s v="2"/>
    <n v="2025"/>
    <d v="2025-02-28T00:00:00"/>
    <x v="9"/>
  </r>
  <r>
    <x v="22"/>
    <s v="62300175"/>
    <s v=""/>
    <s v="O/S Svc – NAES"/>
    <s v=""/>
    <s v="ORD 84390090"/>
    <s v=""/>
    <s v=""/>
    <n v="22191.91"/>
    <s v="2"/>
    <n v="2025"/>
    <d v="2025-02-28T00:00:00"/>
    <x v="9"/>
  </r>
  <r>
    <x v="24"/>
    <s v="62300175"/>
    <s v=""/>
    <s v="O/S Svc – NAES"/>
    <s v=""/>
    <s v="ORD 84770090"/>
    <s v=""/>
    <s v=""/>
    <n v="784.92"/>
    <s v="2"/>
    <n v="2025"/>
    <d v="2025-02-28T00:00:00"/>
    <x v="9"/>
  </r>
  <r>
    <x v="25"/>
    <s v="62300175"/>
    <s v=""/>
    <s v="O/S Svc – NAES"/>
    <s v=""/>
    <s v="ORD 84000090"/>
    <s v=""/>
    <s v=""/>
    <n v="242.64"/>
    <s v="2"/>
    <n v="2025"/>
    <d v="2025-02-28T00:00:00"/>
    <x v="9"/>
  </r>
  <r>
    <x v="0"/>
    <s v="61100000"/>
    <s v="101611"/>
    <s v="Utilities"/>
    <s v="CITY OF TACOMA"/>
    <s v="101611 -CITY OF TACOMA"/>
    <s v="2060"/>
    <s v="Utility Oper. &amp; Maint."/>
    <n v="52476.7"/>
    <s v="3"/>
    <s v="2024"/>
    <d v="2024-03-06T00:00:00"/>
    <x v="10"/>
  </r>
  <r>
    <x v="0"/>
    <s v="61100000"/>
    <s v="23200543"/>
    <s v="Utilities"/>
    <s v="AP Non-SAP Sys"/>
    <s v="Tacoma Public Utilities-Power cost for LNG liquefa"/>
    <s v="2060"/>
    <s v="Utility Oper. &amp; Maint."/>
    <n v="46696"/>
    <s v="3"/>
    <s v="2024"/>
    <d v="2024-03-28T00:00:00"/>
    <x v="10"/>
  </r>
  <r>
    <x v="7"/>
    <s v="62300175"/>
    <s v="62300175"/>
    <s v="O/S Svc – NAES"/>
    <s v="O/S Svc – NAES"/>
    <s v="TLNG Pre-Treatment System for PSE Maintenance"/>
    <s v="2060"/>
    <s v="Utility Oper. &amp; Maint."/>
    <n v="-33.57"/>
    <s v="3"/>
    <s v="2024"/>
    <d v="2024-03-31T00:00:00"/>
    <x v="10"/>
  </r>
  <r>
    <x v="9"/>
    <s v="62300175"/>
    <s v="62300175"/>
    <s v="O/S Svc – NAES"/>
    <s v="O/S Svc – NAES"/>
    <s v="TLNG Plant Utilities System for PSE Maintenance"/>
    <s v="2060"/>
    <s v="Utility Oper. &amp; Maint."/>
    <n v="-183.61"/>
    <s v="3"/>
    <s v="2024"/>
    <d v="2024-03-31T00:00:00"/>
    <x v="10"/>
  </r>
  <r>
    <x v="10"/>
    <s v="62300175"/>
    <s v="62300175"/>
    <s v="O/S Svc – NAES"/>
    <s v="O/S Svc – NAES"/>
    <s v="TLNG Fuel System for PSE Maintenance"/>
    <s v="2060"/>
    <s v="Utility Oper. &amp; Maint."/>
    <n v="-23.6"/>
    <s v="3"/>
    <s v="2024"/>
    <d v="2024-03-31T00:00:00"/>
    <x v="10"/>
  </r>
  <r>
    <x v="4"/>
    <s v="62300175"/>
    <s v="13500222"/>
    <s v="O/S Svc – NAES"/>
    <s v="Tacoma LNG Cash Adva"/>
    <s v="TLNG Liquefaction System for PSE Maintenance"/>
    <s v="2060"/>
    <s v="Utility Oper. &amp; Maint."/>
    <n v="1103.3699999999999"/>
    <s v="3"/>
    <s v="2024"/>
    <d v="2024-03-31T00:00:00"/>
    <x v="10"/>
  </r>
  <r>
    <x v="5"/>
    <s v="62300175"/>
    <s v="13500222"/>
    <s v="O/S Svc – NAES"/>
    <s v="Tacoma LNG Cash Adva"/>
    <s v="TLNG Truck Loading System for PSE Operatoins"/>
    <s v="2060"/>
    <s v="Utility Oper. &amp; Maint."/>
    <n v="2214.46"/>
    <s v="3"/>
    <s v="2024"/>
    <d v="2024-03-31T00:00:00"/>
    <x v="10"/>
  </r>
  <r>
    <x v="8"/>
    <s v="62300175"/>
    <s v="13500222"/>
    <s v="O/S Svc – NAES"/>
    <s v="Tacoma LNG Cash Adva"/>
    <s v="TLNG Plant Utilities System for PSE Operations"/>
    <s v="2060"/>
    <s v="Utility Oper. &amp; Maint."/>
    <n v="1610.23"/>
    <s v="3"/>
    <s v="2024"/>
    <d v="2024-03-31T00:00:00"/>
    <x v="10"/>
  </r>
  <r>
    <x v="4"/>
    <s v="62300175"/>
    <s v="13500222"/>
    <s v="O/S Svc – NAES"/>
    <s v="Tacoma LNG Cash Adva"/>
    <s v="TLNG Liquefaction System for PSE Maintenance"/>
    <s v="2060"/>
    <s v="Utility Oper. &amp; Maint."/>
    <n v="0.61"/>
    <s v="3"/>
    <s v="2024"/>
    <d v="2024-03-31T00:00:00"/>
    <x v="10"/>
  </r>
  <r>
    <x v="7"/>
    <s v="62300175"/>
    <s v="13500222"/>
    <s v="O/S Svc – NAES"/>
    <s v="Tacoma LNG Cash Adva"/>
    <s v="TLNG Pre-Treatment System for PSE Maintenance"/>
    <s v="2060"/>
    <s v="Utility Oper. &amp; Maint."/>
    <n v="54.57"/>
    <s v="3"/>
    <s v="2024"/>
    <d v="2024-03-31T00:00:00"/>
    <x v="10"/>
  </r>
  <r>
    <x v="13"/>
    <s v="62300175"/>
    <s v=""/>
    <s v="O/S Svc – NAES"/>
    <s v=""/>
    <s v="ORD 84000001"/>
    <s v=""/>
    <s v=""/>
    <n v="6322.26"/>
    <s v="3"/>
    <n v="2024"/>
    <d v="2024-03-31T00:00:00"/>
    <x v="10"/>
  </r>
  <r>
    <x v="14"/>
    <s v="60870001"/>
    <s v=""/>
    <s v="Rent/Lease-Non Cancl"/>
    <s v=""/>
    <s v="ORD 84200030"/>
    <s v=""/>
    <s v=""/>
    <n v="110104.36"/>
    <s v="3"/>
    <n v="2024"/>
    <d v="2024-03-31T00:00:00"/>
    <x v="10"/>
  </r>
  <r>
    <x v="15"/>
    <s v="62300065"/>
    <s v=""/>
    <s v="O/S - Continuing"/>
    <s v=""/>
    <s v="ORD 84330002"/>
    <s v=""/>
    <s v=""/>
    <n v="2165.7600000000002"/>
    <s v="3"/>
    <n v="2024"/>
    <d v="2024-03-31T00:00:00"/>
    <x v="10"/>
  </r>
  <r>
    <x v="15"/>
    <s v="62300175"/>
    <s v=""/>
    <s v="O/S Svc – NAES"/>
    <s v=""/>
    <s v="ORD 84330002"/>
    <s v=""/>
    <s v=""/>
    <n v="3861.08"/>
    <s v="3"/>
    <n v="2024"/>
    <d v="2024-03-31T00:00:00"/>
    <x v="10"/>
  </r>
  <r>
    <x v="16"/>
    <s v="84311002"/>
    <s v=""/>
    <s v="Analyst 2 Ex"/>
    <s v=""/>
    <s v="ORD 84410107"/>
    <s v=""/>
    <s v=""/>
    <n v="754.5"/>
    <s v="3"/>
    <n v="2024"/>
    <d v="2024-03-31T00:00:00"/>
    <x v="10"/>
  </r>
  <r>
    <x v="16"/>
    <s v="84311007"/>
    <s v=""/>
    <s v="Consultant Ex"/>
    <s v=""/>
    <s v="ORD 84410107"/>
    <s v=""/>
    <s v=""/>
    <n v="116.74"/>
    <s v="3"/>
    <n v="2024"/>
    <d v="2024-03-31T00:00:00"/>
    <x v="10"/>
  </r>
  <r>
    <x v="16"/>
    <s v="84311007"/>
    <s v=""/>
    <s v="Consultant Ex"/>
    <s v=""/>
    <s v="ORD 84410107"/>
    <s v=""/>
    <s v=""/>
    <n v="-116.74"/>
    <s v="3"/>
    <n v="2024"/>
    <d v="2024-03-31T00:00:00"/>
    <x v="10"/>
  </r>
  <r>
    <x v="16"/>
    <s v="84311007"/>
    <s v=""/>
    <s v="Consultant Ex"/>
    <s v=""/>
    <s v="ORD 84410107"/>
    <s v=""/>
    <s v=""/>
    <n v="253.02"/>
    <s v="3"/>
    <n v="2024"/>
    <d v="2024-03-31T00:00:00"/>
    <x v="10"/>
  </r>
  <r>
    <x v="16"/>
    <s v="84311009"/>
    <s v=""/>
    <s v="Engineer Ex"/>
    <s v=""/>
    <s v="ORD 84410107"/>
    <s v=""/>
    <s v=""/>
    <n v="140.82"/>
    <s v="3"/>
    <n v="2024"/>
    <d v="2024-03-31T00:00:00"/>
    <x v="10"/>
  </r>
  <r>
    <x v="16"/>
    <s v="84311011"/>
    <s v=""/>
    <s v="Engineer Consult Ex"/>
    <s v=""/>
    <s v="ORD 84410107"/>
    <s v=""/>
    <s v=""/>
    <n v="2484.8200000000002"/>
    <s v="3"/>
    <n v="2024"/>
    <d v="2024-03-31T00:00:00"/>
    <x v="10"/>
  </r>
  <r>
    <x v="16"/>
    <s v="62300065"/>
    <s v=""/>
    <s v="O/S - Continuing"/>
    <s v=""/>
    <s v="ORD 84410107"/>
    <s v=""/>
    <s v=""/>
    <n v="8623.61"/>
    <s v="3"/>
    <n v="2024"/>
    <d v="2024-03-31T00:00:00"/>
    <x v="10"/>
  </r>
  <r>
    <x v="16"/>
    <s v="62300175"/>
    <s v=""/>
    <s v="O/S Svc – NAES"/>
    <s v=""/>
    <s v="ORD 84410107"/>
    <s v=""/>
    <s v=""/>
    <n v="49117.48"/>
    <s v="3"/>
    <n v="2024"/>
    <d v="2024-03-31T00:00:00"/>
    <x v="10"/>
  </r>
  <r>
    <x v="16"/>
    <s v="84100013"/>
    <s v=""/>
    <s v="Fleet Gas Ops OH"/>
    <s v=""/>
    <s v="ORD 84410107"/>
    <s v=""/>
    <s v=""/>
    <n v="381.48"/>
    <s v="3"/>
    <n v="2024"/>
    <d v="2024-03-31T00:00:00"/>
    <x v="10"/>
  </r>
  <r>
    <x v="16"/>
    <s v="84100021"/>
    <s v=""/>
    <s v="Payroll Taxes OH"/>
    <s v=""/>
    <s v="ORD 84410107"/>
    <s v=""/>
    <s v=""/>
    <n v="341.52"/>
    <s v="3"/>
    <n v="2024"/>
    <d v="2024-03-31T00:00:00"/>
    <x v="10"/>
  </r>
  <r>
    <x v="16"/>
    <s v="84100022"/>
    <s v=""/>
    <s v="Benefits OH"/>
    <s v=""/>
    <s v="ORD 84410107"/>
    <s v=""/>
    <s v=""/>
    <n v="850.16"/>
    <s v="3"/>
    <n v="2024"/>
    <d v="2024-03-31T00:00:00"/>
    <x v="10"/>
  </r>
  <r>
    <x v="16"/>
    <s v="84100023"/>
    <s v=""/>
    <s v="Paid Time Off OH"/>
    <s v=""/>
    <s v="ORD 84410107"/>
    <s v=""/>
    <s v=""/>
    <n v="566.77"/>
    <s v="3"/>
    <n v="2024"/>
    <d v="2024-03-31T00:00:00"/>
    <x v="10"/>
  </r>
  <r>
    <x v="16"/>
    <s v="84100024"/>
    <s v=""/>
    <s v="Incentives OH"/>
    <s v=""/>
    <s v="ORD 84410107"/>
    <s v=""/>
    <s v=""/>
    <n v="396.01"/>
    <s v="3"/>
    <n v="2024"/>
    <d v="2024-03-31T00:00:00"/>
    <x v="10"/>
  </r>
  <r>
    <x v="18"/>
    <s v="62300175"/>
    <s v=""/>
    <s v="O/S Svc – NAES"/>
    <s v=""/>
    <s v="ORD 84620091"/>
    <s v=""/>
    <s v=""/>
    <n v="15401.51"/>
    <s v="3"/>
    <n v="2024"/>
    <d v="2024-03-31T00:00:00"/>
    <x v="10"/>
  </r>
  <r>
    <x v="19"/>
    <s v="60250000"/>
    <s v=""/>
    <s v="Workers Comp Payment"/>
    <s v=""/>
    <s v="ORD 92400330"/>
    <s v=""/>
    <s v=""/>
    <n v="141.68"/>
    <s v="3"/>
    <n v="2024"/>
    <d v="2024-03-31T00:00:00"/>
    <x v="10"/>
  </r>
  <r>
    <x v="19"/>
    <s v="62300175"/>
    <s v=""/>
    <s v="O/S Svc – NAES"/>
    <s v=""/>
    <s v="ORD 92400330"/>
    <s v=""/>
    <s v=""/>
    <n v="5170.4399999999996"/>
    <s v="3"/>
    <n v="2024"/>
    <d v="2024-03-31T00:00:00"/>
    <x v="10"/>
  </r>
  <r>
    <x v="20"/>
    <s v="62300175"/>
    <s v=""/>
    <s v="O/S Svc – NAES"/>
    <s v=""/>
    <s v="ORD 84620090"/>
    <s v=""/>
    <s v=""/>
    <n v="4773.07"/>
    <s v="3"/>
    <n v="2024"/>
    <d v="2024-03-31T00:00:00"/>
    <x v="10"/>
  </r>
  <r>
    <x v="21"/>
    <s v="62300175"/>
    <s v=""/>
    <s v="O/S Svc – NAES"/>
    <s v=""/>
    <s v="ORD 84100090"/>
    <s v=""/>
    <s v=""/>
    <n v="76510.820000000007"/>
    <s v="3"/>
    <n v="2024"/>
    <d v="2024-03-31T00:00:00"/>
    <x v="10"/>
  </r>
  <r>
    <x v="22"/>
    <s v="62300175"/>
    <s v=""/>
    <s v="O/S Svc – NAES"/>
    <s v=""/>
    <s v="ORD 84390090"/>
    <s v=""/>
    <s v=""/>
    <n v="34376.03"/>
    <s v="3"/>
    <n v="2024"/>
    <d v="2024-03-31T00:00:00"/>
    <x v="10"/>
  </r>
  <r>
    <x v="23"/>
    <s v="62300175"/>
    <s v=""/>
    <s v="O/S Svc – NAES"/>
    <s v=""/>
    <s v="ORD 84470090"/>
    <s v=""/>
    <s v=""/>
    <n v="1217.97"/>
    <s v="3"/>
    <n v="2024"/>
    <d v="2024-03-31T00:00:00"/>
    <x v="10"/>
  </r>
  <r>
    <x v="24"/>
    <s v="62300175"/>
    <s v=""/>
    <s v="O/S Svc – NAES"/>
    <s v=""/>
    <s v="ORD 84770090"/>
    <s v=""/>
    <s v=""/>
    <n v="8149.97"/>
    <s v="3"/>
    <n v="2024"/>
    <d v="2024-03-31T00:00:00"/>
    <x v="10"/>
  </r>
  <r>
    <x v="1"/>
    <s v="62300175"/>
    <s v=""/>
    <s v="O/S Svc – NAES"/>
    <s v=""/>
    <s v="ORD 84000030"/>
    <s v=""/>
    <s v=""/>
    <n v="47369.88"/>
    <s v="3"/>
    <n v="2024"/>
    <d v="2024-03-31T00:00:00"/>
    <x v="10"/>
  </r>
  <r>
    <x v="30"/>
    <s v="62300175"/>
    <s v=""/>
    <s v="O/S Svc – NAES"/>
    <s v=""/>
    <s v="ORD 84000031"/>
    <s v=""/>
    <s v=""/>
    <n v="271699.34000000003"/>
    <s v="3"/>
    <n v="2024"/>
    <d v="2024-03-31T00:00:00"/>
    <x v="10"/>
  </r>
  <r>
    <x v="25"/>
    <s v="62300175"/>
    <s v=""/>
    <s v="O/S Svc – NAES"/>
    <s v=""/>
    <s v="ORD 84000090"/>
    <s v=""/>
    <s v=""/>
    <n v="16186.66"/>
    <s v="3"/>
    <n v="2024"/>
    <d v="2024-03-31T00:00:00"/>
    <x v="10"/>
  </r>
  <r>
    <x v="25"/>
    <s v="63100000"/>
    <s v=""/>
    <s v="Permits, Fees &amp; Ease"/>
    <s v=""/>
    <s v="ORD 84000090"/>
    <s v=""/>
    <s v=""/>
    <n v="-21762.3"/>
    <s v="3"/>
    <n v="2024"/>
    <d v="2024-03-31T00:00:00"/>
    <x v="10"/>
  </r>
  <r>
    <x v="0"/>
    <s v="61100000"/>
    <s v="101611"/>
    <s v="Utilities"/>
    <s v="CITY OF TACOMA"/>
    <s v="101611 -CITY OF TACOMA"/>
    <s v="2060"/>
    <s v="Utility Oper. &amp; Maint."/>
    <n v="50417.56"/>
    <s v="3"/>
    <s v="2025"/>
    <d v="2025-03-05T00:00:00"/>
    <x v="11"/>
  </r>
  <r>
    <x v="0"/>
    <s v="61100000"/>
    <s v="23200543"/>
    <s v="Utilities"/>
    <s v="AP Non-SAP Sys"/>
    <s v="Tacoma Public Utilities - Power cost for LNG lique"/>
    <s v="2060"/>
    <s v="Utility Oper. &amp; Maint."/>
    <n v="-51130"/>
    <s v="3"/>
    <s v="2025"/>
    <d v="2025-03-10T00:00:00"/>
    <x v="11"/>
  </r>
  <r>
    <x v="0"/>
    <s v="61100000"/>
    <s v="23200543"/>
    <s v="Utilities"/>
    <s v="AP Non-SAP Sys"/>
    <s v="Tacoma Public Utilities - Power cost for LNG lique"/>
    <s v="2060"/>
    <s v="Utility Oper. &amp; Maint."/>
    <n v="50039.87"/>
    <s v="3"/>
    <s v="2025"/>
    <d v="2025-03-28T00:00:00"/>
    <x v="11"/>
  </r>
  <r>
    <x v="5"/>
    <s v="62300175"/>
    <s v="62300175"/>
    <s v="O/S Svc – NAES"/>
    <s v="O/S Svc – NAES"/>
    <s v="TLNG Truck Loading System for PSE Operatoins"/>
    <s v="2060"/>
    <s v="Utility Oper. &amp; Maint."/>
    <n v="-27.91"/>
    <s v="3"/>
    <s v="2025"/>
    <d v="2025-03-31T00:00:00"/>
    <x v="11"/>
  </r>
  <r>
    <x v="9"/>
    <s v="62300175"/>
    <s v="62300175"/>
    <s v="O/S Svc – NAES"/>
    <s v="O/S Svc – NAES"/>
    <s v="TLNG Plant Utilities System for PSE Maintenance"/>
    <s v="2060"/>
    <s v="Utility Oper. &amp; Maint."/>
    <n v="-27.09"/>
    <s v="3"/>
    <s v="2025"/>
    <d v="2025-03-31T00:00:00"/>
    <x v="11"/>
  </r>
  <r>
    <x v="4"/>
    <s v="62300175"/>
    <s v="13500222"/>
    <s v="O/S Svc – NAES"/>
    <s v="Tacoma LNG Cash Adva"/>
    <s v="TLNG Liquefaction System for PSE Maintenance"/>
    <s v="2060"/>
    <s v="Utility Oper. &amp; Maint."/>
    <n v="1125.1199999999999"/>
    <s v="3"/>
    <s v="2025"/>
    <d v="2025-03-31T00:00:00"/>
    <x v="11"/>
  </r>
  <r>
    <x v="7"/>
    <s v="62300175"/>
    <s v="13500222"/>
    <s v="O/S Svc – NAES"/>
    <s v="Tacoma LNG Cash Adva"/>
    <s v="TLNG Pre-Treatment System for PSE Maintenance"/>
    <s v="2060"/>
    <s v="Utility Oper. &amp; Maint."/>
    <n v="55.55"/>
    <s v="3"/>
    <s v="2025"/>
    <d v="2025-03-31T00:00:00"/>
    <x v="11"/>
  </r>
  <r>
    <x v="8"/>
    <s v="62300175"/>
    <s v="13500222"/>
    <s v="O/S Svc – NAES"/>
    <s v="Tacoma LNG Cash Adva"/>
    <s v="TLNG Plant Utilities System for PSE Operations"/>
    <s v="2060"/>
    <s v="Utility Oper. &amp; Maint."/>
    <n v="24.67"/>
    <s v="3"/>
    <s v="2025"/>
    <d v="2025-03-31T00:00:00"/>
    <x v="11"/>
  </r>
  <r>
    <x v="10"/>
    <s v="62300175"/>
    <s v="13500222"/>
    <s v="O/S Svc – NAES"/>
    <s v="Tacoma LNG Cash Adva"/>
    <s v="TLNG Fuel System for PSE Maintenance"/>
    <s v="2060"/>
    <s v="Utility Oper. &amp; Maint."/>
    <n v="272.11"/>
    <s v="3"/>
    <s v="2025"/>
    <d v="2025-03-31T00:00:00"/>
    <x v="11"/>
  </r>
  <r>
    <x v="2"/>
    <s v="62300175"/>
    <s v="13500222"/>
    <s v="O/S Svc – NAES"/>
    <s v="Tacoma LNG Cash Adva"/>
    <s v="Tacoma LNG Vaporization for PSE Maintenance"/>
    <s v="2060"/>
    <s v="Utility Oper. &amp; Maint."/>
    <n v="6429.38"/>
    <s v="3"/>
    <s v="2025"/>
    <d v="2025-03-31T00:00:00"/>
    <x v="11"/>
  </r>
  <r>
    <x v="4"/>
    <s v="62300175"/>
    <s v="13500222"/>
    <s v="O/S Svc – NAES"/>
    <s v="Tacoma LNG Cash Adva"/>
    <s v="TLNG Liquefaction System for PSE Maintenance"/>
    <s v="2060"/>
    <s v="Utility Oper. &amp; Maint."/>
    <n v="35.49"/>
    <s v="3"/>
    <s v="2025"/>
    <d v="2025-03-31T00:00:00"/>
    <x v="11"/>
  </r>
  <r>
    <x v="7"/>
    <s v="62300175"/>
    <s v="13500222"/>
    <s v="O/S Svc – NAES"/>
    <s v="Tacoma LNG Cash Adva"/>
    <s v="TLNG Pre-Treatment System for PSE Maintenance"/>
    <s v="2060"/>
    <s v="Utility Oper. &amp; Maint."/>
    <n v="120.71"/>
    <s v="3"/>
    <s v="2025"/>
    <d v="2025-03-31T00:00:00"/>
    <x v="11"/>
  </r>
  <r>
    <x v="11"/>
    <s v="69990112"/>
    <s v="69990111"/>
    <s v="Transfer - Pyr Tx OH"/>
    <s v="Transfer - Benefits"/>
    <s v="MARCH 2025 - Xfr Costs to COH Pool - Part A1"/>
    <s v="2060"/>
    <s v="Utility Oper. &amp; Maint."/>
    <n v="-8.3800000000000008"/>
    <s v="3"/>
    <s v="2025"/>
    <d v="2025-03-31T00:00:00"/>
    <x v="11"/>
  </r>
  <r>
    <x v="11"/>
    <s v="69990160"/>
    <s v="69990111"/>
    <s v="Trans Transport OH"/>
    <s v="Transfer - Benefits"/>
    <s v="MARCH 2025 - Xfr Costs to COH Pool - Part A1"/>
    <s v="2060"/>
    <s v="Utility Oper. &amp; Maint."/>
    <n v="-9.17"/>
    <s v="3"/>
    <s v="2025"/>
    <d v="2025-03-31T00:00:00"/>
    <x v="11"/>
  </r>
  <r>
    <x v="11"/>
    <s v="69990115"/>
    <s v="69990111"/>
    <s v="Transfer - Incent OH"/>
    <s v="Transfer - Benefits"/>
    <s v="MARCH 2025 - Xfr Costs to COH Pool - Part A1"/>
    <s v="2060"/>
    <s v="Utility Oper. &amp; Maint."/>
    <n v="-9.7799999999999994"/>
    <s v="3"/>
    <s v="2025"/>
    <d v="2025-03-31T00:00:00"/>
    <x v="11"/>
  </r>
  <r>
    <x v="11"/>
    <s v="69990114"/>
    <s v="69990111"/>
    <s v="Transfer - PTO OH"/>
    <s v="Transfer - Benefits"/>
    <s v="MARCH 2025 - Xfr Costs to COH Pool - Part A1"/>
    <s v="2060"/>
    <s v="Utility Oper. &amp; Maint."/>
    <n v="-15.28"/>
    <s v="3"/>
    <s v="2025"/>
    <d v="2025-03-31T00:00:00"/>
    <x v="11"/>
  </r>
  <r>
    <x v="11"/>
    <s v="69990111"/>
    <s v="69990111"/>
    <s v="Transfer - Beneftis"/>
    <s v="Transfer - Benefits"/>
    <s v="MARCH 2025 - Xfr Costs to COH Pool - Part A1"/>
    <s v="2060"/>
    <s v="Utility Oper. &amp; Maint."/>
    <n v="-20.6"/>
    <s v="3"/>
    <s v="2025"/>
    <d v="2025-03-31T00:00:00"/>
    <x v="11"/>
  </r>
  <r>
    <x v="11"/>
    <s v="69990071"/>
    <s v="69990111"/>
    <s v="Transfer - Labor"/>
    <s v="Transfer - Benefits"/>
    <s v="MARCH 2025 - Xfr Costs to COH Pool - Part A1"/>
    <s v="2060"/>
    <s v="Utility Oper. &amp; Maint."/>
    <n v="-87.3"/>
    <s v="3"/>
    <s v="2025"/>
    <d v="2025-03-31T00:00:00"/>
    <x v="11"/>
  </r>
  <r>
    <x v="13"/>
    <s v="62300175"/>
    <s v=""/>
    <s v="O/S Svc – NAES"/>
    <s v=""/>
    <s v="ORD 84000001"/>
    <s v=""/>
    <s v=""/>
    <n v="14469.69"/>
    <s v="3"/>
    <n v="2025"/>
    <d v="2025-03-31T00:00:00"/>
    <x v="11"/>
  </r>
  <r>
    <x v="14"/>
    <s v="60870001"/>
    <s v=""/>
    <s v="Rent/Lease-Non Cancl"/>
    <s v=""/>
    <s v="ORD 84200030"/>
    <s v=""/>
    <s v=""/>
    <n v="91351.35"/>
    <s v="3"/>
    <n v="2025"/>
    <d v="2025-03-31T00:00:00"/>
    <x v="11"/>
  </r>
  <r>
    <x v="14"/>
    <s v="61100000"/>
    <s v=""/>
    <s v="Utilities"/>
    <s v=""/>
    <s v="ORD 84200030"/>
    <s v=""/>
    <s v=""/>
    <n v="24632.59"/>
    <s v="3"/>
    <n v="2025"/>
    <d v="2025-03-31T00:00:00"/>
    <x v="11"/>
  </r>
  <r>
    <x v="15"/>
    <s v="62300175"/>
    <s v=""/>
    <s v="O/S Svc – NAES"/>
    <s v=""/>
    <s v="ORD 84330002"/>
    <s v=""/>
    <s v=""/>
    <n v="34799.47"/>
    <s v="3"/>
    <n v="2025"/>
    <d v="2025-03-31T00:00:00"/>
    <x v="11"/>
  </r>
  <r>
    <x v="16"/>
    <s v="84311002"/>
    <s v=""/>
    <s v="Analyst 2 Ex"/>
    <s v=""/>
    <s v="ORD 84410107"/>
    <s v=""/>
    <s v=""/>
    <n v="741.35"/>
    <s v="3"/>
    <n v="2025"/>
    <d v="2025-03-31T00:00:00"/>
    <x v="11"/>
  </r>
  <r>
    <x v="16"/>
    <s v="84311009"/>
    <s v=""/>
    <s v="Engineer Ex"/>
    <s v=""/>
    <s v="ORD 84410107"/>
    <s v=""/>
    <s v=""/>
    <n v="49.6"/>
    <s v="3"/>
    <n v="2025"/>
    <d v="2025-03-31T00:00:00"/>
    <x v="11"/>
  </r>
  <r>
    <x v="16"/>
    <s v="84311011"/>
    <s v=""/>
    <s v="Engineer Consult Ex"/>
    <s v=""/>
    <s v="ORD 84410107"/>
    <s v=""/>
    <s v=""/>
    <n v="2055.71"/>
    <s v="3"/>
    <n v="2025"/>
    <d v="2025-03-31T00:00:00"/>
    <x v="11"/>
  </r>
  <r>
    <x v="16"/>
    <s v="84311014"/>
    <s v=""/>
    <s v="Manager 1 Ex"/>
    <s v=""/>
    <s v="ORD 84410107"/>
    <s v=""/>
    <s v=""/>
    <n v="132.16"/>
    <s v="3"/>
    <n v="2025"/>
    <d v="2025-03-31T00:00:00"/>
    <x v="11"/>
  </r>
  <r>
    <x v="16"/>
    <s v="60333000"/>
    <s v=""/>
    <s v="Emp Exp - Mileage Re"/>
    <s v=""/>
    <s v="ORD 84410107"/>
    <s v=""/>
    <s v=""/>
    <n v="39.39"/>
    <s v="3"/>
    <n v="2025"/>
    <d v="2025-03-31T00:00:00"/>
    <x v="11"/>
  </r>
  <r>
    <x v="16"/>
    <s v="62300175"/>
    <s v=""/>
    <s v="O/S Svc – NAES"/>
    <s v=""/>
    <s v="ORD 84410107"/>
    <s v=""/>
    <s v=""/>
    <n v="37983.33"/>
    <s v="3"/>
    <n v="2025"/>
    <d v="2025-03-31T00:00:00"/>
    <x v="11"/>
  </r>
  <r>
    <x v="16"/>
    <s v="84100013"/>
    <s v=""/>
    <s v="Fleet Gas Ops OH"/>
    <s v=""/>
    <s v="ORD 84410107"/>
    <s v=""/>
    <s v=""/>
    <n v="312.77"/>
    <s v="3"/>
    <n v="2025"/>
    <d v="2025-03-31T00:00:00"/>
    <x v="11"/>
  </r>
  <r>
    <x v="16"/>
    <s v="84100021"/>
    <s v=""/>
    <s v="Payroll Taxes OH"/>
    <s v=""/>
    <s v="ORD 84410107"/>
    <s v=""/>
    <s v=""/>
    <n v="285.97000000000003"/>
    <s v="3"/>
    <n v="2025"/>
    <d v="2025-03-31T00:00:00"/>
    <x v="11"/>
  </r>
  <r>
    <x v="16"/>
    <s v="84100022"/>
    <s v=""/>
    <s v="Benefits OH"/>
    <s v=""/>
    <s v="ORD 84410107"/>
    <s v=""/>
    <s v=""/>
    <n v="703"/>
    <s v="3"/>
    <n v="2025"/>
    <d v="2025-03-31T00:00:00"/>
    <x v="11"/>
  </r>
  <r>
    <x v="16"/>
    <s v="84100023"/>
    <s v=""/>
    <s v="Paid Time Off OH"/>
    <s v=""/>
    <s v="ORD 84410107"/>
    <s v=""/>
    <s v=""/>
    <n v="521.29"/>
    <s v="3"/>
    <n v="2025"/>
    <d v="2025-03-31T00:00:00"/>
    <x v="11"/>
  </r>
  <r>
    <x v="16"/>
    <s v="84100024"/>
    <s v=""/>
    <s v="Incentives OH"/>
    <s v=""/>
    <s v="ORD 84410107"/>
    <s v=""/>
    <s v=""/>
    <n v="333.63"/>
    <s v="3"/>
    <n v="2025"/>
    <d v="2025-03-31T00:00:00"/>
    <x v="11"/>
  </r>
  <r>
    <x v="9"/>
    <s v="62300175"/>
    <s v=""/>
    <s v="O/S Svc – NAES"/>
    <s v=""/>
    <s v="ORD 84390091"/>
    <s v=""/>
    <s v=""/>
    <n v="742.05"/>
    <s v="3"/>
    <n v="2025"/>
    <d v="2025-03-31T00:00:00"/>
    <x v="11"/>
  </r>
  <r>
    <x v="18"/>
    <s v="62300175"/>
    <s v=""/>
    <s v="O/S Svc – NAES"/>
    <s v=""/>
    <s v="ORD 84620091"/>
    <s v=""/>
    <s v=""/>
    <n v="11601.14"/>
    <s v="3"/>
    <n v="2025"/>
    <d v="2025-03-31T00:00:00"/>
    <x v="11"/>
  </r>
  <r>
    <x v="19"/>
    <s v="60250000"/>
    <s v=""/>
    <s v="Workers Comp Payment"/>
    <s v=""/>
    <s v="ORD 92400330"/>
    <s v=""/>
    <s v=""/>
    <n v="133.47"/>
    <s v="3"/>
    <n v="2025"/>
    <d v="2025-03-31T00:00:00"/>
    <x v="11"/>
  </r>
  <r>
    <x v="19"/>
    <s v="62300175"/>
    <s v=""/>
    <s v="O/S Svc – NAES"/>
    <s v=""/>
    <s v="ORD 92400330"/>
    <s v=""/>
    <s v=""/>
    <n v="3569.09"/>
    <s v="3"/>
    <n v="2025"/>
    <d v="2025-03-31T00:00:00"/>
    <x v="11"/>
  </r>
  <r>
    <x v="20"/>
    <s v="62300175"/>
    <s v=""/>
    <s v="O/S Svc – NAES"/>
    <s v=""/>
    <s v="ORD 84620090"/>
    <s v=""/>
    <s v=""/>
    <n v="769.05"/>
    <s v="3"/>
    <n v="2025"/>
    <d v="2025-03-31T00:00:00"/>
    <x v="11"/>
  </r>
  <r>
    <x v="28"/>
    <s v="62300175"/>
    <s v=""/>
    <s v="O/S Svc – NAES"/>
    <s v=""/>
    <s v="ORD 84000091"/>
    <s v=""/>
    <s v=""/>
    <n v="1565.41"/>
    <s v="3"/>
    <n v="2025"/>
    <d v="2025-03-31T00:00:00"/>
    <x v="11"/>
  </r>
  <r>
    <x v="21"/>
    <s v="62300175"/>
    <s v=""/>
    <s v="O/S Svc – NAES"/>
    <s v=""/>
    <s v="ORD 84100090"/>
    <s v=""/>
    <s v=""/>
    <n v="33547.89"/>
    <s v="3"/>
    <n v="2025"/>
    <d v="2025-03-31T00:00:00"/>
    <x v="11"/>
  </r>
  <r>
    <x v="22"/>
    <s v="62300175"/>
    <s v=""/>
    <s v="O/S Svc – NAES"/>
    <s v=""/>
    <s v="ORD 84390090"/>
    <s v=""/>
    <s v=""/>
    <n v="31644.74"/>
    <s v="3"/>
    <n v="2025"/>
    <d v="2025-03-31T00:00:00"/>
    <x v="11"/>
  </r>
  <r>
    <x v="23"/>
    <s v="62300175"/>
    <s v=""/>
    <s v="O/S Svc – NAES"/>
    <s v=""/>
    <s v="ORD 84470090"/>
    <s v=""/>
    <s v=""/>
    <n v="11.14"/>
    <s v="3"/>
    <n v="2025"/>
    <d v="2025-03-31T00:00:00"/>
    <x v="11"/>
  </r>
  <r>
    <x v="24"/>
    <s v="62300175"/>
    <s v=""/>
    <s v="O/S Svc – NAES"/>
    <s v=""/>
    <s v="ORD 84770090"/>
    <s v=""/>
    <s v=""/>
    <n v="4184.38"/>
    <s v="3"/>
    <n v="2025"/>
    <d v="2025-03-31T00:00:00"/>
    <x v="11"/>
  </r>
  <r>
    <x v="1"/>
    <s v="62300175"/>
    <s v=""/>
    <s v="O/S Svc – NAES"/>
    <s v=""/>
    <s v="ORD 84000030"/>
    <s v=""/>
    <s v=""/>
    <n v="48980.46"/>
    <s v="3"/>
    <n v="2025"/>
    <d v="2025-03-31T00:00:00"/>
    <x v="11"/>
  </r>
  <r>
    <x v="30"/>
    <s v="62300175"/>
    <s v=""/>
    <s v="O/S Svc – NAES"/>
    <s v=""/>
    <s v="ORD 84000031"/>
    <s v=""/>
    <s v=""/>
    <n v="-1038.68"/>
    <s v="3"/>
    <n v="2025"/>
    <d v="2025-03-31T00:00:00"/>
    <x v="11"/>
  </r>
  <r>
    <x v="25"/>
    <s v="62300175"/>
    <s v=""/>
    <s v="O/S Svc – NAES"/>
    <s v=""/>
    <s v="ORD 84000090"/>
    <s v=""/>
    <s v=""/>
    <n v="13135.47"/>
    <s v="3"/>
    <n v="2025"/>
    <d v="2025-03-31T00:00:00"/>
    <x v="11"/>
  </r>
  <r>
    <x v="11"/>
    <s v="84100013"/>
    <s v=""/>
    <s v="Fleet Gas Ops OH"/>
    <s v=""/>
    <s v=""/>
    <s v=""/>
    <s v=""/>
    <n v="29.57"/>
    <s v="3"/>
    <n v="2025"/>
    <d v="2025-03-31T00:00:00"/>
    <x v="11"/>
  </r>
  <r>
    <x v="11"/>
    <s v="84100021"/>
    <s v=""/>
    <s v="Payroll Taxes OH"/>
    <s v=""/>
    <s v=""/>
    <s v=""/>
    <s v=""/>
    <n v="27.03"/>
    <s v="3"/>
    <n v="2025"/>
    <d v="2025-03-31T00:00:00"/>
    <x v="11"/>
  </r>
  <r>
    <x v="11"/>
    <s v="84100022"/>
    <s v=""/>
    <s v="Benefits OH"/>
    <s v=""/>
    <s v=""/>
    <s v=""/>
    <s v=""/>
    <n v="66.459999999999994"/>
    <s v="3"/>
    <n v="2025"/>
    <d v="2025-03-31T00:00:00"/>
    <x v="11"/>
  </r>
  <r>
    <x v="11"/>
    <s v="84100023"/>
    <s v=""/>
    <s v="Paid Time Off OH"/>
    <s v=""/>
    <s v=""/>
    <s v=""/>
    <s v=""/>
    <n v="49.28"/>
    <s v="3"/>
    <n v="2025"/>
    <d v="2025-03-31T00:00:00"/>
    <x v="11"/>
  </r>
  <r>
    <x v="11"/>
    <s v="84100024"/>
    <s v=""/>
    <s v="Incentives OH"/>
    <s v=""/>
    <s v=""/>
    <s v=""/>
    <s v=""/>
    <n v="31.54"/>
    <s v="3"/>
    <n v="2025"/>
    <d v="2025-03-31T00:00:00"/>
    <x v="11"/>
  </r>
  <r>
    <x v="11"/>
    <s v="84311007"/>
    <s v=""/>
    <s v="Consultant Ex"/>
    <s v=""/>
    <s v=""/>
    <s v="2060"/>
    <s v="Utility Oper. &amp; Maint."/>
    <n v="281.60000000000002"/>
    <s v="3"/>
    <n v="2025"/>
    <d v="2025-03-31T00:00:00"/>
    <x v="11"/>
  </r>
  <r>
    <x v="4"/>
    <s v="62300175"/>
    <s v="13500222"/>
    <s v="O/S Svc – NAES"/>
    <s v="Tacoma LNG Cash Adva"/>
    <s v="TLNG Liquefaction System for PSE Maintenance"/>
    <s v="2060"/>
    <s v="Utility Oper. &amp; Maint."/>
    <n v="4802.63"/>
    <s v="4"/>
    <s v="2023"/>
    <d v="2023-04-30T00:00:00"/>
    <x v="12"/>
  </r>
  <r>
    <x v="7"/>
    <s v="62300175"/>
    <s v="13500222"/>
    <s v="O/S Svc – NAES"/>
    <s v="Tacoma LNG Cash Adva"/>
    <s v="TLNG Pre-Treatment System for PSE Maintenance"/>
    <s v="2060"/>
    <s v="Utility Oper. &amp; Maint."/>
    <n v="319.7"/>
    <s v="4"/>
    <s v="2023"/>
    <d v="2023-04-30T00:00:00"/>
    <x v="12"/>
  </r>
  <r>
    <x v="8"/>
    <s v="62300175"/>
    <s v="13500222"/>
    <s v="O/S Svc – NAES"/>
    <s v="Tacoma LNG Cash Adva"/>
    <s v="TLNG Plant Utilities System for PSE Operations"/>
    <s v="2060"/>
    <s v="Utility Oper. &amp; Maint."/>
    <n v="735.04"/>
    <s v="4"/>
    <s v="2023"/>
    <d v="2023-04-30T00:00:00"/>
    <x v="12"/>
  </r>
  <r>
    <x v="9"/>
    <s v="62300175"/>
    <s v="13500222"/>
    <s v="O/S Svc – NAES"/>
    <s v="Tacoma LNG Cash Adva"/>
    <s v="TLNG Plant Utilities System for PSE Maintenance"/>
    <s v="2060"/>
    <s v="Utility Oper. &amp; Maint."/>
    <n v="5163.0600000000004"/>
    <s v="4"/>
    <s v="2023"/>
    <d v="2023-04-30T00:00:00"/>
    <x v="12"/>
  </r>
  <r>
    <x v="19"/>
    <s v="62300175"/>
    <s v="13500222"/>
    <s v="O/S Svc – NAES"/>
    <s v="Tacoma LNG Cash Adva"/>
    <s v="TLNG Insurance for PSE"/>
    <s v="2060"/>
    <s v="Utility Oper. &amp; Maint."/>
    <n v="1255.26"/>
    <s v="4"/>
    <s v="2023"/>
    <d v="2023-04-30T00:00:00"/>
    <x v="12"/>
  </r>
  <r>
    <x v="29"/>
    <s v="62300175"/>
    <s v="13500222"/>
    <s v="O/S Svc – NAES"/>
    <s v="Tacoma LNG Cash Adva"/>
    <s v="Tacoma LNG Vaporization for PSE Operations"/>
    <s v="2060"/>
    <s v="Utility Oper. &amp; Maint."/>
    <n v="3159.84"/>
    <s v="4"/>
    <s v="2023"/>
    <d v="2023-04-30T00:00:00"/>
    <x v="12"/>
  </r>
  <r>
    <x v="2"/>
    <s v="62300175"/>
    <s v="13500222"/>
    <s v="O/S Svc – NAES"/>
    <s v="Tacoma LNG Cash Adva"/>
    <s v="Tacoma LNG Vaporization for PSE Maintenance"/>
    <s v="2060"/>
    <s v="Utility Oper. &amp; Maint."/>
    <n v="148.69999999999999"/>
    <s v="4"/>
    <s v="2023"/>
    <d v="2023-04-30T00:00:00"/>
    <x v="12"/>
  </r>
  <r>
    <x v="4"/>
    <s v="62300175"/>
    <s v="13500222"/>
    <s v="O/S Svc – NAES"/>
    <s v="Tacoma LNG Cash Adva"/>
    <s v="TLNG Liquefaction System for PSE Maintenance"/>
    <s v="2060"/>
    <s v="Utility Oper. &amp; Maint."/>
    <n v="59.5"/>
    <s v="4"/>
    <s v="2023"/>
    <d v="2023-04-30T00:00:00"/>
    <x v="12"/>
  </r>
  <r>
    <x v="7"/>
    <s v="62300175"/>
    <s v="13500222"/>
    <s v="O/S Svc – NAES"/>
    <s v="Tacoma LNG Cash Adva"/>
    <s v="TLNG Pre-Treatment System for PSE Maintenance"/>
    <s v="2060"/>
    <s v="Utility Oper. &amp; Maint."/>
    <n v="6.1"/>
    <s v="4"/>
    <s v="2023"/>
    <d v="2023-04-30T00:00:00"/>
    <x v="12"/>
  </r>
  <r>
    <x v="11"/>
    <s v="69990090"/>
    <s v="69990071"/>
    <s v="Transfer - Emp Exp"/>
    <s v="Transfer - Labor"/>
    <s v="April 2023 - Xfr Costs to COH Pool - Part A"/>
    <s v="2060"/>
    <s v="Utility Oper. &amp; Maint."/>
    <n v="-162.84"/>
    <s v="4"/>
    <s v="2023"/>
    <d v="2023-04-30T00:00:00"/>
    <x v="12"/>
  </r>
  <r>
    <x v="12"/>
    <s v="62300175"/>
    <s v=""/>
    <s v="O/S Svc – NAES"/>
    <s v=""/>
    <s v="ORD 84780001"/>
    <s v=""/>
    <s v=""/>
    <n v="15736.17"/>
    <s v="4"/>
    <n v="2023"/>
    <d v="2023-04-30T00:00:00"/>
    <x v="12"/>
  </r>
  <r>
    <x v="13"/>
    <s v="62300175"/>
    <s v=""/>
    <s v="O/S Svc – NAES"/>
    <s v=""/>
    <s v="ORD 84000001"/>
    <s v=""/>
    <s v=""/>
    <n v="5814.84"/>
    <s v="4"/>
    <n v="2023"/>
    <d v="2023-04-30T00:00:00"/>
    <x v="12"/>
  </r>
  <r>
    <x v="14"/>
    <s v="60870001"/>
    <s v=""/>
    <s v="Rent/Lease-Non Cancl"/>
    <s v=""/>
    <s v="ORD 84200030"/>
    <s v=""/>
    <s v=""/>
    <n v="104522.84"/>
    <s v="4"/>
    <n v="2023"/>
    <d v="2023-04-30T00:00:00"/>
    <x v="12"/>
  </r>
  <r>
    <x v="14"/>
    <s v="62300065"/>
    <s v=""/>
    <s v="O/S - Continuing"/>
    <s v=""/>
    <s v="ORD 84200030"/>
    <s v=""/>
    <s v=""/>
    <n v="8519.08"/>
    <s v="4"/>
    <n v="2023"/>
    <d v="2023-04-30T00:00:00"/>
    <x v="12"/>
  </r>
  <r>
    <x v="15"/>
    <s v="62300175"/>
    <s v=""/>
    <s v="O/S Svc – NAES"/>
    <s v=""/>
    <s v="ORD 84330002"/>
    <s v=""/>
    <s v=""/>
    <n v="3752"/>
    <s v="4"/>
    <n v="2023"/>
    <d v="2023-04-30T00:00:00"/>
    <x v="12"/>
  </r>
  <r>
    <x v="16"/>
    <s v="84311002"/>
    <s v=""/>
    <s v="Analyst 2 Ex"/>
    <s v=""/>
    <s v="ORD 84410107"/>
    <s v=""/>
    <s v=""/>
    <n v="771.66"/>
    <s v="4"/>
    <n v="2023"/>
    <d v="2023-04-30T00:00:00"/>
    <x v="12"/>
  </r>
  <r>
    <x v="16"/>
    <s v="84311015"/>
    <s v=""/>
    <s v="Manager 2 Ex"/>
    <s v=""/>
    <s v="ORD 84410107"/>
    <s v=""/>
    <s v=""/>
    <n v="3783.6"/>
    <s v="4"/>
    <n v="2023"/>
    <d v="2023-04-30T00:00:00"/>
    <x v="12"/>
  </r>
  <r>
    <x v="16"/>
    <s v="60330000"/>
    <s v=""/>
    <s v="Emp Exp - Meals"/>
    <s v=""/>
    <s v="ORD 84410107"/>
    <s v=""/>
    <s v=""/>
    <n v="50.49"/>
    <s v="4"/>
    <n v="2023"/>
    <d v="2023-04-30T00:00:00"/>
    <x v="12"/>
  </r>
  <r>
    <x v="16"/>
    <s v="60335000"/>
    <s v=""/>
    <s v="Emp Exp - Lodging"/>
    <s v=""/>
    <s v="ORD 84410107"/>
    <s v=""/>
    <s v=""/>
    <n v="259.64"/>
    <s v="4"/>
    <n v="2023"/>
    <d v="2023-04-30T00:00:00"/>
    <x v="12"/>
  </r>
  <r>
    <x v="16"/>
    <s v="60700000"/>
    <s v=""/>
    <s v="Office Supplies/Serv"/>
    <s v=""/>
    <s v="ORD 84410107"/>
    <s v=""/>
    <s v=""/>
    <n v="50.07"/>
    <s v="4"/>
    <n v="2023"/>
    <d v="2023-04-30T00:00:00"/>
    <x v="12"/>
  </r>
  <r>
    <x v="16"/>
    <s v="62300175"/>
    <s v=""/>
    <s v="O/S Svc – NAES"/>
    <s v=""/>
    <s v="ORD 84410107"/>
    <s v=""/>
    <s v=""/>
    <n v="40983.160000000003"/>
    <s v="4"/>
    <n v="2023"/>
    <d v="2023-04-30T00:00:00"/>
    <x v="12"/>
  </r>
  <r>
    <x v="16"/>
    <s v="84100013"/>
    <s v=""/>
    <s v="Fleet Gas Ops OH"/>
    <s v=""/>
    <s v="ORD 84410107"/>
    <s v=""/>
    <s v=""/>
    <n v="478.3"/>
    <s v="4"/>
    <n v="2023"/>
    <d v="2023-04-30T00:00:00"/>
    <x v="12"/>
  </r>
  <r>
    <x v="16"/>
    <s v="84100021"/>
    <s v=""/>
    <s v="Payroll Taxes OH"/>
    <s v=""/>
    <s v="ORD 84410107"/>
    <s v=""/>
    <s v=""/>
    <n v="405.42"/>
    <s v="4"/>
    <n v="2023"/>
    <d v="2023-04-30T00:00:00"/>
    <x v="12"/>
  </r>
  <r>
    <x v="16"/>
    <s v="84100022"/>
    <s v=""/>
    <s v="Benefits OH"/>
    <s v=""/>
    <s v="ORD 84410107"/>
    <s v=""/>
    <s v=""/>
    <n v="1366.58"/>
    <s v="4"/>
    <n v="2023"/>
    <d v="2023-04-30T00:00:00"/>
    <x v="12"/>
  </r>
  <r>
    <x v="16"/>
    <s v="84100023"/>
    <s v=""/>
    <s v="Paid Time Off OH"/>
    <s v=""/>
    <s v="ORD 84410107"/>
    <s v=""/>
    <s v=""/>
    <n v="733.39"/>
    <s v="4"/>
    <n v="2023"/>
    <d v="2023-04-30T00:00:00"/>
    <x v="12"/>
  </r>
  <r>
    <x v="16"/>
    <s v="84100024"/>
    <s v=""/>
    <s v="Incentives OH"/>
    <s v=""/>
    <s v="ORD 84410107"/>
    <s v=""/>
    <s v=""/>
    <n v="450.97"/>
    <s v="4"/>
    <n v="2023"/>
    <d v="2023-04-30T00:00:00"/>
    <x v="12"/>
  </r>
  <r>
    <x v="18"/>
    <s v="62300175"/>
    <s v=""/>
    <s v="O/S Svc – NAES"/>
    <s v=""/>
    <s v="ORD 84620091"/>
    <s v=""/>
    <s v=""/>
    <n v="7145.45"/>
    <s v="4"/>
    <n v="2023"/>
    <d v="2023-04-30T00:00:00"/>
    <x v="12"/>
  </r>
  <r>
    <x v="19"/>
    <s v="60250000"/>
    <s v=""/>
    <s v="Workers Comp Payment"/>
    <s v=""/>
    <s v="ORD 92400330"/>
    <s v=""/>
    <s v=""/>
    <n v="128.52000000000001"/>
    <s v="4"/>
    <n v="2023"/>
    <d v="2023-04-30T00:00:00"/>
    <x v="12"/>
  </r>
  <r>
    <x v="20"/>
    <s v="61100000"/>
    <s v=""/>
    <s v="Utilities"/>
    <s v=""/>
    <s v="ORD 84620090"/>
    <s v=""/>
    <s v=""/>
    <n v="1834.99"/>
    <s v="4"/>
    <n v="2023"/>
    <d v="2023-04-30T00:00:00"/>
    <x v="12"/>
  </r>
  <r>
    <x v="20"/>
    <s v="62300175"/>
    <s v=""/>
    <s v="O/S Svc – NAES"/>
    <s v=""/>
    <s v="ORD 84620090"/>
    <s v=""/>
    <s v=""/>
    <n v="615.38"/>
    <s v="4"/>
    <n v="2023"/>
    <d v="2023-04-30T00:00:00"/>
    <x v="12"/>
  </r>
  <r>
    <x v="28"/>
    <s v="62300175"/>
    <s v=""/>
    <s v="O/S Svc – NAES"/>
    <s v=""/>
    <s v="ORD 84000091"/>
    <s v=""/>
    <s v=""/>
    <n v="2527.87"/>
    <s v="4"/>
    <n v="2023"/>
    <d v="2023-04-30T00:00:00"/>
    <x v="12"/>
  </r>
  <r>
    <x v="21"/>
    <s v="62300175"/>
    <s v=""/>
    <s v="O/S Svc – NAES"/>
    <s v=""/>
    <s v="ORD 84100090"/>
    <s v=""/>
    <s v=""/>
    <n v="39549.620000000003"/>
    <s v="4"/>
    <n v="2023"/>
    <d v="2023-04-30T00:00:00"/>
    <x v="12"/>
  </r>
  <r>
    <x v="22"/>
    <s v="62300175"/>
    <s v=""/>
    <s v="O/S Svc – NAES"/>
    <s v=""/>
    <s v="ORD 84390090"/>
    <s v=""/>
    <s v=""/>
    <n v="36418.39"/>
    <s v="4"/>
    <n v="2023"/>
    <d v="2023-04-30T00:00:00"/>
    <x v="12"/>
  </r>
  <r>
    <x v="23"/>
    <s v="62300175"/>
    <s v=""/>
    <s v="O/S Svc – NAES"/>
    <s v=""/>
    <s v="ORD 84470090"/>
    <s v=""/>
    <s v=""/>
    <n v="1865.13"/>
    <s v="4"/>
    <n v="2023"/>
    <d v="2023-04-30T00:00:00"/>
    <x v="12"/>
  </r>
  <r>
    <x v="24"/>
    <s v="62300175"/>
    <s v=""/>
    <s v="O/S Svc – NAES"/>
    <s v=""/>
    <s v="ORD 84770090"/>
    <s v=""/>
    <s v=""/>
    <n v="767.28"/>
    <s v="4"/>
    <n v="2023"/>
    <d v="2023-04-30T00:00:00"/>
    <x v="12"/>
  </r>
  <r>
    <x v="1"/>
    <s v="62300175"/>
    <s v=""/>
    <s v="O/S Svc – NAES"/>
    <s v=""/>
    <s v="ORD 84000030"/>
    <s v=""/>
    <s v=""/>
    <n v="26354.67"/>
    <s v="4"/>
    <n v="2023"/>
    <d v="2023-04-30T00:00:00"/>
    <x v="12"/>
  </r>
  <r>
    <x v="25"/>
    <s v="84311009"/>
    <s v=""/>
    <s v="Engineer Ex"/>
    <s v=""/>
    <s v="ORD 84000090"/>
    <s v=""/>
    <s v=""/>
    <n v="410.21"/>
    <s v="4"/>
    <n v="2023"/>
    <d v="2023-04-30T00:00:00"/>
    <x v="12"/>
  </r>
  <r>
    <x v="25"/>
    <s v="84311011"/>
    <s v=""/>
    <s v="Engineer Consult Ex"/>
    <s v=""/>
    <s v="ORD 84000090"/>
    <s v=""/>
    <s v=""/>
    <n v="121.8"/>
    <s v="4"/>
    <n v="2023"/>
    <d v="2023-04-30T00:00:00"/>
    <x v="12"/>
  </r>
  <r>
    <x v="25"/>
    <s v="62300175"/>
    <s v=""/>
    <s v="O/S Svc – NAES"/>
    <s v=""/>
    <s v="ORD 84000090"/>
    <s v=""/>
    <s v=""/>
    <n v="6842.8"/>
    <s v="4"/>
    <n v="2023"/>
    <d v="2023-04-30T00:00:00"/>
    <x v="12"/>
  </r>
  <r>
    <x v="25"/>
    <s v="84100013"/>
    <s v=""/>
    <s v="Fleet Gas Ops OH"/>
    <s v=""/>
    <s v="ORD 84000090"/>
    <s v=""/>
    <s v=""/>
    <n v="55.86"/>
    <s v="4"/>
    <n v="2023"/>
    <d v="2023-04-30T00:00:00"/>
    <x v="12"/>
  </r>
  <r>
    <x v="25"/>
    <s v="84100021"/>
    <s v=""/>
    <s v="Payroll Taxes OH"/>
    <s v=""/>
    <s v="ORD 84000090"/>
    <s v=""/>
    <s v=""/>
    <n v="47.35"/>
    <s v="4"/>
    <n v="2023"/>
    <d v="2023-04-30T00:00:00"/>
    <x v="12"/>
  </r>
  <r>
    <x v="25"/>
    <s v="84100022"/>
    <s v=""/>
    <s v="Benefits OH"/>
    <s v=""/>
    <s v="ORD 84000090"/>
    <s v=""/>
    <s v=""/>
    <n v="159.61000000000001"/>
    <s v="4"/>
    <n v="2023"/>
    <d v="2023-04-30T00:00:00"/>
    <x v="12"/>
  </r>
  <r>
    <x v="25"/>
    <s v="84100023"/>
    <s v=""/>
    <s v="Paid Time Off OH"/>
    <s v=""/>
    <s v="ORD 84000090"/>
    <s v=""/>
    <s v=""/>
    <n v="85.66"/>
    <s v="4"/>
    <n v="2023"/>
    <d v="2023-04-30T00:00:00"/>
    <x v="12"/>
  </r>
  <r>
    <x v="25"/>
    <s v="84100024"/>
    <s v=""/>
    <s v="Incentives OH"/>
    <s v=""/>
    <s v="ORD 84000090"/>
    <s v=""/>
    <s v=""/>
    <n v="52.67"/>
    <s v="4"/>
    <n v="2023"/>
    <d v="2023-04-30T00:00:00"/>
    <x v="12"/>
  </r>
  <r>
    <x v="0"/>
    <s v="61100000"/>
    <s v="23200543"/>
    <s v="Utilities"/>
    <s v="AP Non-SAP Sys"/>
    <s v="Tacoma Public Utilities-Power cost for LNG liquefa"/>
    <s v="2060"/>
    <s v="Utility Oper. &amp; Maint."/>
    <n v="-46696"/>
    <s v="4"/>
    <s v="2024"/>
    <d v="2024-04-09T00:00:00"/>
    <x v="13"/>
  </r>
  <r>
    <x v="19"/>
    <s v="62000010"/>
    <s v="23201013"/>
    <s v="Insurance Premiums"/>
    <s v="GR/IR Clearing Accou"/>
    <s v="MARSH"/>
    <s v="2060"/>
    <s v="Utility Oper. &amp; Maint."/>
    <n v="5062.5"/>
    <s v="4"/>
    <s v="2024"/>
    <d v="2024-04-17T00:00:00"/>
    <x v="13"/>
  </r>
  <r>
    <x v="7"/>
    <s v="62300065"/>
    <s v="116926"/>
    <s v="O/S - Continuing"/>
    <s v="CLEAN HARBORS ENVIRONMENTAL"/>
    <s v="Wastecode Disposal"/>
    <s v="2060"/>
    <s v="Utility Oper. &amp; Maint."/>
    <n v="15288.26"/>
    <s v="4"/>
    <s v="2024"/>
    <d v="2024-04-17T00:00:00"/>
    <x v="13"/>
  </r>
  <r>
    <x v="0"/>
    <s v="61100000"/>
    <s v="23200543"/>
    <s v="Utilities"/>
    <s v="AP Non-SAP Sys"/>
    <s v="Tacoma Public Utilities-Power cost for LNG liquefa"/>
    <s v="2060"/>
    <s v="Utility Oper. &amp; Maint."/>
    <n v="140488"/>
    <s v="4"/>
    <s v="2024"/>
    <d v="2024-04-29T00:00:00"/>
    <x v="13"/>
  </r>
  <r>
    <x v="4"/>
    <s v="62300175"/>
    <s v="62300175"/>
    <s v="O/S Svc – NAES"/>
    <s v="O/S Svc – NAES"/>
    <s v="TLNG Liquefaction System for PSE Maintenance"/>
    <s v="2060"/>
    <s v="Utility Oper. &amp; Maint."/>
    <n v="-3.49"/>
    <s v="4"/>
    <s v="2024"/>
    <d v="2024-04-30T00:00:00"/>
    <x v="13"/>
  </r>
  <r>
    <x v="3"/>
    <s v="62300175"/>
    <s v="13500222"/>
    <s v="O/S Svc – NAES"/>
    <s v="Tacoma LNG Cash Adva"/>
    <s v="TLNG Liquefaction System for PSE Operations"/>
    <s v="2060"/>
    <s v="Utility Oper. &amp; Maint."/>
    <n v="16459.84"/>
    <s v="4"/>
    <s v="2024"/>
    <d v="2024-04-30T00:00:00"/>
    <x v="13"/>
  </r>
  <r>
    <x v="5"/>
    <s v="62300175"/>
    <s v="13500222"/>
    <s v="O/S Svc – NAES"/>
    <s v="Tacoma LNG Cash Adva"/>
    <s v="TLNG Truck Loading System for PSE Operatoins"/>
    <s v="2060"/>
    <s v="Utility Oper. &amp; Maint."/>
    <n v="53.11"/>
    <s v="4"/>
    <s v="2024"/>
    <d v="2024-04-30T00:00:00"/>
    <x v="13"/>
  </r>
  <r>
    <x v="6"/>
    <s v="62300175"/>
    <s v="13500222"/>
    <s v="O/S Svc – NAES"/>
    <s v="Tacoma LNG Cash Adva"/>
    <s v="TLNG Pre-Treatment System for PSE Operations"/>
    <s v="2060"/>
    <s v="Utility Oper. &amp; Maint."/>
    <n v="4669.5600000000004"/>
    <s v="4"/>
    <s v="2024"/>
    <d v="2024-04-30T00:00:00"/>
    <x v="13"/>
  </r>
  <r>
    <x v="7"/>
    <s v="62300175"/>
    <s v="13500222"/>
    <s v="O/S Svc – NAES"/>
    <s v="Tacoma LNG Cash Adva"/>
    <s v="TLNG Pre-Treatment System for PSE Maintenance"/>
    <s v="2060"/>
    <s v="Utility Oper. &amp; Maint."/>
    <n v="263.8"/>
    <s v="4"/>
    <s v="2024"/>
    <d v="2024-04-30T00:00:00"/>
    <x v="13"/>
  </r>
  <r>
    <x v="8"/>
    <s v="62300175"/>
    <s v="13500222"/>
    <s v="O/S Svc – NAES"/>
    <s v="Tacoma LNG Cash Adva"/>
    <s v="TLNG Plant Utilities System for PSE Operations"/>
    <s v="2060"/>
    <s v="Utility Oper. &amp; Maint."/>
    <n v="134.31"/>
    <s v="4"/>
    <s v="2024"/>
    <d v="2024-04-30T00:00:00"/>
    <x v="13"/>
  </r>
  <r>
    <x v="9"/>
    <s v="62300175"/>
    <s v="13500222"/>
    <s v="O/S Svc – NAES"/>
    <s v="Tacoma LNG Cash Adva"/>
    <s v="TLNG Plant Utilities System for PSE Maintenance"/>
    <s v="2060"/>
    <s v="Utility Oper. &amp; Maint."/>
    <n v="995.42"/>
    <s v="4"/>
    <s v="2024"/>
    <d v="2024-04-30T00:00:00"/>
    <x v="13"/>
  </r>
  <r>
    <x v="2"/>
    <s v="62300175"/>
    <s v="13500222"/>
    <s v="O/S Svc – NAES"/>
    <s v="Tacoma LNG Cash Adva"/>
    <s v="Tacoma LNG Vaporization for PSE Maintenance"/>
    <s v="2060"/>
    <s v="Utility Oper. &amp; Maint."/>
    <n v="3838.44"/>
    <s v="4"/>
    <s v="2024"/>
    <d v="2024-04-30T00:00:00"/>
    <x v="13"/>
  </r>
  <r>
    <x v="2"/>
    <s v="62300175"/>
    <s v="13500222"/>
    <s v="O/S Svc – NAES"/>
    <s v="Tacoma LNG Cash Adva"/>
    <s v="Tacoma LNG Vaporization for PSE Maintenance"/>
    <s v="2060"/>
    <s v="Utility Oper. &amp; Maint."/>
    <n v="586.67999999999995"/>
    <s v="4"/>
    <s v="2024"/>
    <d v="2024-04-30T00:00:00"/>
    <x v="13"/>
  </r>
  <r>
    <x v="13"/>
    <s v="62300175"/>
    <s v=""/>
    <s v="O/S Svc – NAES"/>
    <s v=""/>
    <s v="ORD 84000001"/>
    <s v=""/>
    <s v=""/>
    <n v="6507.01"/>
    <s v="4"/>
    <n v="2024"/>
    <d v="2024-04-30T00:00:00"/>
    <x v="13"/>
  </r>
  <r>
    <x v="14"/>
    <s v="60870001"/>
    <s v=""/>
    <s v="Rent/Lease-Non Cancl"/>
    <s v=""/>
    <s v="ORD 84200030"/>
    <s v=""/>
    <s v=""/>
    <n v="110104.36"/>
    <s v="4"/>
    <n v="2024"/>
    <d v="2024-04-30T00:00:00"/>
    <x v="13"/>
  </r>
  <r>
    <x v="15"/>
    <s v="62300175"/>
    <s v=""/>
    <s v="O/S Svc – NAES"/>
    <s v=""/>
    <s v="ORD 84330002"/>
    <s v=""/>
    <s v=""/>
    <n v="8127.95"/>
    <s v="4"/>
    <n v="2024"/>
    <d v="2024-04-30T00:00:00"/>
    <x v="13"/>
  </r>
  <r>
    <x v="16"/>
    <s v="84311002"/>
    <s v=""/>
    <s v="Analyst 2 Ex"/>
    <s v=""/>
    <s v="ORD 84410107"/>
    <s v=""/>
    <s v=""/>
    <n v="754.5"/>
    <s v="4"/>
    <n v="2024"/>
    <d v="2024-04-30T00:00:00"/>
    <x v="13"/>
  </r>
  <r>
    <x v="16"/>
    <s v="84311007"/>
    <s v=""/>
    <s v="Consultant Ex"/>
    <s v=""/>
    <s v="ORD 84410107"/>
    <s v=""/>
    <s v=""/>
    <n v="87.55"/>
    <s v="4"/>
    <n v="2024"/>
    <d v="2024-04-30T00:00:00"/>
    <x v="13"/>
  </r>
  <r>
    <x v="16"/>
    <s v="84311007"/>
    <s v=""/>
    <s v="Consultant Ex"/>
    <s v=""/>
    <s v="ORD 84410107"/>
    <s v=""/>
    <s v=""/>
    <n v="360.13"/>
    <s v="4"/>
    <n v="2024"/>
    <d v="2024-04-30T00:00:00"/>
    <x v="13"/>
  </r>
  <r>
    <x v="16"/>
    <s v="84311009"/>
    <s v=""/>
    <s v="Engineer Ex"/>
    <s v=""/>
    <s v="ORD 84410107"/>
    <s v=""/>
    <s v=""/>
    <n v="164.29"/>
    <s v="4"/>
    <n v="2024"/>
    <d v="2024-04-30T00:00:00"/>
    <x v="13"/>
  </r>
  <r>
    <x v="16"/>
    <s v="84311011"/>
    <s v=""/>
    <s v="Engineer Consult Ex"/>
    <s v=""/>
    <s v="ORD 84410107"/>
    <s v=""/>
    <s v=""/>
    <n v="2686.3"/>
    <s v="4"/>
    <n v="2024"/>
    <d v="2024-04-30T00:00:00"/>
    <x v="13"/>
  </r>
  <r>
    <x v="16"/>
    <s v="62300175"/>
    <s v=""/>
    <s v="O/S Svc – NAES"/>
    <s v=""/>
    <s v="ORD 84410107"/>
    <s v=""/>
    <s v=""/>
    <n v="32001.39"/>
    <s v="4"/>
    <n v="2024"/>
    <d v="2024-04-30T00:00:00"/>
    <x v="13"/>
  </r>
  <r>
    <x v="16"/>
    <s v="84100013"/>
    <s v=""/>
    <s v="Fleet Gas Ops OH"/>
    <s v=""/>
    <s v="ORD 84410107"/>
    <s v=""/>
    <s v=""/>
    <n v="385.01"/>
    <s v="4"/>
    <n v="2024"/>
    <d v="2024-04-30T00:00:00"/>
    <x v="13"/>
  </r>
  <r>
    <x v="16"/>
    <s v="84100021"/>
    <s v=""/>
    <s v="Payroll Taxes OH"/>
    <s v=""/>
    <s v="ORD 84410107"/>
    <s v=""/>
    <s v=""/>
    <n v="380.96"/>
    <s v="4"/>
    <n v="2024"/>
    <d v="2024-04-30T00:00:00"/>
    <x v="13"/>
  </r>
  <r>
    <x v="16"/>
    <s v="84100022"/>
    <s v=""/>
    <s v="Benefits OH"/>
    <s v=""/>
    <s v="ORD 84410107"/>
    <s v=""/>
    <s v=""/>
    <n v="948.35"/>
    <s v="4"/>
    <n v="2024"/>
    <d v="2024-04-30T00:00:00"/>
    <x v="13"/>
  </r>
  <r>
    <x v="16"/>
    <s v="84100023"/>
    <s v=""/>
    <s v="Paid Time Off OH"/>
    <s v=""/>
    <s v="ORD 84410107"/>
    <s v=""/>
    <s v=""/>
    <n v="632.23"/>
    <s v="4"/>
    <n v="2024"/>
    <d v="2024-04-30T00:00:00"/>
    <x v="13"/>
  </r>
  <r>
    <x v="16"/>
    <s v="84100024"/>
    <s v=""/>
    <s v="Incentives OH"/>
    <s v=""/>
    <s v="ORD 84410107"/>
    <s v=""/>
    <s v=""/>
    <n v="441.75"/>
    <s v="4"/>
    <n v="2024"/>
    <d v="2024-04-30T00:00:00"/>
    <x v="13"/>
  </r>
  <r>
    <x v="18"/>
    <s v="62300175"/>
    <s v=""/>
    <s v="O/S Svc – NAES"/>
    <s v=""/>
    <s v="ORD 84620091"/>
    <s v=""/>
    <s v=""/>
    <n v="11229.18"/>
    <s v="4"/>
    <n v="2024"/>
    <d v="2024-04-30T00:00:00"/>
    <x v="13"/>
  </r>
  <r>
    <x v="19"/>
    <s v="60250000"/>
    <s v=""/>
    <s v="Workers Comp Payment"/>
    <s v=""/>
    <s v="ORD 92400330"/>
    <s v=""/>
    <s v=""/>
    <n v="141.66999999999999"/>
    <s v="4"/>
    <n v="2024"/>
    <d v="2024-04-30T00:00:00"/>
    <x v="13"/>
  </r>
  <r>
    <x v="19"/>
    <s v="62300175"/>
    <s v=""/>
    <s v="O/S Svc – NAES"/>
    <s v=""/>
    <s v="ORD 92400330"/>
    <s v=""/>
    <s v=""/>
    <n v="1218.8"/>
    <s v="4"/>
    <n v="2024"/>
    <d v="2024-04-30T00:00:00"/>
    <x v="13"/>
  </r>
  <r>
    <x v="20"/>
    <s v="62300175"/>
    <s v=""/>
    <s v="O/S Svc – NAES"/>
    <s v=""/>
    <s v="ORD 84620090"/>
    <s v=""/>
    <s v=""/>
    <n v="3041.17"/>
    <s v="4"/>
    <n v="2024"/>
    <d v="2024-04-30T00:00:00"/>
    <x v="13"/>
  </r>
  <r>
    <x v="21"/>
    <s v="62300175"/>
    <s v=""/>
    <s v="O/S Svc – NAES"/>
    <s v=""/>
    <s v="ORD 84100090"/>
    <s v=""/>
    <s v=""/>
    <n v="28313.09"/>
    <s v="4"/>
    <n v="2024"/>
    <d v="2024-04-30T00:00:00"/>
    <x v="13"/>
  </r>
  <r>
    <x v="21"/>
    <s v="63100000"/>
    <s v=""/>
    <s v="Permits, Fees &amp; Ease"/>
    <s v=""/>
    <s v="ORD 84100090"/>
    <s v=""/>
    <s v=""/>
    <n v="1641.37"/>
    <s v="4"/>
    <n v="2024"/>
    <d v="2024-04-30T00:00:00"/>
    <x v="13"/>
  </r>
  <r>
    <x v="22"/>
    <s v="62300175"/>
    <s v=""/>
    <s v="O/S Svc – NAES"/>
    <s v=""/>
    <s v="ORD 84390090"/>
    <s v=""/>
    <s v=""/>
    <n v="17184.580000000002"/>
    <s v="4"/>
    <n v="2024"/>
    <d v="2024-04-30T00:00:00"/>
    <x v="13"/>
  </r>
  <r>
    <x v="24"/>
    <s v="62300175"/>
    <s v=""/>
    <s v="O/S Svc – NAES"/>
    <s v=""/>
    <s v="ORD 84770090"/>
    <s v=""/>
    <s v=""/>
    <n v="1281.06"/>
    <s v="4"/>
    <n v="2024"/>
    <d v="2024-04-30T00:00:00"/>
    <x v="13"/>
  </r>
  <r>
    <x v="25"/>
    <s v="62300175"/>
    <s v=""/>
    <s v="O/S Svc – NAES"/>
    <s v=""/>
    <s v="ORD 84000090"/>
    <s v=""/>
    <s v=""/>
    <n v="1667.95"/>
    <s v="4"/>
    <n v="2024"/>
    <d v="2024-04-30T00:00:00"/>
    <x v="13"/>
  </r>
  <r>
    <x v="0"/>
    <s v="61100000"/>
    <s v="101611"/>
    <s v="Utilities"/>
    <s v="CITY OF TACOMA"/>
    <s v="101611 -CITY OF TACOMA"/>
    <s v="2060"/>
    <s v="Utility Oper. &amp; Maint."/>
    <n v="49377.25"/>
    <s v="4"/>
    <s v="2025"/>
    <d v="2025-04-10T00:00:00"/>
    <x v="14"/>
  </r>
  <r>
    <x v="0"/>
    <s v="61100000"/>
    <s v="23200543"/>
    <s v="Utilities"/>
    <s v="AP Non-SAP Sys"/>
    <s v="Tacoma Public Utilities - Power cost for LNG lique"/>
    <s v="2060"/>
    <s v="Utility Oper. &amp; Maint."/>
    <n v="-50039.87"/>
    <s v="4"/>
    <s v="2025"/>
    <d v="2025-04-10T00:00:00"/>
    <x v="14"/>
  </r>
  <r>
    <x v="0"/>
    <s v="61100000"/>
    <s v="23200543"/>
    <s v="Utilities"/>
    <s v="AP Non-SAP Sys"/>
    <s v="Tacoma Public Utilities - Power cost for LNG lique"/>
    <s v="2060"/>
    <s v="Utility Oper. &amp; Maint."/>
    <n v="88244.17"/>
    <s v="4"/>
    <s v="2025"/>
    <d v="2025-04-29T00:00:00"/>
    <x v="14"/>
  </r>
  <r>
    <x v="5"/>
    <s v="62300175"/>
    <s v="62300175"/>
    <s v="O/S Svc – NAES"/>
    <s v="O/S Svc – NAES"/>
    <s v="TLNG Truck Loading System for PSE Operatoins"/>
    <s v="2060"/>
    <s v="Utility Oper. &amp; Maint."/>
    <n v="-5"/>
    <s v="4"/>
    <s v="2025"/>
    <d v="2025-04-30T00:00:00"/>
    <x v="14"/>
  </r>
  <r>
    <x v="2"/>
    <s v="62300175"/>
    <s v="62300175"/>
    <s v="O/S Svc – NAES"/>
    <s v="O/S Svc – NAES"/>
    <s v="Tacoma LNG Vaporization for PSE Maintenance"/>
    <s v="2060"/>
    <s v="Utility Oper. &amp; Maint."/>
    <n v="-2243"/>
    <s v="4"/>
    <s v="2025"/>
    <d v="2025-04-30T00:00:00"/>
    <x v="14"/>
  </r>
  <r>
    <x v="3"/>
    <s v="62300175"/>
    <s v="13500222"/>
    <s v="O/S Svc – NAES"/>
    <s v="Tacoma LNG Cash Adva"/>
    <s v="TLNG Liquefaction System for PSE Operations"/>
    <s v="2060"/>
    <s v="Utility Oper. &amp; Maint."/>
    <n v="7015.35"/>
    <s v="4"/>
    <s v="2025"/>
    <d v="2025-04-30T00:00:00"/>
    <x v="14"/>
  </r>
  <r>
    <x v="4"/>
    <s v="62300175"/>
    <s v="13500222"/>
    <s v="O/S Svc – NAES"/>
    <s v="Tacoma LNG Cash Adva"/>
    <s v="TLNG Liquefaction System for PSE Maintenance"/>
    <s v="2060"/>
    <s v="Utility Oper. &amp; Maint."/>
    <n v="2882.98"/>
    <s v="4"/>
    <s v="2025"/>
    <d v="2025-04-30T00:00:00"/>
    <x v="14"/>
  </r>
  <r>
    <x v="6"/>
    <s v="62300175"/>
    <s v="13500222"/>
    <s v="O/S Svc – NAES"/>
    <s v="Tacoma LNG Cash Adva"/>
    <s v="TLNG Pre-Treatment System for PSE Operations"/>
    <s v="2060"/>
    <s v="Utility Oper. &amp; Maint."/>
    <n v="712.96"/>
    <s v="4"/>
    <s v="2025"/>
    <d v="2025-04-30T00:00:00"/>
    <x v="14"/>
  </r>
  <r>
    <x v="7"/>
    <s v="62300175"/>
    <s v="13500222"/>
    <s v="O/S Svc – NAES"/>
    <s v="Tacoma LNG Cash Adva"/>
    <s v="TLNG Pre-Treatment System for PSE Maintenance"/>
    <s v="2060"/>
    <s v="Utility Oper. &amp; Maint."/>
    <n v="512.87"/>
    <s v="4"/>
    <s v="2025"/>
    <d v="2025-04-30T00:00:00"/>
    <x v="14"/>
  </r>
  <r>
    <x v="8"/>
    <s v="62300175"/>
    <s v="13500222"/>
    <s v="O/S Svc – NAES"/>
    <s v="Tacoma LNG Cash Adva"/>
    <s v="TLNG Plant Utilities System for PSE Operations"/>
    <s v="2060"/>
    <s v="Utility Oper. &amp; Maint."/>
    <n v="333.59"/>
    <s v="4"/>
    <s v="2025"/>
    <d v="2025-04-30T00:00:00"/>
    <x v="14"/>
  </r>
  <r>
    <x v="9"/>
    <s v="62300175"/>
    <s v="13500222"/>
    <s v="O/S Svc – NAES"/>
    <s v="Tacoma LNG Cash Adva"/>
    <s v="TLNG Plant Utilities System for PSE Maintenance"/>
    <s v="2060"/>
    <s v="Utility Oper. &amp; Maint."/>
    <n v="24.04"/>
    <s v="4"/>
    <s v="2025"/>
    <d v="2025-04-30T00:00:00"/>
    <x v="14"/>
  </r>
  <r>
    <x v="10"/>
    <s v="62300175"/>
    <s v="13500222"/>
    <s v="O/S Svc – NAES"/>
    <s v="Tacoma LNG Cash Adva"/>
    <s v="TLNG Fuel System for PSE Maintenance"/>
    <s v="2060"/>
    <s v="Utility Oper. &amp; Maint."/>
    <n v="80.489999999999995"/>
    <s v="4"/>
    <s v="2025"/>
    <d v="2025-04-30T00:00:00"/>
    <x v="14"/>
  </r>
  <r>
    <x v="4"/>
    <s v="62300175"/>
    <s v="13500222"/>
    <s v="O/S Svc – NAES"/>
    <s v="Tacoma LNG Cash Adva"/>
    <s v="TLNG Liquefaction System for PSE Maintenance"/>
    <s v="2060"/>
    <s v="Utility Oper. &amp; Maint."/>
    <n v="36.1"/>
    <s v="4"/>
    <s v="2025"/>
    <d v="2025-04-30T00:00:00"/>
    <x v="14"/>
  </r>
  <r>
    <x v="7"/>
    <s v="62300175"/>
    <s v="13500222"/>
    <s v="O/S Svc – NAES"/>
    <s v="Tacoma LNG Cash Adva"/>
    <s v="TLNG Pre-Treatment System for PSE Maintenance"/>
    <s v="2060"/>
    <s v="Utility Oper. &amp; Maint."/>
    <n v="731.68"/>
    <s v="4"/>
    <s v="2025"/>
    <d v="2025-04-30T00:00:00"/>
    <x v="14"/>
  </r>
  <r>
    <x v="12"/>
    <s v="62300175"/>
    <s v=""/>
    <s v="O/S Svc – NAES"/>
    <s v=""/>
    <s v="ORD 84780001"/>
    <s v=""/>
    <s v=""/>
    <n v="1453.4"/>
    <s v="4"/>
    <n v="2025"/>
    <d v="2025-04-30T00:00:00"/>
    <x v="14"/>
  </r>
  <r>
    <x v="13"/>
    <s v="62300175"/>
    <s v=""/>
    <s v="O/S Svc – NAES"/>
    <s v=""/>
    <s v="ORD 84000001"/>
    <s v=""/>
    <s v=""/>
    <n v="10093.93"/>
    <s v="4"/>
    <n v="2025"/>
    <d v="2025-04-30T00:00:00"/>
    <x v="14"/>
  </r>
  <r>
    <x v="14"/>
    <s v="60870001"/>
    <s v=""/>
    <s v="Rent/Lease-Non Cancl"/>
    <s v=""/>
    <s v="ORD 84200030"/>
    <s v=""/>
    <s v=""/>
    <n v="91351.35"/>
    <s v="4"/>
    <n v="2025"/>
    <d v="2025-04-30T00:00:00"/>
    <x v="14"/>
  </r>
  <r>
    <x v="14"/>
    <s v="61100000"/>
    <s v=""/>
    <s v="Utilities"/>
    <s v=""/>
    <s v="ORD 84200030"/>
    <s v=""/>
    <s v=""/>
    <n v="24632.59"/>
    <s v="4"/>
    <n v="2025"/>
    <d v="2025-04-30T00:00:00"/>
    <x v="14"/>
  </r>
  <r>
    <x v="15"/>
    <s v="62300175"/>
    <s v=""/>
    <s v="O/S Svc – NAES"/>
    <s v=""/>
    <s v="ORD 84330002"/>
    <s v=""/>
    <s v=""/>
    <n v="88397.88"/>
    <s v="4"/>
    <n v="2025"/>
    <d v="2025-04-30T00:00:00"/>
    <x v="14"/>
  </r>
  <r>
    <x v="16"/>
    <s v="84311002"/>
    <s v=""/>
    <s v="Analyst 2 Ex"/>
    <s v=""/>
    <s v="ORD 84410107"/>
    <s v=""/>
    <s v=""/>
    <n v="780.36"/>
    <s v="4"/>
    <n v="2025"/>
    <d v="2025-04-30T00:00:00"/>
    <x v="14"/>
  </r>
  <r>
    <x v="16"/>
    <s v="84311007"/>
    <s v=""/>
    <s v="Consultant Ex"/>
    <s v=""/>
    <s v="ORD 84410107"/>
    <s v=""/>
    <s v=""/>
    <n v="242.48"/>
    <s v="4"/>
    <n v="2025"/>
    <d v="2025-04-30T00:00:00"/>
    <x v="14"/>
  </r>
  <r>
    <x v="16"/>
    <s v="84311009"/>
    <s v=""/>
    <s v="Engineer Ex"/>
    <s v=""/>
    <s v="ORD 84410107"/>
    <s v=""/>
    <s v=""/>
    <n v="148.79"/>
    <s v="4"/>
    <n v="2025"/>
    <d v="2025-04-30T00:00:00"/>
    <x v="14"/>
  </r>
  <r>
    <x v="16"/>
    <s v="84311011"/>
    <s v=""/>
    <s v="Engineer Consult Ex"/>
    <s v=""/>
    <s v="ORD 84410107"/>
    <s v=""/>
    <s v=""/>
    <n v="3230.4"/>
    <s v="4"/>
    <n v="2025"/>
    <d v="2025-04-30T00:00:00"/>
    <x v="14"/>
  </r>
  <r>
    <x v="16"/>
    <s v="84311014"/>
    <s v=""/>
    <s v="Manager 1 Ex"/>
    <s v=""/>
    <s v="ORD 84410107"/>
    <s v=""/>
    <s v=""/>
    <n v="293.69"/>
    <s v="4"/>
    <n v="2025"/>
    <d v="2025-04-30T00:00:00"/>
    <x v="14"/>
  </r>
  <r>
    <x v="16"/>
    <s v="62300175"/>
    <s v=""/>
    <s v="O/S Svc – NAES"/>
    <s v=""/>
    <s v="ORD 84410107"/>
    <s v=""/>
    <s v=""/>
    <n v="40238.730000000003"/>
    <s v="4"/>
    <n v="2025"/>
    <d v="2025-04-30T00:00:00"/>
    <x v="14"/>
  </r>
  <r>
    <x v="16"/>
    <s v="84100013"/>
    <s v=""/>
    <s v="Fleet Gas Ops OH"/>
    <s v=""/>
    <s v="ORD 84410107"/>
    <s v=""/>
    <s v=""/>
    <n v="493.05"/>
    <s v="4"/>
    <n v="2025"/>
    <d v="2025-04-30T00:00:00"/>
    <x v="14"/>
  </r>
  <r>
    <x v="16"/>
    <s v="84100021"/>
    <s v=""/>
    <s v="Payroll Taxes OH"/>
    <s v=""/>
    <s v="ORD 84410107"/>
    <s v=""/>
    <s v=""/>
    <n v="450.79"/>
    <s v="4"/>
    <n v="2025"/>
    <d v="2025-04-30T00:00:00"/>
    <x v="14"/>
  </r>
  <r>
    <x v="16"/>
    <s v="84100022"/>
    <s v=""/>
    <s v="Benefits OH"/>
    <s v=""/>
    <s v="ORD 84410107"/>
    <s v=""/>
    <s v=""/>
    <n v="1108.19"/>
    <s v="4"/>
    <n v="2025"/>
    <d v="2025-04-30T00:00:00"/>
    <x v="14"/>
  </r>
  <r>
    <x v="16"/>
    <s v="84100023"/>
    <s v=""/>
    <s v="Paid Time Off OH"/>
    <s v=""/>
    <s v="ORD 84410107"/>
    <s v=""/>
    <s v=""/>
    <n v="821.75"/>
    <s v="4"/>
    <n v="2025"/>
    <d v="2025-04-30T00:00:00"/>
    <x v="14"/>
  </r>
  <r>
    <x v="16"/>
    <s v="84100024"/>
    <s v=""/>
    <s v="Incentives OH"/>
    <s v=""/>
    <s v="ORD 84410107"/>
    <s v=""/>
    <s v=""/>
    <n v="525.91999999999996"/>
    <s v="4"/>
    <n v="2025"/>
    <d v="2025-04-30T00:00:00"/>
    <x v="14"/>
  </r>
  <r>
    <x v="18"/>
    <s v="62300175"/>
    <s v=""/>
    <s v="O/S Svc – NAES"/>
    <s v=""/>
    <s v="ORD 84620091"/>
    <s v=""/>
    <s v=""/>
    <n v="8112.43"/>
    <s v="4"/>
    <n v="2025"/>
    <d v="2025-04-30T00:00:00"/>
    <x v="14"/>
  </r>
  <r>
    <x v="19"/>
    <s v="60250000"/>
    <s v=""/>
    <s v="Workers Comp Payment"/>
    <s v=""/>
    <s v="ORD 92400330"/>
    <s v=""/>
    <s v=""/>
    <n v="133.47"/>
    <s v="4"/>
    <n v="2025"/>
    <d v="2025-04-30T00:00:00"/>
    <x v="14"/>
  </r>
  <r>
    <x v="19"/>
    <s v="62300175"/>
    <s v=""/>
    <s v="O/S Svc – NAES"/>
    <s v=""/>
    <s v="ORD 92400330"/>
    <s v=""/>
    <s v=""/>
    <n v="1728.21"/>
    <s v="4"/>
    <n v="2025"/>
    <d v="2025-04-30T00:00:00"/>
    <x v="14"/>
  </r>
  <r>
    <x v="20"/>
    <s v="62300175"/>
    <s v=""/>
    <s v="O/S Svc – NAES"/>
    <s v=""/>
    <s v="ORD 84620090"/>
    <s v=""/>
    <s v=""/>
    <n v="885.15"/>
    <s v="4"/>
    <n v="2025"/>
    <d v="2025-04-30T00:00:00"/>
    <x v="14"/>
  </r>
  <r>
    <x v="28"/>
    <s v="62300175"/>
    <s v=""/>
    <s v="O/S Svc – NAES"/>
    <s v=""/>
    <s v="ORD 84000091"/>
    <s v=""/>
    <s v=""/>
    <n v="14626.97"/>
    <s v="4"/>
    <n v="2025"/>
    <d v="2025-04-30T00:00:00"/>
    <x v="14"/>
  </r>
  <r>
    <x v="21"/>
    <s v="62300175"/>
    <s v=""/>
    <s v="O/S Svc – NAES"/>
    <s v=""/>
    <s v="ORD 84100090"/>
    <s v=""/>
    <s v=""/>
    <n v="33027.35"/>
    <s v="4"/>
    <n v="2025"/>
    <d v="2025-04-30T00:00:00"/>
    <x v="14"/>
  </r>
  <r>
    <x v="22"/>
    <s v="62300175"/>
    <s v=""/>
    <s v="O/S Svc – NAES"/>
    <s v=""/>
    <s v="ORD 84390090"/>
    <s v=""/>
    <s v=""/>
    <n v="32401.42"/>
    <s v="4"/>
    <n v="2025"/>
    <d v="2025-04-30T00:00:00"/>
    <x v="14"/>
  </r>
  <r>
    <x v="24"/>
    <s v="62300175"/>
    <s v=""/>
    <s v="O/S Svc – NAES"/>
    <s v=""/>
    <s v="ORD 84770090"/>
    <s v=""/>
    <s v=""/>
    <n v="2328.9299999999998"/>
    <s v="4"/>
    <n v="2025"/>
    <d v="2025-04-30T00:00:00"/>
    <x v="14"/>
  </r>
  <r>
    <x v="1"/>
    <s v="62300175"/>
    <s v=""/>
    <s v="O/S Svc – NAES"/>
    <s v=""/>
    <s v="ORD 84000030"/>
    <s v=""/>
    <s v=""/>
    <n v="24490.23"/>
    <s v="4"/>
    <n v="2025"/>
    <d v="2025-04-30T00:00:00"/>
    <x v="14"/>
  </r>
  <r>
    <x v="25"/>
    <s v="62300175"/>
    <s v=""/>
    <s v="O/S Svc – NAES"/>
    <s v=""/>
    <s v="ORD 84000090"/>
    <s v=""/>
    <s v=""/>
    <n v="10993.92"/>
    <s v="4"/>
    <n v="2025"/>
    <d v="2025-04-30T00:00:00"/>
    <x v="14"/>
  </r>
  <r>
    <x v="0"/>
    <s v="61100000"/>
    <s v="101611"/>
    <s v="Utilities"/>
    <s v="CITY OF TACOMA"/>
    <s v="101611 -CITY OF TACOMA"/>
    <s v="2060"/>
    <s v="Utility Oper. &amp; Maint."/>
    <n v="46104.5"/>
    <s v="5"/>
    <s v="2023"/>
    <d v="2023-05-08T00:00:00"/>
    <x v="15"/>
  </r>
  <r>
    <x v="0"/>
    <s v="61100000"/>
    <s v="23200543"/>
    <s v="Utilities"/>
    <s v="AP Non-SAP Sys"/>
    <s v="Tacoma Public Utilities - PSE Apr Power Costs"/>
    <s v="2060"/>
    <s v="Utility Oper. &amp; Maint."/>
    <n v="-51908"/>
    <s v="5"/>
    <s v="2023"/>
    <d v="2023-05-09T00:00:00"/>
    <x v="15"/>
  </r>
  <r>
    <x v="0"/>
    <s v="61100000"/>
    <s v="23200543"/>
    <s v="Utilities"/>
    <s v="AP Non-SAP Sys"/>
    <s v="Tacoma Public Utilities PSE May Power Costs"/>
    <s v="2060"/>
    <s v="Utility Oper. &amp; Maint."/>
    <n v="250261"/>
    <s v="5"/>
    <s v="2023"/>
    <d v="2023-05-30T00:00:00"/>
    <x v="15"/>
  </r>
  <r>
    <x v="29"/>
    <s v="62300175"/>
    <s v="13500222"/>
    <s v="O/S Svc – NAES"/>
    <s v="Tacoma LNG Cash Adva"/>
    <s v="Tacoma LNG Vaporization for PSE Operations"/>
    <s v="2060"/>
    <s v="Utility Oper. &amp; Maint."/>
    <n v="5141.21"/>
    <s v="5"/>
    <s v="2023"/>
    <d v="2023-05-31T00:00:00"/>
    <x v="15"/>
  </r>
  <r>
    <x v="6"/>
    <s v="62300175"/>
    <s v="13500222"/>
    <s v="O/S Svc – NAES"/>
    <s v="Tacoma LNG Cash Adva"/>
    <s v="TLNG Pre-Treatment System for PSE Operations"/>
    <s v="2060"/>
    <s v="Utility Oper. &amp; Maint."/>
    <n v="10563.08"/>
    <s v="5"/>
    <s v="2023"/>
    <d v="2023-05-31T00:00:00"/>
    <x v="15"/>
  </r>
  <r>
    <x v="8"/>
    <s v="62300175"/>
    <s v="13500222"/>
    <s v="O/S Svc – NAES"/>
    <s v="Tacoma LNG Cash Adva"/>
    <s v="TLNG Plant Utilities System for PSE Operations"/>
    <s v="2060"/>
    <s v="Utility Oper. &amp; Maint."/>
    <n v="281.97000000000003"/>
    <s v="5"/>
    <s v="2023"/>
    <d v="2023-05-31T00:00:00"/>
    <x v="15"/>
  </r>
  <r>
    <x v="7"/>
    <s v="62300175"/>
    <s v="13500222"/>
    <s v="O/S Svc – NAES"/>
    <s v="Tacoma LNG Cash Adva"/>
    <s v="TLNG Pre-Treatment System for PSE Maintenance"/>
    <s v="2060"/>
    <s v="Utility Oper. &amp; Maint."/>
    <n v="60.54"/>
    <s v="5"/>
    <s v="2023"/>
    <d v="2023-05-31T00:00:00"/>
    <x v="15"/>
  </r>
  <r>
    <x v="2"/>
    <s v="62300175"/>
    <s v="13500222"/>
    <s v="O/S Svc – NAES"/>
    <s v="Tacoma LNG Cash Adva"/>
    <s v="Tacoma LNG Vaporization for PSE Maintenance"/>
    <s v="2060"/>
    <s v="Utility Oper. &amp; Maint."/>
    <n v="806.84"/>
    <s v="5"/>
    <s v="2023"/>
    <d v="2023-05-31T00:00:00"/>
    <x v="15"/>
  </r>
  <r>
    <x v="9"/>
    <s v="62300175"/>
    <s v="13500222"/>
    <s v="O/S Svc – NAES"/>
    <s v="Tacoma LNG Cash Adva"/>
    <s v="TLNG Plant Utilities System for PSE Maintenance"/>
    <s v="2060"/>
    <s v="Utility Oper. &amp; Maint."/>
    <n v="303.63"/>
    <s v="5"/>
    <s v="2023"/>
    <d v="2023-05-31T00:00:00"/>
    <x v="15"/>
  </r>
  <r>
    <x v="10"/>
    <s v="62300175"/>
    <s v="13500222"/>
    <s v="O/S Svc – NAES"/>
    <s v="Tacoma LNG Cash Adva"/>
    <s v="TLNG Fuel System for PSE Maintenance"/>
    <s v="2060"/>
    <s v="Utility Oper. &amp; Maint."/>
    <n v="188.77"/>
    <s v="5"/>
    <s v="2023"/>
    <d v="2023-05-31T00:00:00"/>
    <x v="15"/>
  </r>
  <r>
    <x v="5"/>
    <s v="62300175"/>
    <s v="13500222"/>
    <s v="O/S Svc – NAES"/>
    <s v="Tacoma LNG Cash Adva"/>
    <s v="TLNG Truck Loading System for PSE Operatoins"/>
    <s v="2060"/>
    <s v="Utility Oper. &amp; Maint."/>
    <n v="1865.5"/>
    <s v="5"/>
    <s v="2023"/>
    <d v="2023-05-31T00:00:00"/>
    <x v="15"/>
  </r>
  <r>
    <x v="3"/>
    <s v="62300175"/>
    <s v="13500222"/>
    <s v="O/S Svc – NAES"/>
    <s v="Tacoma LNG Cash Adva"/>
    <s v="TLNG Liquefaction System for PSE Operations"/>
    <s v="2060"/>
    <s v="Utility Oper. &amp; Maint."/>
    <n v="22721.01"/>
    <s v="5"/>
    <s v="2023"/>
    <d v="2023-05-31T00:00:00"/>
    <x v="15"/>
  </r>
  <r>
    <x v="4"/>
    <s v="62300175"/>
    <s v="13500222"/>
    <s v="O/S Svc – NAES"/>
    <s v="Tacoma LNG Cash Adva"/>
    <s v="TLNG Liquefaction System for PSE Maintenance"/>
    <s v="2060"/>
    <s v="Utility Oper. &amp; Maint."/>
    <n v="2345.4299999999998"/>
    <s v="5"/>
    <s v="2023"/>
    <d v="2023-05-31T00:00:00"/>
    <x v="15"/>
  </r>
  <r>
    <x v="4"/>
    <s v="62300175"/>
    <s v="13500222"/>
    <s v="O/S Svc – NAES"/>
    <s v="Tacoma LNG Cash Adva"/>
    <s v="TLNG Liquefaction System for PSE Maintenance"/>
    <s v="2060"/>
    <s v="Utility Oper. &amp; Maint."/>
    <n v="71.87"/>
    <s v="5"/>
    <s v="2023"/>
    <d v="2023-05-31T00:00:00"/>
    <x v="15"/>
  </r>
  <r>
    <x v="7"/>
    <s v="62300175"/>
    <s v="13500222"/>
    <s v="O/S Svc – NAES"/>
    <s v="Tacoma LNG Cash Adva"/>
    <s v="TLNG Pre-Treatment System for PSE Maintenance"/>
    <s v="2060"/>
    <s v="Utility Oper. &amp; Maint."/>
    <n v="102.03"/>
    <s v="5"/>
    <s v="2023"/>
    <d v="2023-05-31T00:00:00"/>
    <x v="15"/>
  </r>
  <r>
    <x v="11"/>
    <s v="69990112"/>
    <s v="69990111"/>
    <s v="Transfer - Pyr Tx OH"/>
    <s v="Transfer - Benefits"/>
    <s v="May 2023 - Xfr Costs to COH Pool - Part A1"/>
    <s v="2060"/>
    <s v="Utility Oper. &amp; Maint."/>
    <n v="-14.5"/>
    <s v="5"/>
    <s v="2023"/>
    <d v="2023-05-31T00:00:00"/>
    <x v="15"/>
  </r>
  <r>
    <x v="11"/>
    <s v="69990115"/>
    <s v="69990111"/>
    <s v="Transfer - Incent OH"/>
    <s v="Transfer - Benefits"/>
    <s v="May 2023 - Xfr Costs to COH Pool - Part A1"/>
    <s v="2060"/>
    <s v="Utility Oper. &amp; Maint."/>
    <n v="-16.13"/>
    <s v="5"/>
    <s v="2023"/>
    <d v="2023-05-31T00:00:00"/>
    <x v="15"/>
  </r>
  <r>
    <x v="11"/>
    <s v="69990160"/>
    <s v="69990111"/>
    <s v="Trans Transport OH"/>
    <s v="Transfer - Benefits"/>
    <s v="May 2023 - Xfr Costs to COH Pool - Part A1"/>
    <s v="2060"/>
    <s v="Utility Oper. &amp; Maint."/>
    <n v="-17.11"/>
    <s v="5"/>
    <s v="2023"/>
    <d v="2023-05-31T00:00:00"/>
    <x v="15"/>
  </r>
  <r>
    <x v="11"/>
    <s v="69990114"/>
    <s v="69990111"/>
    <s v="Transfer - PTO OH"/>
    <s v="Transfer - Benefits"/>
    <s v="May 2023 - Xfr Costs to COH Pool - Part A1"/>
    <s v="2060"/>
    <s v="Utility Oper. &amp; Maint."/>
    <n v="-26.23"/>
    <s v="5"/>
    <s v="2023"/>
    <d v="2023-05-31T00:00:00"/>
    <x v="15"/>
  </r>
  <r>
    <x v="11"/>
    <s v="69990111"/>
    <s v="69990111"/>
    <s v="Transfer - Beneftis"/>
    <s v="Transfer - Benefits"/>
    <s v="May 2023 - Xfr Costs to COH Pool - Part A1"/>
    <s v="2060"/>
    <s v="Utility Oper. &amp; Maint."/>
    <n v="-48.87"/>
    <s v="5"/>
    <s v="2023"/>
    <d v="2023-05-31T00:00:00"/>
    <x v="15"/>
  </r>
  <r>
    <x v="11"/>
    <s v="69990071"/>
    <s v="69990111"/>
    <s v="Transfer - Labor"/>
    <s v="Transfer - Benefits"/>
    <s v="May 2023 - Xfr Costs to COH Pool - Part A1"/>
    <s v="2060"/>
    <s v="Utility Oper. &amp; Maint."/>
    <n v="-162.9"/>
    <s v="5"/>
    <s v="2023"/>
    <d v="2023-05-31T00:00:00"/>
    <x v="15"/>
  </r>
  <r>
    <x v="12"/>
    <s v="62300175"/>
    <s v=""/>
    <s v="O/S Svc – NAES"/>
    <s v=""/>
    <s v="ORD 84780001"/>
    <s v=""/>
    <s v=""/>
    <n v="270.89999999999998"/>
    <s v="5"/>
    <n v="2023"/>
    <d v="2023-05-31T00:00:00"/>
    <x v="15"/>
  </r>
  <r>
    <x v="13"/>
    <s v="62300175"/>
    <s v=""/>
    <s v="O/S Svc – NAES"/>
    <s v=""/>
    <s v="ORD 84000001"/>
    <s v=""/>
    <s v=""/>
    <n v="4698.96"/>
    <s v="5"/>
    <n v="2023"/>
    <d v="2023-05-31T00:00:00"/>
    <x v="15"/>
  </r>
  <r>
    <x v="14"/>
    <s v="60870001"/>
    <s v=""/>
    <s v="Rent/Lease-Non Cancl"/>
    <s v=""/>
    <s v="ORD 84200030"/>
    <s v=""/>
    <s v=""/>
    <n v="104522.84"/>
    <s v="5"/>
    <n v="2023"/>
    <d v="2023-05-31T00:00:00"/>
    <x v="15"/>
  </r>
  <r>
    <x v="15"/>
    <s v="62300175"/>
    <s v=""/>
    <s v="O/S Svc – NAES"/>
    <s v=""/>
    <s v="ORD 84330002"/>
    <s v=""/>
    <s v=""/>
    <n v="2755.93"/>
    <s v="5"/>
    <n v="2023"/>
    <d v="2023-05-31T00:00:00"/>
    <x v="15"/>
  </r>
  <r>
    <x v="16"/>
    <s v="84311002"/>
    <s v=""/>
    <s v="Analyst 2 Ex"/>
    <s v=""/>
    <s v="ORD 84410107"/>
    <s v=""/>
    <s v=""/>
    <n v="814.53"/>
    <s v="5"/>
    <n v="2023"/>
    <d v="2023-05-31T00:00:00"/>
    <x v="15"/>
  </r>
  <r>
    <x v="16"/>
    <s v="84311015"/>
    <s v=""/>
    <s v="Manager 2 Ex"/>
    <s v=""/>
    <s v="ORD 84410107"/>
    <s v=""/>
    <s v=""/>
    <n v="1261.2"/>
    <s v="5"/>
    <n v="2023"/>
    <d v="2023-05-31T00:00:00"/>
    <x v="15"/>
  </r>
  <r>
    <x v="16"/>
    <s v="84311015"/>
    <s v=""/>
    <s v="Manager 2 Ex"/>
    <s v=""/>
    <s v="ORD 84410107"/>
    <s v=""/>
    <s v=""/>
    <n v="4288.08"/>
    <s v="5"/>
    <n v="2023"/>
    <d v="2023-05-31T00:00:00"/>
    <x v="15"/>
  </r>
  <r>
    <x v="16"/>
    <s v="60330000"/>
    <s v=""/>
    <s v="Emp Exp - Meals"/>
    <s v=""/>
    <s v="ORD 84410107"/>
    <s v=""/>
    <s v=""/>
    <n v="50.82"/>
    <s v="5"/>
    <n v="2023"/>
    <d v="2023-05-31T00:00:00"/>
    <x v="15"/>
  </r>
  <r>
    <x v="16"/>
    <s v="60333150"/>
    <s v=""/>
    <s v="Emp Exp-Grnd Trn xcl"/>
    <s v=""/>
    <s v="ORD 84410107"/>
    <s v=""/>
    <s v=""/>
    <n v="21"/>
    <s v="5"/>
    <n v="2023"/>
    <d v="2023-05-31T00:00:00"/>
    <x v="15"/>
  </r>
  <r>
    <x v="16"/>
    <s v="60335000"/>
    <s v=""/>
    <s v="Emp Exp - Lodging"/>
    <s v=""/>
    <s v="ORD 84410107"/>
    <s v=""/>
    <s v=""/>
    <n v="151.5"/>
    <s v="5"/>
    <n v="2023"/>
    <d v="2023-05-31T00:00:00"/>
    <x v="15"/>
  </r>
  <r>
    <x v="16"/>
    <s v="60700000"/>
    <s v=""/>
    <s v="Office Supplies/Serv"/>
    <s v=""/>
    <s v="ORD 84410107"/>
    <s v=""/>
    <s v=""/>
    <n v="22.99"/>
    <s v="5"/>
    <n v="2023"/>
    <d v="2023-05-31T00:00:00"/>
    <x v="15"/>
  </r>
  <r>
    <x v="16"/>
    <s v="62210000"/>
    <s v=""/>
    <s v="Emp Exp - Sem&amp;Conf"/>
    <s v=""/>
    <s v="ORD 84410107"/>
    <s v=""/>
    <s v=""/>
    <n v="859.97"/>
    <s v="5"/>
    <n v="2023"/>
    <d v="2023-05-31T00:00:00"/>
    <x v="15"/>
  </r>
  <r>
    <x v="16"/>
    <s v="62300065"/>
    <s v=""/>
    <s v="O/S - Continuing"/>
    <s v=""/>
    <s v="ORD 84410107"/>
    <s v=""/>
    <s v=""/>
    <n v="1017.14"/>
    <s v="5"/>
    <n v="2023"/>
    <d v="2023-05-31T00:00:00"/>
    <x v="15"/>
  </r>
  <r>
    <x v="16"/>
    <s v="62300175"/>
    <s v=""/>
    <s v="O/S Svc – NAES"/>
    <s v=""/>
    <s v="ORD 84410107"/>
    <s v=""/>
    <s v=""/>
    <n v="72463.12"/>
    <s v="5"/>
    <n v="2023"/>
    <d v="2023-05-31T00:00:00"/>
    <x v="15"/>
  </r>
  <r>
    <x v="16"/>
    <s v="84100013"/>
    <s v=""/>
    <s v="Fleet Gas Ops OH"/>
    <s v=""/>
    <s v="ORD 84410107"/>
    <s v=""/>
    <s v=""/>
    <n v="668.2"/>
    <s v="5"/>
    <n v="2023"/>
    <d v="2023-05-31T00:00:00"/>
    <x v="15"/>
  </r>
  <r>
    <x v="16"/>
    <s v="84100021"/>
    <s v=""/>
    <s v="Payroll Taxes OH"/>
    <s v=""/>
    <s v="ORD 84410107"/>
    <s v=""/>
    <s v=""/>
    <n v="566.38"/>
    <s v="5"/>
    <n v="2023"/>
    <d v="2023-05-31T00:00:00"/>
    <x v="15"/>
  </r>
  <r>
    <x v="16"/>
    <s v="84100022"/>
    <s v=""/>
    <s v="Benefits OH"/>
    <s v=""/>
    <s v="ORD 84410107"/>
    <s v=""/>
    <s v=""/>
    <n v="1909.14"/>
    <s v="5"/>
    <n v="2023"/>
    <d v="2023-05-31T00:00:00"/>
    <x v="15"/>
  </r>
  <r>
    <x v="16"/>
    <s v="84100023"/>
    <s v=""/>
    <s v="Paid Time Off OH"/>
    <s v=""/>
    <s v="ORD 84410107"/>
    <s v=""/>
    <s v=""/>
    <n v="1024.57"/>
    <s v="5"/>
    <n v="2023"/>
    <d v="2023-05-31T00:00:00"/>
    <x v="15"/>
  </r>
  <r>
    <x v="16"/>
    <s v="84100024"/>
    <s v=""/>
    <s v="Incentives OH"/>
    <s v=""/>
    <s v="ORD 84410107"/>
    <s v=""/>
    <s v=""/>
    <n v="630.01"/>
    <s v="5"/>
    <n v="2023"/>
    <d v="2023-05-31T00:00:00"/>
    <x v="15"/>
  </r>
  <r>
    <x v="18"/>
    <s v="62300175"/>
    <s v=""/>
    <s v="O/S Svc – NAES"/>
    <s v=""/>
    <s v="ORD 84620091"/>
    <s v=""/>
    <s v=""/>
    <n v="9661.6200000000008"/>
    <s v="5"/>
    <n v="2023"/>
    <d v="2023-05-31T00:00:00"/>
    <x v="15"/>
  </r>
  <r>
    <x v="19"/>
    <s v="60250000"/>
    <s v=""/>
    <s v="Workers Comp Payment"/>
    <s v=""/>
    <s v="ORD 92400330"/>
    <s v=""/>
    <s v=""/>
    <n v="128.52000000000001"/>
    <s v="5"/>
    <n v="2023"/>
    <d v="2023-05-31T00:00:00"/>
    <x v="15"/>
  </r>
  <r>
    <x v="19"/>
    <s v="62300175"/>
    <s v=""/>
    <s v="O/S Svc – NAES"/>
    <s v=""/>
    <s v="ORD 92400330"/>
    <s v=""/>
    <s v=""/>
    <n v="1643.88"/>
    <s v="5"/>
    <n v="2023"/>
    <d v="2023-05-31T00:00:00"/>
    <x v="15"/>
  </r>
  <r>
    <x v="20"/>
    <s v="61100000"/>
    <s v=""/>
    <s v="Utilities"/>
    <s v=""/>
    <s v="ORD 84620090"/>
    <s v=""/>
    <s v=""/>
    <n v="1846.08"/>
    <s v="5"/>
    <n v="2023"/>
    <d v="2023-05-31T00:00:00"/>
    <x v="15"/>
  </r>
  <r>
    <x v="20"/>
    <s v="62300175"/>
    <s v=""/>
    <s v="O/S Svc – NAES"/>
    <s v=""/>
    <s v="ORD 84620090"/>
    <s v=""/>
    <s v=""/>
    <n v="500.28"/>
    <s v="5"/>
    <n v="2023"/>
    <d v="2023-05-31T00:00:00"/>
    <x v="15"/>
  </r>
  <r>
    <x v="20"/>
    <s v="63100000"/>
    <s v=""/>
    <s v="Permits, Fees &amp; Ease"/>
    <s v=""/>
    <s v="ORD 84620090"/>
    <s v=""/>
    <s v=""/>
    <n v="285.42"/>
    <s v="5"/>
    <n v="2023"/>
    <d v="2023-05-31T00:00:00"/>
    <x v="15"/>
  </r>
  <r>
    <x v="28"/>
    <s v="62300175"/>
    <s v=""/>
    <s v="O/S Svc – NAES"/>
    <s v=""/>
    <s v="ORD 84000091"/>
    <s v=""/>
    <s v=""/>
    <n v="705.61"/>
    <s v="5"/>
    <n v="2023"/>
    <d v="2023-05-31T00:00:00"/>
    <x v="15"/>
  </r>
  <r>
    <x v="21"/>
    <s v="62300175"/>
    <s v=""/>
    <s v="O/S Svc – NAES"/>
    <s v=""/>
    <s v="ORD 84100090"/>
    <s v=""/>
    <s v=""/>
    <n v="56922.69"/>
    <s v="5"/>
    <n v="2023"/>
    <d v="2023-05-31T00:00:00"/>
    <x v="15"/>
  </r>
  <r>
    <x v="22"/>
    <s v="62300175"/>
    <s v=""/>
    <s v="O/S Svc – NAES"/>
    <s v=""/>
    <s v="ORD 84390090"/>
    <s v=""/>
    <s v=""/>
    <n v="19566.939999999999"/>
    <s v="5"/>
    <n v="2023"/>
    <d v="2023-05-31T00:00:00"/>
    <x v="15"/>
  </r>
  <r>
    <x v="23"/>
    <s v="62300175"/>
    <s v=""/>
    <s v="O/S Svc – NAES"/>
    <s v=""/>
    <s v="ORD 84470090"/>
    <s v=""/>
    <s v=""/>
    <n v="1995.76"/>
    <s v="5"/>
    <n v="2023"/>
    <d v="2023-05-31T00:00:00"/>
    <x v="15"/>
  </r>
  <r>
    <x v="24"/>
    <s v="62300175"/>
    <s v=""/>
    <s v="O/S Svc – NAES"/>
    <s v=""/>
    <s v="ORD 84770090"/>
    <s v=""/>
    <s v=""/>
    <n v="1894.32"/>
    <s v="5"/>
    <n v="2023"/>
    <d v="2023-05-31T00:00:00"/>
    <x v="15"/>
  </r>
  <r>
    <x v="1"/>
    <s v="62300175"/>
    <s v=""/>
    <s v="O/S Svc – NAES"/>
    <s v=""/>
    <s v="ORD 84000030"/>
    <s v=""/>
    <s v=""/>
    <n v="26354.67"/>
    <s v="5"/>
    <n v="2023"/>
    <d v="2023-05-31T00:00:00"/>
    <x v="15"/>
  </r>
  <r>
    <x v="25"/>
    <s v="84311009"/>
    <s v=""/>
    <s v="Engineer Ex"/>
    <s v=""/>
    <s v="ORD 84000090"/>
    <s v=""/>
    <s v=""/>
    <n v="26.47"/>
    <s v="5"/>
    <n v="2023"/>
    <d v="2023-05-31T00:00:00"/>
    <x v="15"/>
  </r>
  <r>
    <x v="25"/>
    <s v="62300175"/>
    <s v=""/>
    <s v="O/S Svc – NAES"/>
    <s v=""/>
    <s v="ORD 84000090"/>
    <s v=""/>
    <s v=""/>
    <n v="17335.419999999998"/>
    <s v="5"/>
    <n v="2023"/>
    <d v="2023-05-31T00:00:00"/>
    <x v="15"/>
  </r>
  <r>
    <x v="25"/>
    <s v="84100013"/>
    <s v=""/>
    <s v="Fleet Gas Ops OH"/>
    <s v=""/>
    <s v="ORD 84000090"/>
    <s v=""/>
    <s v=""/>
    <n v="2.78"/>
    <s v="5"/>
    <n v="2023"/>
    <d v="2023-05-31T00:00:00"/>
    <x v="15"/>
  </r>
  <r>
    <x v="25"/>
    <s v="84100021"/>
    <s v=""/>
    <s v="Payroll Taxes OH"/>
    <s v=""/>
    <s v="ORD 84000090"/>
    <s v=""/>
    <s v=""/>
    <n v="2.36"/>
    <s v="5"/>
    <n v="2023"/>
    <d v="2023-05-31T00:00:00"/>
    <x v="15"/>
  </r>
  <r>
    <x v="25"/>
    <s v="84100022"/>
    <s v=""/>
    <s v="Benefits OH"/>
    <s v=""/>
    <s v="ORD 84000090"/>
    <s v=""/>
    <s v=""/>
    <n v="7.94"/>
    <s v="5"/>
    <n v="2023"/>
    <d v="2023-05-31T00:00:00"/>
    <x v="15"/>
  </r>
  <r>
    <x v="25"/>
    <s v="84100023"/>
    <s v=""/>
    <s v="Paid Time Off OH"/>
    <s v=""/>
    <s v="ORD 84000090"/>
    <s v=""/>
    <s v=""/>
    <n v="4.26"/>
    <s v="5"/>
    <n v="2023"/>
    <d v="2023-05-31T00:00:00"/>
    <x v="15"/>
  </r>
  <r>
    <x v="25"/>
    <s v="84100024"/>
    <s v=""/>
    <s v="Incentives OH"/>
    <s v=""/>
    <s v="ORD 84000090"/>
    <s v=""/>
    <s v=""/>
    <n v="2.62"/>
    <s v="5"/>
    <n v="2023"/>
    <d v="2023-05-31T00:00:00"/>
    <x v="15"/>
  </r>
  <r>
    <x v="11"/>
    <s v="84100013"/>
    <s v=""/>
    <s v="Fleet Gas Ops OH"/>
    <s v=""/>
    <s v=""/>
    <s v=""/>
    <s v=""/>
    <n v="68.42"/>
    <s v="5"/>
    <n v="2023"/>
    <d v="2023-05-31T00:00:00"/>
    <x v="15"/>
  </r>
  <r>
    <x v="11"/>
    <s v="84100021"/>
    <s v=""/>
    <s v="Payroll Taxes OH"/>
    <s v=""/>
    <s v=""/>
    <s v=""/>
    <s v=""/>
    <n v="57.99"/>
    <s v="5"/>
    <n v="2023"/>
    <d v="2023-05-31T00:00:00"/>
    <x v="15"/>
  </r>
  <r>
    <x v="11"/>
    <s v="84100022"/>
    <s v=""/>
    <s v="Benefits OH"/>
    <s v=""/>
    <s v=""/>
    <s v=""/>
    <s v=""/>
    <n v="195.48"/>
    <s v="5"/>
    <n v="2023"/>
    <d v="2023-05-31T00:00:00"/>
    <x v="15"/>
  </r>
  <r>
    <x v="11"/>
    <s v="84100023"/>
    <s v=""/>
    <s v="Paid Time Off OH"/>
    <s v=""/>
    <s v=""/>
    <s v=""/>
    <s v=""/>
    <n v="104.91"/>
    <s v="5"/>
    <n v="2023"/>
    <d v="2023-05-31T00:00:00"/>
    <x v="15"/>
  </r>
  <r>
    <x v="11"/>
    <s v="84100024"/>
    <s v=""/>
    <s v="Incentives OH"/>
    <s v=""/>
    <s v=""/>
    <s v=""/>
    <s v=""/>
    <n v="64.510000000000005"/>
    <s v="5"/>
    <n v="2023"/>
    <d v="2023-05-31T00:00:00"/>
    <x v="15"/>
  </r>
  <r>
    <x v="11"/>
    <s v="84311007"/>
    <s v=""/>
    <s v="Consultant Ex"/>
    <s v=""/>
    <s v=""/>
    <s v="2060"/>
    <s v="Utility Oper. &amp; Maint."/>
    <n v="130.32"/>
    <s v="5"/>
    <n v="2023"/>
    <d v="2023-05-31T00:00:00"/>
    <x v="15"/>
  </r>
  <r>
    <x v="11"/>
    <s v="84311007"/>
    <s v=""/>
    <s v="Consultant Ex"/>
    <s v=""/>
    <s v=""/>
    <s v="2060"/>
    <s v="Utility Oper. &amp; Maint."/>
    <n v="260.64"/>
    <s v="5"/>
    <n v="2023"/>
    <d v="2023-05-31T00:00:00"/>
    <x v="15"/>
  </r>
  <r>
    <x v="11"/>
    <s v="84311007"/>
    <s v=""/>
    <s v="Consultant Ex"/>
    <s v=""/>
    <s v=""/>
    <s v="2060"/>
    <s v="Utility Oper. &amp; Maint."/>
    <n v="260.64"/>
    <s v="5"/>
    <n v="2023"/>
    <d v="2023-05-31T00:00:00"/>
    <x v="15"/>
  </r>
  <r>
    <x v="0"/>
    <s v="61100000"/>
    <s v="23200543"/>
    <s v="Utilities"/>
    <s v="AP Non-SAP Sys"/>
    <s v="Tacoma Public Utilities-Power cost for LNG liquefa"/>
    <s v="2060"/>
    <s v="Utility Oper. &amp; Maint."/>
    <n v="-140488"/>
    <s v="5"/>
    <s v="2024"/>
    <d v="2024-05-07T00:00:00"/>
    <x v="16"/>
  </r>
  <r>
    <x v="0"/>
    <s v="61100000"/>
    <s v="101611"/>
    <s v="Utilities"/>
    <s v="CITY OF TACOMA"/>
    <s v="101611 -CITY OF TACOMA"/>
    <s v="2060"/>
    <s v="Utility Oper. &amp; Maint."/>
    <n v="136578.03"/>
    <s v="5"/>
    <s v="2024"/>
    <d v="2024-05-07T00:00:00"/>
    <x v="16"/>
  </r>
  <r>
    <x v="0"/>
    <s v="61100000"/>
    <s v="101611"/>
    <s v="Utilities"/>
    <s v="CITY OF TACOMA"/>
    <s v="101611 -CITY OF TACOMA"/>
    <s v="2060"/>
    <s v="Utility Oper. &amp; Maint."/>
    <n v="46695.51"/>
    <s v="5"/>
    <s v="2024"/>
    <d v="2024-05-07T00:00:00"/>
    <x v="16"/>
  </r>
  <r>
    <x v="14"/>
    <s v="60870000"/>
    <s v="13101033"/>
    <s v="Rent/Lease - Cancela"/>
    <s v="Cash-Key Bnk-PSE Rec"/>
    <s v="Port of Tacoma 240157"/>
    <s v="2060"/>
    <s v="Utility Oper. &amp; Maint."/>
    <n v="-14433.09"/>
    <s v="5"/>
    <s v="2024"/>
    <d v="2024-05-08T00:00:00"/>
    <x v="16"/>
  </r>
  <r>
    <x v="0"/>
    <s v="61100000"/>
    <s v="23200543"/>
    <s v="Utilities"/>
    <s v="AP Non-SAP Sys"/>
    <s v="Tacoma Public Utilities - Power cost for LNG lique"/>
    <s v="2060"/>
    <s v="Utility Oper. &amp; Maint."/>
    <n v="48050"/>
    <s v="5"/>
    <s v="2024"/>
    <d v="2024-05-30T00:00:00"/>
    <x v="16"/>
  </r>
  <r>
    <x v="8"/>
    <s v="62300175"/>
    <s v="62300175"/>
    <s v="O/S Svc – NAES"/>
    <s v="O/S Svc – NAES"/>
    <s v="TLNG Plant Utilities System for PSE Operations"/>
    <s v="2060"/>
    <s v="Utility Oper. &amp; Maint."/>
    <n v="-62.74"/>
    <s v="5"/>
    <s v="2024"/>
    <d v="2024-05-31T00:00:00"/>
    <x v="16"/>
  </r>
  <r>
    <x v="3"/>
    <s v="62300175"/>
    <s v="13500222"/>
    <s v="O/S Svc – NAES"/>
    <s v="Tacoma LNG Cash Adva"/>
    <s v="TLNG Liquefaction System for PSE Operations"/>
    <s v="2060"/>
    <s v="Utility Oper. &amp; Maint."/>
    <n v="6271.22"/>
    <s v="5"/>
    <s v="2024"/>
    <d v="2024-05-31T00:00:00"/>
    <x v="16"/>
  </r>
  <r>
    <x v="4"/>
    <s v="62300175"/>
    <s v="13500222"/>
    <s v="O/S Svc – NAES"/>
    <s v="Tacoma LNG Cash Adva"/>
    <s v="TLNG Liquefaction System for PSE Maintenance"/>
    <s v="2060"/>
    <s v="Utility Oper. &amp; Maint."/>
    <n v="1043.26"/>
    <s v="5"/>
    <s v="2024"/>
    <d v="2024-05-31T00:00:00"/>
    <x v="16"/>
  </r>
  <r>
    <x v="5"/>
    <s v="62300175"/>
    <s v="13500222"/>
    <s v="O/S Svc – NAES"/>
    <s v="Tacoma LNG Cash Adva"/>
    <s v="TLNG Truck Loading System for PSE Operatoins"/>
    <s v="2060"/>
    <s v="Utility Oper. &amp; Maint."/>
    <n v="102.24"/>
    <s v="5"/>
    <s v="2024"/>
    <d v="2024-05-31T00:00:00"/>
    <x v="16"/>
  </r>
  <r>
    <x v="6"/>
    <s v="62300175"/>
    <s v="13500222"/>
    <s v="O/S Svc – NAES"/>
    <s v="Tacoma LNG Cash Adva"/>
    <s v="TLNG Pre-Treatment System for PSE Operations"/>
    <s v="2060"/>
    <s v="Utility Oper. &amp; Maint."/>
    <n v="173.49"/>
    <s v="5"/>
    <s v="2024"/>
    <d v="2024-05-31T00:00:00"/>
    <x v="16"/>
  </r>
  <r>
    <x v="7"/>
    <s v="62300175"/>
    <s v="13500222"/>
    <s v="O/S Svc – NAES"/>
    <s v="Tacoma LNG Cash Adva"/>
    <s v="TLNG Pre-Treatment System for PSE Maintenance"/>
    <s v="2060"/>
    <s v="Utility Oper. &amp; Maint."/>
    <n v="974.46"/>
    <s v="5"/>
    <s v="2024"/>
    <d v="2024-05-31T00:00:00"/>
    <x v="16"/>
  </r>
  <r>
    <x v="9"/>
    <s v="62300175"/>
    <s v="13500222"/>
    <s v="O/S Svc – NAES"/>
    <s v="Tacoma LNG Cash Adva"/>
    <s v="TLNG Plant Utilities System for PSE Maintenance"/>
    <s v="2060"/>
    <s v="Utility Oper. &amp; Maint."/>
    <n v="945.61"/>
    <s v="5"/>
    <s v="2024"/>
    <d v="2024-05-31T00:00:00"/>
    <x v="16"/>
  </r>
  <r>
    <x v="2"/>
    <s v="62300175"/>
    <s v="13500222"/>
    <s v="O/S Svc – NAES"/>
    <s v="Tacoma LNG Cash Adva"/>
    <s v="Tacoma LNG Vaporization for PSE Maintenance"/>
    <s v="2060"/>
    <s v="Utility Oper. &amp; Maint."/>
    <n v="232.31"/>
    <s v="5"/>
    <s v="2024"/>
    <d v="2024-05-31T00:00:00"/>
    <x v="16"/>
  </r>
  <r>
    <x v="4"/>
    <s v="62300175"/>
    <s v="13500222"/>
    <s v="O/S Svc – NAES"/>
    <s v="Tacoma LNG Cash Adva"/>
    <s v="TLNG Liquefaction System for PSE Maintenance"/>
    <s v="2060"/>
    <s v="Utility Oper. &amp; Maint."/>
    <n v="441.51"/>
    <s v="5"/>
    <s v="2024"/>
    <d v="2024-05-31T00:00:00"/>
    <x v="16"/>
  </r>
  <r>
    <x v="7"/>
    <s v="62300175"/>
    <s v="13500222"/>
    <s v="O/S Svc – NAES"/>
    <s v="Tacoma LNG Cash Adva"/>
    <s v="TLNG Pre-Treatment System for PSE Maintenance"/>
    <s v="2060"/>
    <s v="Utility Oper. &amp; Maint."/>
    <n v="41.66"/>
    <s v="5"/>
    <s v="2024"/>
    <d v="2024-05-31T00:00:00"/>
    <x v="16"/>
  </r>
  <r>
    <x v="12"/>
    <s v="62300175"/>
    <s v=""/>
    <s v="O/S Svc – NAES"/>
    <s v=""/>
    <s v="ORD 84780001"/>
    <s v=""/>
    <s v=""/>
    <n v="11475.84"/>
    <s v="5"/>
    <n v="2024"/>
    <d v="2024-05-31T00:00:00"/>
    <x v="16"/>
  </r>
  <r>
    <x v="13"/>
    <s v="62300175"/>
    <s v=""/>
    <s v="O/S Svc – NAES"/>
    <s v=""/>
    <s v="ORD 84000001"/>
    <s v=""/>
    <s v=""/>
    <n v="13512.31"/>
    <s v="5"/>
    <n v="2024"/>
    <d v="2024-05-31T00:00:00"/>
    <x v="16"/>
  </r>
  <r>
    <x v="14"/>
    <s v="60870000"/>
    <s v=""/>
    <s v="Rent/Lease - Cancela"/>
    <s v=""/>
    <s v="ORD 84200030"/>
    <s v=""/>
    <s v=""/>
    <n v="3399.61"/>
    <s v="5"/>
    <n v="2024"/>
    <d v="2024-05-31T00:00:00"/>
    <x v="16"/>
  </r>
  <r>
    <x v="14"/>
    <s v="60870001"/>
    <s v=""/>
    <s v="Rent/Lease-Non Cancl"/>
    <s v=""/>
    <s v="ORD 84200030"/>
    <s v=""/>
    <s v=""/>
    <n v="110104.36"/>
    <s v="5"/>
    <n v="2024"/>
    <d v="2024-05-31T00:00:00"/>
    <x v="16"/>
  </r>
  <r>
    <x v="15"/>
    <s v="62300175"/>
    <s v=""/>
    <s v="O/S Svc – NAES"/>
    <s v=""/>
    <s v="ORD 84330002"/>
    <s v=""/>
    <s v=""/>
    <n v="16173.99"/>
    <s v="5"/>
    <n v="2024"/>
    <d v="2024-05-31T00:00:00"/>
    <x v="16"/>
  </r>
  <r>
    <x v="16"/>
    <s v="84311002"/>
    <s v=""/>
    <s v="Analyst 2 Ex"/>
    <s v=""/>
    <s v="ORD 84410107"/>
    <s v=""/>
    <s v=""/>
    <n v="794.21"/>
    <s v="5"/>
    <n v="2024"/>
    <d v="2024-05-31T00:00:00"/>
    <x v="16"/>
  </r>
  <r>
    <x v="16"/>
    <s v="84311007"/>
    <s v=""/>
    <s v="Consultant Ex"/>
    <s v=""/>
    <s v="ORD 84410107"/>
    <s v=""/>
    <s v=""/>
    <n v="145.91999999999999"/>
    <s v="5"/>
    <n v="2024"/>
    <d v="2024-05-31T00:00:00"/>
    <x v="16"/>
  </r>
  <r>
    <x v="16"/>
    <s v="84311007"/>
    <s v=""/>
    <s v="Consultant Ex"/>
    <s v=""/>
    <s v="ORD 84410107"/>
    <s v=""/>
    <s v=""/>
    <n v="-39.1"/>
    <s v="5"/>
    <n v="2024"/>
    <d v="2024-05-31T00:00:00"/>
    <x v="16"/>
  </r>
  <r>
    <x v="16"/>
    <s v="84311009"/>
    <s v=""/>
    <s v="Engineer Ex"/>
    <s v=""/>
    <s v="ORD 84410107"/>
    <s v=""/>
    <s v=""/>
    <n v="727.55"/>
    <s v="5"/>
    <n v="2024"/>
    <d v="2024-05-31T00:00:00"/>
    <x v="16"/>
  </r>
  <r>
    <x v="16"/>
    <s v="84311011"/>
    <s v=""/>
    <s v="Engineer Consult Ex"/>
    <s v=""/>
    <s v="ORD 84410107"/>
    <s v=""/>
    <s v=""/>
    <n v="2686.3"/>
    <s v="5"/>
    <n v="2024"/>
    <d v="2024-05-31T00:00:00"/>
    <x v="16"/>
  </r>
  <r>
    <x v="16"/>
    <s v="62300175"/>
    <s v=""/>
    <s v="O/S Svc – NAES"/>
    <s v=""/>
    <s v="ORD 84410107"/>
    <s v=""/>
    <s v=""/>
    <n v="49793.43"/>
    <s v="5"/>
    <n v="2024"/>
    <d v="2024-05-31T00:00:00"/>
    <x v="16"/>
  </r>
  <r>
    <x v="16"/>
    <s v="84100013"/>
    <s v=""/>
    <s v="Fleet Gas Ops OH"/>
    <s v=""/>
    <s v="ORD 84410107"/>
    <s v=""/>
    <s v=""/>
    <n v="409.91"/>
    <s v="5"/>
    <n v="2024"/>
    <d v="2024-05-31T00:00:00"/>
    <x v="16"/>
  </r>
  <r>
    <x v="16"/>
    <s v="84100021"/>
    <s v=""/>
    <s v="Payroll Taxes OH"/>
    <s v=""/>
    <s v="ORD 84410107"/>
    <s v=""/>
    <s v=""/>
    <n v="405.6"/>
    <s v="5"/>
    <n v="2024"/>
    <d v="2024-05-31T00:00:00"/>
    <x v="16"/>
  </r>
  <r>
    <x v="16"/>
    <s v="84100022"/>
    <s v=""/>
    <s v="Benefits OH"/>
    <s v=""/>
    <s v="ORD 84410107"/>
    <s v=""/>
    <s v=""/>
    <n v="1009.68"/>
    <s v="5"/>
    <n v="2024"/>
    <d v="2024-05-31T00:00:00"/>
    <x v="16"/>
  </r>
  <r>
    <x v="16"/>
    <s v="84100023"/>
    <s v=""/>
    <s v="Paid Time Off OH"/>
    <s v=""/>
    <s v="ORD 84410107"/>
    <s v=""/>
    <s v=""/>
    <n v="673.12"/>
    <s v="5"/>
    <n v="2024"/>
    <d v="2024-05-31T00:00:00"/>
    <x v="16"/>
  </r>
  <r>
    <x v="16"/>
    <s v="84100024"/>
    <s v=""/>
    <s v="Incentives OH"/>
    <s v=""/>
    <s v="ORD 84410107"/>
    <s v=""/>
    <s v=""/>
    <n v="470.32"/>
    <s v="5"/>
    <n v="2024"/>
    <d v="2024-05-31T00:00:00"/>
    <x v="16"/>
  </r>
  <r>
    <x v="18"/>
    <s v="62300175"/>
    <s v=""/>
    <s v="O/S Svc – NAES"/>
    <s v=""/>
    <s v="ORD 84620091"/>
    <s v=""/>
    <s v=""/>
    <n v="3151.07"/>
    <s v="5"/>
    <n v="2024"/>
    <d v="2024-05-31T00:00:00"/>
    <x v="16"/>
  </r>
  <r>
    <x v="19"/>
    <s v="60250000"/>
    <s v=""/>
    <s v="Workers Comp Payment"/>
    <s v=""/>
    <s v="ORD 92400330"/>
    <s v=""/>
    <s v=""/>
    <n v="141.68"/>
    <s v="5"/>
    <n v="2024"/>
    <d v="2024-05-31T00:00:00"/>
    <x v="16"/>
  </r>
  <r>
    <x v="19"/>
    <s v="62300175"/>
    <s v=""/>
    <s v="O/S Svc – NAES"/>
    <s v=""/>
    <s v="ORD 92400330"/>
    <s v=""/>
    <s v=""/>
    <n v="2313.08"/>
    <s v="5"/>
    <n v="2024"/>
    <d v="2024-05-31T00:00:00"/>
    <x v="16"/>
  </r>
  <r>
    <x v="20"/>
    <s v="62300175"/>
    <s v=""/>
    <s v="O/S Svc – NAES"/>
    <s v=""/>
    <s v="ORD 84620090"/>
    <s v=""/>
    <s v=""/>
    <n v="3566.36"/>
    <s v="5"/>
    <n v="2024"/>
    <d v="2024-05-31T00:00:00"/>
    <x v="16"/>
  </r>
  <r>
    <x v="28"/>
    <s v="62300175"/>
    <s v=""/>
    <s v="O/S Svc – NAES"/>
    <s v=""/>
    <s v="ORD 84000091"/>
    <s v=""/>
    <s v=""/>
    <n v="99.89"/>
    <s v="5"/>
    <n v="2024"/>
    <d v="2024-05-31T00:00:00"/>
    <x v="16"/>
  </r>
  <r>
    <x v="21"/>
    <s v="62300175"/>
    <s v=""/>
    <s v="O/S Svc – NAES"/>
    <s v=""/>
    <s v="ORD 84100090"/>
    <s v=""/>
    <s v=""/>
    <n v="64352.62"/>
    <s v="5"/>
    <n v="2024"/>
    <d v="2024-05-31T00:00:00"/>
    <x v="16"/>
  </r>
  <r>
    <x v="22"/>
    <s v="62300175"/>
    <s v=""/>
    <s v="O/S Svc – NAES"/>
    <s v=""/>
    <s v="ORD 84390090"/>
    <s v=""/>
    <s v=""/>
    <n v="31047.72"/>
    <s v="5"/>
    <n v="2024"/>
    <d v="2024-05-31T00:00:00"/>
    <x v="16"/>
  </r>
  <r>
    <x v="23"/>
    <s v="62300175"/>
    <s v=""/>
    <s v="O/S Svc – NAES"/>
    <s v=""/>
    <s v="ORD 84470090"/>
    <s v=""/>
    <s v=""/>
    <n v="2616.15"/>
    <s v="5"/>
    <n v="2024"/>
    <d v="2024-05-31T00:00:00"/>
    <x v="16"/>
  </r>
  <r>
    <x v="24"/>
    <s v="62300175"/>
    <s v=""/>
    <s v="O/S Svc – NAES"/>
    <s v=""/>
    <s v="ORD 84770090"/>
    <s v=""/>
    <s v=""/>
    <n v="1219.6099999999999"/>
    <s v="5"/>
    <n v="2024"/>
    <d v="2024-05-31T00:00:00"/>
    <x v="16"/>
  </r>
  <r>
    <x v="1"/>
    <s v="62300175"/>
    <s v=""/>
    <s v="O/S Svc – NAES"/>
    <s v=""/>
    <s v="ORD 84000030"/>
    <s v=""/>
    <s v=""/>
    <n v="23684.94"/>
    <s v="5"/>
    <n v="2024"/>
    <d v="2024-05-31T00:00:00"/>
    <x v="16"/>
  </r>
  <r>
    <x v="25"/>
    <s v="62300175"/>
    <s v=""/>
    <s v="O/S Svc – NAES"/>
    <s v=""/>
    <s v="ORD 84000090"/>
    <s v=""/>
    <s v=""/>
    <n v="7133.3"/>
    <s v="5"/>
    <n v="2024"/>
    <d v="2024-05-31T00:00:00"/>
    <x v="16"/>
  </r>
  <r>
    <x v="0"/>
    <s v="61100000"/>
    <s v="101611"/>
    <s v="Utilities"/>
    <s v="CITY OF TACOMA"/>
    <s v="101611 -CITY OF TACOMA"/>
    <s v="2060"/>
    <s v="Utility Oper. &amp; Maint."/>
    <n v="114520.76"/>
    <s v="5"/>
    <s v="2025"/>
    <d v="2025-05-05T00:00:00"/>
    <x v="17"/>
  </r>
  <r>
    <x v="0"/>
    <s v="61100000"/>
    <s v="23200543"/>
    <s v="Utilities"/>
    <s v="AP Non-SAP Sys"/>
    <s v="Tacoma Public Utilities - Power cost for LNG lique"/>
    <s v="2060"/>
    <s v="Utility Oper. &amp; Maint."/>
    <n v="-88244.17"/>
    <s v="5"/>
    <s v="2025"/>
    <d v="2025-05-08T00:00:00"/>
    <x v="17"/>
  </r>
  <r>
    <x v="19"/>
    <s v="62000010"/>
    <s v="16502313"/>
    <s v="Insurance Premiums"/>
    <s v="PPD-Ins&amp;EmpBene ST"/>
    <s v="#Invoice (112240895676) Remove out of Insurance pr"/>
    <s v="2060"/>
    <s v="Utility Oper. &amp; Maint."/>
    <n v="28538.3"/>
    <s v="5"/>
    <s v="2025"/>
    <d v="2025-05-22T00:00:00"/>
    <x v="17"/>
  </r>
  <r>
    <x v="0"/>
    <s v="61100000"/>
    <s v="23200543"/>
    <s v="Utilities"/>
    <s v="AP Non-SAP Sys"/>
    <s v="Tacoma Public Utilities"/>
    <s v="2060"/>
    <s v="Utility Oper. &amp; Maint."/>
    <n v="60929.15"/>
    <s v="5"/>
    <s v="2025"/>
    <d v="2025-05-29T00:00:00"/>
    <x v="17"/>
  </r>
  <r>
    <x v="4"/>
    <s v="62300175"/>
    <s v="13500222"/>
    <s v="O/S Svc – NAES"/>
    <s v="Tacoma LNG Cash Adva"/>
    <s v="TLNG Liquefaction System for PSE Maintenance"/>
    <s v="2060"/>
    <s v="Utility Oper. &amp; Maint."/>
    <n v="3782.71"/>
    <s v="5"/>
    <s v="2025"/>
    <d v="2025-05-30T00:00:00"/>
    <x v="17"/>
  </r>
  <r>
    <x v="7"/>
    <s v="62300175"/>
    <s v="13500222"/>
    <s v="O/S Svc – NAES"/>
    <s v="Tacoma LNG Cash Adva"/>
    <s v="TLNG Pre-Treatment System for PSE Maintenance"/>
    <s v="2060"/>
    <s v="Utility Oper. &amp; Maint."/>
    <n v="68.459999999999994"/>
    <s v="5"/>
    <s v="2025"/>
    <d v="2025-05-30T00:00:00"/>
    <x v="17"/>
  </r>
  <r>
    <x v="9"/>
    <s v="62300175"/>
    <s v="13500222"/>
    <s v="O/S Svc – NAES"/>
    <s v="Tacoma LNG Cash Adva"/>
    <s v="TLNG Plant Utilities System for PSE Maintenance"/>
    <s v="2060"/>
    <s v="Utility Oper. &amp; Maint."/>
    <n v="1977.58"/>
    <s v="5"/>
    <s v="2025"/>
    <d v="2025-05-30T00:00:00"/>
    <x v="17"/>
  </r>
  <r>
    <x v="10"/>
    <s v="62300175"/>
    <s v="13500222"/>
    <s v="O/S Svc – NAES"/>
    <s v="Tacoma LNG Cash Adva"/>
    <s v="TLNG Fuel System for PSE Maintenance"/>
    <s v="2060"/>
    <s v="Utility Oper. &amp; Maint."/>
    <n v="1068"/>
    <s v="5"/>
    <s v="2025"/>
    <d v="2025-05-30T00:00:00"/>
    <x v="17"/>
  </r>
  <r>
    <x v="2"/>
    <s v="62300175"/>
    <s v="13500222"/>
    <s v="O/S Svc – NAES"/>
    <s v="Tacoma LNG Cash Adva"/>
    <s v="Tacoma LNG Vaporization for PSE Maintenance"/>
    <s v="2060"/>
    <s v="Utility Oper. &amp; Maint."/>
    <n v="1951.83"/>
    <s v="5"/>
    <s v="2025"/>
    <d v="2025-05-30T00:00:00"/>
    <x v="17"/>
  </r>
  <r>
    <x v="11"/>
    <s v="69990112"/>
    <s v="69990071"/>
    <s v="Transfer - Pyr Tx OH"/>
    <s v="Transfer - Labor"/>
    <s v="May 2025 - Xfr Costs to COH Pool"/>
    <s v="2060"/>
    <s v="Utility Oper. &amp; Maint."/>
    <n v="-8.3800000000000008"/>
    <s v="5"/>
    <s v="2025"/>
    <d v="2025-05-31T00:00:00"/>
    <x v="17"/>
  </r>
  <r>
    <x v="11"/>
    <s v="69990160"/>
    <s v="69990071"/>
    <s v="Trans Transport OH"/>
    <s v="Transfer - Labor"/>
    <s v="May 2025 - Xfr Costs to COH Pool"/>
    <s v="2060"/>
    <s v="Utility Oper. &amp; Maint."/>
    <n v="-9.17"/>
    <s v="5"/>
    <s v="2025"/>
    <d v="2025-05-31T00:00:00"/>
    <x v="17"/>
  </r>
  <r>
    <x v="11"/>
    <s v="69990115"/>
    <s v="69990071"/>
    <s v="Transfer - Incent OH"/>
    <s v="Transfer - Labor"/>
    <s v="May 2025 - Xfr Costs to COH Pool"/>
    <s v="2060"/>
    <s v="Utility Oper. &amp; Maint."/>
    <n v="-9.7799999999999994"/>
    <s v="5"/>
    <s v="2025"/>
    <d v="2025-05-31T00:00:00"/>
    <x v="17"/>
  </r>
  <r>
    <x v="11"/>
    <s v="69990114"/>
    <s v="69990071"/>
    <s v="Transfer - PTO OH"/>
    <s v="Transfer - Labor"/>
    <s v="May 2025 - Xfr Costs to COH Pool"/>
    <s v="2060"/>
    <s v="Utility Oper. &amp; Maint."/>
    <n v="-15.28"/>
    <s v="5"/>
    <s v="2025"/>
    <d v="2025-05-31T00:00:00"/>
    <x v="17"/>
  </r>
  <r>
    <x v="11"/>
    <s v="69990111"/>
    <s v="69990071"/>
    <s v="Transfer - Beneftis"/>
    <s v="Transfer - Labor"/>
    <s v="May 2025 - Xfr Costs to COH Pool"/>
    <s v="2060"/>
    <s v="Utility Oper. &amp; Maint."/>
    <n v="-20.6"/>
    <s v="5"/>
    <s v="2025"/>
    <d v="2025-05-31T00:00:00"/>
    <x v="17"/>
  </r>
  <r>
    <x v="11"/>
    <s v="69990071"/>
    <s v="69990071"/>
    <s v="Transfer - Labor"/>
    <s v="Transfer - Labor"/>
    <s v="May 2025 - Xfr Costs to COH Pool"/>
    <s v="2060"/>
    <s v="Utility Oper. &amp; Maint."/>
    <n v="-87.3"/>
    <s v="5"/>
    <s v="2025"/>
    <d v="2025-05-31T00:00:00"/>
    <x v="17"/>
  </r>
  <r>
    <x v="14"/>
    <s v="60870001"/>
    <s v=""/>
    <s v="Rent/Lease-Non Cancl"/>
    <s v=""/>
    <s v="ORD 84200030"/>
    <s v=""/>
    <s v=""/>
    <n v="91351.35"/>
    <s v="5"/>
    <n v="2025"/>
    <d v="2025-05-31T00:00:00"/>
    <x v="17"/>
  </r>
  <r>
    <x v="14"/>
    <s v="61100000"/>
    <s v=""/>
    <s v="Utilities"/>
    <s v=""/>
    <s v="ORD 84200030"/>
    <s v=""/>
    <s v=""/>
    <n v="24632.59"/>
    <s v="5"/>
    <n v="2025"/>
    <d v="2025-05-31T00:00:00"/>
    <x v="17"/>
  </r>
  <r>
    <x v="16"/>
    <s v="84311002"/>
    <s v=""/>
    <s v="Analyst 2 Ex"/>
    <s v=""/>
    <s v="ORD 84410107"/>
    <s v=""/>
    <s v=""/>
    <n v="702.33"/>
    <s v="5"/>
    <n v="2025"/>
    <d v="2025-05-31T00:00:00"/>
    <x v="17"/>
  </r>
  <r>
    <x v="16"/>
    <s v="84311007"/>
    <s v=""/>
    <s v="Consultant Ex"/>
    <s v=""/>
    <s v="ORD 84410107"/>
    <s v=""/>
    <s v=""/>
    <n v="-242.48"/>
    <s v="5"/>
    <n v="2025"/>
    <d v="2025-05-31T00:00:00"/>
    <x v="17"/>
  </r>
  <r>
    <x v="16"/>
    <s v="84311011"/>
    <s v=""/>
    <s v="Engineer Consult Ex"/>
    <s v=""/>
    <s v="ORD 84410107"/>
    <s v=""/>
    <s v=""/>
    <n v="2643.06"/>
    <s v="5"/>
    <n v="2025"/>
    <d v="2025-05-31T00:00:00"/>
    <x v="17"/>
  </r>
  <r>
    <x v="16"/>
    <s v="84311014"/>
    <s v=""/>
    <s v="Manager 1 Ex"/>
    <s v=""/>
    <s v="ORD 84410107"/>
    <s v=""/>
    <s v=""/>
    <n v="308.37"/>
    <s v="5"/>
    <n v="2025"/>
    <d v="2025-05-31T00:00:00"/>
    <x v="17"/>
  </r>
  <r>
    <x v="16"/>
    <s v="60330000"/>
    <s v=""/>
    <s v="Emp Exp - Meals"/>
    <s v=""/>
    <s v="ORD 84410107"/>
    <s v=""/>
    <s v=""/>
    <n v="22.52"/>
    <s v="5"/>
    <n v="2025"/>
    <d v="2025-05-31T00:00:00"/>
    <x v="17"/>
  </r>
  <r>
    <x v="16"/>
    <s v="60333000"/>
    <s v=""/>
    <s v="Emp Exp - Mileage Re"/>
    <s v=""/>
    <s v="ORD 84410107"/>
    <s v=""/>
    <s v=""/>
    <n v="167.56"/>
    <s v="5"/>
    <n v="2025"/>
    <d v="2025-05-31T00:00:00"/>
    <x v="17"/>
  </r>
  <r>
    <x v="16"/>
    <s v="84100013"/>
    <s v=""/>
    <s v="Fleet Gas Ops OH"/>
    <s v=""/>
    <s v="ORD 84410107"/>
    <s v=""/>
    <s v=""/>
    <n v="358.19"/>
    <s v="5"/>
    <n v="2025"/>
    <d v="2025-05-31T00:00:00"/>
    <x v="17"/>
  </r>
  <r>
    <x v="16"/>
    <s v="84100021"/>
    <s v=""/>
    <s v="Payroll Taxes OH"/>
    <s v=""/>
    <s v="ORD 84410107"/>
    <s v=""/>
    <s v=""/>
    <n v="327.48"/>
    <s v="5"/>
    <n v="2025"/>
    <d v="2025-05-31T00:00:00"/>
    <x v="17"/>
  </r>
  <r>
    <x v="16"/>
    <s v="84100022"/>
    <s v=""/>
    <s v="Benefits OH"/>
    <s v=""/>
    <s v="ORD 84410107"/>
    <s v=""/>
    <s v=""/>
    <n v="805.06"/>
    <s v="5"/>
    <n v="2025"/>
    <d v="2025-05-31T00:00:00"/>
    <x v="17"/>
  </r>
  <r>
    <x v="16"/>
    <s v="84100023"/>
    <s v=""/>
    <s v="Paid Time Off OH"/>
    <s v=""/>
    <s v="ORD 84410107"/>
    <s v=""/>
    <s v=""/>
    <n v="596.97"/>
    <s v="5"/>
    <n v="2025"/>
    <d v="2025-05-31T00:00:00"/>
    <x v="17"/>
  </r>
  <r>
    <x v="16"/>
    <s v="84100024"/>
    <s v=""/>
    <s v="Incentives OH"/>
    <s v=""/>
    <s v="ORD 84410107"/>
    <s v=""/>
    <s v=""/>
    <n v="382.06"/>
    <s v="5"/>
    <n v="2025"/>
    <d v="2025-05-31T00:00:00"/>
    <x v="17"/>
  </r>
  <r>
    <x v="19"/>
    <s v="60250000"/>
    <s v=""/>
    <s v="Workers Comp Payment"/>
    <s v=""/>
    <s v="ORD 92400330"/>
    <s v=""/>
    <s v=""/>
    <n v="133.47"/>
    <s v="5"/>
    <n v="2025"/>
    <d v="2025-05-31T00:00:00"/>
    <x v="17"/>
  </r>
  <r>
    <x v="13"/>
    <s v="62300175"/>
    <s v=""/>
    <s v="O/S Svc – NAES"/>
    <s v=""/>
    <s v="ORD 84000001"/>
    <s v=""/>
    <s v=""/>
    <n v="9748.93"/>
    <s v="5"/>
    <n v="2025"/>
    <d v="2025-05-31T00:00:00"/>
    <x v="17"/>
  </r>
  <r>
    <x v="15"/>
    <s v="62300175"/>
    <s v=""/>
    <s v="O/S Svc – NAES"/>
    <s v=""/>
    <s v="ORD 84330002"/>
    <s v=""/>
    <s v=""/>
    <n v="5803.68"/>
    <s v="5"/>
    <n v="2025"/>
    <d v="2025-05-31T00:00:00"/>
    <x v="17"/>
  </r>
  <r>
    <x v="16"/>
    <s v="62300175"/>
    <s v=""/>
    <s v="O/S Svc – NAES"/>
    <s v=""/>
    <s v="ORD 84410107"/>
    <s v=""/>
    <s v=""/>
    <n v="58433.51"/>
    <s v="5"/>
    <n v="2025"/>
    <d v="2025-05-31T00:00:00"/>
    <x v="17"/>
  </r>
  <r>
    <x v="17"/>
    <s v="62300175"/>
    <s v=""/>
    <s v="O/S Svc – NAES"/>
    <s v=""/>
    <s v="ORD 84730001"/>
    <s v=""/>
    <s v=""/>
    <n v="81.16"/>
    <s v="5"/>
    <n v="2025"/>
    <d v="2025-05-31T00:00:00"/>
    <x v="17"/>
  </r>
  <r>
    <x v="18"/>
    <s v="62300175"/>
    <s v=""/>
    <s v="O/S Svc – NAES"/>
    <s v=""/>
    <s v="ORD 84620091"/>
    <s v=""/>
    <s v=""/>
    <n v="7074.85"/>
    <s v="5"/>
    <n v="2025"/>
    <d v="2025-05-31T00:00:00"/>
    <x v="17"/>
  </r>
  <r>
    <x v="19"/>
    <s v="62300175"/>
    <s v=""/>
    <s v="O/S Svc – NAES"/>
    <s v=""/>
    <s v="ORD 92400330"/>
    <s v=""/>
    <s v=""/>
    <n v="2391.7600000000002"/>
    <s v="5"/>
    <n v="2025"/>
    <d v="2025-05-31T00:00:00"/>
    <x v="17"/>
  </r>
  <r>
    <x v="20"/>
    <s v="62300175"/>
    <s v=""/>
    <s v="O/S Svc – NAES"/>
    <s v=""/>
    <s v="ORD 84620090"/>
    <s v=""/>
    <s v=""/>
    <n v="6079.61"/>
    <s v="5"/>
    <n v="2025"/>
    <d v="2025-05-31T00:00:00"/>
    <x v="17"/>
  </r>
  <r>
    <x v="28"/>
    <s v="62300175"/>
    <s v=""/>
    <s v="O/S Svc – NAES"/>
    <s v=""/>
    <s v="ORD 84000091"/>
    <s v=""/>
    <s v=""/>
    <n v="-2757.78"/>
    <s v="5"/>
    <n v="2025"/>
    <d v="2025-05-31T00:00:00"/>
    <x v="17"/>
  </r>
  <r>
    <x v="21"/>
    <s v="62300175"/>
    <s v=""/>
    <s v="O/S Svc – NAES"/>
    <s v=""/>
    <s v="ORD 84100090"/>
    <s v=""/>
    <s v=""/>
    <n v="42387.68"/>
    <s v="5"/>
    <n v="2025"/>
    <d v="2025-05-31T00:00:00"/>
    <x v="17"/>
  </r>
  <r>
    <x v="22"/>
    <s v="62300175"/>
    <s v=""/>
    <s v="O/S Svc – NAES"/>
    <s v=""/>
    <s v="ORD 84390090"/>
    <s v=""/>
    <s v=""/>
    <n v="25400.07"/>
    <s v="5"/>
    <n v="2025"/>
    <d v="2025-05-31T00:00:00"/>
    <x v="17"/>
  </r>
  <r>
    <x v="24"/>
    <s v="62300175"/>
    <s v=""/>
    <s v="O/S Svc – NAES"/>
    <s v=""/>
    <s v="ORD 84770090"/>
    <s v=""/>
    <s v=""/>
    <n v="5312.19"/>
    <s v="5"/>
    <n v="2025"/>
    <d v="2025-05-31T00:00:00"/>
    <x v="17"/>
  </r>
  <r>
    <x v="1"/>
    <s v="62300175"/>
    <s v=""/>
    <s v="O/S Svc – NAES"/>
    <s v=""/>
    <s v="ORD 84000030"/>
    <s v=""/>
    <s v=""/>
    <n v="24490.23"/>
    <s v="5"/>
    <n v="2025"/>
    <d v="2025-05-31T00:00:00"/>
    <x v="17"/>
  </r>
  <r>
    <x v="25"/>
    <s v="62300175"/>
    <s v=""/>
    <s v="O/S Svc – NAES"/>
    <s v=""/>
    <s v="ORD 84000090"/>
    <s v=""/>
    <s v=""/>
    <n v="2603.09"/>
    <s v="5"/>
    <n v="2025"/>
    <d v="2025-05-31T00:00:00"/>
    <x v="17"/>
  </r>
  <r>
    <x v="11"/>
    <s v="84100013"/>
    <s v=""/>
    <s v="Fleet Gas Ops OH"/>
    <s v=""/>
    <s v=""/>
    <s v=""/>
    <s v=""/>
    <n v="29.57"/>
    <s v="5"/>
    <n v="2025"/>
    <d v="2025-05-31T00:00:00"/>
    <x v="17"/>
  </r>
  <r>
    <x v="11"/>
    <s v="84100021"/>
    <s v=""/>
    <s v="Payroll Taxes OH"/>
    <s v=""/>
    <s v=""/>
    <s v=""/>
    <s v=""/>
    <n v="27.03"/>
    <s v="5"/>
    <n v="2025"/>
    <d v="2025-05-31T00:00:00"/>
    <x v="17"/>
  </r>
  <r>
    <x v="11"/>
    <s v="84100022"/>
    <s v=""/>
    <s v="Benefits OH"/>
    <s v=""/>
    <s v=""/>
    <s v=""/>
    <s v=""/>
    <n v="66.459999999999994"/>
    <s v="5"/>
    <n v="2025"/>
    <d v="2025-05-31T00:00:00"/>
    <x v="17"/>
  </r>
  <r>
    <x v="11"/>
    <s v="84100023"/>
    <s v=""/>
    <s v="Paid Time Off OH"/>
    <s v=""/>
    <s v=""/>
    <s v=""/>
    <s v=""/>
    <n v="49.28"/>
    <s v="5"/>
    <n v="2025"/>
    <d v="2025-05-31T00:00:00"/>
    <x v="17"/>
  </r>
  <r>
    <x v="11"/>
    <s v="84100024"/>
    <s v=""/>
    <s v="Incentives OH"/>
    <s v=""/>
    <s v=""/>
    <s v=""/>
    <s v=""/>
    <n v="31.54"/>
    <s v="5"/>
    <n v="2025"/>
    <d v="2025-05-31T00:00:00"/>
    <x v="17"/>
  </r>
  <r>
    <x v="11"/>
    <s v="84311007"/>
    <s v=""/>
    <s v="Consultant Ex"/>
    <s v=""/>
    <s v=""/>
    <s v="2060"/>
    <s v="Utility Oper. &amp; Maint."/>
    <n v="281.60000000000002"/>
    <s v="5"/>
    <n v="2025"/>
    <d v="2025-05-01T00:00:00"/>
    <x v="17"/>
  </r>
  <r>
    <x v="0"/>
    <s v="61100000"/>
    <s v="23200543"/>
    <s v="Utilities"/>
    <s v="AP Non-SAP Sys"/>
    <s v="Tacoma Public Utilities PSE May Power Costs"/>
    <s v="2060"/>
    <s v="Utility Oper. &amp; Maint."/>
    <n v="-250261"/>
    <s v="6"/>
    <s v="2023"/>
    <d v="2023-06-08T00:00:00"/>
    <x v="18"/>
  </r>
  <r>
    <x v="0"/>
    <s v="61100000"/>
    <s v="101611"/>
    <s v="Utilities"/>
    <s v="CITY OF TACOMA"/>
    <s v="101611 -CITY OF TACOMA"/>
    <s v="2060"/>
    <s v="Utility Oper. &amp; Maint."/>
    <n v="246276.51"/>
    <s v="6"/>
    <s v="2023"/>
    <d v="2023-06-15T00:00:00"/>
    <x v="18"/>
  </r>
  <r>
    <x v="0"/>
    <s v="61100000"/>
    <s v="23200543"/>
    <s v="Utilities"/>
    <s v="AP Non-SAP Sys"/>
    <s v="Tacoma Public Utilities - PSE May Power Costs"/>
    <s v="2060"/>
    <s v="Utility Oper. &amp; Maint."/>
    <n v="99892.76"/>
    <s v="6"/>
    <s v="2023"/>
    <d v="2023-06-29T00:00:00"/>
    <x v="18"/>
  </r>
  <r>
    <x v="5"/>
    <s v="62300175"/>
    <s v="62300175"/>
    <s v="O/S Svc – NAES"/>
    <s v="O/S Svc – NAES"/>
    <s v="TLNG Truck Loading System for PSE Operatoins"/>
    <s v="2060"/>
    <s v="Utility Oper. &amp; Maint."/>
    <n v="-35.25"/>
    <s v="6"/>
    <s v="2023"/>
    <d v="2023-06-30T00:00:00"/>
    <x v="18"/>
  </r>
  <r>
    <x v="8"/>
    <s v="62300175"/>
    <s v="62300175"/>
    <s v="O/S Svc – NAES"/>
    <s v="O/S Svc – NAES"/>
    <s v="TLNG Plant Utilities System for PSE Operations"/>
    <s v="2060"/>
    <s v="Utility Oper. &amp; Maint."/>
    <n v="-106.64"/>
    <s v="6"/>
    <s v="2023"/>
    <d v="2023-06-30T00:00:00"/>
    <x v="18"/>
  </r>
  <r>
    <x v="10"/>
    <s v="62300175"/>
    <s v="62300175"/>
    <s v="O/S Svc – NAES"/>
    <s v="O/S Svc – NAES"/>
    <s v="TLNG Fuel System for PSE Maintenance"/>
    <s v="2060"/>
    <s v="Utility Oper. &amp; Maint."/>
    <n v="-60.9"/>
    <s v="6"/>
    <s v="2023"/>
    <d v="2023-06-30T00:00:00"/>
    <x v="18"/>
  </r>
  <r>
    <x v="29"/>
    <s v="62300175"/>
    <s v="62300175"/>
    <s v="O/S Svc – NAES"/>
    <s v="O/S Svc – NAES"/>
    <s v="Tacoma LNG Vaporization for PSE Operations"/>
    <s v="2060"/>
    <s v="Utility Oper. &amp; Maint."/>
    <n v="-1942"/>
    <s v="6"/>
    <s v="2023"/>
    <d v="2023-06-30T00:00:00"/>
    <x v="18"/>
  </r>
  <r>
    <x v="2"/>
    <s v="62300175"/>
    <s v="62300175"/>
    <s v="O/S Svc – NAES"/>
    <s v="O/S Svc – NAES"/>
    <s v="Tacoma LNG Vaporization for PSE Maintenance"/>
    <s v="2060"/>
    <s v="Utility Oper. &amp; Maint."/>
    <n v="-305"/>
    <s v="6"/>
    <s v="2023"/>
    <d v="2023-06-30T00:00:00"/>
    <x v="18"/>
  </r>
  <r>
    <x v="3"/>
    <s v="62300175"/>
    <s v="13500222"/>
    <s v="O/S Svc – NAES"/>
    <s v="Tacoma LNG Cash Adva"/>
    <s v="TLNG Liquefaction System for PSE Operations"/>
    <s v="2060"/>
    <s v="Utility Oper. &amp; Maint."/>
    <n v="11587.48"/>
    <s v="6"/>
    <s v="2023"/>
    <d v="2023-06-30T00:00:00"/>
    <x v="18"/>
  </r>
  <r>
    <x v="4"/>
    <s v="62300175"/>
    <s v="13500222"/>
    <s v="O/S Svc – NAES"/>
    <s v="Tacoma LNG Cash Adva"/>
    <s v="TLNG Liquefaction System for PSE Maintenance"/>
    <s v="2060"/>
    <s v="Utility Oper. &amp; Maint."/>
    <n v="2488.8200000000002"/>
    <s v="6"/>
    <s v="2023"/>
    <d v="2023-06-30T00:00:00"/>
    <x v="18"/>
  </r>
  <r>
    <x v="6"/>
    <s v="62300175"/>
    <s v="13500222"/>
    <s v="O/S Svc – NAES"/>
    <s v="Tacoma LNG Cash Adva"/>
    <s v="TLNG Pre-Treatment System for PSE Operations"/>
    <s v="2060"/>
    <s v="Utility Oper. &amp; Maint."/>
    <n v="1676.95"/>
    <s v="6"/>
    <s v="2023"/>
    <d v="2023-06-30T00:00:00"/>
    <x v="18"/>
  </r>
  <r>
    <x v="7"/>
    <s v="62300175"/>
    <s v="13500222"/>
    <s v="O/S Svc – NAES"/>
    <s v="Tacoma LNG Cash Adva"/>
    <s v="TLNG Pre-Treatment System for PSE Maintenance"/>
    <s v="2060"/>
    <s v="Utility Oper. &amp; Maint."/>
    <n v="82.2"/>
    <s v="6"/>
    <s v="2023"/>
    <d v="2023-06-30T00:00:00"/>
    <x v="18"/>
  </r>
  <r>
    <x v="9"/>
    <s v="62300175"/>
    <s v="13500222"/>
    <s v="O/S Svc – NAES"/>
    <s v="Tacoma LNG Cash Adva"/>
    <s v="TLNG Plant Utilities System for PSE Maintenance"/>
    <s v="2060"/>
    <s v="Utility Oper. &amp; Maint."/>
    <n v="1092.51"/>
    <s v="6"/>
    <s v="2023"/>
    <d v="2023-06-30T00:00:00"/>
    <x v="18"/>
  </r>
  <r>
    <x v="12"/>
    <s v="62300175"/>
    <s v=""/>
    <s v="O/S Svc – NAES"/>
    <s v=""/>
    <s v="ORD 84780001"/>
    <s v=""/>
    <s v=""/>
    <n v="8086.15"/>
    <s v="6"/>
    <n v="2023"/>
    <d v="2023-06-30T00:00:00"/>
    <x v="18"/>
  </r>
  <r>
    <x v="13"/>
    <s v="62300175"/>
    <s v=""/>
    <s v="O/S Svc – NAES"/>
    <s v=""/>
    <s v="ORD 84000001"/>
    <s v=""/>
    <s v=""/>
    <n v="11285.71"/>
    <s v="6"/>
    <n v="2023"/>
    <d v="2023-06-30T00:00:00"/>
    <x v="18"/>
  </r>
  <r>
    <x v="14"/>
    <s v="60870001"/>
    <s v=""/>
    <s v="Rent/Lease-Non Cancl"/>
    <s v=""/>
    <s v="ORD 84200030"/>
    <s v=""/>
    <s v=""/>
    <n v="104522.84"/>
    <s v="6"/>
    <n v="2023"/>
    <d v="2023-06-30T00:00:00"/>
    <x v="18"/>
  </r>
  <r>
    <x v="15"/>
    <s v="62300175"/>
    <s v=""/>
    <s v="O/S Svc – NAES"/>
    <s v=""/>
    <s v="ORD 84330002"/>
    <s v=""/>
    <s v=""/>
    <n v="1155.22"/>
    <s v="6"/>
    <n v="2023"/>
    <d v="2023-06-30T00:00:00"/>
    <x v="18"/>
  </r>
  <r>
    <x v="16"/>
    <s v="84311002"/>
    <s v=""/>
    <s v="Analyst 2 Ex"/>
    <s v=""/>
    <s v="ORD 84410107"/>
    <s v=""/>
    <s v=""/>
    <n v="814.53"/>
    <s v="6"/>
    <n v="2023"/>
    <d v="2023-06-30T00:00:00"/>
    <x v="18"/>
  </r>
  <r>
    <x v="16"/>
    <s v="84311015"/>
    <s v=""/>
    <s v="Manager 2 Ex"/>
    <s v=""/>
    <s v="ORD 84410107"/>
    <s v=""/>
    <s v=""/>
    <n v="5549.28"/>
    <s v="6"/>
    <n v="2023"/>
    <d v="2023-06-30T00:00:00"/>
    <x v="18"/>
  </r>
  <r>
    <x v="16"/>
    <s v="62300175"/>
    <s v=""/>
    <s v="O/S Svc – NAES"/>
    <s v=""/>
    <s v="ORD 84410107"/>
    <s v=""/>
    <s v=""/>
    <n v="46089.51"/>
    <s v="6"/>
    <n v="2023"/>
    <d v="2023-06-30T00:00:00"/>
    <x v="18"/>
  </r>
  <r>
    <x v="16"/>
    <s v="84100013"/>
    <s v=""/>
    <s v="Fleet Gas Ops OH"/>
    <s v=""/>
    <s v="ORD 84410107"/>
    <s v=""/>
    <s v=""/>
    <n v="668.2"/>
    <s v="6"/>
    <n v="2023"/>
    <d v="2023-06-30T00:00:00"/>
    <x v="18"/>
  </r>
  <r>
    <x v="16"/>
    <s v="84100021"/>
    <s v=""/>
    <s v="Payroll Taxes OH"/>
    <s v=""/>
    <s v="ORD 84410107"/>
    <s v=""/>
    <s v=""/>
    <n v="566.38"/>
    <s v="6"/>
    <n v="2023"/>
    <d v="2023-06-30T00:00:00"/>
    <x v="18"/>
  </r>
  <r>
    <x v="16"/>
    <s v="84100022"/>
    <s v=""/>
    <s v="Benefits OH"/>
    <s v=""/>
    <s v="ORD 84410107"/>
    <s v=""/>
    <s v=""/>
    <n v="1909.14"/>
    <s v="6"/>
    <n v="2023"/>
    <d v="2023-06-30T00:00:00"/>
    <x v="18"/>
  </r>
  <r>
    <x v="16"/>
    <s v="84100023"/>
    <s v=""/>
    <s v="Paid Time Off OH"/>
    <s v=""/>
    <s v="ORD 84410107"/>
    <s v=""/>
    <s v=""/>
    <n v="1024.57"/>
    <s v="6"/>
    <n v="2023"/>
    <d v="2023-06-30T00:00:00"/>
    <x v="18"/>
  </r>
  <r>
    <x v="16"/>
    <s v="84100024"/>
    <s v=""/>
    <s v="Incentives OH"/>
    <s v=""/>
    <s v="ORD 84410107"/>
    <s v=""/>
    <s v=""/>
    <n v="630.01"/>
    <s v="6"/>
    <n v="2023"/>
    <d v="2023-06-30T00:00:00"/>
    <x v="18"/>
  </r>
  <r>
    <x v="17"/>
    <s v="62300175"/>
    <s v=""/>
    <s v="O/S Svc – NAES"/>
    <s v=""/>
    <s v="ORD 84730001"/>
    <s v=""/>
    <s v=""/>
    <n v="204.45"/>
    <s v="6"/>
    <n v="2023"/>
    <d v="2023-06-30T00:00:00"/>
    <x v="18"/>
  </r>
  <r>
    <x v="18"/>
    <s v="62300175"/>
    <s v=""/>
    <s v="O/S Svc – NAES"/>
    <s v=""/>
    <s v="ORD 84620091"/>
    <s v=""/>
    <s v=""/>
    <n v="21209.01"/>
    <s v="6"/>
    <n v="2023"/>
    <d v="2023-06-30T00:00:00"/>
    <x v="18"/>
  </r>
  <r>
    <x v="19"/>
    <s v="60250000"/>
    <s v=""/>
    <s v="Workers Comp Payment"/>
    <s v=""/>
    <s v="ORD 92400330"/>
    <s v=""/>
    <s v=""/>
    <n v="128.52000000000001"/>
    <s v="6"/>
    <n v="2023"/>
    <d v="2023-06-30T00:00:00"/>
    <x v="18"/>
  </r>
  <r>
    <x v="19"/>
    <s v="62300175"/>
    <s v=""/>
    <s v="O/S Svc – NAES"/>
    <s v=""/>
    <s v="ORD 92400330"/>
    <s v=""/>
    <s v=""/>
    <n v="2360.27"/>
    <s v="6"/>
    <n v="2023"/>
    <d v="2023-06-30T00:00:00"/>
    <x v="18"/>
  </r>
  <r>
    <x v="20"/>
    <s v="61100000"/>
    <s v=""/>
    <s v="Utilities"/>
    <s v=""/>
    <s v="ORD 84620090"/>
    <s v=""/>
    <s v=""/>
    <n v="1840.31"/>
    <s v="6"/>
    <n v="2023"/>
    <d v="2023-06-30T00:00:00"/>
    <x v="18"/>
  </r>
  <r>
    <x v="20"/>
    <s v="62300175"/>
    <s v=""/>
    <s v="O/S Svc – NAES"/>
    <s v=""/>
    <s v="ORD 84620090"/>
    <s v=""/>
    <s v=""/>
    <n v="581.45000000000005"/>
    <s v="6"/>
    <n v="2023"/>
    <d v="2023-06-30T00:00:00"/>
    <x v="18"/>
  </r>
  <r>
    <x v="20"/>
    <s v="63100000"/>
    <s v=""/>
    <s v="Permits, Fees &amp; Ease"/>
    <s v=""/>
    <s v="ORD 84620090"/>
    <s v=""/>
    <s v=""/>
    <n v="131.66"/>
    <s v="6"/>
    <n v="2023"/>
    <d v="2023-06-30T00:00:00"/>
    <x v="18"/>
  </r>
  <r>
    <x v="28"/>
    <s v="62300175"/>
    <s v=""/>
    <s v="O/S Svc – NAES"/>
    <s v=""/>
    <s v="ORD 84000091"/>
    <s v=""/>
    <s v=""/>
    <n v="547.73"/>
    <s v="6"/>
    <n v="2023"/>
    <d v="2023-06-30T00:00:00"/>
    <x v="18"/>
  </r>
  <r>
    <x v="21"/>
    <s v="62300175"/>
    <s v=""/>
    <s v="O/S Svc – NAES"/>
    <s v=""/>
    <s v="ORD 84100090"/>
    <s v=""/>
    <s v=""/>
    <n v="19994.7"/>
    <s v="6"/>
    <n v="2023"/>
    <d v="2023-06-30T00:00:00"/>
    <x v="18"/>
  </r>
  <r>
    <x v="22"/>
    <s v="62300175"/>
    <s v=""/>
    <s v="O/S Svc – NAES"/>
    <s v=""/>
    <s v="ORD 84390090"/>
    <s v=""/>
    <s v=""/>
    <n v="25792.720000000001"/>
    <s v="6"/>
    <n v="2023"/>
    <d v="2023-06-30T00:00:00"/>
    <x v="18"/>
  </r>
  <r>
    <x v="23"/>
    <s v="62300175"/>
    <s v=""/>
    <s v="O/S Svc – NAES"/>
    <s v=""/>
    <s v="ORD 84470090"/>
    <s v=""/>
    <s v=""/>
    <n v="66.16"/>
    <s v="6"/>
    <n v="2023"/>
    <d v="2023-06-30T00:00:00"/>
    <x v="18"/>
  </r>
  <r>
    <x v="24"/>
    <s v="62300175"/>
    <s v=""/>
    <s v="O/S Svc – NAES"/>
    <s v=""/>
    <s v="ORD 84770090"/>
    <s v=""/>
    <s v=""/>
    <n v="4408.3"/>
    <s v="6"/>
    <n v="2023"/>
    <d v="2023-06-30T00:00:00"/>
    <x v="18"/>
  </r>
  <r>
    <x v="1"/>
    <s v="62300175"/>
    <s v=""/>
    <s v="O/S Svc – NAES"/>
    <s v=""/>
    <s v="ORD 84000030"/>
    <s v=""/>
    <s v=""/>
    <n v="26354.67"/>
    <s v="6"/>
    <n v="2023"/>
    <d v="2023-06-30T00:00:00"/>
    <x v="18"/>
  </r>
  <r>
    <x v="25"/>
    <s v="62300175"/>
    <s v=""/>
    <s v="O/S Svc – NAES"/>
    <s v=""/>
    <s v="ORD 84000090"/>
    <s v=""/>
    <s v=""/>
    <n v="2007.21"/>
    <s v="6"/>
    <n v="2023"/>
    <d v="2023-06-30T00:00:00"/>
    <x v="18"/>
  </r>
  <r>
    <x v="0"/>
    <s v="61100000"/>
    <s v="23200543"/>
    <s v="Utilities"/>
    <s v="AP Non-SAP Sys"/>
    <s v="Tacoma Public Utilities - Power cost for LNG lique"/>
    <s v="2060"/>
    <s v="Utility Oper. &amp; Maint."/>
    <n v="-48050"/>
    <s v="6"/>
    <s v="2024"/>
    <d v="2024-06-10T00:00:00"/>
    <x v="19"/>
  </r>
  <r>
    <x v="0"/>
    <s v="61100000"/>
    <s v="101611"/>
    <s v="Utilities"/>
    <s v="CITY OF TACOMA"/>
    <s v="101611 -CITY OF TACOMA"/>
    <s v="2060"/>
    <s v="Utility Oper. &amp; Maint."/>
    <n v="47801.53"/>
    <s v="6"/>
    <s v="2024"/>
    <d v="2024-06-10T00:00:00"/>
    <x v="19"/>
  </r>
  <r>
    <x v="0"/>
    <s v="61100000"/>
    <s v="23200543"/>
    <s v="Utilities"/>
    <s v="AP Non-SAP Sys"/>
    <s v="Tacoma Public Utilities - Power cost for LNG lique"/>
    <s v="2060"/>
    <s v="Utility Oper. &amp; Maint."/>
    <n v="54600.87"/>
    <s v="6"/>
    <s v="2024"/>
    <d v="2024-06-27T00:00:00"/>
    <x v="19"/>
  </r>
  <r>
    <x v="5"/>
    <s v="62300175"/>
    <s v="62300175"/>
    <s v="O/S Svc – NAES"/>
    <s v="O/S Svc – NAES"/>
    <s v="TLNG Truck Loading System for PSE Operatoins"/>
    <s v="2060"/>
    <s v="Utility Oper. &amp; Maint."/>
    <n v="-13.7"/>
    <s v="6"/>
    <s v="2024"/>
    <d v="2024-06-30T00:00:00"/>
    <x v="19"/>
  </r>
  <r>
    <x v="8"/>
    <s v="62300175"/>
    <s v="62300175"/>
    <s v="O/S Svc – NAES"/>
    <s v="O/S Svc – NAES"/>
    <s v="TLNG Plant Utilities System for PSE Operations"/>
    <s v="2060"/>
    <s v="Utility Oper. &amp; Maint."/>
    <n v="-3.44"/>
    <s v="6"/>
    <s v="2024"/>
    <d v="2024-06-30T00:00:00"/>
    <x v="19"/>
  </r>
  <r>
    <x v="2"/>
    <s v="62300175"/>
    <s v="62300175"/>
    <s v="O/S Svc – NAES"/>
    <s v="O/S Svc – NAES"/>
    <s v="Tacoma LNG Vaporization for PSE Maintenance"/>
    <s v="2060"/>
    <s v="Utility Oper. &amp; Maint."/>
    <n v="-25"/>
    <s v="6"/>
    <s v="2024"/>
    <d v="2024-06-30T00:00:00"/>
    <x v="19"/>
  </r>
  <r>
    <x v="3"/>
    <s v="62300175"/>
    <s v="13500222"/>
    <s v="O/S Svc – NAES"/>
    <s v="Tacoma LNG Cash Adva"/>
    <s v="TLNG Liquefaction System for PSE Operations"/>
    <s v="2060"/>
    <s v="Utility Oper. &amp; Maint."/>
    <n v="586.27"/>
    <s v="6"/>
    <s v="2024"/>
    <d v="2024-06-30T00:00:00"/>
    <x v="19"/>
  </r>
  <r>
    <x v="4"/>
    <s v="62300175"/>
    <s v="13500222"/>
    <s v="O/S Svc – NAES"/>
    <s v="Tacoma LNG Cash Adva"/>
    <s v="TLNG Liquefaction System for PSE Maintenance"/>
    <s v="2060"/>
    <s v="Utility Oper. &amp; Maint."/>
    <n v="3.25"/>
    <s v="6"/>
    <s v="2024"/>
    <d v="2024-06-30T00:00:00"/>
    <x v="19"/>
  </r>
  <r>
    <x v="6"/>
    <s v="62300175"/>
    <s v="13500222"/>
    <s v="O/S Svc – NAES"/>
    <s v="Tacoma LNG Cash Adva"/>
    <s v="TLNG Pre-Treatment System for PSE Operations"/>
    <s v="2060"/>
    <s v="Utility Oper. &amp; Maint."/>
    <n v="165"/>
    <s v="6"/>
    <s v="2024"/>
    <d v="2024-06-30T00:00:00"/>
    <x v="19"/>
  </r>
  <r>
    <x v="7"/>
    <s v="62300175"/>
    <s v="13500222"/>
    <s v="O/S Svc – NAES"/>
    <s v="Tacoma LNG Cash Adva"/>
    <s v="TLNG Pre-Treatment System for PSE Maintenance"/>
    <s v="2060"/>
    <s v="Utility Oper. &amp; Maint."/>
    <n v="234.02"/>
    <s v="6"/>
    <s v="2024"/>
    <d v="2024-06-30T00:00:00"/>
    <x v="19"/>
  </r>
  <r>
    <x v="9"/>
    <s v="62300175"/>
    <s v="13500222"/>
    <s v="O/S Svc – NAES"/>
    <s v="Tacoma LNG Cash Adva"/>
    <s v="TLNG Plant Utilities System for PSE Maintenance"/>
    <s v="2060"/>
    <s v="Utility Oper. &amp; Maint."/>
    <n v="997.59"/>
    <s v="6"/>
    <s v="2024"/>
    <d v="2024-06-30T00:00:00"/>
    <x v="19"/>
  </r>
  <r>
    <x v="7"/>
    <s v="62300175"/>
    <s v="13500222"/>
    <s v="O/S Svc – NAES"/>
    <s v="Tacoma LNG Cash Adva"/>
    <s v="TLNG Pre-Treatment System for PSE Maintenance"/>
    <s v="2060"/>
    <s v="Utility Oper. &amp; Maint."/>
    <n v="38.18"/>
    <s v="6"/>
    <s v="2024"/>
    <d v="2024-06-30T00:00:00"/>
    <x v="19"/>
  </r>
  <r>
    <x v="26"/>
    <s v="62300175"/>
    <s v=""/>
    <s v="O/S Svc – NAES"/>
    <s v=""/>
    <s v="ORD 84470091"/>
    <s v=""/>
    <s v=""/>
    <n v="5645.77"/>
    <s v="6"/>
    <n v="2024"/>
    <d v="2024-06-30T00:00:00"/>
    <x v="19"/>
  </r>
  <r>
    <x v="12"/>
    <s v="62300175"/>
    <s v=""/>
    <s v="O/S Svc – NAES"/>
    <s v=""/>
    <s v="ORD 84780001"/>
    <s v=""/>
    <s v=""/>
    <n v="14.43"/>
    <s v="6"/>
    <n v="2024"/>
    <d v="2024-06-30T00:00:00"/>
    <x v="19"/>
  </r>
  <r>
    <x v="13"/>
    <s v="62300175"/>
    <s v=""/>
    <s v="O/S Svc – NAES"/>
    <s v=""/>
    <s v="ORD 84000001"/>
    <s v=""/>
    <s v=""/>
    <n v="9250.25"/>
    <s v="6"/>
    <n v="2024"/>
    <d v="2024-06-30T00:00:00"/>
    <x v="19"/>
  </r>
  <r>
    <x v="14"/>
    <s v="60870001"/>
    <s v=""/>
    <s v="Rent/Lease-Non Cancl"/>
    <s v=""/>
    <s v="ORD 84200030"/>
    <s v=""/>
    <s v=""/>
    <n v="110104.36"/>
    <s v="6"/>
    <n v="2024"/>
    <d v="2024-06-30T00:00:00"/>
    <x v="19"/>
  </r>
  <r>
    <x v="15"/>
    <s v="62300175"/>
    <s v=""/>
    <s v="O/S Svc – NAES"/>
    <s v=""/>
    <s v="ORD 84330002"/>
    <s v=""/>
    <s v=""/>
    <n v="46086.85"/>
    <s v="6"/>
    <n v="2024"/>
    <d v="2024-06-30T00:00:00"/>
    <x v="19"/>
  </r>
  <r>
    <x v="16"/>
    <s v="84311002"/>
    <s v=""/>
    <s v="Analyst 2 Ex"/>
    <s v=""/>
    <s v="ORD 84410107"/>
    <s v=""/>
    <s v=""/>
    <n v="675.08"/>
    <s v="6"/>
    <n v="2024"/>
    <d v="2024-06-30T00:00:00"/>
    <x v="19"/>
  </r>
  <r>
    <x v="16"/>
    <s v="84311007"/>
    <s v=""/>
    <s v="Consultant Ex"/>
    <s v=""/>
    <s v="ORD 84410107"/>
    <s v=""/>
    <s v=""/>
    <n v="233.76"/>
    <s v="6"/>
    <n v="2024"/>
    <d v="2024-06-30T00:00:00"/>
    <x v="19"/>
  </r>
  <r>
    <x v="16"/>
    <s v="84311007"/>
    <s v=""/>
    <s v="Consultant Ex"/>
    <s v=""/>
    <s v="ORD 84410107"/>
    <s v=""/>
    <s v=""/>
    <n v="116.74"/>
    <s v="6"/>
    <n v="2024"/>
    <d v="2024-06-30T00:00:00"/>
    <x v="19"/>
  </r>
  <r>
    <x v="16"/>
    <s v="84311009"/>
    <s v=""/>
    <s v="Engineer Ex"/>
    <s v=""/>
    <s v="ORD 84410107"/>
    <s v=""/>
    <s v=""/>
    <n v="680.61"/>
    <s v="6"/>
    <n v="2024"/>
    <d v="2024-06-30T00:00:00"/>
    <x v="19"/>
  </r>
  <r>
    <x v="16"/>
    <s v="84311011"/>
    <s v=""/>
    <s v="Engineer Consult Ex"/>
    <s v=""/>
    <s v="ORD 84410107"/>
    <s v=""/>
    <s v=""/>
    <n v="2283.35"/>
    <s v="6"/>
    <n v="2024"/>
    <d v="2024-06-30T00:00:00"/>
    <x v="19"/>
  </r>
  <r>
    <x v="16"/>
    <s v="60333000"/>
    <s v=""/>
    <s v="Emp Exp - Mileage Re"/>
    <s v=""/>
    <s v="ORD 84410107"/>
    <s v=""/>
    <s v=""/>
    <n v="38.700000000000003"/>
    <s v="6"/>
    <n v="2024"/>
    <d v="2024-06-30T00:00:00"/>
    <x v="19"/>
  </r>
  <r>
    <x v="16"/>
    <s v="62300175"/>
    <s v=""/>
    <s v="O/S Svc – NAES"/>
    <s v=""/>
    <s v="ORD 84410107"/>
    <s v=""/>
    <s v=""/>
    <n v="41829.4"/>
    <s v="6"/>
    <n v="2024"/>
    <d v="2024-06-30T00:00:00"/>
    <x v="19"/>
  </r>
  <r>
    <x v="16"/>
    <s v="84100013"/>
    <s v=""/>
    <s v="Fleet Gas Ops OH"/>
    <s v=""/>
    <s v="ORD 84410107"/>
    <s v=""/>
    <s v=""/>
    <n v="359.06"/>
    <s v="6"/>
    <n v="2024"/>
    <d v="2024-06-30T00:00:00"/>
    <x v="19"/>
  </r>
  <r>
    <x v="16"/>
    <s v="84100021"/>
    <s v=""/>
    <s v="Payroll Taxes OH"/>
    <s v=""/>
    <s v="ORD 84410107"/>
    <s v=""/>
    <s v=""/>
    <n v="375.02"/>
    <s v="6"/>
    <n v="2024"/>
    <d v="2024-06-30T00:00:00"/>
    <x v="19"/>
  </r>
  <r>
    <x v="16"/>
    <s v="84100022"/>
    <s v=""/>
    <s v="Benefits OH"/>
    <s v=""/>
    <s v="ORD 84410107"/>
    <s v=""/>
    <s v=""/>
    <n v="933.55"/>
    <s v="6"/>
    <n v="2024"/>
    <d v="2024-06-30T00:00:00"/>
    <x v="19"/>
  </r>
  <r>
    <x v="16"/>
    <s v="84100023"/>
    <s v=""/>
    <s v="Paid Time Off OH"/>
    <s v=""/>
    <s v="ORD 84410107"/>
    <s v=""/>
    <s v=""/>
    <n v="622.37"/>
    <s v="6"/>
    <n v="2024"/>
    <d v="2024-06-30T00:00:00"/>
    <x v="19"/>
  </r>
  <r>
    <x v="16"/>
    <s v="84100024"/>
    <s v=""/>
    <s v="Incentives OH"/>
    <s v=""/>
    <s v="ORD 84410107"/>
    <s v=""/>
    <s v=""/>
    <n v="434.86"/>
    <s v="6"/>
    <n v="2024"/>
    <d v="2024-06-30T00:00:00"/>
    <x v="19"/>
  </r>
  <r>
    <x v="17"/>
    <s v="62300175"/>
    <s v=""/>
    <s v="O/S Svc – NAES"/>
    <s v=""/>
    <s v="ORD 84730001"/>
    <s v=""/>
    <s v=""/>
    <n v="390.33"/>
    <s v="6"/>
    <n v="2024"/>
    <d v="2024-06-30T00:00:00"/>
    <x v="19"/>
  </r>
  <r>
    <x v="9"/>
    <s v="62300175"/>
    <s v=""/>
    <s v="O/S Svc – NAES"/>
    <s v=""/>
    <s v="ORD 84390091"/>
    <s v=""/>
    <s v=""/>
    <n v="419.49"/>
    <s v="6"/>
    <n v="2024"/>
    <d v="2024-06-30T00:00:00"/>
    <x v="19"/>
  </r>
  <r>
    <x v="18"/>
    <s v="62300175"/>
    <s v=""/>
    <s v="O/S Svc – NAES"/>
    <s v=""/>
    <s v="ORD 84620091"/>
    <s v=""/>
    <s v=""/>
    <n v="9148.68"/>
    <s v="6"/>
    <n v="2024"/>
    <d v="2024-06-30T00:00:00"/>
    <x v="19"/>
  </r>
  <r>
    <x v="19"/>
    <s v="60250000"/>
    <s v=""/>
    <s v="Workers Comp Payment"/>
    <s v=""/>
    <s v="ORD 92400330"/>
    <s v=""/>
    <s v=""/>
    <n v="141.68"/>
    <s v="6"/>
    <n v="2024"/>
    <d v="2024-06-30T00:00:00"/>
    <x v="19"/>
  </r>
  <r>
    <x v="19"/>
    <s v="62300175"/>
    <s v=""/>
    <s v="O/S Svc – NAES"/>
    <s v=""/>
    <s v="ORD 92400330"/>
    <s v=""/>
    <s v=""/>
    <n v="1557.61"/>
    <s v="6"/>
    <n v="2024"/>
    <d v="2024-06-30T00:00:00"/>
    <x v="19"/>
  </r>
  <r>
    <x v="20"/>
    <s v="62300175"/>
    <s v=""/>
    <s v="O/S Svc – NAES"/>
    <s v=""/>
    <s v="ORD 84620090"/>
    <s v=""/>
    <s v=""/>
    <n v="2720.56"/>
    <s v="6"/>
    <n v="2024"/>
    <d v="2024-06-30T00:00:00"/>
    <x v="19"/>
  </r>
  <r>
    <x v="28"/>
    <s v="62300175"/>
    <s v=""/>
    <s v="O/S Svc – NAES"/>
    <s v=""/>
    <s v="ORD 84000091"/>
    <s v=""/>
    <s v=""/>
    <n v="81.33"/>
    <s v="6"/>
    <n v="2024"/>
    <d v="2024-06-30T00:00:00"/>
    <x v="19"/>
  </r>
  <r>
    <x v="21"/>
    <s v="62300175"/>
    <s v=""/>
    <s v="O/S Svc – NAES"/>
    <s v=""/>
    <s v="ORD 84100090"/>
    <s v=""/>
    <s v=""/>
    <n v="53203.3"/>
    <s v="6"/>
    <n v="2024"/>
    <d v="2024-06-30T00:00:00"/>
    <x v="19"/>
  </r>
  <r>
    <x v="22"/>
    <s v="62300175"/>
    <s v=""/>
    <s v="O/S Svc – NAES"/>
    <s v=""/>
    <s v="ORD 84390090"/>
    <s v=""/>
    <s v=""/>
    <n v="24320.69"/>
    <s v="6"/>
    <n v="2024"/>
    <d v="2024-06-30T00:00:00"/>
    <x v="19"/>
  </r>
  <r>
    <x v="23"/>
    <s v="62300175"/>
    <s v=""/>
    <s v="O/S Svc – NAES"/>
    <s v=""/>
    <s v="ORD 84470090"/>
    <s v=""/>
    <s v=""/>
    <n v="1288.92"/>
    <s v="6"/>
    <n v="2024"/>
    <d v="2024-06-30T00:00:00"/>
    <x v="19"/>
  </r>
  <r>
    <x v="24"/>
    <s v="62300175"/>
    <s v=""/>
    <s v="O/S Svc – NAES"/>
    <s v=""/>
    <s v="ORD 84770090"/>
    <s v=""/>
    <s v=""/>
    <n v="588.24"/>
    <s v="6"/>
    <n v="2024"/>
    <d v="2024-06-30T00:00:00"/>
    <x v="19"/>
  </r>
  <r>
    <x v="1"/>
    <s v="62300175"/>
    <s v=""/>
    <s v="O/S Svc – NAES"/>
    <s v=""/>
    <s v="ORD 84000030"/>
    <s v=""/>
    <s v=""/>
    <n v="23684.94"/>
    <s v="6"/>
    <n v="2024"/>
    <d v="2024-06-30T00:00:00"/>
    <x v="19"/>
  </r>
  <r>
    <x v="30"/>
    <s v="62300175"/>
    <s v=""/>
    <s v="O/S Svc – NAES"/>
    <s v=""/>
    <s v="ORD 84000031"/>
    <s v=""/>
    <s v=""/>
    <n v="9.68"/>
    <s v="6"/>
    <n v="2024"/>
    <d v="2024-06-30T00:00:00"/>
    <x v="19"/>
  </r>
  <r>
    <x v="25"/>
    <s v="62300175"/>
    <s v=""/>
    <s v="O/S Svc – NAES"/>
    <s v=""/>
    <s v="ORD 84000090"/>
    <s v=""/>
    <s v=""/>
    <n v="1995.07"/>
    <s v="6"/>
    <n v="2024"/>
    <d v="2024-06-30T00:00:00"/>
    <x v="19"/>
  </r>
  <r>
    <x v="19"/>
    <s v="62000010"/>
    <s v="104842"/>
    <s v="Insurance Premiums"/>
    <s v="MARSH USA INC"/>
    <s v="104842 -MARSH USA INC"/>
    <s v="2060"/>
    <s v="Utility Oper. &amp; Maint."/>
    <n v="5575.46"/>
    <s v="6"/>
    <s v="2025"/>
    <d v="2025-06-04T00:00:00"/>
    <x v="20"/>
  </r>
  <r>
    <x v="0"/>
    <s v="61100000"/>
    <s v="101611"/>
    <s v="Utilities"/>
    <s v="CITY OF TACOMA"/>
    <s v="101611 -CITY OF TACOMA"/>
    <s v="2060"/>
    <s v="Utility Oper. &amp; Maint."/>
    <n v="61957.62"/>
    <s v="6"/>
    <s v="2025"/>
    <d v="2025-06-04T00:00:00"/>
    <x v="20"/>
  </r>
  <r>
    <x v="0"/>
    <s v="61100000"/>
    <s v="23200543"/>
    <s v="Utilities"/>
    <s v="AP Non-SAP Sys"/>
    <s v="Tacoma Public Utilities"/>
    <s v="2060"/>
    <s v="Utility Oper. &amp; Maint."/>
    <n v="-60929.15"/>
    <s v="6"/>
    <s v="2025"/>
    <d v="2025-06-06T00:00:00"/>
    <x v="20"/>
  </r>
  <r>
    <x v="0"/>
    <s v="61100000"/>
    <s v="23200543"/>
    <s v="Utilities"/>
    <s v="AP Non-SAP Sys"/>
    <s v="Tacoma Public Utilities Power cost for LNG liquefa"/>
    <s v="2060"/>
    <s v="Utility Oper. &amp; Maint."/>
    <n v="61771.27"/>
    <s v="6"/>
    <s v="2025"/>
    <d v="2025-06-27T00:00:00"/>
    <x v="20"/>
  </r>
  <r>
    <x v="3"/>
    <s v="62300175"/>
    <s v="62300175"/>
    <s v="O/S Svc – NAES"/>
    <s v="O/S Svc – NAES"/>
    <s v="TLNG Liquefaction System for PSE Operations"/>
    <s v="2060"/>
    <s v="Utility Oper. &amp; Maint."/>
    <n v="-1482.11"/>
    <s v="6"/>
    <s v="2025"/>
    <d v="2025-06-30T00:00:00"/>
    <x v="20"/>
  </r>
  <r>
    <x v="2"/>
    <s v="62300175"/>
    <s v="62300175"/>
    <s v="O/S Svc – NAES"/>
    <s v="O/S Svc – NAES"/>
    <s v="Tacoma LNG Vaporization for PSE Maintenance"/>
    <s v="2060"/>
    <s v="Utility Oper. &amp; Maint."/>
    <n v="-488"/>
    <s v="6"/>
    <s v="2025"/>
    <d v="2025-06-30T00:00:00"/>
    <x v="20"/>
  </r>
  <r>
    <x v="4"/>
    <s v="62300175"/>
    <s v="13500222"/>
    <s v="O/S Svc – NAES"/>
    <s v="Tacoma LNG Cash Adva"/>
    <s v="TLNG Liquefaction System for PSE Maintenance"/>
    <s v="2060"/>
    <s v="Utility Oper. &amp; Maint."/>
    <n v="3325.4"/>
    <s v="6"/>
    <s v="2025"/>
    <d v="2025-06-30T00:00:00"/>
    <x v="20"/>
  </r>
  <r>
    <x v="5"/>
    <s v="62300175"/>
    <s v="13500222"/>
    <s v="O/S Svc – NAES"/>
    <s v="Tacoma LNG Cash Adva"/>
    <s v="TLNG Truck Loading System for PSE Operatoins"/>
    <s v="2060"/>
    <s v="Utility Oper. &amp; Maint."/>
    <n v="80.17"/>
    <s v="6"/>
    <s v="2025"/>
    <d v="2025-06-30T00:00:00"/>
    <x v="20"/>
  </r>
  <r>
    <x v="6"/>
    <s v="62300175"/>
    <s v="13500222"/>
    <s v="O/S Svc – NAES"/>
    <s v="Tacoma LNG Cash Adva"/>
    <s v="TLNG Pre-Treatment System for PSE Operations"/>
    <s v="2060"/>
    <s v="Utility Oper. &amp; Maint."/>
    <n v="124.55"/>
    <s v="6"/>
    <s v="2025"/>
    <d v="2025-06-30T00:00:00"/>
    <x v="20"/>
  </r>
  <r>
    <x v="7"/>
    <s v="62300175"/>
    <s v="13500222"/>
    <s v="O/S Svc – NAES"/>
    <s v="Tacoma LNG Cash Adva"/>
    <s v="TLNG Pre-Treatment System for PSE Maintenance"/>
    <s v="2060"/>
    <s v="Utility Oper. &amp; Maint."/>
    <n v="1491.46"/>
    <s v="6"/>
    <s v="2025"/>
    <d v="2025-06-30T00:00:00"/>
    <x v="20"/>
  </r>
  <r>
    <x v="8"/>
    <s v="62300175"/>
    <s v="13500222"/>
    <s v="O/S Svc – NAES"/>
    <s v="Tacoma LNG Cash Adva"/>
    <s v="TLNG Plant Utilities System for PSE Operations"/>
    <s v="2060"/>
    <s v="Utility Oper. &amp; Maint."/>
    <n v="569.15"/>
    <s v="6"/>
    <s v="2025"/>
    <d v="2025-06-30T00:00:00"/>
    <x v="20"/>
  </r>
  <r>
    <x v="9"/>
    <s v="62300175"/>
    <s v="13500222"/>
    <s v="O/S Svc – NAES"/>
    <s v="Tacoma LNG Cash Adva"/>
    <s v="TLNG Plant Utilities System for PSE Maintenance"/>
    <s v="2060"/>
    <s v="Utility Oper. &amp; Maint."/>
    <n v="218.73"/>
    <s v="6"/>
    <s v="2025"/>
    <d v="2025-06-30T00:00:00"/>
    <x v="20"/>
  </r>
  <r>
    <x v="10"/>
    <s v="62300175"/>
    <s v="13500222"/>
    <s v="O/S Svc – NAES"/>
    <s v="Tacoma LNG Cash Adva"/>
    <s v="TLNG Fuel System for PSE Maintenance"/>
    <s v="2060"/>
    <s v="Utility Oper. &amp; Maint."/>
    <n v="47.19"/>
    <s v="6"/>
    <s v="2025"/>
    <d v="2025-06-30T00:00:00"/>
    <x v="20"/>
  </r>
  <r>
    <x v="4"/>
    <s v="62300175"/>
    <s v="13500222"/>
    <s v="O/S Svc – NAES"/>
    <s v="Tacoma LNG Cash Adva"/>
    <s v="TLNG Liquefaction System for PSE Maintenance"/>
    <s v="2060"/>
    <s v="Utility Oper. &amp; Maint."/>
    <n v="1256.3499999999999"/>
    <s v="6"/>
    <s v="2025"/>
    <d v="2025-06-30T00:00:00"/>
    <x v="20"/>
  </r>
  <r>
    <x v="11"/>
    <s v="69990112"/>
    <s v="69990072"/>
    <s v="Transfer - Pyr Tx OH"/>
    <s v="Transfer - Labor OT"/>
    <s v="June 2025 - Xfr Costs to COH Pool - Part A1"/>
    <s v="2060"/>
    <s v="Utility Oper. &amp; Maint."/>
    <n v="-39.81"/>
    <s v="6"/>
    <s v="2025"/>
    <d v="2025-06-30T00:00:00"/>
    <x v="20"/>
  </r>
  <r>
    <x v="11"/>
    <s v="69990160"/>
    <s v="69990072"/>
    <s v="Trans Transport OH"/>
    <s v="Transfer - Labor OT"/>
    <s v="June 2025 - Xfr Costs to COH Pool - Part A1"/>
    <s v="2060"/>
    <s v="Utility Oper. &amp; Maint."/>
    <n v="-43.54"/>
    <s v="6"/>
    <s v="2025"/>
    <d v="2025-06-30T00:00:00"/>
    <x v="20"/>
  </r>
  <r>
    <x v="11"/>
    <s v="69990115"/>
    <s v="69990072"/>
    <s v="Transfer - Incent OH"/>
    <s v="Transfer - Labor OT"/>
    <s v="June 2025 - Xfr Costs to COH Pool - Part A1"/>
    <s v="2060"/>
    <s v="Utility Oper. &amp; Maint."/>
    <n v="-46.44"/>
    <s v="6"/>
    <s v="2025"/>
    <d v="2025-06-30T00:00:00"/>
    <x v="20"/>
  </r>
  <r>
    <x v="11"/>
    <s v="69990114"/>
    <s v="69990072"/>
    <s v="Transfer - PTO OH"/>
    <s v="Transfer - Labor OT"/>
    <s v="June 2025 - Xfr Costs to COH Pool - Part A1"/>
    <s v="2060"/>
    <s v="Utility Oper. &amp; Maint."/>
    <n v="-72.56"/>
    <s v="6"/>
    <s v="2025"/>
    <d v="2025-06-30T00:00:00"/>
    <x v="20"/>
  </r>
  <r>
    <x v="11"/>
    <s v="69990111"/>
    <s v="69990072"/>
    <s v="Transfer - Beneftis"/>
    <s v="Transfer - Labor OT"/>
    <s v="June 2025 - Xfr Costs to COH Pool - Part A1"/>
    <s v="2060"/>
    <s v="Utility Oper. &amp; Maint."/>
    <n v="-97.86"/>
    <s v="6"/>
    <s v="2025"/>
    <d v="2025-06-30T00:00:00"/>
    <x v="20"/>
  </r>
  <r>
    <x v="11"/>
    <s v="69990071"/>
    <s v="69990072"/>
    <s v="Transfer - Labor"/>
    <s v="Transfer - Labor OT"/>
    <s v="June 2025 - Xfr Costs to COH Pool - Part A1"/>
    <s v="2060"/>
    <s v="Utility Oper. &amp; Maint."/>
    <n v="-414.66"/>
    <s v="6"/>
    <s v="2025"/>
    <d v="2025-06-30T00:00:00"/>
    <x v="20"/>
  </r>
  <r>
    <x v="13"/>
    <s v="62300175"/>
    <s v=""/>
    <s v="O/S Svc – NAES"/>
    <s v=""/>
    <s v="ORD 84000001"/>
    <s v=""/>
    <s v=""/>
    <n v="7333.88"/>
    <s v="6"/>
    <n v="2025"/>
    <d v="2025-06-30T00:00:00"/>
    <x v="20"/>
  </r>
  <r>
    <x v="14"/>
    <s v="60870001"/>
    <s v=""/>
    <s v="Rent/Lease-Non Cancl"/>
    <s v=""/>
    <s v="ORD 84200030"/>
    <s v=""/>
    <s v=""/>
    <n v="97230.94"/>
    <s v="6"/>
    <n v="2025"/>
    <d v="2025-06-30T00:00:00"/>
    <x v="20"/>
  </r>
  <r>
    <x v="14"/>
    <s v="61100000"/>
    <s v=""/>
    <s v="Utilities"/>
    <s v=""/>
    <s v="ORD 84200030"/>
    <s v=""/>
    <s v=""/>
    <n v="24632.59"/>
    <s v="6"/>
    <n v="2025"/>
    <d v="2025-06-30T00:00:00"/>
    <x v="20"/>
  </r>
  <r>
    <x v="15"/>
    <s v="62300175"/>
    <s v=""/>
    <s v="O/S Svc – NAES"/>
    <s v=""/>
    <s v="ORD 84330002"/>
    <s v=""/>
    <s v=""/>
    <n v="-57677.81"/>
    <s v="6"/>
    <n v="2025"/>
    <d v="2025-06-30T00:00:00"/>
    <x v="20"/>
  </r>
  <r>
    <x v="16"/>
    <s v="84311002"/>
    <s v=""/>
    <s v="Analyst 2 Ex"/>
    <s v=""/>
    <s v="ORD 84410107"/>
    <s v=""/>
    <s v=""/>
    <n v="663.31"/>
    <s v="6"/>
    <n v="2025"/>
    <d v="2025-06-30T00:00:00"/>
    <x v="20"/>
  </r>
  <r>
    <x v="16"/>
    <s v="84311007"/>
    <s v=""/>
    <s v="Consultant Ex"/>
    <s v=""/>
    <s v="ORD 84410107"/>
    <s v=""/>
    <s v=""/>
    <n v="80.83"/>
    <s v="6"/>
    <n v="2025"/>
    <d v="2025-06-30T00:00:00"/>
    <x v="20"/>
  </r>
  <r>
    <x v="16"/>
    <s v="84311011"/>
    <s v=""/>
    <s v="Engineer Consult Ex"/>
    <s v=""/>
    <s v="ORD 84410107"/>
    <s v=""/>
    <s v=""/>
    <n v="2789.89"/>
    <s v="6"/>
    <n v="2025"/>
    <d v="2025-06-30T00:00:00"/>
    <x v="20"/>
  </r>
  <r>
    <x v="16"/>
    <s v="84311014"/>
    <s v=""/>
    <s v="Manager 1 Ex"/>
    <s v=""/>
    <s v="ORD 84410107"/>
    <s v=""/>
    <s v=""/>
    <n v="190.9"/>
    <s v="6"/>
    <n v="2025"/>
    <d v="2025-06-30T00:00:00"/>
    <x v="20"/>
  </r>
  <r>
    <x v="16"/>
    <s v="62300175"/>
    <s v=""/>
    <s v="O/S Svc – NAES"/>
    <s v=""/>
    <s v="ORD 84410107"/>
    <s v=""/>
    <s v=""/>
    <n v="49563.73"/>
    <s v="6"/>
    <n v="2025"/>
    <d v="2025-06-30T00:00:00"/>
    <x v="20"/>
  </r>
  <r>
    <x v="16"/>
    <s v="84100013"/>
    <s v=""/>
    <s v="Fleet Gas Ops OH"/>
    <s v=""/>
    <s v="ORD 84410107"/>
    <s v=""/>
    <s v=""/>
    <n v="391.12"/>
    <s v="6"/>
    <n v="2025"/>
    <d v="2025-06-30T00:00:00"/>
    <x v="20"/>
  </r>
  <r>
    <x v="16"/>
    <s v="84100021"/>
    <s v=""/>
    <s v="Payroll Taxes OH"/>
    <s v=""/>
    <s v="ORD 84410107"/>
    <s v=""/>
    <s v=""/>
    <n v="357.59"/>
    <s v="6"/>
    <n v="2025"/>
    <d v="2025-06-30T00:00:00"/>
    <x v="20"/>
  </r>
  <r>
    <x v="16"/>
    <s v="84100022"/>
    <s v=""/>
    <s v="Benefits OH"/>
    <s v=""/>
    <s v="ORD 84410107"/>
    <s v=""/>
    <s v=""/>
    <n v="879.08"/>
    <s v="6"/>
    <n v="2025"/>
    <d v="2025-06-30T00:00:00"/>
    <x v="20"/>
  </r>
  <r>
    <x v="16"/>
    <s v="84100023"/>
    <s v=""/>
    <s v="Paid Time Off OH"/>
    <s v=""/>
    <s v="ORD 84410107"/>
    <s v=""/>
    <s v=""/>
    <n v="651.86"/>
    <s v="6"/>
    <n v="2025"/>
    <d v="2025-06-30T00:00:00"/>
    <x v="20"/>
  </r>
  <r>
    <x v="16"/>
    <s v="84100024"/>
    <s v=""/>
    <s v="Incentives OH"/>
    <s v=""/>
    <s v="ORD 84410107"/>
    <s v=""/>
    <s v=""/>
    <n v="417.19"/>
    <s v="6"/>
    <n v="2025"/>
    <d v="2025-06-30T00:00:00"/>
    <x v="20"/>
  </r>
  <r>
    <x v="17"/>
    <s v="62300175"/>
    <s v=""/>
    <s v="O/S Svc – NAES"/>
    <s v=""/>
    <s v="ORD 84730001"/>
    <s v=""/>
    <s v=""/>
    <n v="1744.3"/>
    <s v="6"/>
    <n v="2025"/>
    <d v="2025-06-30T00:00:00"/>
    <x v="20"/>
  </r>
  <r>
    <x v="18"/>
    <s v="62300175"/>
    <s v=""/>
    <s v="O/S Svc – NAES"/>
    <s v=""/>
    <s v="ORD 84620091"/>
    <s v=""/>
    <s v=""/>
    <n v="10203.1"/>
    <s v="6"/>
    <n v="2025"/>
    <d v="2025-06-30T00:00:00"/>
    <x v="20"/>
  </r>
  <r>
    <x v="19"/>
    <s v="60250000"/>
    <s v=""/>
    <s v="Workers Comp Payment"/>
    <s v=""/>
    <s v="ORD 92400330"/>
    <s v=""/>
    <s v=""/>
    <n v="133.47"/>
    <s v="6"/>
    <n v="2025"/>
    <d v="2025-06-30T00:00:00"/>
    <x v="20"/>
  </r>
  <r>
    <x v="19"/>
    <s v="62300175"/>
    <s v=""/>
    <s v="O/S Svc – NAES"/>
    <s v=""/>
    <s v="ORD 92400330"/>
    <s v=""/>
    <s v=""/>
    <n v="1816.66"/>
    <s v="6"/>
    <n v="2025"/>
    <d v="2025-06-30T00:00:00"/>
    <x v="20"/>
  </r>
  <r>
    <x v="20"/>
    <s v="62300175"/>
    <s v=""/>
    <s v="O/S Svc – NAES"/>
    <s v=""/>
    <s v="ORD 84620090"/>
    <s v=""/>
    <s v=""/>
    <n v="6672.5"/>
    <s v="6"/>
    <n v="2025"/>
    <d v="2025-06-30T00:00:00"/>
    <x v="20"/>
  </r>
  <r>
    <x v="28"/>
    <s v="62300175"/>
    <s v=""/>
    <s v="O/S Svc – NAES"/>
    <s v=""/>
    <s v="ORD 84000091"/>
    <s v=""/>
    <s v=""/>
    <n v="1252.3499999999999"/>
    <s v="6"/>
    <n v="2025"/>
    <d v="2025-06-30T00:00:00"/>
    <x v="20"/>
  </r>
  <r>
    <x v="21"/>
    <s v="62300175"/>
    <s v=""/>
    <s v="O/S Svc – NAES"/>
    <s v=""/>
    <s v="ORD 84100090"/>
    <s v=""/>
    <s v=""/>
    <n v="42097.81"/>
    <s v="6"/>
    <n v="2025"/>
    <d v="2025-06-30T00:00:00"/>
    <x v="20"/>
  </r>
  <r>
    <x v="22"/>
    <s v="62300175"/>
    <s v=""/>
    <s v="O/S Svc – NAES"/>
    <s v=""/>
    <s v="ORD 84390090"/>
    <s v=""/>
    <s v=""/>
    <n v="22222.87"/>
    <s v="6"/>
    <n v="2025"/>
    <d v="2025-06-30T00:00:00"/>
    <x v="20"/>
  </r>
  <r>
    <x v="24"/>
    <s v="62300175"/>
    <s v=""/>
    <s v="O/S Svc – NAES"/>
    <s v=""/>
    <s v="ORD 84770090"/>
    <s v=""/>
    <s v=""/>
    <n v="2466.23"/>
    <s v="6"/>
    <n v="2025"/>
    <d v="2025-06-30T00:00:00"/>
    <x v="20"/>
  </r>
  <r>
    <x v="1"/>
    <s v="62300175"/>
    <s v=""/>
    <s v="O/S Svc – NAES"/>
    <s v=""/>
    <s v="ORD 84000030"/>
    <s v=""/>
    <s v=""/>
    <n v="24490.23"/>
    <s v="6"/>
    <n v="2025"/>
    <d v="2025-06-30T00:00:00"/>
    <x v="20"/>
  </r>
  <r>
    <x v="25"/>
    <s v="62300175"/>
    <s v=""/>
    <s v="O/S Svc – NAES"/>
    <s v=""/>
    <s v="ORD 84000090"/>
    <s v=""/>
    <s v=""/>
    <n v="3139.7"/>
    <s v="6"/>
    <n v="2025"/>
    <d v="2025-06-30T00:00:00"/>
    <x v="20"/>
  </r>
  <r>
    <x v="11"/>
    <s v="84100013"/>
    <s v=""/>
    <s v="Fleet Gas Ops OH"/>
    <s v=""/>
    <s v=""/>
    <s v=""/>
    <s v=""/>
    <n v="140.44999999999999"/>
    <s v="6"/>
    <n v="2025"/>
    <d v="2025-06-30T00:00:00"/>
    <x v="20"/>
  </r>
  <r>
    <x v="11"/>
    <s v="84100021"/>
    <s v=""/>
    <s v="Payroll Taxes OH"/>
    <s v=""/>
    <s v=""/>
    <s v=""/>
    <s v=""/>
    <n v="128.41"/>
    <s v="6"/>
    <n v="2025"/>
    <d v="2025-06-30T00:00:00"/>
    <x v="20"/>
  </r>
  <r>
    <x v="11"/>
    <s v="84100022"/>
    <s v=""/>
    <s v="Benefits OH"/>
    <s v=""/>
    <s v=""/>
    <s v=""/>
    <s v=""/>
    <n v="315.67"/>
    <s v="6"/>
    <n v="2025"/>
    <d v="2025-06-30T00:00:00"/>
    <x v="20"/>
  </r>
  <r>
    <x v="11"/>
    <s v="84100023"/>
    <s v=""/>
    <s v="Paid Time Off OH"/>
    <s v=""/>
    <s v=""/>
    <s v=""/>
    <s v=""/>
    <n v="234.08"/>
    <s v="6"/>
    <n v="2025"/>
    <d v="2025-06-30T00:00:00"/>
    <x v="20"/>
  </r>
  <r>
    <x v="11"/>
    <s v="84100024"/>
    <s v=""/>
    <s v="Incentives OH"/>
    <s v=""/>
    <s v=""/>
    <s v=""/>
    <s v=""/>
    <n v="149.81"/>
    <s v="6"/>
    <n v="2025"/>
    <d v="2025-06-30T00:00:00"/>
    <x v="20"/>
  </r>
  <r>
    <x v="11"/>
    <s v="84311007"/>
    <s v=""/>
    <s v="Consultant Ex"/>
    <s v=""/>
    <s v=""/>
    <s v="2060"/>
    <s v="Utility Oper. &amp; Maint."/>
    <n v="140.80000000000001"/>
    <s v="6"/>
    <n v="2025"/>
    <d v="2025-06-30T00:00:00"/>
    <x v="20"/>
  </r>
  <r>
    <x v="11"/>
    <s v="84311007"/>
    <s v=""/>
    <s v="Consultant Ex"/>
    <s v=""/>
    <s v=""/>
    <s v="2060"/>
    <s v="Utility Oper. &amp; Maint."/>
    <n v="211.2"/>
    <s v="6"/>
    <n v="2025"/>
    <d v="2025-06-30T00:00:00"/>
    <x v="20"/>
  </r>
  <r>
    <x v="11"/>
    <s v="84311007"/>
    <s v=""/>
    <s v="Consultant Ex"/>
    <s v=""/>
    <s v=""/>
    <s v="2060"/>
    <s v="Utility Oper. &amp; Maint."/>
    <n v="281.60000000000002"/>
    <s v="6"/>
    <n v="2025"/>
    <d v="2025-06-01T00:00:00"/>
    <x v="20"/>
  </r>
  <r>
    <x v="11"/>
    <s v="84311007"/>
    <s v=""/>
    <s v="Consultant Ex"/>
    <s v=""/>
    <s v=""/>
    <s v="2060"/>
    <s v="Utility Oper. &amp; Maint."/>
    <n v="281.60000000000002"/>
    <s v="6"/>
    <n v="2025"/>
    <d v="2025-06-01T00:00:00"/>
    <x v="20"/>
  </r>
  <r>
    <x v="11"/>
    <s v="84311007"/>
    <s v=""/>
    <s v="Consultant Ex"/>
    <s v=""/>
    <s v=""/>
    <s v="2060"/>
    <s v="Utility Oper. &amp; Maint."/>
    <n v="140.80000000000001"/>
    <s v="6"/>
    <n v="2025"/>
    <d v="2025-06-01T00:00:00"/>
    <x v="20"/>
  </r>
  <r>
    <x v="11"/>
    <s v="84311007"/>
    <s v=""/>
    <s v="Consultant Ex"/>
    <s v=""/>
    <s v=""/>
    <s v="2060"/>
    <s v="Utility Oper. &amp; Maint."/>
    <n v="140.80000000000001"/>
    <s v="6"/>
    <n v="2025"/>
    <d v="2025-06-01T00:00:00"/>
    <x v="20"/>
  </r>
  <r>
    <x v="11"/>
    <s v="84311007"/>
    <s v=""/>
    <s v="Consultant Ex"/>
    <s v=""/>
    <s v=""/>
    <s v="2060"/>
    <s v="Utility Oper. &amp; Maint."/>
    <n v="140.80000000000001"/>
    <s v="6"/>
    <n v="2025"/>
    <d v="2025-06-01T00:00:00"/>
    <x v="20"/>
  </r>
  <r>
    <x v="0"/>
    <s v="61100000"/>
    <s v="23200543"/>
    <s v="Utilities"/>
    <s v="AP Non-SAP Sys"/>
    <s v="Tacoma Public Utilities - PSE May Power Costs"/>
    <s v="2060"/>
    <s v="Utility Oper. &amp; Maint."/>
    <n v="-99892.76"/>
    <s v="7"/>
    <s v="2023"/>
    <d v="2023-07-11T00:00:00"/>
    <x v="21"/>
  </r>
  <r>
    <x v="0"/>
    <s v="61100000"/>
    <s v="101611"/>
    <s v="Utilities"/>
    <s v="CITY OF TACOMA"/>
    <s v="101611 -CITY OF TACOMA"/>
    <s v="2060"/>
    <s v="Utility Oper. &amp; Maint."/>
    <n v="118963.17"/>
    <s v="7"/>
    <s v="2023"/>
    <d v="2023-07-13T00:00:00"/>
    <x v="21"/>
  </r>
  <r>
    <x v="0"/>
    <s v="61100000"/>
    <s v="23200543"/>
    <s v="Utilities"/>
    <s v="AP Non-SAP Sys"/>
    <s v="Tacoma Public Utilities - PSE July Power Costs"/>
    <s v="2060"/>
    <s v="Utility Oper. &amp; Maint."/>
    <n v="51261.81"/>
    <s v="7"/>
    <s v="2023"/>
    <d v="2023-07-28T00:00:00"/>
    <x v="21"/>
  </r>
  <r>
    <x v="4"/>
    <s v="62300175"/>
    <s v="13500222"/>
    <s v="O/S Svc – NAES"/>
    <s v="Tacoma LNG Cash Adva"/>
    <s v="TLNG Liquefaction System for PSE Maintenance"/>
    <s v="2060"/>
    <s v="Utility Oper. &amp; Maint."/>
    <n v="46.48"/>
    <s v="7"/>
    <s v="2023"/>
    <d v="2023-07-31T00:00:00"/>
    <x v="21"/>
  </r>
  <r>
    <x v="7"/>
    <s v="62300175"/>
    <s v="13500222"/>
    <s v="O/S Svc – NAES"/>
    <s v="Tacoma LNG Cash Adva"/>
    <s v="TLNG Pre-Treatment System for PSE Maintenance"/>
    <s v="2060"/>
    <s v="Utility Oper. &amp; Maint."/>
    <n v="315.54000000000002"/>
    <s v="7"/>
    <s v="2023"/>
    <d v="2023-07-31T00:00:00"/>
    <x v="21"/>
  </r>
  <r>
    <x v="8"/>
    <s v="62300175"/>
    <s v="13500222"/>
    <s v="O/S Svc – NAES"/>
    <s v="Tacoma LNG Cash Adva"/>
    <s v="TLNG Plant Utilities System for PSE Operations"/>
    <s v="2060"/>
    <s v="Utility Oper. &amp; Maint."/>
    <n v="2576.14"/>
    <s v="7"/>
    <s v="2023"/>
    <d v="2023-07-31T00:00:00"/>
    <x v="21"/>
  </r>
  <r>
    <x v="9"/>
    <s v="62300175"/>
    <s v="13500222"/>
    <s v="O/S Svc – NAES"/>
    <s v="Tacoma LNG Cash Adva"/>
    <s v="TLNG Plant Utilities System for PSE Maintenance"/>
    <s v="2060"/>
    <s v="Utility Oper. &amp; Maint."/>
    <n v="70.58"/>
    <s v="7"/>
    <s v="2023"/>
    <d v="2023-07-31T00:00:00"/>
    <x v="21"/>
  </r>
  <r>
    <x v="10"/>
    <s v="62300175"/>
    <s v="13500222"/>
    <s v="O/S Svc – NAES"/>
    <s v="Tacoma LNG Cash Adva"/>
    <s v="TLNG Fuel System for PSE Maintenance"/>
    <s v="2060"/>
    <s v="Utility Oper. &amp; Maint."/>
    <n v="38.090000000000003"/>
    <s v="7"/>
    <s v="2023"/>
    <d v="2023-07-31T00:00:00"/>
    <x v="21"/>
  </r>
  <r>
    <x v="12"/>
    <s v="62300175"/>
    <s v=""/>
    <s v="O/S Svc – NAES"/>
    <s v=""/>
    <s v="ORD 84780001"/>
    <s v=""/>
    <s v=""/>
    <n v="243.81"/>
    <s v="7"/>
    <n v="2023"/>
    <d v="2023-07-31T00:00:00"/>
    <x v="21"/>
  </r>
  <r>
    <x v="13"/>
    <s v="62300175"/>
    <s v=""/>
    <s v="O/S Svc – NAES"/>
    <s v=""/>
    <s v="ORD 84000001"/>
    <s v=""/>
    <s v=""/>
    <n v="13143.89"/>
    <s v="7"/>
    <n v="2023"/>
    <d v="2023-07-31T00:00:00"/>
    <x v="21"/>
  </r>
  <r>
    <x v="14"/>
    <s v="60870001"/>
    <s v=""/>
    <s v="Rent/Lease-Non Cancl"/>
    <s v=""/>
    <s v="ORD 84200030"/>
    <s v=""/>
    <s v=""/>
    <n v="104522.84"/>
    <s v="7"/>
    <n v="2023"/>
    <d v="2023-07-31T00:00:00"/>
    <x v="21"/>
  </r>
  <r>
    <x v="15"/>
    <s v="62300175"/>
    <s v=""/>
    <s v="O/S Svc – NAES"/>
    <s v=""/>
    <s v="ORD 84330002"/>
    <s v=""/>
    <s v=""/>
    <n v="11925"/>
    <s v="7"/>
    <n v="2023"/>
    <d v="2023-07-31T00:00:00"/>
    <x v="21"/>
  </r>
  <r>
    <x v="16"/>
    <s v="84311002"/>
    <s v=""/>
    <s v="Analyst 2 Ex"/>
    <s v=""/>
    <s v="ORD 84410107"/>
    <s v=""/>
    <s v=""/>
    <n v="663.63"/>
    <s v="7"/>
    <n v="2023"/>
    <d v="2023-07-31T00:00:00"/>
    <x v="21"/>
  </r>
  <r>
    <x v="16"/>
    <s v="84311015"/>
    <s v=""/>
    <s v="Manager 2 Ex"/>
    <s v=""/>
    <s v="ORD 84410107"/>
    <s v=""/>
    <s v=""/>
    <n v="2820.04"/>
    <s v="7"/>
    <n v="2023"/>
    <d v="2023-07-31T00:00:00"/>
    <x v="21"/>
  </r>
  <r>
    <x v="16"/>
    <s v="60330000"/>
    <s v=""/>
    <s v="Emp Exp - Meals"/>
    <s v=""/>
    <s v="ORD 84410107"/>
    <s v=""/>
    <s v=""/>
    <n v="57.4"/>
    <s v="7"/>
    <n v="2023"/>
    <d v="2023-07-31T00:00:00"/>
    <x v="21"/>
  </r>
  <r>
    <x v="16"/>
    <s v="60333150"/>
    <s v=""/>
    <s v="Emp Exp-Grnd Trn xcl"/>
    <s v=""/>
    <s v="ORD 84410107"/>
    <s v=""/>
    <s v=""/>
    <n v="6.74"/>
    <s v="7"/>
    <n v="2023"/>
    <d v="2023-07-31T00:00:00"/>
    <x v="21"/>
  </r>
  <r>
    <x v="16"/>
    <s v="60334000"/>
    <s v=""/>
    <s v="Emp Exp - Airfare"/>
    <s v=""/>
    <s v="ORD 84410107"/>
    <s v=""/>
    <s v=""/>
    <n v="2.58"/>
    <s v="7"/>
    <n v="2023"/>
    <d v="2023-07-31T00:00:00"/>
    <x v="21"/>
  </r>
  <r>
    <x v="16"/>
    <s v="60335000"/>
    <s v=""/>
    <s v="Emp Exp - Lodging"/>
    <s v=""/>
    <s v="ORD 84410107"/>
    <s v=""/>
    <s v=""/>
    <n v="313.27999999999997"/>
    <s v="7"/>
    <n v="2023"/>
    <d v="2023-07-31T00:00:00"/>
    <x v="21"/>
  </r>
  <r>
    <x v="16"/>
    <s v="62300175"/>
    <s v=""/>
    <s v="O/S Svc – NAES"/>
    <s v=""/>
    <s v="ORD 84410107"/>
    <s v=""/>
    <s v=""/>
    <n v="35432.730000000003"/>
    <s v="7"/>
    <n v="2023"/>
    <d v="2023-07-31T00:00:00"/>
    <x v="21"/>
  </r>
  <r>
    <x v="16"/>
    <s v="84100013"/>
    <s v=""/>
    <s v="Fleet Gas Ops OH"/>
    <s v=""/>
    <s v="ORD 84410107"/>
    <s v=""/>
    <s v=""/>
    <n v="348.37"/>
    <s v="7"/>
    <n v="2023"/>
    <d v="2023-07-31T00:00:00"/>
    <x v="21"/>
  </r>
  <r>
    <x v="16"/>
    <s v="84100021"/>
    <s v=""/>
    <s v="Payroll Taxes OH"/>
    <s v=""/>
    <s v="ORD 84410107"/>
    <s v=""/>
    <s v=""/>
    <n v="310.05"/>
    <s v="7"/>
    <n v="2023"/>
    <d v="2023-07-31T00:00:00"/>
    <x v="21"/>
  </r>
  <r>
    <x v="16"/>
    <s v="84100022"/>
    <s v=""/>
    <s v="Benefits OH"/>
    <s v=""/>
    <s v="ORD 84410107"/>
    <s v=""/>
    <s v=""/>
    <n v="1045.0999999999999"/>
    <s v="7"/>
    <n v="2023"/>
    <d v="2023-07-31T00:00:00"/>
    <x v="21"/>
  </r>
  <r>
    <x v="16"/>
    <s v="84100023"/>
    <s v=""/>
    <s v="Paid Time Off OH"/>
    <s v=""/>
    <s v="ORD 84410107"/>
    <s v=""/>
    <s v=""/>
    <n v="560.87"/>
    <s v="7"/>
    <n v="2023"/>
    <d v="2023-07-31T00:00:00"/>
    <x v="21"/>
  </r>
  <r>
    <x v="16"/>
    <s v="84100024"/>
    <s v=""/>
    <s v="Incentives OH"/>
    <s v=""/>
    <s v="ORD 84410107"/>
    <s v=""/>
    <s v=""/>
    <n v="344.88"/>
    <s v="7"/>
    <n v="2023"/>
    <d v="2023-07-31T00:00:00"/>
    <x v="21"/>
  </r>
  <r>
    <x v="17"/>
    <s v="62300175"/>
    <s v=""/>
    <s v="O/S Svc – NAES"/>
    <s v=""/>
    <s v="ORD 84730001"/>
    <s v=""/>
    <s v=""/>
    <n v="40.020000000000003"/>
    <s v="7"/>
    <n v="2023"/>
    <d v="2023-07-31T00:00:00"/>
    <x v="21"/>
  </r>
  <r>
    <x v="18"/>
    <s v="62300175"/>
    <s v=""/>
    <s v="O/S Svc – NAES"/>
    <s v=""/>
    <s v="ORD 84620091"/>
    <s v=""/>
    <s v=""/>
    <n v="12770.71"/>
    <s v="7"/>
    <n v="2023"/>
    <d v="2023-07-31T00:00:00"/>
    <x v="21"/>
  </r>
  <r>
    <x v="19"/>
    <s v="60250000"/>
    <s v=""/>
    <s v="Workers Comp Payment"/>
    <s v=""/>
    <s v="ORD 92400330"/>
    <s v=""/>
    <s v=""/>
    <n v="128.52000000000001"/>
    <s v="7"/>
    <n v="2023"/>
    <d v="2023-07-31T00:00:00"/>
    <x v="21"/>
  </r>
  <r>
    <x v="19"/>
    <s v="62300175"/>
    <s v=""/>
    <s v="O/S Svc – NAES"/>
    <s v=""/>
    <s v="ORD 92400330"/>
    <s v=""/>
    <s v=""/>
    <n v="1484.48"/>
    <s v="7"/>
    <n v="2023"/>
    <d v="2023-07-31T00:00:00"/>
    <x v="21"/>
  </r>
  <r>
    <x v="20"/>
    <s v="61100000"/>
    <s v=""/>
    <s v="Utilities"/>
    <s v=""/>
    <s v="ORD 84620090"/>
    <s v=""/>
    <s v=""/>
    <n v="1833.23"/>
    <s v="7"/>
    <n v="2023"/>
    <d v="2023-07-31T00:00:00"/>
    <x v="21"/>
  </r>
  <r>
    <x v="20"/>
    <s v="62300175"/>
    <s v=""/>
    <s v="O/S Svc – NAES"/>
    <s v=""/>
    <s v="ORD 84620090"/>
    <s v=""/>
    <s v=""/>
    <n v="437.14"/>
    <s v="7"/>
    <n v="2023"/>
    <d v="2023-07-31T00:00:00"/>
    <x v="21"/>
  </r>
  <r>
    <x v="20"/>
    <s v="63100000"/>
    <s v=""/>
    <s v="Permits, Fees &amp; Ease"/>
    <s v=""/>
    <s v="ORD 84620090"/>
    <s v=""/>
    <s v=""/>
    <n v="129"/>
    <s v="7"/>
    <n v="2023"/>
    <d v="2023-07-31T00:00:00"/>
    <x v="21"/>
  </r>
  <r>
    <x v="28"/>
    <s v="62300175"/>
    <s v=""/>
    <s v="O/S Svc – NAES"/>
    <s v=""/>
    <s v="ORD 84000091"/>
    <s v=""/>
    <s v=""/>
    <n v="354.77"/>
    <s v="7"/>
    <n v="2023"/>
    <d v="2023-07-31T00:00:00"/>
    <x v="21"/>
  </r>
  <r>
    <x v="21"/>
    <s v="62300175"/>
    <s v=""/>
    <s v="O/S Svc – NAES"/>
    <s v=""/>
    <s v="ORD 84100090"/>
    <s v=""/>
    <s v=""/>
    <n v="42258.31"/>
    <s v="7"/>
    <n v="2023"/>
    <d v="2023-07-31T00:00:00"/>
    <x v="21"/>
  </r>
  <r>
    <x v="22"/>
    <s v="62300175"/>
    <s v=""/>
    <s v="O/S Svc – NAES"/>
    <s v=""/>
    <s v="ORD 84390090"/>
    <s v=""/>
    <s v=""/>
    <n v="21535.22"/>
    <s v="7"/>
    <n v="2023"/>
    <d v="2023-07-31T00:00:00"/>
    <x v="21"/>
  </r>
  <r>
    <x v="23"/>
    <s v="62300175"/>
    <s v=""/>
    <s v="O/S Svc – NAES"/>
    <s v=""/>
    <s v="ORD 84470090"/>
    <s v=""/>
    <s v=""/>
    <n v="248.5"/>
    <s v="7"/>
    <n v="2023"/>
    <d v="2023-07-31T00:00:00"/>
    <x v="21"/>
  </r>
  <r>
    <x v="24"/>
    <s v="62300175"/>
    <s v=""/>
    <s v="O/S Svc – NAES"/>
    <s v=""/>
    <s v="ORD 84770090"/>
    <s v=""/>
    <s v=""/>
    <n v="-95.19"/>
    <s v="7"/>
    <n v="2023"/>
    <d v="2023-07-31T00:00:00"/>
    <x v="21"/>
  </r>
  <r>
    <x v="1"/>
    <s v="62300175"/>
    <s v=""/>
    <s v="O/S Svc – NAES"/>
    <s v=""/>
    <s v="ORD 84000030"/>
    <s v=""/>
    <s v=""/>
    <n v="22665.02"/>
    <s v="7"/>
    <n v="2023"/>
    <d v="2023-07-31T00:00:00"/>
    <x v="21"/>
  </r>
  <r>
    <x v="30"/>
    <s v="62300175"/>
    <s v=""/>
    <s v="O/S Svc – NAES"/>
    <s v=""/>
    <s v="ORD 84000031"/>
    <s v=""/>
    <s v=""/>
    <n v="1893.64"/>
    <s v="7"/>
    <n v="2023"/>
    <d v="2023-07-31T00:00:00"/>
    <x v="21"/>
  </r>
  <r>
    <x v="25"/>
    <s v="84311009"/>
    <s v=""/>
    <s v="Engineer Ex"/>
    <s v=""/>
    <s v="ORD 84000090"/>
    <s v=""/>
    <s v=""/>
    <n v="204.84"/>
    <s v="7"/>
    <n v="2023"/>
    <d v="2023-07-31T00:00:00"/>
    <x v="21"/>
  </r>
  <r>
    <x v="25"/>
    <s v="62300175"/>
    <s v=""/>
    <s v="O/S Svc – NAES"/>
    <s v=""/>
    <s v="ORD 84000090"/>
    <s v=""/>
    <s v=""/>
    <n v="5820.79"/>
    <s v="7"/>
    <n v="2023"/>
    <d v="2023-07-31T00:00:00"/>
    <x v="21"/>
  </r>
  <r>
    <x v="25"/>
    <s v="84100013"/>
    <s v=""/>
    <s v="Fleet Gas Ops OH"/>
    <s v=""/>
    <s v="ORD 84000090"/>
    <s v=""/>
    <s v=""/>
    <n v="20.49"/>
    <s v="7"/>
    <n v="2023"/>
    <d v="2023-07-31T00:00:00"/>
    <x v="21"/>
  </r>
  <r>
    <x v="25"/>
    <s v="84100021"/>
    <s v=""/>
    <s v="Payroll Taxes OH"/>
    <s v=""/>
    <s v="ORD 84000090"/>
    <s v=""/>
    <s v=""/>
    <n v="18.23"/>
    <s v="7"/>
    <n v="2023"/>
    <d v="2023-07-31T00:00:00"/>
    <x v="21"/>
  </r>
  <r>
    <x v="25"/>
    <s v="84100022"/>
    <s v=""/>
    <s v="Benefits OH"/>
    <s v=""/>
    <s v="ORD 84000090"/>
    <s v=""/>
    <s v=""/>
    <n v="61.45"/>
    <s v="7"/>
    <n v="2023"/>
    <d v="2023-07-31T00:00:00"/>
    <x v="21"/>
  </r>
  <r>
    <x v="25"/>
    <s v="84100023"/>
    <s v=""/>
    <s v="Paid Time Off OH"/>
    <s v=""/>
    <s v="ORD 84000090"/>
    <s v=""/>
    <s v=""/>
    <n v="32.979999999999997"/>
    <s v="7"/>
    <n v="2023"/>
    <d v="2023-07-31T00:00:00"/>
    <x v="21"/>
  </r>
  <r>
    <x v="25"/>
    <s v="84100024"/>
    <s v=""/>
    <s v="Incentives OH"/>
    <s v=""/>
    <s v="ORD 84000090"/>
    <s v=""/>
    <s v=""/>
    <n v="20.28"/>
    <s v="7"/>
    <n v="2023"/>
    <d v="2023-07-31T00:00:00"/>
    <x v="21"/>
  </r>
  <r>
    <x v="0"/>
    <s v="61100000"/>
    <s v="23200543"/>
    <s v="Utilities"/>
    <s v="AP Non-SAP Sys"/>
    <s v="Tacoma Public Utilities - Power cost for LNG lique"/>
    <s v="2060"/>
    <s v="Utility Oper. &amp; Maint."/>
    <n v="-54600.87"/>
    <s v="7"/>
    <s v="2024"/>
    <d v="2024-07-10T00:00:00"/>
    <x v="22"/>
  </r>
  <r>
    <x v="0"/>
    <s v="61100000"/>
    <s v="101611"/>
    <s v="Utilities"/>
    <s v="CITY OF TACOMA"/>
    <s v="101611 -CITY OF TACOMA"/>
    <s v="2060"/>
    <s v="Utility Oper. &amp; Maint."/>
    <n v="50292.76"/>
    <s v="7"/>
    <s v="2024"/>
    <d v="2024-07-11T00:00:00"/>
    <x v="22"/>
  </r>
  <r>
    <x v="0"/>
    <s v="63100000"/>
    <s v="13101033"/>
    <s v="Permits, Fees &amp; Ease"/>
    <s v="Cash-Key Bnk-PSE Rec"/>
    <s v="City of Tacoma 7307399"/>
    <s v="2060"/>
    <s v="Utility Oper. &amp; Maint."/>
    <n v="-129"/>
    <s v="7"/>
    <s v="2024"/>
    <d v="2024-07-24T00:00:00"/>
    <x v="22"/>
  </r>
  <r>
    <x v="0"/>
    <s v="61100000"/>
    <s v="23200543"/>
    <s v="Utilities"/>
    <s v="AP Non-SAP Sys"/>
    <s v="Tacoma Public Utilities - Power cost for LNG lique"/>
    <s v="2060"/>
    <s v="Utility Oper. &amp; Maint."/>
    <n v="47388.31"/>
    <s v="7"/>
    <s v="2024"/>
    <d v="2024-07-30T00:00:00"/>
    <x v="22"/>
  </r>
  <r>
    <x v="9"/>
    <s v="62300175"/>
    <s v="62300175"/>
    <s v="O/S Svc – NAES"/>
    <s v="O/S Svc – NAES"/>
    <s v="TLNG Plant Utilities System for PSE Maintenance"/>
    <s v="2060"/>
    <s v="Utility Oper. &amp; Maint."/>
    <n v="-9.0299999999999994"/>
    <s v="7"/>
    <s v="2024"/>
    <d v="2024-07-31T00:00:00"/>
    <x v="22"/>
  </r>
  <r>
    <x v="4"/>
    <s v="62300175"/>
    <s v="13500222"/>
    <s v="O/S Svc – NAES"/>
    <s v="Tacoma LNG Cash Adva"/>
    <s v="TLNG Liquefaction System for PSE Maintenance"/>
    <s v="2060"/>
    <s v="Utility Oper. &amp; Maint."/>
    <n v="1209.6099999999999"/>
    <s v="7"/>
    <s v="2024"/>
    <d v="2024-07-31T00:00:00"/>
    <x v="22"/>
  </r>
  <r>
    <x v="7"/>
    <s v="62300175"/>
    <s v="13500222"/>
    <s v="O/S Svc – NAES"/>
    <s v="Tacoma LNG Cash Adva"/>
    <s v="TLNG Pre-Treatment System for PSE Maintenance"/>
    <s v="2060"/>
    <s v="Utility Oper. &amp; Maint."/>
    <n v="54.58"/>
    <s v="7"/>
    <s v="2024"/>
    <d v="2024-07-31T00:00:00"/>
    <x v="22"/>
  </r>
  <r>
    <x v="10"/>
    <s v="62300175"/>
    <s v="13500222"/>
    <s v="O/S Svc – NAES"/>
    <s v="Tacoma LNG Cash Adva"/>
    <s v="TLNG Fuel System for PSE Maintenance"/>
    <s v="2060"/>
    <s v="Utility Oper. &amp; Maint."/>
    <n v="1389.76"/>
    <s v="7"/>
    <s v="2024"/>
    <d v="2024-07-31T00:00:00"/>
    <x v="22"/>
  </r>
  <r>
    <x v="7"/>
    <s v="62300175"/>
    <s v="13500222"/>
    <s v="O/S Svc – NAES"/>
    <s v="Tacoma LNG Cash Adva"/>
    <s v="TLNG Pre-Treatment System for PSE Maintenance"/>
    <s v="2060"/>
    <s v="Utility Oper. &amp; Maint."/>
    <n v="140.5"/>
    <s v="7"/>
    <s v="2024"/>
    <d v="2024-07-31T00:00:00"/>
    <x v="22"/>
  </r>
  <r>
    <x v="11"/>
    <s v="69990112"/>
    <s v="69990160"/>
    <s v="Transfer - Pyr Tx OH"/>
    <s v="Transfer - Trans OH"/>
    <s v="July 2024 - Xfr Costs to COH Pool - Part A"/>
    <s v="2060"/>
    <s v="Utility Oper. &amp; Maint."/>
    <n v="-21.44"/>
    <s v="7"/>
    <s v="2024"/>
    <d v="2024-07-31T00:00:00"/>
    <x v="22"/>
  </r>
  <r>
    <x v="11"/>
    <s v="69990160"/>
    <s v="69990160"/>
    <s v="Trans Transport OH"/>
    <s v="Transfer - Trans OH"/>
    <s v="July 2024 - Xfr Costs to COH Pool - Part A"/>
    <s v="2060"/>
    <s v="Utility Oper. &amp; Maint."/>
    <n v="-21.66"/>
    <s v="7"/>
    <s v="2024"/>
    <d v="2024-07-31T00:00:00"/>
    <x v="22"/>
  </r>
  <r>
    <x v="11"/>
    <s v="69990115"/>
    <s v="69990160"/>
    <s v="Transfer - Incent OH"/>
    <s v="Transfer - Trans OH"/>
    <s v="July 2024 - Xfr Costs to COH Pool - Part A"/>
    <s v="2060"/>
    <s v="Utility Oper. &amp; Maint."/>
    <n v="-24.86"/>
    <s v="7"/>
    <s v="2024"/>
    <d v="2024-07-31T00:00:00"/>
    <x v="22"/>
  </r>
  <r>
    <x v="11"/>
    <s v="69990114"/>
    <s v="69990160"/>
    <s v="Transfer - PTO OH"/>
    <s v="Transfer - Trans OH"/>
    <s v="July 2024 - Xfr Costs to COH Pool - Part A"/>
    <s v="2060"/>
    <s v="Utility Oper. &amp; Maint."/>
    <n v="-35.57"/>
    <s v="7"/>
    <s v="2024"/>
    <d v="2024-07-31T00:00:00"/>
    <x v="22"/>
  </r>
  <r>
    <x v="11"/>
    <s v="69990111"/>
    <s v="69990160"/>
    <s v="Transfer - Beneftis"/>
    <s v="Transfer - Trans OH"/>
    <s v="July 2024 - Xfr Costs to COH Pool - Part A"/>
    <s v="2060"/>
    <s v="Utility Oper. &amp; Maint."/>
    <n v="-53.36"/>
    <s v="7"/>
    <s v="2024"/>
    <d v="2024-07-31T00:00:00"/>
    <x v="22"/>
  </r>
  <r>
    <x v="11"/>
    <s v="69990071"/>
    <s v="69990160"/>
    <s v="Transfer - Labor"/>
    <s v="Transfer - Trans OH"/>
    <s v="July 2024 - Xfr Costs to COH Pool - Part A"/>
    <s v="2060"/>
    <s v="Utility Oper. &amp; Maint."/>
    <n v="-228.04"/>
    <s v="7"/>
    <s v="2024"/>
    <d v="2024-07-31T00:00:00"/>
    <x v="22"/>
  </r>
  <r>
    <x v="26"/>
    <s v="62300175"/>
    <s v=""/>
    <s v="O/S Svc – NAES"/>
    <s v=""/>
    <s v="ORD 84470091"/>
    <s v=""/>
    <s v=""/>
    <n v="14773.85"/>
    <s v="7"/>
    <n v="2024"/>
    <d v="2024-07-31T00:00:00"/>
    <x v="22"/>
  </r>
  <r>
    <x v="12"/>
    <s v="62300175"/>
    <s v=""/>
    <s v="O/S Svc – NAES"/>
    <s v=""/>
    <s v="ORD 84780001"/>
    <s v=""/>
    <s v=""/>
    <n v="13449.18"/>
    <s v="7"/>
    <n v="2024"/>
    <d v="2024-07-31T00:00:00"/>
    <x v="22"/>
  </r>
  <r>
    <x v="13"/>
    <s v="62300175"/>
    <s v=""/>
    <s v="O/S Svc – NAES"/>
    <s v=""/>
    <s v="ORD 84000001"/>
    <s v=""/>
    <s v=""/>
    <n v="14227.59"/>
    <s v="7"/>
    <n v="2024"/>
    <d v="2024-07-31T00:00:00"/>
    <x v="22"/>
  </r>
  <r>
    <x v="14"/>
    <s v="60870000"/>
    <s v=""/>
    <s v="Rent/Lease - Cancela"/>
    <s v=""/>
    <s v="ORD 84200030"/>
    <s v=""/>
    <s v=""/>
    <n v="3255.73"/>
    <s v="7"/>
    <n v="2024"/>
    <d v="2024-07-31T00:00:00"/>
    <x v="22"/>
  </r>
  <r>
    <x v="14"/>
    <s v="60870001"/>
    <s v=""/>
    <s v="Rent/Lease-Non Cancl"/>
    <s v=""/>
    <s v="ORD 84200030"/>
    <s v=""/>
    <s v=""/>
    <n v="91351.35"/>
    <s v="7"/>
    <n v="2024"/>
    <d v="2024-07-31T00:00:00"/>
    <x v="22"/>
  </r>
  <r>
    <x v="15"/>
    <s v="62300175"/>
    <s v=""/>
    <s v="O/S Svc – NAES"/>
    <s v=""/>
    <s v="ORD 84330002"/>
    <s v=""/>
    <s v=""/>
    <n v="-474.23"/>
    <s v="7"/>
    <n v="2024"/>
    <d v="2024-07-31T00:00:00"/>
    <x v="22"/>
  </r>
  <r>
    <x v="16"/>
    <s v="84311002"/>
    <s v=""/>
    <s v="Analyst 2 Ex"/>
    <s v=""/>
    <s v="ORD 84410107"/>
    <s v=""/>
    <s v=""/>
    <n v="675.08"/>
    <s v="7"/>
    <n v="2024"/>
    <d v="2024-07-31T00:00:00"/>
    <x v="22"/>
  </r>
  <r>
    <x v="16"/>
    <s v="84311007"/>
    <s v=""/>
    <s v="Consultant Ex"/>
    <s v=""/>
    <s v="ORD 84410107"/>
    <s v=""/>
    <s v=""/>
    <n v="233.76"/>
    <s v="7"/>
    <n v="2024"/>
    <d v="2024-07-31T00:00:00"/>
    <x v="22"/>
  </r>
  <r>
    <x v="16"/>
    <s v="84311007"/>
    <s v=""/>
    <s v="Consultant Ex"/>
    <s v=""/>
    <s v="ORD 84410107"/>
    <s v=""/>
    <s v=""/>
    <n v="160.51"/>
    <s v="7"/>
    <n v="2024"/>
    <d v="2024-07-31T00:00:00"/>
    <x v="22"/>
  </r>
  <r>
    <x v="16"/>
    <s v="84311009"/>
    <s v=""/>
    <s v="Engineer Ex"/>
    <s v=""/>
    <s v="ORD 84410107"/>
    <s v=""/>
    <s v=""/>
    <n v="117.35"/>
    <s v="7"/>
    <n v="2024"/>
    <d v="2024-07-31T00:00:00"/>
    <x v="22"/>
  </r>
  <r>
    <x v="16"/>
    <s v="84311011"/>
    <s v=""/>
    <s v="Engineer Consult Ex"/>
    <s v=""/>
    <s v="ORD 84410107"/>
    <s v=""/>
    <s v=""/>
    <n v="2149.04"/>
    <s v="7"/>
    <n v="2024"/>
    <d v="2024-07-31T00:00:00"/>
    <x v="22"/>
  </r>
  <r>
    <x v="16"/>
    <s v="60333000"/>
    <s v=""/>
    <s v="Emp Exp - Mileage Re"/>
    <s v=""/>
    <s v="ORD 84410107"/>
    <s v=""/>
    <s v=""/>
    <n v="19.350000000000001"/>
    <s v="7"/>
    <n v="2024"/>
    <d v="2024-07-31T00:00:00"/>
    <x v="22"/>
  </r>
  <r>
    <x v="16"/>
    <s v="62300175"/>
    <s v=""/>
    <s v="O/S Svc – NAES"/>
    <s v=""/>
    <s v="ORD 84410107"/>
    <s v=""/>
    <s v=""/>
    <n v="43265.96"/>
    <s v="7"/>
    <n v="2024"/>
    <d v="2024-07-31T00:00:00"/>
    <x v="22"/>
  </r>
  <r>
    <x v="16"/>
    <s v="84100013"/>
    <s v=""/>
    <s v="Fleet Gas Ops OH"/>
    <s v=""/>
    <s v="ORD 84410107"/>
    <s v=""/>
    <s v=""/>
    <n v="316.89999999999998"/>
    <s v="7"/>
    <n v="2024"/>
    <d v="2024-07-31T00:00:00"/>
    <x v="22"/>
  </r>
  <r>
    <x v="16"/>
    <s v="84100021"/>
    <s v=""/>
    <s v="Payroll Taxes OH"/>
    <s v=""/>
    <s v="ORD 84410107"/>
    <s v=""/>
    <s v=""/>
    <n v="313.56"/>
    <s v="7"/>
    <n v="2024"/>
    <d v="2024-07-31T00:00:00"/>
    <x v="22"/>
  </r>
  <r>
    <x v="16"/>
    <s v="84100022"/>
    <s v=""/>
    <s v="Benefits OH"/>
    <s v=""/>
    <s v="ORD 84410107"/>
    <s v=""/>
    <s v=""/>
    <n v="780.56"/>
    <s v="7"/>
    <n v="2024"/>
    <d v="2024-07-31T00:00:00"/>
    <x v="22"/>
  </r>
  <r>
    <x v="16"/>
    <s v="84100023"/>
    <s v=""/>
    <s v="Paid Time Off OH"/>
    <s v=""/>
    <s v="ORD 84410107"/>
    <s v=""/>
    <s v=""/>
    <n v="520.37"/>
    <s v="7"/>
    <n v="2024"/>
    <d v="2024-07-31T00:00:00"/>
    <x v="22"/>
  </r>
  <r>
    <x v="16"/>
    <s v="84100024"/>
    <s v=""/>
    <s v="Incentives OH"/>
    <s v=""/>
    <s v="ORD 84410107"/>
    <s v=""/>
    <s v=""/>
    <n v="363.6"/>
    <s v="7"/>
    <n v="2024"/>
    <d v="2024-07-31T00:00:00"/>
    <x v="22"/>
  </r>
  <r>
    <x v="17"/>
    <s v="62300175"/>
    <s v=""/>
    <s v="O/S Svc – NAES"/>
    <s v=""/>
    <s v="ORD 84730001"/>
    <s v=""/>
    <s v=""/>
    <n v="1895.76"/>
    <s v="7"/>
    <n v="2024"/>
    <d v="2024-07-31T00:00:00"/>
    <x v="22"/>
  </r>
  <r>
    <x v="9"/>
    <s v="62300175"/>
    <s v=""/>
    <s v="O/S Svc – NAES"/>
    <s v=""/>
    <s v="ORD 84390091"/>
    <s v=""/>
    <s v=""/>
    <n v="382.79"/>
    <s v="7"/>
    <n v="2024"/>
    <d v="2024-07-31T00:00:00"/>
    <x v="22"/>
  </r>
  <r>
    <x v="18"/>
    <s v="62300175"/>
    <s v=""/>
    <s v="O/S Svc – NAES"/>
    <s v=""/>
    <s v="ORD 84620091"/>
    <s v=""/>
    <s v=""/>
    <n v="10155.469999999999"/>
    <s v="7"/>
    <n v="2024"/>
    <d v="2024-07-31T00:00:00"/>
    <x v="22"/>
  </r>
  <r>
    <x v="19"/>
    <s v="60250000"/>
    <s v=""/>
    <s v="Workers Comp Payment"/>
    <s v=""/>
    <s v="ORD 92400330"/>
    <s v=""/>
    <s v=""/>
    <n v="141.68"/>
    <s v="7"/>
    <n v="2024"/>
    <d v="2024-07-31T00:00:00"/>
    <x v="22"/>
  </r>
  <r>
    <x v="19"/>
    <s v="62300175"/>
    <s v=""/>
    <s v="O/S Svc – NAES"/>
    <s v=""/>
    <s v="ORD 92400330"/>
    <s v=""/>
    <s v=""/>
    <n v="1646.77"/>
    <s v="7"/>
    <n v="2024"/>
    <d v="2024-07-31T00:00:00"/>
    <x v="22"/>
  </r>
  <r>
    <x v="20"/>
    <s v="62300175"/>
    <s v=""/>
    <s v="O/S Svc – NAES"/>
    <s v=""/>
    <s v="ORD 84620090"/>
    <s v=""/>
    <s v=""/>
    <n v="4415.5600000000004"/>
    <s v="7"/>
    <n v="2024"/>
    <d v="2024-07-31T00:00:00"/>
    <x v="22"/>
  </r>
  <r>
    <x v="28"/>
    <s v="62300175"/>
    <s v=""/>
    <s v="O/S Svc – NAES"/>
    <s v=""/>
    <s v="ORD 84000091"/>
    <s v=""/>
    <s v=""/>
    <n v="116.07"/>
    <s v="7"/>
    <n v="2024"/>
    <d v="2024-07-31T00:00:00"/>
    <x v="22"/>
  </r>
  <r>
    <x v="21"/>
    <s v="62300175"/>
    <s v=""/>
    <s v="O/S Svc – NAES"/>
    <s v=""/>
    <s v="ORD 84100090"/>
    <s v=""/>
    <s v=""/>
    <n v="46270.16"/>
    <s v="7"/>
    <n v="2024"/>
    <d v="2024-07-31T00:00:00"/>
    <x v="22"/>
  </r>
  <r>
    <x v="22"/>
    <s v="62300175"/>
    <s v=""/>
    <s v="O/S Svc – NAES"/>
    <s v=""/>
    <s v="ORD 84390090"/>
    <s v=""/>
    <s v=""/>
    <n v="25291.49"/>
    <s v="7"/>
    <n v="2024"/>
    <d v="2024-07-31T00:00:00"/>
    <x v="22"/>
  </r>
  <r>
    <x v="24"/>
    <s v="62300175"/>
    <s v=""/>
    <s v="O/S Svc – NAES"/>
    <s v=""/>
    <s v="ORD 84770090"/>
    <s v=""/>
    <s v=""/>
    <n v="10304.629999999999"/>
    <s v="7"/>
    <n v="2024"/>
    <d v="2024-07-31T00:00:00"/>
    <x v="22"/>
  </r>
  <r>
    <x v="1"/>
    <s v="62300175"/>
    <s v=""/>
    <s v="O/S Svc – NAES"/>
    <s v=""/>
    <s v="ORD 84000030"/>
    <s v=""/>
    <s v=""/>
    <n v="23684.94"/>
    <s v="7"/>
    <n v="2024"/>
    <d v="2024-07-31T00:00:00"/>
    <x v="22"/>
  </r>
  <r>
    <x v="25"/>
    <s v="62300175"/>
    <s v=""/>
    <s v="O/S Svc – NAES"/>
    <s v=""/>
    <s v="ORD 84000090"/>
    <s v=""/>
    <s v=""/>
    <n v="3640.32"/>
    <s v="7"/>
    <n v="2024"/>
    <d v="2024-07-31T00:00:00"/>
    <x v="22"/>
  </r>
  <r>
    <x v="11"/>
    <s v="84100013"/>
    <s v=""/>
    <s v="Fleet Gas Ops OH"/>
    <s v=""/>
    <s v=""/>
    <s v=""/>
    <s v=""/>
    <n v="77.37"/>
    <s v="7"/>
    <n v="2024"/>
    <d v="2024-07-31T00:00:00"/>
    <x v="22"/>
  </r>
  <r>
    <x v="11"/>
    <s v="84100021"/>
    <s v=""/>
    <s v="Payroll Taxes OH"/>
    <s v=""/>
    <s v=""/>
    <s v=""/>
    <s v=""/>
    <n v="76.56"/>
    <s v="7"/>
    <n v="2024"/>
    <d v="2024-07-31T00:00:00"/>
    <x v="22"/>
  </r>
  <r>
    <x v="11"/>
    <s v="84100022"/>
    <s v=""/>
    <s v="Benefits OH"/>
    <s v=""/>
    <s v=""/>
    <s v=""/>
    <s v=""/>
    <n v="190.58"/>
    <s v="7"/>
    <n v="2024"/>
    <d v="2024-07-31T00:00:00"/>
    <x v="22"/>
  </r>
  <r>
    <x v="11"/>
    <s v="84100023"/>
    <s v=""/>
    <s v="Paid Time Off OH"/>
    <s v=""/>
    <s v=""/>
    <s v=""/>
    <s v=""/>
    <n v="127.05"/>
    <s v="7"/>
    <n v="2024"/>
    <d v="2024-07-31T00:00:00"/>
    <x v="22"/>
  </r>
  <r>
    <x v="11"/>
    <s v="84100024"/>
    <s v=""/>
    <s v="Incentives OH"/>
    <s v=""/>
    <s v=""/>
    <s v=""/>
    <s v=""/>
    <n v="88.77"/>
    <s v="7"/>
    <n v="2024"/>
    <d v="2024-07-31T00:00:00"/>
    <x v="22"/>
  </r>
  <r>
    <x v="11"/>
    <s v="84311007"/>
    <s v=""/>
    <s v="Consultant Ex"/>
    <s v=""/>
    <s v=""/>
    <s v="2060"/>
    <s v="Utility Oper. &amp; Maint."/>
    <n v="271.48"/>
    <s v="7"/>
    <n v="2024"/>
    <d v="2024-07-01T00:00:00"/>
    <x v="22"/>
  </r>
  <r>
    <x v="11"/>
    <s v="84311007"/>
    <s v=""/>
    <s v="Consultant Ex"/>
    <s v=""/>
    <s v=""/>
    <s v="2060"/>
    <s v="Utility Oper. &amp; Maint."/>
    <n v="271.48"/>
    <s v="7"/>
    <n v="2024"/>
    <d v="2024-07-01T00:00:00"/>
    <x v="22"/>
  </r>
  <r>
    <x v="11"/>
    <s v="84311007"/>
    <s v=""/>
    <s v="Consultant Ex"/>
    <s v=""/>
    <s v=""/>
    <s v="2060"/>
    <s v="Utility Oper. &amp; Maint."/>
    <n v="271.48"/>
    <s v="7"/>
    <n v="2024"/>
    <d v="2024-07-01T00:00:00"/>
    <x v="22"/>
  </r>
  <r>
    <x v="0"/>
    <s v="61100000"/>
    <s v="101611"/>
    <s v="Utilities"/>
    <s v="CITY OF TACOMA"/>
    <s v="101611 -CITY OF TACOMA"/>
    <s v="2060"/>
    <s v="Utility Oper. &amp; Maint."/>
    <n v="61200.03"/>
    <s v="7"/>
    <s v="2025"/>
    <d v="2025-07-07T00:00:00"/>
    <x v="23"/>
  </r>
  <r>
    <x v="0"/>
    <s v="61100000"/>
    <s v="23200543"/>
    <s v="Utilities"/>
    <s v="AP Non-SAP Sys"/>
    <s v="Tacoma Public Utilities Power cost for LNG liquefa"/>
    <s v="2060"/>
    <s v="Utility Oper. &amp; Maint."/>
    <n v="-61771.27"/>
    <s v="7"/>
    <s v="2025"/>
    <d v="2025-07-08T00:00:00"/>
    <x v="23"/>
  </r>
  <r>
    <x v="0"/>
    <s v="61100000"/>
    <s v="23200543"/>
    <s v="Utilities"/>
    <s v="AP Non-SAP Sys"/>
    <s v="Tacoma Public Utilities Power cost for LNG liquefa"/>
    <s v="2060"/>
    <s v="Utility Oper. &amp; Maint."/>
    <n v="59782.68"/>
    <s v="7"/>
    <s v="2025"/>
    <d v="2025-07-29T00:00:00"/>
    <x v="23"/>
  </r>
  <r>
    <x v="5"/>
    <s v="62300175"/>
    <s v="62300175"/>
    <s v="O/S Svc – NAES"/>
    <s v="O/S Svc – NAES"/>
    <s v="TLNG Truck Loading System for PSE Operatoins"/>
    <s v="2060"/>
    <s v="Utility Oper. &amp; Maint."/>
    <n v="-17.8"/>
    <s v="7"/>
    <s v="2025"/>
    <d v="2025-07-31T00:00:00"/>
    <x v="23"/>
  </r>
  <r>
    <x v="10"/>
    <s v="62300175"/>
    <s v="62300175"/>
    <s v="O/S Svc – NAES"/>
    <s v="O/S Svc – NAES"/>
    <s v="TLNG Fuel System for PSE Maintenance"/>
    <s v="2060"/>
    <s v="Utility Oper. &amp; Maint."/>
    <n v="-10.5"/>
    <s v="7"/>
    <s v="2025"/>
    <d v="2025-07-31T00:00:00"/>
    <x v="23"/>
  </r>
  <r>
    <x v="4"/>
    <s v="62300175"/>
    <s v="13500222"/>
    <s v="O/S Svc – NAES"/>
    <s v="Tacoma LNG Cash Adva"/>
    <s v="TLNG Liquefaction System for PSE Maintenance"/>
    <s v="2060"/>
    <s v="Utility Oper. &amp; Maint."/>
    <n v="5391.44"/>
    <s v="7"/>
    <s v="2025"/>
    <d v="2025-07-31T00:00:00"/>
    <x v="23"/>
  </r>
  <r>
    <x v="7"/>
    <s v="62300175"/>
    <s v="13500222"/>
    <s v="O/S Svc – NAES"/>
    <s v="Tacoma LNG Cash Adva"/>
    <s v="TLNG Pre-Treatment System for PSE Maintenance"/>
    <s v="2060"/>
    <s v="Utility Oper. &amp; Maint."/>
    <n v="1271.2"/>
    <s v="7"/>
    <s v="2025"/>
    <d v="2025-07-31T00:00:00"/>
    <x v="23"/>
  </r>
  <r>
    <x v="8"/>
    <s v="62300175"/>
    <s v="13500222"/>
    <s v="O/S Svc – NAES"/>
    <s v="Tacoma LNG Cash Adva"/>
    <s v="TLNG Plant Utilities System for PSE Operations"/>
    <s v="2060"/>
    <s v="Utility Oper. &amp; Maint."/>
    <n v="354.17"/>
    <s v="7"/>
    <s v="2025"/>
    <d v="2025-07-31T00:00:00"/>
    <x v="23"/>
  </r>
  <r>
    <x v="9"/>
    <s v="62300175"/>
    <s v="13500222"/>
    <s v="O/S Svc – NAES"/>
    <s v="Tacoma LNG Cash Adva"/>
    <s v="TLNG Plant Utilities System for PSE Maintenance"/>
    <s v="2060"/>
    <s v="Utility Oper. &amp; Maint."/>
    <n v="796.02"/>
    <s v="7"/>
    <s v="2025"/>
    <d v="2025-07-31T00:00:00"/>
    <x v="23"/>
  </r>
  <r>
    <x v="2"/>
    <s v="62300175"/>
    <s v="13500222"/>
    <s v="O/S Svc – NAES"/>
    <s v="Tacoma LNG Cash Adva"/>
    <s v="Tacoma LNG Vaporization for PSE Maintenance"/>
    <s v="2060"/>
    <s v="Utility Oper. &amp; Maint."/>
    <n v="244"/>
    <s v="7"/>
    <s v="2025"/>
    <d v="2025-07-31T00:00:00"/>
    <x v="23"/>
  </r>
  <r>
    <x v="7"/>
    <s v="62300175"/>
    <s v="13500222"/>
    <s v="O/S Svc – NAES"/>
    <s v="Tacoma LNG Cash Adva"/>
    <s v="TLNG Pre-Treatment System for PSE Maintenance"/>
    <s v="2060"/>
    <s v="Utility Oper. &amp; Maint."/>
    <n v="821.68"/>
    <s v="7"/>
    <s v="2025"/>
    <d v="2025-07-31T00:00:00"/>
    <x v="23"/>
  </r>
  <r>
    <x v="13"/>
    <s v="62300175"/>
    <s v=""/>
    <s v="O/S Svc – NAES"/>
    <s v=""/>
    <s v="ORD 84000001"/>
    <s v=""/>
    <s v=""/>
    <n v="16613.28"/>
    <s v="7"/>
    <n v="2025"/>
    <d v="2025-07-31T00:00:00"/>
    <x v="23"/>
  </r>
  <r>
    <x v="14"/>
    <s v="60870001"/>
    <s v=""/>
    <s v="Rent/Lease-Non Cancl"/>
    <s v=""/>
    <s v="ORD 84200030"/>
    <s v=""/>
    <s v=""/>
    <n v="91351.35"/>
    <s v="7"/>
    <n v="2025"/>
    <d v="2025-07-31T00:00:00"/>
    <x v="23"/>
  </r>
  <r>
    <x v="14"/>
    <s v="61100000"/>
    <s v=""/>
    <s v="Utilities"/>
    <s v=""/>
    <s v="ORD 84200030"/>
    <s v=""/>
    <s v=""/>
    <n v="24632.59"/>
    <s v="7"/>
    <n v="2025"/>
    <d v="2025-07-31T00:00:00"/>
    <x v="23"/>
  </r>
  <r>
    <x v="15"/>
    <s v="62300175"/>
    <s v=""/>
    <s v="O/S Svc – NAES"/>
    <s v=""/>
    <s v="ORD 84330002"/>
    <s v=""/>
    <s v=""/>
    <n v="618.04"/>
    <s v="7"/>
    <n v="2025"/>
    <d v="2025-07-31T00:00:00"/>
    <x v="23"/>
  </r>
  <r>
    <x v="16"/>
    <s v="84311002"/>
    <s v=""/>
    <s v="Analyst 2 Ex"/>
    <s v=""/>
    <s v="ORD 84410107"/>
    <s v=""/>
    <s v=""/>
    <n v="819.38"/>
    <s v="7"/>
    <n v="2025"/>
    <d v="2025-07-31T00:00:00"/>
    <x v="23"/>
  </r>
  <r>
    <x v="16"/>
    <s v="84311007"/>
    <s v=""/>
    <s v="Consultant Ex"/>
    <s v=""/>
    <s v="ORD 84410107"/>
    <s v=""/>
    <s v=""/>
    <n v="-80.83"/>
    <s v="7"/>
    <n v="2025"/>
    <d v="2025-07-31T00:00:00"/>
    <x v="23"/>
  </r>
  <r>
    <x v="16"/>
    <s v="84311011"/>
    <s v=""/>
    <s v="Engineer Consult Ex"/>
    <s v=""/>
    <s v="ORD 84410107"/>
    <s v=""/>
    <s v=""/>
    <n v="3083.56"/>
    <s v="7"/>
    <n v="2025"/>
    <d v="2025-07-31T00:00:00"/>
    <x v="23"/>
  </r>
  <r>
    <x v="16"/>
    <s v="60333000"/>
    <s v=""/>
    <s v="Emp Exp - Mileage Re"/>
    <s v=""/>
    <s v="ORD 84410107"/>
    <s v=""/>
    <s v=""/>
    <n v="236.07"/>
    <s v="7"/>
    <n v="2025"/>
    <d v="2025-07-31T00:00:00"/>
    <x v="23"/>
  </r>
  <r>
    <x v="16"/>
    <s v="62300175"/>
    <s v=""/>
    <s v="O/S Svc – NAES"/>
    <s v=""/>
    <s v="ORD 84410107"/>
    <s v=""/>
    <s v=""/>
    <n v="54674.5"/>
    <s v="7"/>
    <n v="2025"/>
    <d v="2025-07-31T00:00:00"/>
    <x v="23"/>
  </r>
  <r>
    <x v="16"/>
    <s v="84100013"/>
    <s v=""/>
    <s v="Fleet Gas Ops OH"/>
    <s v=""/>
    <s v="ORD 84410107"/>
    <s v=""/>
    <s v=""/>
    <n v="420.43"/>
    <s v="7"/>
    <n v="2025"/>
    <d v="2025-07-31T00:00:00"/>
    <x v="23"/>
  </r>
  <r>
    <x v="16"/>
    <s v="84100021"/>
    <s v=""/>
    <s v="Payroll Taxes OH"/>
    <s v=""/>
    <s v="ORD 84410107"/>
    <s v=""/>
    <s v=""/>
    <n v="366.92"/>
    <s v="7"/>
    <n v="2025"/>
    <d v="2025-07-31T00:00:00"/>
    <x v="23"/>
  </r>
  <r>
    <x v="16"/>
    <s v="84100022"/>
    <s v=""/>
    <s v="Benefits OH"/>
    <s v=""/>
    <s v="ORD 84410107"/>
    <s v=""/>
    <s v=""/>
    <n v="902.02"/>
    <s v="7"/>
    <n v="2025"/>
    <d v="2025-07-31T00:00:00"/>
    <x v="23"/>
  </r>
  <r>
    <x v="16"/>
    <s v="84100023"/>
    <s v=""/>
    <s v="Paid Time Off OH"/>
    <s v=""/>
    <s v="ORD 84410107"/>
    <s v=""/>
    <s v=""/>
    <n v="668.87"/>
    <s v="7"/>
    <n v="2025"/>
    <d v="2025-07-31T00:00:00"/>
    <x v="23"/>
  </r>
  <r>
    <x v="16"/>
    <s v="84100024"/>
    <s v=""/>
    <s v="Incentives OH"/>
    <s v=""/>
    <s v="ORD 84410107"/>
    <s v=""/>
    <s v=""/>
    <n v="428.08"/>
    <s v="7"/>
    <n v="2025"/>
    <d v="2025-07-31T00:00:00"/>
    <x v="23"/>
  </r>
  <r>
    <x v="17"/>
    <s v="62300175"/>
    <s v=""/>
    <s v="O/S Svc – NAES"/>
    <s v=""/>
    <s v="ORD 84730001"/>
    <s v=""/>
    <s v=""/>
    <n v="1526.18"/>
    <s v="7"/>
    <n v="2025"/>
    <d v="2025-07-31T00:00:00"/>
    <x v="23"/>
  </r>
  <r>
    <x v="9"/>
    <s v="62300175"/>
    <s v=""/>
    <s v="O/S Svc – NAES"/>
    <s v=""/>
    <s v="ORD 84390091"/>
    <s v=""/>
    <s v=""/>
    <n v="8.01"/>
    <s v="7"/>
    <n v="2025"/>
    <d v="2025-07-31T00:00:00"/>
    <x v="23"/>
  </r>
  <r>
    <x v="18"/>
    <s v="62300175"/>
    <s v=""/>
    <s v="O/S Svc – NAES"/>
    <s v=""/>
    <s v="ORD 84620091"/>
    <s v=""/>
    <s v=""/>
    <n v="6306.88"/>
    <s v="7"/>
    <n v="2025"/>
    <d v="2025-07-31T00:00:00"/>
    <x v="23"/>
  </r>
  <r>
    <x v="19"/>
    <s v="60250000"/>
    <s v=""/>
    <s v="Workers Comp Payment"/>
    <s v=""/>
    <s v="ORD 92400330"/>
    <s v=""/>
    <s v=""/>
    <n v="133.47"/>
    <s v="7"/>
    <n v="2025"/>
    <d v="2025-07-31T00:00:00"/>
    <x v="23"/>
  </r>
  <r>
    <x v="19"/>
    <s v="62300175"/>
    <s v=""/>
    <s v="O/S Svc – NAES"/>
    <s v=""/>
    <s v="ORD 92400330"/>
    <s v=""/>
    <s v=""/>
    <n v="1998.13"/>
    <s v="7"/>
    <n v="2025"/>
    <d v="2025-07-31T00:00:00"/>
    <x v="23"/>
  </r>
  <r>
    <x v="20"/>
    <s v="62300175"/>
    <s v=""/>
    <s v="O/S Svc – NAES"/>
    <s v=""/>
    <s v="ORD 84620090"/>
    <s v=""/>
    <s v=""/>
    <n v="7806.44"/>
    <s v="7"/>
    <n v="2025"/>
    <d v="2025-07-31T00:00:00"/>
    <x v="23"/>
  </r>
  <r>
    <x v="21"/>
    <s v="62300175"/>
    <s v=""/>
    <s v="O/S Svc – NAES"/>
    <s v=""/>
    <s v="ORD 84100090"/>
    <s v=""/>
    <s v=""/>
    <n v="47472.43"/>
    <s v="7"/>
    <n v="2025"/>
    <d v="2025-07-31T00:00:00"/>
    <x v="23"/>
  </r>
  <r>
    <x v="22"/>
    <s v="62300175"/>
    <s v=""/>
    <s v="O/S Svc – NAES"/>
    <s v=""/>
    <s v="ORD 84390090"/>
    <s v=""/>
    <s v=""/>
    <n v="35059.72"/>
    <s v="7"/>
    <n v="2025"/>
    <d v="2025-07-31T00:00:00"/>
    <x v="23"/>
  </r>
  <r>
    <x v="24"/>
    <s v="62300175"/>
    <s v=""/>
    <s v="O/S Svc – NAES"/>
    <s v=""/>
    <s v="ORD 84770090"/>
    <s v=""/>
    <s v=""/>
    <n v="9678.44"/>
    <s v="7"/>
    <n v="2025"/>
    <d v="2025-07-31T00:00:00"/>
    <x v="23"/>
  </r>
  <r>
    <x v="1"/>
    <s v="62300175"/>
    <s v=""/>
    <s v="O/S Svc – NAES"/>
    <s v=""/>
    <s v="ORD 84000030"/>
    <s v=""/>
    <s v=""/>
    <n v="24490.23"/>
    <s v="7"/>
    <n v="2025"/>
    <d v="2025-07-31T00:00:00"/>
    <x v="23"/>
  </r>
  <r>
    <x v="25"/>
    <s v="62300175"/>
    <s v=""/>
    <s v="O/S Svc – NAES"/>
    <s v=""/>
    <s v="ORD 84000090"/>
    <s v=""/>
    <s v=""/>
    <n v="6017.4"/>
    <s v="7"/>
    <n v="2025"/>
    <d v="2025-07-31T00:00:00"/>
    <x v="23"/>
  </r>
  <r>
    <x v="0"/>
    <s v="61100000"/>
    <s v="101611"/>
    <s v="Utilities"/>
    <s v="CITY OF TACOMA"/>
    <s v="101611 -CITY OF TACOMA"/>
    <s v="2060"/>
    <s v="Utility Oper. &amp; Maint."/>
    <n v="52406.45"/>
    <s v="8"/>
    <s v="2023"/>
    <d v="2023-08-03T00:00:00"/>
    <x v="24"/>
  </r>
  <r>
    <x v="25"/>
    <s v="69990071"/>
    <s v="69990178"/>
    <s v="Transfer - Labor"/>
    <s v="O/S Svc Prov XFR"/>
    <s v="84410107 - 149050090"/>
    <s v="2060"/>
    <s v="Utility Oper. &amp; Maint."/>
    <n v="-87.45"/>
    <s v="8"/>
    <s v="2023"/>
    <d v="2023-08-04T00:00:00"/>
    <x v="24"/>
  </r>
  <r>
    <x v="25"/>
    <s v="69990205"/>
    <s v="69990178"/>
    <s v="Trans - Corp Mbrship"/>
    <s v="O/S Svc Prov XFR"/>
    <s v="84410107 - 149050090"/>
    <s v="2060"/>
    <s v="Utility Oper. &amp; Maint."/>
    <n v="-227.5"/>
    <s v="8"/>
    <s v="2023"/>
    <d v="2023-08-04T00:00:00"/>
    <x v="24"/>
  </r>
  <r>
    <x v="25"/>
    <s v="69990178"/>
    <s v="69990178"/>
    <s v="OS Svc Prov Fld XFR"/>
    <s v="O/S Svc Prov XFR"/>
    <s v="84410107 - 149050090"/>
    <s v="2060"/>
    <s v="Utility Oper. &amp; Maint."/>
    <n v="-8316.15"/>
    <s v="8"/>
    <s v="2023"/>
    <d v="2023-08-04T00:00:00"/>
    <x v="24"/>
  </r>
  <r>
    <x v="25"/>
    <s v="69990112"/>
    <s v="69990178"/>
    <s v="Transfer - Pyr Tx OH"/>
    <s v="O/S Svc Prov XFR"/>
    <s v="84410107 - 149050090"/>
    <s v="2060"/>
    <s v="Utility Oper. &amp; Maint."/>
    <n v="-7.78"/>
    <s v="8"/>
    <s v="2023"/>
    <d v="2023-08-04T00:00:00"/>
    <x v="24"/>
  </r>
  <r>
    <x v="25"/>
    <s v="69990111"/>
    <s v="69990178"/>
    <s v="Transfer - Beneftis"/>
    <s v="O/S Svc Prov XFR"/>
    <s v="84410107 - 149050090"/>
    <s v="2060"/>
    <s v="Utility Oper. &amp; Maint."/>
    <n v="-26.24"/>
    <s v="8"/>
    <s v="2023"/>
    <d v="2023-08-04T00:00:00"/>
    <x v="24"/>
  </r>
  <r>
    <x v="25"/>
    <s v="69990114"/>
    <s v="69990178"/>
    <s v="Transfer - PTO OH"/>
    <s v="O/S Svc Prov XFR"/>
    <s v="84410107 - 149050090"/>
    <s v="2060"/>
    <s v="Utility Oper. &amp; Maint."/>
    <n v="-14.08"/>
    <s v="8"/>
    <s v="2023"/>
    <d v="2023-08-04T00:00:00"/>
    <x v="24"/>
  </r>
  <r>
    <x v="25"/>
    <s v="69990115"/>
    <s v="69990178"/>
    <s v="Transfer - Incent OH"/>
    <s v="O/S Svc Prov XFR"/>
    <s v="84410107 - 149050090"/>
    <s v="2060"/>
    <s v="Utility Oper. &amp; Maint."/>
    <n v="-8.66"/>
    <s v="8"/>
    <s v="2023"/>
    <d v="2023-08-04T00:00:00"/>
    <x v="24"/>
  </r>
  <r>
    <x v="25"/>
    <s v="69990160"/>
    <s v="69990178"/>
    <s v="Trans Transport OH"/>
    <s v="O/S Svc Prov XFR"/>
    <s v="84410107 - 149050090"/>
    <s v="2060"/>
    <s v="Utility Oper. &amp; Maint."/>
    <n v="-9.18"/>
    <s v="8"/>
    <s v="2023"/>
    <d v="2023-08-04T00:00:00"/>
    <x v="24"/>
  </r>
  <r>
    <x v="25"/>
    <s v="69990120"/>
    <s v="69990178"/>
    <s v="Outsid Svc Othr Xfr"/>
    <s v="O/S Svc Prov XFR"/>
    <s v="84410107 - 149050090"/>
    <s v="2060"/>
    <s v="Utility Oper. &amp; Maint."/>
    <n v="3431.05"/>
    <s v="8"/>
    <s v="2023"/>
    <d v="2023-08-04T00:00:00"/>
    <x v="24"/>
  </r>
  <r>
    <x v="28"/>
    <s v="69990178"/>
    <s v="69990178"/>
    <s v="OS Svc Prov Fld XFR"/>
    <s v="O/S Svc Prov XFR"/>
    <s v="84000091 - 149050091"/>
    <s v="2060"/>
    <s v="Utility Oper. &amp; Maint."/>
    <n v="-713.83"/>
    <s v="8"/>
    <s v="2023"/>
    <d v="2023-08-04T00:00:00"/>
    <x v="24"/>
  </r>
  <r>
    <x v="1"/>
    <s v="69990178"/>
    <s v="69990178"/>
    <s v="OS Svc Prov Fld XFR"/>
    <s v="O/S Svc Prov XFR"/>
    <s v="84000030 - 149050070"/>
    <s v="2060"/>
    <s v="Utility Oper. &amp; Maint."/>
    <n v="-21982.42"/>
    <s v="8"/>
    <s v="2023"/>
    <d v="2023-08-04T00:00:00"/>
    <x v="24"/>
  </r>
  <r>
    <x v="30"/>
    <s v="69990178"/>
    <s v="69990178"/>
    <s v="OS Svc Prov Fld XFR"/>
    <s v="O/S Svc Prov XFR"/>
    <s v="84000031 - 149050071"/>
    <s v="2060"/>
    <s v="Utility Oper. &amp; Maint."/>
    <n v="-35708.99"/>
    <s v="8"/>
    <s v="2023"/>
    <d v="2023-08-04T00:00:00"/>
    <x v="24"/>
  </r>
  <r>
    <x v="16"/>
    <s v="69990071"/>
    <s v="69990178"/>
    <s v="Transfer - Labor"/>
    <s v="O/S Svc Prov XFR"/>
    <s v="84410107 - 149050027"/>
    <s v="2060"/>
    <s v="Utility Oper. &amp; Maint."/>
    <n v="-4774.58"/>
    <s v="8"/>
    <s v="2023"/>
    <d v="2023-08-04T00:00:00"/>
    <x v="24"/>
  </r>
  <r>
    <x v="16"/>
    <s v="69990090"/>
    <s v="69990178"/>
    <s v="Transfer - Emp Exp"/>
    <s v="O/S Svc Prov XFR"/>
    <s v="84410107 - 149050027"/>
    <s v="2060"/>
    <s v="Utility Oper. &amp; Maint."/>
    <n v="-367.56"/>
    <s v="8"/>
    <s v="2023"/>
    <d v="2023-08-04T00:00:00"/>
    <x v="24"/>
  </r>
  <r>
    <x v="16"/>
    <s v="69990177"/>
    <s v="69990178"/>
    <s v="Transfer - OfficeSup"/>
    <s v="O/S Svc Prov XFR"/>
    <s v="84410107 - 149050027"/>
    <s v="2060"/>
    <s v="Utility Oper. &amp; Maint."/>
    <n v="-12.35"/>
    <s v="8"/>
    <s v="2023"/>
    <d v="2023-08-04T00:00:00"/>
    <x v="24"/>
  </r>
  <r>
    <x v="16"/>
    <s v="69990120"/>
    <s v="69990178"/>
    <s v="Outsid Svc Othr Xfr"/>
    <s v="O/S Svc Prov XFR"/>
    <s v="84410107 - 149050027"/>
    <s v="2060"/>
    <s v="Utility Oper. &amp; Maint."/>
    <n v="-656.66"/>
    <s v="8"/>
    <s v="2023"/>
    <d v="2023-08-04T00:00:00"/>
    <x v="24"/>
  </r>
  <r>
    <x v="16"/>
    <s v="69990178"/>
    <s v="69990178"/>
    <s v="OS Svc Prov Fld XFR"/>
    <s v="O/S Svc Prov XFR"/>
    <s v="84410107 - 149050027"/>
    <s v="2060"/>
    <s v="Utility Oper. &amp; Maint."/>
    <n v="-39051.480000000003"/>
    <s v="8"/>
    <s v="2023"/>
    <d v="2023-08-04T00:00:00"/>
    <x v="24"/>
  </r>
  <r>
    <x v="16"/>
    <s v="69990112"/>
    <s v="69990178"/>
    <s v="Transfer - Pyr Tx OH"/>
    <s v="O/S Svc Prov XFR"/>
    <s v="84410107 - 149050027"/>
    <s v="2060"/>
    <s v="Utility Oper. &amp; Maint."/>
    <n v="-424.94"/>
    <s v="8"/>
    <s v="2023"/>
    <d v="2023-08-04T00:00:00"/>
    <x v="24"/>
  </r>
  <r>
    <x v="16"/>
    <s v="69990111"/>
    <s v="69990178"/>
    <s v="Transfer - Beneftis"/>
    <s v="O/S Svc Prov XFR"/>
    <s v="84410107 - 149050027"/>
    <s v="2060"/>
    <s v="Utility Oper. &amp; Maint."/>
    <n v="-1432.37"/>
    <s v="8"/>
    <s v="2023"/>
    <d v="2023-08-04T00:00:00"/>
    <x v="24"/>
  </r>
  <r>
    <x v="16"/>
    <s v="69990114"/>
    <s v="69990178"/>
    <s v="Transfer - PTO OH"/>
    <s v="O/S Svc Prov XFR"/>
    <s v="84410107 - 149050027"/>
    <s v="2060"/>
    <s v="Utility Oper. &amp; Maint."/>
    <n v="-768.7"/>
    <s v="8"/>
    <s v="2023"/>
    <d v="2023-08-04T00:00:00"/>
    <x v="24"/>
  </r>
  <r>
    <x v="16"/>
    <s v="69990115"/>
    <s v="69990178"/>
    <s v="Transfer - Incent OH"/>
    <s v="O/S Svc Prov XFR"/>
    <s v="84410107 - 149050027"/>
    <s v="2060"/>
    <s v="Utility Oper. &amp; Maint."/>
    <n v="-472.68"/>
    <s v="8"/>
    <s v="2023"/>
    <d v="2023-08-04T00:00:00"/>
    <x v="24"/>
  </r>
  <r>
    <x v="16"/>
    <s v="69990160"/>
    <s v="69990178"/>
    <s v="Trans Transport OH"/>
    <s v="O/S Svc Prov XFR"/>
    <s v="84410107 - 149050027"/>
    <s v="2060"/>
    <s v="Utility Oper. &amp; Maint."/>
    <n v="-486.1"/>
    <s v="8"/>
    <s v="2023"/>
    <d v="2023-08-04T00:00:00"/>
    <x v="24"/>
  </r>
  <r>
    <x v="0"/>
    <s v="61100000"/>
    <s v="23200543"/>
    <s v="Utilities"/>
    <s v="AP Non-SAP Sys"/>
    <s v="Tacoma Public Utilities - PSE July Power Costs"/>
    <s v="2060"/>
    <s v="Utility Oper. &amp; Maint."/>
    <n v="-51261.81"/>
    <s v="8"/>
    <s v="2023"/>
    <d v="2023-08-09T00:00:00"/>
    <x v="24"/>
  </r>
  <r>
    <x v="0"/>
    <s v="61100000"/>
    <s v="23200543"/>
    <s v="Utilities"/>
    <s v="AP Non-SAP Sys"/>
    <s v="LNG Tacoma Public Utilities - PSE August Power Cos"/>
    <s v="2060"/>
    <s v="Utility Oper. &amp; Maint."/>
    <n v="49924.35"/>
    <s v="8"/>
    <s v="2023"/>
    <d v="2023-08-30T00:00:00"/>
    <x v="24"/>
  </r>
  <r>
    <x v="8"/>
    <s v="62300175"/>
    <s v="62300175"/>
    <s v="O/S Svc – NAES"/>
    <s v="O/S Svc – NAES"/>
    <s v="TLNG Plant Utilities System for PSE Operations"/>
    <s v="2060"/>
    <s v="Utility Oper. &amp; Maint."/>
    <n v="-8.17"/>
    <s v="8"/>
    <s v="2023"/>
    <d v="2023-08-31T00:00:00"/>
    <x v="24"/>
  </r>
  <r>
    <x v="4"/>
    <s v="62300175"/>
    <s v="13500222"/>
    <s v="O/S Svc – NAES"/>
    <s v="Tacoma LNG Cash Adva"/>
    <s v="TLNG Liquefaction System for PSE Maintenance"/>
    <s v="2060"/>
    <s v="Utility Oper. &amp; Maint."/>
    <n v="2366.98"/>
    <s v="8"/>
    <s v="2023"/>
    <d v="2023-08-31T00:00:00"/>
    <x v="24"/>
  </r>
  <r>
    <x v="7"/>
    <s v="62300175"/>
    <s v="13500222"/>
    <s v="O/S Svc – NAES"/>
    <s v="Tacoma LNG Cash Adva"/>
    <s v="TLNG Pre-Treatment System for PSE Maintenance"/>
    <s v="2060"/>
    <s v="Utility Oper. &amp; Maint."/>
    <n v="484.2"/>
    <s v="8"/>
    <s v="2023"/>
    <d v="2023-08-31T00:00:00"/>
    <x v="24"/>
  </r>
  <r>
    <x v="9"/>
    <s v="62300175"/>
    <s v="13500222"/>
    <s v="O/S Svc – NAES"/>
    <s v="Tacoma LNG Cash Adva"/>
    <s v="TLNG Plant Utilities System for PSE Maintenance"/>
    <s v="2060"/>
    <s v="Utility Oper. &amp; Maint."/>
    <n v="1218.01"/>
    <s v="8"/>
    <s v="2023"/>
    <d v="2023-08-31T00:00:00"/>
    <x v="24"/>
  </r>
  <r>
    <x v="10"/>
    <s v="62300175"/>
    <s v="13500222"/>
    <s v="O/S Svc – NAES"/>
    <s v="Tacoma LNG Cash Adva"/>
    <s v="TLNG Fuel System for PSE Maintenance"/>
    <s v="2060"/>
    <s v="Utility Oper. &amp; Maint."/>
    <n v="293.44"/>
    <s v="8"/>
    <s v="2023"/>
    <d v="2023-08-31T00:00:00"/>
    <x v="24"/>
  </r>
  <r>
    <x v="11"/>
    <s v="69990112"/>
    <s v="69990111"/>
    <s v="Transfer - Pyr Tx OH"/>
    <s v="Transfer - Benefits"/>
    <s v="August 2023 - Xfr Costs to COH Pool - Part A"/>
    <s v="2060"/>
    <s v="Utility Oper. &amp; Maint."/>
    <n v="-11.6"/>
    <s v="8"/>
    <s v="2023"/>
    <d v="2023-08-31T00:00:00"/>
    <x v="24"/>
  </r>
  <r>
    <x v="11"/>
    <s v="69990115"/>
    <s v="69990111"/>
    <s v="Transfer - Incent OH"/>
    <s v="Transfer - Benefits"/>
    <s v="August 2023 - Xfr Costs to COH Pool - Part A"/>
    <s v="2060"/>
    <s v="Utility Oper. &amp; Maint."/>
    <n v="-12.9"/>
    <s v="8"/>
    <s v="2023"/>
    <d v="2023-08-31T00:00:00"/>
    <x v="24"/>
  </r>
  <r>
    <x v="11"/>
    <s v="69990160"/>
    <s v="69990111"/>
    <s v="Trans Transport OH"/>
    <s v="Transfer - Benefits"/>
    <s v="August 2023 - Xfr Costs to COH Pool - Part A"/>
    <s v="2060"/>
    <s v="Utility Oper. &amp; Maint."/>
    <n v="-13.68"/>
    <s v="8"/>
    <s v="2023"/>
    <d v="2023-08-31T00:00:00"/>
    <x v="24"/>
  </r>
  <r>
    <x v="11"/>
    <s v="69990114"/>
    <s v="69990111"/>
    <s v="Transfer - PTO OH"/>
    <s v="Transfer - Benefits"/>
    <s v="August 2023 - Xfr Costs to COH Pool - Part A"/>
    <s v="2060"/>
    <s v="Utility Oper. &amp; Maint."/>
    <n v="-20.98"/>
    <s v="8"/>
    <s v="2023"/>
    <d v="2023-08-31T00:00:00"/>
    <x v="24"/>
  </r>
  <r>
    <x v="11"/>
    <s v="69990111"/>
    <s v="69990111"/>
    <s v="Transfer - Beneftis"/>
    <s v="Transfer - Benefits"/>
    <s v="August 2023 - Xfr Costs to COH Pool - Part A"/>
    <s v="2060"/>
    <s v="Utility Oper. &amp; Maint."/>
    <n v="-39.1"/>
    <s v="8"/>
    <s v="2023"/>
    <d v="2023-08-31T00:00:00"/>
    <x v="24"/>
  </r>
  <r>
    <x v="11"/>
    <s v="69990071"/>
    <s v="69990111"/>
    <s v="Transfer - Labor"/>
    <s v="Transfer - Benefits"/>
    <s v="August 2023 - Xfr Costs to COH Pool - Part A"/>
    <s v="2060"/>
    <s v="Utility Oper. &amp; Maint."/>
    <n v="-130.32"/>
    <s v="8"/>
    <s v="2023"/>
    <d v="2023-08-31T00:00:00"/>
    <x v="24"/>
  </r>
  <r>
    <x v="12"/>
    <s v="62300175"/>
    <s v=""/>
    <s v="O/S Svc – NAES"/>
    <s v=""/>
    <s v="ORD 84780001"/>
    <s v=""/>
    <s v=""/>
    <n v="14480.26"/>
    <s v="8"/>
    <n v="2023"/>
    <d v="2023-08-31T00:00:00"/>
    <x v="24"/>
  </r>
  <r>
    <x v="13"/>
    <s v="62300175"/>
    <s v=""/>
    <s v="O/S Svc – NAES"/>
    <s v=""/>
    <s v="ORD 84000001"/>
    <s v=""/>
    <s v=""/>
    <n v="11956.79"/>
    <s v="8"/>
    <n v="2023"/>
    <d v="2023-08-31T00:00:00"/>
    <x v="24"/>
  </r>
  <r>
    <x v="14"/>
    <s v="60870001"/>
    <s v=""/>
    <s v="Rent/Lease-Non Cancl"/>
    <s v=""/>
    <s v="ORD 84200030"/>
    <s v=""/>
    <s v=""/>
    <n v="104522.84"/>
    <s v="8"/>
    <n v="2023"/>
    <d v="2023-08-31T00:00:00"/>
    <x v="24"/>
  </r>
  <r>
    <x v="15"/>
    <s v="62300175"/>
    <s v=""/>
    <s v="O/S Svc – NAES"/>
    <s v=""/>
    <s v="ORD 84330002"/>
    <s v=""/>
    <s v=""/>
    <n v="1271.76"/>
    <s v="8"/>
    <n v="2023"/>
    <d v="2023-08-31T00:00:00"/>
    <x v="24"/>
  </r>
  <r>
    <x v="16"/>
    <s v="84311002"/>
    <s v=""/>
    <s v="Analyst 2 Ex"/>
    <s v=""/>
    <s v="ORD 84410107"/>
    <s v=""/>
    <s v=""/>
    <n v="737.36"/>
    <s v="8"/>
    <n v="2023"/>
    <d v="2023-08-31T00:00:00"/>
    <x v="24"/>
  </r>
  <r>
    <x v="16"/>
    <s v="84311015"/>
    <s v=""/>
    <s v="Manager 2 Ex"/>
    <s v=""/>
    <s v="ORD 84410107"/>
    <s v=""/>
    <s v=""/>
    <n v="4121.6000000000004"/>
    <s v="8"/>
    <n v="2023"/>
    <d v="2023-08-31T00:00:00"/>
    <x v="24"/>
  </r>
  <r>
    <x v="16"/>
    <s v="60330000"/>
    <s v=""/>
    <s v="Emp Exp - Meals"/>
    <s v=""/>
    <s v="ORD 84410107"/>
    <s v=""/>
    <s v=""/>
    <n v="16.68"/>
    <s v="8"/>
    <n v="2023"/>
    <d v="2023-08-31T00:00:00"/>
    <x v="24"/>
  </r>
  <r>
    <x v="16"/>
    <s v="60333150"/>
    <s v=""/>
    <s v="Emp Exp-Grnd Trn xcl"/>
    <s v=""/>
    <s v="ORD 84410107"/>
    <s v=""/>
    <s v=""/>
    <n v="12.9"/>
    <s v="8"/>
    <n v="2023"/>
    <d v="2023-08-31T00:00:00"/>
    <x v="24"/>
  </r>
  <r>
    <x v="16"/>
    <s v="60335000"/>
    <s v=""/>
    <s v="Emp Exp - Lodging"/>
    <s v=""/>
    <s v="ORD 84410107"/>
    <s v=""/>
    <s v=""/>
    <n v="164.22"/>
    <s v="8"/>
    <n v="2023"/>
    <d v="2023-08-31T00:00:00"/>
    <x v="24"/>
  </r>
  <r>
    <x v="16"/>
    <s v="62300175"/>
    <s v=""/>
    <s v="O/S Svc – NAES"/>
    <s v=""/>
    <s v="ORD 84410107"/>
    <s v=""/>
    <s v=""/>
    <n v="37065.19"/>
    <s v="8"/>
    <n v="2023"/>
    <d v="2023-08-31T00:00:00"/>
    <x v="24"/>
  </r>
  <r>
    <x v="16"/>
    <s v="84100013"/>
    <s v=""/>
    <s v="Fleet Gas Ops OH"/>
    <s v=""/>
    <s v="ORD 84410107"/>
    <s v=""/>
    <s v=""/>
    <n v="510.19"/>
    <s v="8"/>
    <n v="2023"/>
    <d v="2023-08-31T00:00:00"/>
    <x v="24"/>
  </r>
  <r>
    <x v="16"/>
    <s v="84100021"/>
    <s v=""/>
    <s v="Payroll Taxes OH"/>
    <s v=""/>
    <s v="ORD 84410107"/>
    <s v=""/>
    <s v=""/>
    <n v="432.45"/>
    <s v="8"/>
    <n v="2023"/>
    <d v="2023-08-31T00:00:00"/>
    <x v="24"/>
  </r>
  <r>
    <x v="16"/>
    <s v="84100022"/>
    <s v=""/>
    <s v="Benefits OH"/>
    <s v=""/>
    <s v="ORD 84410107"/>
    <s v=""/>
    <s v=""/>
    <n v="1457.69"/>
    <s v="8"/>
    <n v="2023"/>
    <d v="2023-08-31T00:00:00"/>
    <x v="24"/>
  </r>
  <r>
    <x v="16"/>
    <s v="84100023"/>
    <s v=""/>
    <s v="Paid Time Off OH"/>
    <s v=""/>
    <s v="ORD 84410107"/>
    <s v=""/>
    <s v=""/>
    <n v="782.29"/>
    <s v="8"/>
    <n v="2023"/>
    <d v="2023-08-31T00:00:00"/>
    <x v="24"/>
  </r>
  <r>
    <x v="16"/>
    <s v="84100024"/>
    <s v=""/>
    <s v="Incentives OH"/>
    <s v=""/>
    <s v="ORD 84410107"/>
    <s v=""/>
    <s v=""/>
    <n v="481.04"/>
    <s v="8"/>
    <n v="2023"/>
    <d v="2023-08-31T00:00:00"/>
    <x v="24"/>
  </r>
  <r>
    <x v="17"/>
    <s v="62300175"/>
    <s v=""/>
    <s v="O/S Svc – NAES"/>
    <s v=""/>
    <s v="ORD 84730001"/>
    <s v=""/>
    <s v=""/>
    <n v="623.30999999999995"/>
    <s v="8"/>
    <n v="2023"/>
    <d v="2023-08-31T00:00:00"/>
    <x v="24"/>
  </r>
  <r>
    <x v="18"/>
    <s v="62300175"/>
    <s v=""/>
    <s v="O/S Svc – NAES"/>
    <s v=""/>
    <s v="ORD 84620091"/>
    <s v=""/>
    <s v=""/>
    <n v="12994.24"/>
    <s v="8"/>
    <n v="2023"/>
    <d v="2023-08-31T00:00:00"/>
    <x v="24"/>
  </r>
  <r>
    <x v="19"/>
    <s v="60250000"/>
    <s v=""/>
    <s v="Workers Comp Payment"/>
    <s v=""/>
    <s v="ORD 92400330"/>
    <s v=""/>
    <s v=""/>
    <n v="128.52000000000001"/>
    <s v="8"/>
    <n v="2023"/>
    <d v="2023-08-31T00:00:00"/>
    <x v="24"/>
  </r>
  <r>
    <x v="19"/>
    <s v="62300175"/>
    <s v=""/>
    <s v="O/S Svc – NAES"/>
    <s v=""/>
    <s v="ORD 92400330"/>
    <s v=""/>
    <s v=""/>
    <n v="1557.3"/>
    <s v="8"/>
    <n v="2023"/>
    <d v="2023-08-31T00:00:00"/>
    <x v="24"/>
  </r>
  <r>
    <x v="20"/>
    <s v="61100000"/>
    <s v=""/>
    <s v="Utilities"/>
    <s v=""/>
    <s v="ORD 84620090"/>
    <s v=""/>
    <s v=""/>
    <n v="1831.94"/>
    <s v="8"/>
    <n v="2023"/>
    <d v="2023-08-31T00:00:00"/>
    <x v="24"/>
  </r>
  <r>
    <x v="20"/>
    <s v="62300175"/>
    <s v=""/>
    <s v="O/S Svc – NAES"/>
    <s v=""/>
    <s v="ORD 84620090"/>
    <s v=""/>
    <s v=""/>
    <n v="243.17"/>
    <s v="8"/>
    <n v="2023"/>
    <d v="2023-08-31T00:00:00"/>
    <x v="24"/>
  </r>
  <r>
    <x v="28"/>
    <s v="62300065"/>
    <s v=""/>
    <s v="O/S - Continuing"/>
    <s v=""/>
    <s v="ORD 84000091"/>
    <s v=""/>
    <s v=""/>
    <n v="4649.96"/>
    <s v="8"/>
    <n v="2023"/>
    <d v="2023-08-31T00:00:00"/>
    <x v="24"/>
  </r>
  <r>
    <x v="28"/>
    <s v="62300175"/>
    <s v=""/>
    <s v="O/S Svc – NAES"/>
    <s v=""/>
    <s v="ORD 84000091"/>
    <s v=""/>
    <s v=""/>
    <n v="179.26"/>
    <s v="8"/>
    <n v="2023"/>
    <d v="2023-08-31T00:00:00"/>
    <x v="24"/>
  </r>
  <r>
    <x v="21"/>
    <s v="62300175"/>
    <s v=""/>
    <s v="O/S Svc – NAES"/>
    <s v=""/>
    <s v="ORD 84100090"/>
    <s v=""/>
    <s v=""/>
    <n v="41435.71"/>
    <s v="8"/>
    <n v="2023"/>
    <d v="2023-08-31T00:00:00"/>
    <x v="24"/>
  </r>
  <r>
    <x v="22"/>
    <s v="62300175"/>
    <s v=""/>
    <s v="O/S Svc – NAES"/>
    <s v=""/>
    <s v="ORD 84390090"/>
    <s v=""/>
    <s v=""/>
    <n v="26939.18"/>
    <s v="8"/>
    <n v="2023"/>
    <d v="2023-08-31T00:00:00"/>
    <x v="24"/>
  </r>
  <r>
    <x v="23"/>
    <s v="62300175"/>
    <s v=""/>
    <s v="O/S Svc – NAES"/>
    <s v=""/>
    <s v="ORD 84470090"/>
    <s v=""/>
    <s v=""/>
    <n v="17.899999999999999"/>
    <s v="8"/>
    <n v="2023"/>
    <d v="2023-08-31T00:00:00"/>
    <x v="24"/>
  </r>
  <r>
    <x v="24"/>
    <s v="62300175"/>
    <s v=""/>
    <s v="O/S Svc – NAES"/>
    <s v=""/>
    <s v="ORD 84770090"/>
    <s v=""/>
    <s v=""/>
    <n v="9855.27"/>
    <s v="8"/>
    <n v="2023"/>
    <d v="2023-08-31T00:00:00"/>
    <x v="24"/>
  </r>
  <r>
    <x v="1"/>
    <s v="62300175"/>
    <s v=""/>
    <s v="O/S Svc – NAES"/>
    <s v=""/>
    <s v="ORD 84000030"/>
    <s v=""/>
    <s v=""/>
    <n v="22665.02"/>
    <s v="8"/>
    <n v="2023"/>
    <d v="2023-08-31T00:00:00"/>
    <x v="24"/>
  </r>
  <r>
    <x v="25"/>
    <s v="62300175"/>
    <s v=""/>
    <s v="O/S Svc – NAES"/>
    <s v=""/>
    <s v="ORD 84000090"/>
    <s v=""/>
    <s v=""/>
    <n v="9741.2900000000009"/>
    <s v="8"/>
    <n v="2023"/>
    <d v="2023-08-31T00:00:00"/>
    <x v="24"/>
  </r>
  <r>
    <x v="11"/>
    <s v="84100013"/>
    <s v=""/>
    <s v="Fleet Gas Ops OH"/>
    <s v=""/>
    <s v=""/>
    <s v=""/>
    <s v=""/>
    <n v="54.73"/>
    <s v="8"/>
    <n v="2023"/>
    <d v="2023-08-31T00:00:00"/>
    <x v="24"/>
  </r>
  <r>
    <x v="11"/>
    <s v="84100021"/>
    <s v=""/>
    <s v="Payroll Taxes OH"/>
    <s v=""/>
    <s v=""/>
    <s v=""/>
    <s v=""/>
    <n v="46.39"/>
    <s v="8"/>
    <n v="2023"/>
    <d v="2023-08-31T00:00:00"/>
    <x v="24"/>
  </r>
  <r>
    <x v="11"/>
    <s v="84100022"/>
    <s v=""/>
    <s v="Benefits OH"/>
    <s v=""/>
    <s v=""/>
    <s v=""/>
    <s v=""/>
    <n v="156.38"/>
    <s v="8"/>
    <n v="2023"/>
    <d v="2023-08-31T00:00:00"/>
    <x v="24"/>
  </r>
  <r>
    <x v="11"/>
    <s v="84100023"/>
    <s v=""/>
    <s v="Paid Time Off OH"/>
    <s v=""/>
    <s v=""/>
    <s v=""/>
    <s v=""/>
    <n v="83.93"/>
    <s v="8"/>
    <n v="2023"/>
    <d v="2023-08-31T00:00:00"/>
    <x v="24"/>
  </r>
  <r>
    <x v="11"/>
    <s v="84100024"/>
    <s v=""/>
    <s v="Incentives OH"/>
    <s v=""/>
    <s v=""/>
    <s v=""/>
    <s v=""/>
    <n v="51.61"/>
    <s v="8"/>
    <n v="2023"/>
    <d v="2023-08-31T00:00:00"/>
    <x v="24"/>
  </r>
  <r>
    <x v="11"/>
    <s v="84311007"/>
    <s v=""/>
    <s v="Consultant Ex"/>
    <s v=""/>
    <s v=""/>
    <s v="2060"/>
    <s v="Utility Oper. &amp; Maint."/>
    <n v="260.64"/>
    <s v="8"/>
    <n v="2023"/>
    <d v="2023-08-31T00:00:00"/>
    <x v="24"/>
  </r>
  <r>
    <x v="11"/>
    <s v="84311007"/>
    <s v=""/>
    <s v="Consultant Ex"/>
    <s v=""/>
    <s v=""/>
    <s v="2060"/>
    <s v="Utility Oper. &amp; Maint."/>
    <n v="260.64"/>
    <s v="8"/>
    <n v="2023"/>
    <d v="2023-08-31T00:00:00"/>
    <x v="24"/>
  </r>
  <r>
    <x v="28"/>
    <s v="63100000"/>
    <s v="103959"/>
    <s v="Permits, Fees &amp; Ease"/>
    <s v="WASHINGTON UTILITIES &amp;"/>
    <s v="103959 -WASHINGTON UTILITIES &amp;"/>
    <s v="2060"/>
    <s v="Utility Oper. &amp; Maint."/>
    <n v="2085.5300000000002"/>
    <s v="8"/>
    <s v="2024"/>
    <d v="2024-08-05T00:00:00"/>
    <x v="25"/>
  </r>
  <r>
    <x v="0"/>
    <s v="61100000"/>
    <s v="23200543"/>
    <s v="Utilities"/>
    <s v="AP Non-SAP Sys"/>
    <s v="Tacoma Public Utilities - Power cost for LNG lique"/>
    <s v="2060"/>
    <s v="Utility Oper. &amp; Maint."/>
    <n v="-47388.31"/>
    <s v="8"/>
    <s v="2024"/>
    <d v="2024-08-13T00:00:00"/>
    <x v="25"/>
  </r>
  <r>
    <x v="0"/>
    <s v="61100000"/>
    <s v="101611"/>
    <s v="Utilities"/>
    <s v="CITY OF TACOMA"/>
    <s v="101611 -CITY OF TACOMA"/>
    <s v="2060"/>
    <s v="Utility Oper. &amp; Maint."/>
    <n v="47182.43"/>
    <s v="8"/>
    <s v="2024"/>
    <d v="2024-08-28T00:00:00"/>
    <x v="25"/>
  </r>
  <r>
    <x v="0"/>
    <s v="61100000"/>
    <s v="23200543"/>
    <s v="Utilities"/>
    <s v="AP Non-SAP Sys"/>
    <s v="Tacoma Public Utilities - Power cost for LNG lique"/>
    <s v="2060"/>
    <s v="Utility Oper. &amp; Maint."/>
    <n v="47339"/>
    <s v="8"/>
    <s v="2024"/>
    <d v="2024-08-29T00:00:00"/>
    <x v="25"/>
  </r>
  <r>
    <x v="6"/>
    <s v="62300175"/>
    <s v="62300175"/>
    <s v="O/S Svc – NAES"/>
    <s v="O/S Svc – NAES"/>
    <s v="TLNG Pre-Treatment System for PSE Operations"/>
    <s v="2060"/>
    <s v="Utility Oper. &amp; Maint."/>
    <n v="-288.56"/>
    <s v="8"/>
    <s v="2024"/>
    <d v="2024-08-31T00:00:00"/>
    <x v="25"/>
  </r>
  <r>
    <x v="7"/>
    <s v="62300175"/>
    <s v="62300175"/>
    <s v="O/S Svc – NAES"/>
    <s v="O/S Svc – NAES"/>
    <s v="TLNG Pre-Treatment System for PSE Maintenance"/>
    <s v="2060"/>
    <s v="Utility Oper. &amp; Maint."/>
    <n v="-17.899999999999999"/>
    <s v="8"/>
    <s v="2024"/>
    <d v="2024-08-31T00:00:00"/>
    <x v="25"/>
  </r>
  <r>
    <x v="3"/>
    <s v="62300175"/>
    <s v="13500222"/>
    <s v="O/S Svc – NAES"/>
    <s v="Tacoma LNG Cash Adva"/>
    <s v="TLNG Liquefaction System for PSE Operations"/>
    <s v="2060"/>
    <s v="Utility Oper. &amp; Maint."/>
    <n v="10261.16"/>
    <s v="8"/>
    <s v="2024"/>
    <d v="2024-08-31T00:00:00"/>
    <x v="25"/>
  </r>
  <r>
    <x v="4"/>
    <s v="62300175"/>
    <s v="13500222"/>
    <s v="O/S Svc – NAES"/>
    <s v="Tacoma LNG Cash Adva"/>
    <s v="TLNG Liquefaction System for PSE Maintenance"/>
    <s v="2060"/>
    <s v="Utility Oper. &amp; Maint."/>
    <n v="3.05"/>
    <s v="8"/>
    <s v="2024"/>
    <d v="2024-08-31T00:00:00"/>
    <x v="25"/>
  </r>
  <r>
    <x v="9"/>
    <s v="62300175"/>
    <s v="13500222"/>
    <s v="O/S Svc – NAES"/>
    <s v="Tacoma LNG Cash Adva"/>
    <s v="TLNG Plant Utilities System for PSE Maintenance"/>
    <s v="2060"/>
    <s v="Utility Oper. &amp; Maint."/>
    <n v="853.72"/>
    <s v="8"/>
    <s v="2024"/>
    <d v="2024-08-31T00:00:00"/>
    <x v="25"/>
  </r>
  <r>
    <x v="4"/>
    <s v="62300175"/>
    <s v="13500222"/>
    <s v="O/S Svc – NAES"/>
    <s v="Tacoma LNG Cash Adva"/>
    <s v="TLNG Liquefaction System for PSE Maintenance"/>
    <s v="2060"/>
    <s v="Utility Oper. &amp; Maint."/>
    <n v="61.48"/>
    <s v="8"/>
    <s v="2024"/>
    <d v="2024-08-31T00:00:00"/>
    <x v="25"/>
  </r>
  <r>
    <x v="7"/>
    <s v="62300175"/>
    <s v="13500222"/>
    <s v="O/S Svc – NAES"/>
    <s v="Tacoma LNG Cash Adva"/>
    <s v="TLNG Pre-Treatment System for PSE Maintenance"/>
    <s v="2060"/>
    <s v="Utility Oper. &amp; Maint."/>
    <n v="337.26"/>
    <s v="8"/>
    <s v="2024"/>
    <d v="2024-08-31T00:00:00"/>
    <x v="25"/>
  </r>
  <r>
    <x v="11"/>
    <s v="69990112"/>
    <s v="69990112"/>
    <s v="Transfer - Pyr Tx OH"/>
    <s v="Transfer - Prl Tx OH"/>
    <s v="August 2024 - XFR Costs to COH Pool - Part A"/>
    <s v="2060"/>
    <s v="Utility Oper. &amp; Maint."/>
    <n v="-14.29"/>
    <s v="8"/>
    <s v="2024"/>
    <d v="2024-08-31T00:00:00"/>
    <x v="25"/>
  </r>
  <r>
    <x v="11"/>
    <s v="69990115"/>
    <s v="69990112"/>
    <s v="Transfer - Incent OH"/>
    <s v="Transfer - Prl Tx OH"/>
    <s v="August 2024 - XFR Costs to COH Pool - Part A"/>
    <s v="2060"/>
    <s v="Utility Oper. &amp; Maint."/>
    <n v="-16.57"/>
    <s v="8"/>
    <s v="2024"/>
    <d v="2024-08-31T00:00:00"/>
    <x v="25"/>
  </r>
  <r>
    <x v="11"/>
    <s v="69990160"/>
    <s v="69990112"/>
    <s v="Trans Transport OH"/>
    <s v="Transfer - Prl Tx OH"/>
    <s v="August 2024 - XFR Costs to COH Pool - Part A"/>
    <s v="2060"/>
    <s v="Utility Oper. &amp; Maint."/>
    <n v="-17.48"/>
    <s v="8"/>
    <s v="2024"/>
    <d v="2024-08-31T00:00:00"/>
    <x v="25"/>
  </r>
  <r>
    <x v="11"/>
    <s v="69990114"/>
    <s v="69990112"/>
    <s v="Transfer - PTO OH"/>
    <s v="Transfer - Prl Tx OH"/>
    <s v="August 2024 - XFR Costs to COH Pool - Part A"/>
    <s v="2060"/>
    <s v="Utility Oper. &amp; Maint."/>
    <n v="-23.72"/>
    <s v="8"/>
    <s v="2024"/>
    <d v="2024-08-31T00:00:00"/>
    <x v="25"/>
  </r>
  <r>
    <x v="11"/>
    <s v="69990111"/>
    <s v="69990112"/>
    <s v="Transfer - Beneftis"/>
    <s v="Transfer - Prl Tx OH"/>
    <s v="August 2024 - XFR Costs to COH Pool - Part A"/>
    <s v="2060"/>
    <s v="Utility Oper. &amp; Maint."/>
    <n v="-35.57"/>
    <s v="8"/>
    <s v="2024"/>
    <d v="2024-08-31T00:00:00"/>
    <x v="25"/>
  </r>
  <r>
    <x v="11"/>
    <s v="69990071"/>
    <s v="69990112"/>
    <s v="Transfer - Labor"/>
    <s v="Transfer - Prl Tx OH"/>
    <s v="August 2024 - XFR Costs to COH Pool - Part A"/>
    <s v="2060"/>
    <s v="Utility Oper. &amp; Maint."/>
    <n v="-152.03"/>
    <s v="8"/>
    <s v="2024"/>
    <d v="2024-08-31T00:00:00"/>
    <x v="25"/>
  </r>
  <r>
    <x v="27"/>
    <s v="62300175"/>
    <s v=""/>
    <s v="O/S Svc – NAES"/>
    <s v=""/>
    <s v="ORD 84410109"/>
    <s v=""/>
    <s v=""/>
    <n v="6665"/>
    <s v="8"/>
    <n v="2024"/>
    <d v="2024-08-31T00:00:00"/>
    <x v="25"/>
  </r>
  <r>
    <x v="26"/>
    <s v="62300175"/>
    <s v=""/>
    <s v="O/S Svc – NAES"/>
    <s v=""/>
    <s v="ORD 84470091"/>
    <s v=""/>
    <s v=""/>
    <n v="18943.77"/>
    <s v="8"/>
    <n v="2024"/>
    <d v="2024-08-31T00:00:00"/>
    <x v="25"/>
  </r>
  <r>
    <x v="13"/>
    <s v="62300175"/>
    <s v=""/>
    <s v="O/S Svc – NAES"/>
    <s v=""/>
    <s v="ORD 84000001"/>
    <s v=""/>
    <s v=""/>
    <n v="15962.34"/>
    <s v="8"/>
    <n v="2024"/>
    <d v="2024-08-31T00:00:00"/>
    <x v="25"/>
  </r>
  <r>
    <x v="14"/>
    <s v="60870001"/>
    <s v=""/>
    <s v="Rent/Lease-Non Cancl"/>
    <s v=""/>
    <s v="ORD 84200030"/>
    <s v=""/>
    <s v=""/>
    <n v="91351.35"/>
    <s v="8"/>
    <n v="2024"/>
    <d v="2024-08-31T00:00:00"/>
    <x v="25"/>
  </r>
  <r>
    <x v="14"/>
    <s v="61100000"/>
    <s v=""/>
    <s v="Utilities"/>
    <s v=""/>
    <s v="ORD 84200030"/>
    <s v=""/>
    <s v=""/>
    <n v="37506.03"/>
    <s v="8"/>
    <n v="2024"/>
    <d v="2024-08-31T00:00:00"/>
    <x v="25"/>
  </r>
  <r>
    <x v="15"/>
    <s v="62300175"/>
    <s v=""/>
    <s v="O/S Svc – NAES"/>
    <s v=""/>
    <s v="ORD 84330002"/>
    <s v=""/>
    <s v=""/>
    <n v="-5538.11"/>
    <s v="8"/>
    <n v="2024"/>
    <d v="2024-08-31T00:00:00"/>
    <x v="25"/>
  </r>
  <r>
    <x v="16"/>
    <s v="84311002"/>
    <s v=""/>
    <s v="Analyst 2 Ex"/>
    <s v=""/>
    <s v="ORD 84410107"/>
    <s v=""/>
    <s v=""/>
    <n v="794.21"/>
    <s v="8"/>
    <n v="2024"/>
    <d v="2024-08-31T00:00:00"/>
    <x v="25"/>
  </r>
  <r>
    <x v="16"/>
    <s v="84311007"/>
    <s v=""/>
    <s v="Consultant Ex"/>
    <s v=""/>
    <s v="ORD 84410107"/>
    <s v=""/>
    <s v=""/>
    <n v="-233.76"/>
    <s v="8"/>
    <n v="2024"/>
    <d v="2024-08-31T00:00:00"/>
    <x v="25"/>
  </r>
  <r>
    <x v="16"/>
    <s v="84311007"/>
    <s v=""/>
    <s v="Consultant Ex"/>
    <s v=""/>
    <s v="ORD 84410107"/>
    <s v=""/>
    <s v=""/>
    <n v="306.44"/>
    <s v="8"/>
    <n v="2024"/>
    <d v="2024-08-31T00:00:00"/>
    <x v="25"/>
  </r>
  <r>
    <x v="16"/>
    <s v="84311009"/>
    <s v=""/>
    <s v="Engineer Ex"/>
    <s v=""/>
    <s v="ORD 84410107"/>
    <s v=""/>
    <s v=""/>
    <n v="328.57"/>
    <s v="8"/>
    <n v="2024"/>
    <d v="2024-08-31T00:00:00"/>
    <x v="25"/>
  </r>
  <r>
    <x v="16"/>
    <s v="84311011"/>
    <s v=""/>
    <s v="Engineer Consult Ex"/>
    <s v=""/>
    <s v="ORD 84410107"/>
    <s v=""/>
    <s v=""/>
    <n v="2551.98"/>
    <s v="8"/>
    <n v="2024"/>
    <d v="2024-08-31T00:00:00"/>
    <x v="25"/>
  </r>
  <r>
    <x v="16"/>
    <s v="62300175"/>
    <s v=""/>
    <s v="O/S Svc – NAES"/>
    <s v=""/>
    <s v="ORD 84410107"/>
    <s v=""/>
    <s v=""/>
    <n v="36274.65"/>
    <s v="8"/>
    <n v="2024"/>
    <d v="2024-08-31T00:00:00"/>
    <x v="25"/>
  </r>
  <r>
    <x v="16"/>
    <s v="84100013"/>
    <s v=""/>
    <s v="Fleet Gas Ops OH"/>
    <s v=""/>
    <s v="ORD 84410107"/>
    <s v=""/>
    <s v=""/>
    <n v="430.95"/>
    <s v="8"/>
    <n v="2024"/>
    <d v="2024-08-31T00:00:00"/>
    <x v="25"/>
  </r>
  <r>
    <x v="16"/>
    <s v="84100021"/>
    <s v=""/>
    <s v="Payroll Taxes OH"/>
    <s v=""/>
    <s v="ORD 84410107"/>
    <s v=""/>
    <s v=""/>
    <n v="352.26"/>
    <s v="8"/>
    <n v="2024"/>
    <d v="2024-08-31T00:00:00"/>
    <x v="25"/>
  </r>
  <r>
    <x v="16"/>
    <s v="84100022"/>
    <s v=""/>
    <s v="Benefits OH"/>
    <s v=""/>
    <s v="ORD 84410107"/>
    <s v=""/>
    <s v=""/>
    <n v="876.9"/>
    <s v="8"/>
    <n v="2024"/>
    <d v="2024-08-31T00:00:00"/>
    <x v="25"/>
  </r>
  <r>
    <x v="16"/>
    <s v="84100023"/>
    <s v=""/>
    <s v="Paid Time Off OH"/>
    <s v=""/>
    <s v="ORD 84410107"/>
    <s v=""/>
    <s v=""/>
    <n v="584.6"/>
    <s v="8"/>
    <n v="2024"/>
    <d v="2024-08-31T00:00:00"/>
    <x v="25"/>
  </r>
  <r>
    <x v="16"/>
    <s v="84100024"/>
    <s v=""/>
    <s v="Incentives OH"/>
    <s v=""/>
    <s v="ORD 84410107"/>
    <s v=""/>
    <s v=""/>
    <n v="408.47"/>
    <s v="8"/>
    <n v="2024"/>
    <d v="2024-08-31T00:00:00"/>
    <x v="25"/>
  </r>
  <r>
    <x v="17"/>
    <s v="62300175"/>
    <s v=""/>
    <s v="O/S Svc – NAES"/>
    <s v=""/>
    <s v="ORD 84730001"/>
    <s v=""/>
    <s v=""/>
    <n v="236.64"/>
    <s v="8"/>
    <n v="2024"/>
    <d v="2024-08-31T00:00:00"/>
    <x v="25"/>
  </r>
  <r>
    <x v="9"/>
    <s v="62300175"/>
    <s v=""/>
    <s v="O/S Svc – NAES"/>
    <s v=""/>
    <s v="ORD 84390091"/>
    <s v=""/>
    <s v=""/>
    <n v="1042.02"/>
    <s v="8"/>
    <n v="2024"/>
    <d v="2024-08-31T00:00:00"/>
    <x v="25"/>
  </r>
  <r>
    <x v="18"/>
    <s v="62300175"/>
    <s v=""/>
    <s v="O/S Svc – NAES"/>
    <s v=""/>
    <s v="ORD 84620091"/>
    <s v=""/>
    <s v=""/>
    <n v="11392.77"/>
    <s v="8"/>
    <n v="2024"/>
    <d v="2024-08-31T00:00:00"/>
    <x v="25"/>
  </r>
  <r>
    <x v="19"/>
    <s v="60250000"/>
    <s v=""/>
    <s v="Workers Comp Payment"/>
    <s v=""/>
    <s v="ORD 92400330"/>
    <s v=""/>
    <s v=""/>
    <n v="141.68"/>
    <s v="8"/>
    <n v="2024"/>
    <d v="2024-08-31T00:00:00"/>
    <x v="25"/>
  </r>
  <r>
    <x v="19"/>
    <s v="62300175"/>
    <s v=""/>
    <s v="O/S Svc – NAES"/>
    <s v=""/>
    <s v="ORD 92400330"/>
    <s v=""/>
    <s v=""/>
    <n v="1292.43"/>
    <s v="8"/>
    <n v="2024"/>
    <d v="2024-08-31T00:00:00"/>
    <x v="25"/>
  </r>
  <r>
    <x v="20"/>
    <s v="62300175"/>
    <s v=""/>
    <s v="O/S Svc – NAES"/>
    <s v=""/>
    <s v="ORD 84620090"/>
    <s v=""/>
    <s v=""/>
    <n v="3692.21"/>
    <s v="8"/>
    <n v="2024"/>
    <d v="2024-08-31T00:00:00"/>
    <x v="25"/>
  </r>
  <r>
    <x v="28"/>
    <s v="62300175"/>
    <s v=""/>
    <s v="O/S Svc – NAES"/>
    <s v=""/>
    <s v="ORD 84000091"/>
    <s v=""/>
    <s v=""/>
    <n v="-35.26"/>
    <s v="8"/>
    <n v="2024"/>
    <d v="2024-08-31T00:00:00"/>
    <x v="25"/>
  </r>
  <r>
    <x v="21"/>
    <s v="62300175"/>
    <s v=""/>
    <s v="O/S Svc – NAES"/>
    <s v=""/>
    <s v="ORD 84100090"/>
    <s v=""/>
    <s v=""/>
    <n v="43684.73"/>
    <s v="8"/>
    <n v="2024"/>
    <d v="2024-08-31T00:00:00"/>
    <x v="25"/>
  </r>
  <r>
    <x v="22"/>
    <s v="62300175"/>
    <s v=""/>
    <s v="O/S Svc – NAES"/>
    <s v=""/>
    <s v="ORD 84390090"/>
    <s v=""/>
    <s v=""/>
    <n v="33389.919999999998"/>
    <s v="8"/>
    <n v="2024"/>
    <d v="2024-08-31T00:00:00"/>
    <x v="25"/>
  </r>
  <r>
    <x v="24"/>
    <s v="62300175"/>
    <s v=""/>
    <s v="O/S Svc – NAES"/>
    <s v=""/>
    <s v="ORD 84770090"/>
    <s v=""/>
    <s v=""/>
    <n v="2401.94"/>
    <s v="8"/>
    <n v="2024"/>
    <d v="2024-08-31T00:00:00"/>
    <x v="25"/>
  </r>
  <r>
    <x v="25"/>
    <s v="62300175"/>
    <s v=""/>
    <s v="O/S Svc – NAES"/>
    <s v=""/>
    <s v="ORD 84000090"/>
    <s v=""/>
    <s v=""/>
    <n v="619.72"/>
    <s v="8"/>
    <n v="2024"/>
    <d v="2024-08-31T00:00:00"/>
    <x v="25"/>
  </r>
  <r>
    <x v="11"/>
    <s v="84100013"/>
    <s v=""/>
    <s v="Fleet Gas Ops OH"/>
    <s v=""/>
    <s v=""/>
    <s v=""/>
    <s v=""/>
    <n v="62.44"/>
    <s v="8"/>
    <n v="2024"/>
    <d v="2024-08-31T00:00:00"/>
    <x v="25"/>
  </r>
  <r>
    <x v="11"/>
    <s v="84100021"/>
    <s v=""/>
    <s v="Payroll Taxes OH"/>
    <s v=""/>
    <s v=""/>
    <s v=""/>
    <s v=""/>
    <n v="51.04"/>
    <s v="8"/>
    <n v="2024"/>
    <d v="2024-08-31T00:00:00"/>
    <x v="25"/>
  </r>
  <r>
    <x v="11"/>
    <s v="84100022"/>
    <s v=""/>
    <s v="Benefits OH"/>
    <s v=""/>
    <s v=""/>
    <s v=""/>
    <s v=""/>
    <n v="127.05"/>
    <s v="8"/>
    <n v="2024"/>
    <d v="2024-08-31T00:00:00"/>
    <x v="25"/>
  </r>
  <r>
    <x v="11"/>
    <s v="84100023"/>
    <s v=""/>
    <s v="Paid Time Off OH"/>
    <s v=""/>
    <s v=""/>
    <s v=""/>
    <s v=""/>
    <n v="84.7"/>
    <s v="8"/>
    <n v="2024"/>
    <d v="2024-08-31T00:00:00"/>
    <x v="25"/>
  </r>
  <r>
    <x v="11"/>
    <s v="84100024"/>
    <s v=""/>
    <s v="Incentives OH"/>
    <s v=""/>
    <s v=""/>
    <s v=""/>
    <s v=""/>
    <n v="59.18"/>
    <s v="8"/>
    <n v="2024"/>
    <d v="2024-08-31T00:00:00"/>
    <x v="25"/>
  </r>
  <r>
    <x v="11"/>
    <s v="84311007"/>
    <s v=""/>
    <s v="Consultant Ex"/>
    <s v=""/>
    <s v=""/>
    <s v="2060"/>
    <s v="Utility Oper. &amp; Maint."/>
    <n v="271.48"/>
    <s v="8"/>
    <n v="2024"/>
    <d v="2024-08-31T00:00:00"/>
    <x v="25"/>
  </r>
  <r>
    <x v="11"/>
    <s v="84311007"/>
    <s v=""/>
    <s v="Consultant Ex"/>
    <s v=""/>
    <s v=""/>
    <s v="2060"/>
    <s v="Utility Oper. &amp; Maint."/>
    <n v="271.48"/>
    <s v="8"/>
    <n v="2024"/>
    <d v="2024-08-31T00:00:00"/>
    <x v="25"/>
  </r>
  <r>
    <x v="0"/>
    <s v="61100000"/>
    <s v="23200543"/>
    <s v="Utilities"/>
    <s v="AP Non-SAP Sys"/>
    <s v="LNG Tacoma Public Utilities - PSE August Power Cos"/>
    <s v="2060"/>
    <s v="Utility Oper. &amp; Maint."/>
    <n v="-49924.35"/>
    <s v="9"/>
    <s v="2023"/>
    <d v="2023-09-11T00:00:00"/>
    <x v="26"/>
  </r>
  <r>
    <x v="0"/>
    <s v="61100000"/>
    <s v="101611"/>
    <s v="Utilities"/>
    <s v="CITY OF TACOMA"/>
    <s v="101611 -CITY OF TACOMA"/>
    <s v="2060"/>
    <s v="Utility Oper. &amp; Maint."/>
    <n v="51071.07"/>
    <s v="9"/>
    <s v="2023"/>
    <d v="2023-09-13T00:00:00"/>
    <x v="26"/>
  </r>
  <r>
    <x v="4"/>
    <s v="60600000"/>
    <s v="23201013"/>
    <s v="Matl-SupDirect Purch"/>
    <s v="GR/IR Clearing Accou"/>
    <s v=""/>
    <s v="2060"/>
    <s v="Utility Oper. &amp; Maint."/>
    <n v="11994.92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3.26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7445.5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1994.92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3.26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8257.5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57.44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750.96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750.96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742.36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880.45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34.25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34.25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34.25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66.81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81.17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36.45000000000000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22.09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41.98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2.16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2.16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7.7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24.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2.16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36.45000000000000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95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9.89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9.94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228.67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228.67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2.21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46.4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3.26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371.18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.1000000000000001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46.4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968.8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212.11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330.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85.59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7445.5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42817.35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1313.31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88.37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45750.34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44.19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48726.4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44.19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348.85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911.39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267.3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9315.99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3036.85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705.91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218.74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258.5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33.15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39.77000000000000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8.8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09.36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374.26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256.29000000000002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2197.2600000000002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218.74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9.89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80.06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158.8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2093.42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3.26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3.26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318.10000000000002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4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477.24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563.4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321.4700000000000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.1000000000000001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46.4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371.18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477.24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563.4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297.17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94270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34340.9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33.66999999999999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6391.84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579.7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2.16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94.43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3879.74"/>
    <s v="9"/>
    <s v="2023"/>
    <d v="2023-09-21T00:00:00"/>
    <x v="26"/>
  </r>
  <r>
    <x v="4"/>
    <s v="60600000"/>
    <s v="23201013"/>
    <s v="Matl-SupDirect Purch"/>
    <s v="GR/IR Clearing Accou"/>
    <s v=""/>
    <s v="2060"/>
    <s v="Utility Oper. &amp; Maint."/>
    <n v="167.92"/>
    <s v="9"/>
    <s v="2023"/>
    <d v="2023-09-21T00:00:00"/>
    <x v="26"/>
  </r>
  <r>
    <x v="0"/>
    <s v="61100000"/>
    <s v="23200543"/>
    <s v="Utilities"/>
    <s v="AP Non-SAP Sys"/>
    <s v="Tacoma Public Utilities - PSE August Power Costs"/>
    <s v="2060"/>
    <s v="Utility Oper. &amp; Maint."/>
    <n v="48583.89"/>
    <s v="9"/>
    <s v="2023"/>
    <d v="2023-09-28T00:00:00"/>
    <x v="26"/>
  </r>
  <r>
    <x v="4"/>
    <s v="62300175"/>
    <s v="13500222"/>
    <s v="O/S Svc – NAES"/>
    <s v="Tacoma LNG Cash Adva"/>
    <s v="TLNG Liquefaction System for PSE Maintenance"/>
    <s v="2060"/>
    <s v="Utility Oper. &amp; Maint."/>
    <n v="385.17"/>
    <s v="9"/>
    <s v="2023"/>
    <d v="2023-09-30T00:00:00"/>
    <x v="26"/>
  </r>
  <r>
    <x v="7"/>
    <s v="62300175"/>
    <s v="13500222"/>
    <s v="O/S Svc – NAES"/>
    <s v="Tacoma LNG Cash Adva"/>
    <s v="TLNG Pre-Treatment System for PSE Maintenance"/>
    <s v="2060"/>
    <s v="Utility Oper. &amp; Maint."/>
    <n v="1074.77"/>
    <s v="9"/>
    <s v="2023"/>
    <d v="2023-09-30T00:00:00"/>
    <x v="26"/>
  </r>
  <r>
    <x v="9"/>
    <s v="62300175"/>
    <s v="13500222"/>
    <s v="O/S Svc – NAES"/>
    <s v="Tacoma LNG Cash Adva"/>
    <s v="TLNG Plant Utilities System for PSE Maintenance"/>
    <s v="2060"/>
    <s v="Utility Oper. &amp; Maint."/>
    <n v="1021.99"/>
    <s v="9"/>
    <s v="2023"/>
    <d v="2023-09-30T00:00:00"/>
    <x v="26"/>
  </r>
  <r>
    <x v="10"/>
    <s v="62300175"/>
    <s v="13500222"/>
    <s v="O/S Svc – NAES"/>
    <s v="Tacoma LNG Cash Adva"/>
    <s v="TLNG Fuel System for PSE Maintenance"/>
    <s v="2060"/>
    <s v="Utility Oper. &amp; Maint."/>
    <n v="60.5"/>
    <s v="9"/>
    <s v="2023"/>
    <d v="2023-09-30T00:00:00"/>
    <x v="26"/>
  </r>
  <r>
    <x v="2"/>
    <s v="62300175"/>
    <s v="13500222"/>
    <s v="O/S Svc – NAES"/>
    <s v="Tacoma LNG Cash Adva"/>
    <s v="Tacoma LNG Vaporization for PSE Maintenance"/>
    <s v="2060"/>
    <s v="Utility Oper. &amp; Maint."/>
    <n v="613.98"/>
    <s v="9"/>
    <s v="2023"/>
    <d v="2023-09-30T00:00:00"/>
    <x v="26"/>
  </r>
  <r>
    <x v="11"/>
    <s v="69990112"/>
    <s v="69990115"/>
    <s v="Transfer - Pyr Tx OH"/>
    <s v="Transfer - Incent OH"/>
    <s v="September 2023 - Xfr Costs to COH Pool - Part A"/>
    <s v="2060"/>
    <s v="Utility Oper. &amp; Maint."/>
    <n v="-11.6"/>
    <s v="9"/>
    <s v="2023"/>
    <d v="2023-09-30T00:00:00"/>
    <x v="26"/>
  </r>
  <r>
    <x v="11"/>
    <s v="69990160"/>
    <s v="69990115"/>
    <s v="Trans Transport OH"/>
    <s v="Transfer - Incent OH"/>
    <s v="September 2023 - Xfr Costs to COH Pool - Part A"/>
    <s v="2060"/>
    <s v="Utility Oper. &amp; Maint."/>
    <n v="-12.38"/>
    <s v="9"/>
    <s v="2023"/>
    <d v="2023-09-30T00:00:00"/>
    <x v="26"/>
  </r>
  <r>
    <x v="11"/>
    <s v="69990115"/>
    <s v="69990115"/>
    <s v="Transfer - Incent OH"/>
    <s v="Transfer - Incent OH"/>
    <s v="September 2023 - Xfr Costs to COH Pool - Part A"/>
    <s v="2060"/>
    <s v="Utility Oper. &amp; Maint."/>
    <n v="-12.9"/>
    <s v="9"/>
    <s v="2023"/>
    <d v="2023-09-30T00:00:00"/>
    <x v="26"/>
  </r>
  <r>
    <x v="11"/>
    <s v="69990114"/>
    <s v="69990115"/>
    <s v="Transfer - PTO OH"/>
    <s v="Transfer - Incent OH"/>
    <s v="September 2023 - Xfr Costs to COH Pool - Part A"/>
    <s v="2060"/>
    <s v="Utility Oper. &amp; Maint."/>
    <n v="-20.98"/>
    <s v="9"/>
    <s v="2023"/>
    <d v="2023-09-30T00:00:00"/>
    <x v="26"/>
  </r>
  <r>
    <x v="11"/>
    <s v="69990111"/>
    <s v="69990115"/>
    <s v="Transfer - Beneftis"/>
    <s v="Transfer - Incent OH"/>
    <s v="September 2023 - Xfr Costs to COH Pool - Part A"/>
    <s v="2060"/>
    <s v="Utility Oper. &amp; Maint."/>
    <n v="-39.1"/>
    <s v="9"/>
    <s v="2023"/>
    <d v="2023-09-30T00:00:00"/>
    <x v="26"/>
  </r>
  <r>
    <x v="11"/>
    <s v="69990071"/>
    <s v="69990115"/>
    <s v="Transfer - Labor"/>
    <s v="Transfer - Incent OH"/>
    <s v="September 2023 - Xfr Costs to COH Pool - Part A"/>
    <s v="2060"/>
    <s v="Utility Oper. &amp; Maint."/>
    <n v="-130.32"/>
    <s v="9"/>
    <s v="2023"/>
    <d v="2023-09-30T00:00:00"/>
    <x v="26"/>
  </r>
  <r>
    <x v="4"/>
    <s v="60600000"/>
    <s v="15400112"/>
    <s v="Matl-SupDirect Purch"/>
    <s v="Plant Mat Inv - TLNG"/>
    <s v="Rclss Tacoma LNG parts rcv'd from exp to inventory"/>
    <s v="2060"/>
    <s v="Utility Oper. &amp; Maint."/>
    <n v="-402738.09"/>
    <s v="9"/>
    <s v="2023"/>
    <d v="2023-09-30T00:00:00"/>
    <x v="26"/>
  </r>
  <r>
    <x v="13"/>
    <s v="62300175"/>
    <s v=""/>
    <s v="O/S Svc – NAES"/>
    <s v=""/>
    <s v="ORD 84000001"/>
    <s v=""/>
    <s v=""/>
    <n v="6266.94"/>
    <s v="9"/>
    <n v="2023"/>
    <d v="2023-09-30T00:00:00"/>
    <x v="26"/>
  </r>
  <r>
    <x v="14"/>
    <s v="60870001"/>
    <s v=""/>
    <s v="Rent/Lease-Non Cancl"/>
    <s v=""/>
    <s v="ORD 84200030"/>
    <s v=""/>
    <s v=""/>
    <n v="112916.03"/>
    <s v="9"/>
    <n v="2023"/>
    <d v="2023-09-30T00:00:00"/>
    <x v="26"/>
  </r>
  <r>
    <x v="15"/>
    <s v="62300175"/>
    <s v=""/>
    <s v="O/S Svc – NAES"/>
    <s v=""/>
    <s v="ORD 84330002"/>
    <s v=""/>
    <s v=""/>
    <n v="11466.44"/>
    <s v="9"/>
    <n v="2023"/>
    <d v="2023-09-30T00:00:00"/>
    <x v="26"/>
  </r>
  <r>
    <x v="16"/>
    <s v="84311002"/>
    <s v=""/>
    <s v="Analyst 2 Ex"/>
    <s v=""/>
    <s v="ORD 84410107"/>
    <s v=""/>
    <s v=""/>
    <n v="700.5"/>
    <s v="9"/>
    <n v="2023"/>
    <d v="2023-09-30T00:00:00"/>
    <x v="26"/>
  </r>
  <r>
    <x v="16"/>
    <s v="84311015"/>
    <s v=""/>
    <s v="Manager 2 Ex"/>
    <s v=""/>
    <s v="ORD 84410107"/>
    <s v=""/>
    <s v=""/>
    <n v="4338.53"/>
    <s v="9"/>
    <n v="2023"/>
    <d v="2023-09-30T00:00:00"/>
    <x v="26"/>
  </r>
  <r>
    <x v="16"/>
    <s v="60330000"/>
    <s v=""/>
    <s v="Emp Exp - Meals"/>
    <s v=""/>
    <s v="ORD 84410107"/>
    <s v=""/>
    <s v=""/>
    <n v="27.11"/>
    <s v="9"/>
    <n v="2023"/>
    <d v="2023-09-30T00:00:00"/>
    <x v="26"/>
  </r>
  <r>
    <x v="16"/>
    <s v="60335000"/>
    <s v=""/>
    <s v="Emp Exp - Lodging"/>
    <s v=""/>
    <s v="ORD 84410107"/>
    <s v=""/>
    <s v=""/>
    <n v="298.83"/>
    <s v="9"/>
    <n v="2023"/>
    <d v="2023-09-30T00:00:00"/>
    <x v="26"/>
  </r>
  <r>
    <x v="16"/>
    <s v="60390000"/>
    <s v=""/>
    <s v="Emp Exp - Other"/>
    <s v=""/>
    <s v="ORD 84410107"/>
    <s v=""/>
    <s v=""/>
    <n v="88.89"/>
    <s v="9"/>
    <n v="2023"/>
    <d v="2023-09-30T00:00:00"/>
    <x v="26"/>
  </r>
  <r>
    <x v="16"/>
    <s v="60700000"/>
    <s v=""/>
    <s v="Office Supplies/Serv"/>
    <s v=""/>
    <s v="ORD 84410107"/>
    <s v=""/>
    <s v=""/>
    <n v="29.27"/>
    <s v="9"/>
    <n v="2023"/>
    <d v="2023-09-30T00:00:00"/>
    <x v="26"/>
  </r>
  <r>
    <x v="16"/>
    <s v="60930000"/>
    <s v=""/>
    <s v="Vehicle Expenses"/>
    <s v=""/>
    <s v="ORD 84410107"/>
    <s v=""/>
    <s v=""/>
    <n v="15.19"/>
    <s v="9"/>
    <n v="2023"/>
    <d v="2023-09-30T00:00:00"/>
    <x v="26"/>
  </r>
  <r>
    <x v="16"/>
    <s v="62300175"/>
    <s v=""/>
    <s v="O/S Svc – NAES"/>
    <s v=""/>
    <s v="ORD 84410107"/>
    <s v=""/>
    <s v=""/>
    <n v="37662.129999999997"/>
    <s v="9"/>
    <n v="2023"/>
    <d v="2023-09-30T00:00:00"/>
    <x v="26"/>
  </r>
  <r>
    <x v="16"/>
    <s v="84100013"/>
    <s v=""/>
    <s v="Fleet Gas Ops OH"/>
    <s v=""/>
    <s v="ORD 84410107"/>
    <s v=""/>
    <s v=""/>
    <n v="478.71"/>
    <s v="9"/>
    <n v="2023"/>
    <d v="2023-09-30T00:00:00"/>
    <x v="26"/>
  </r>
  <r>
    <x v="16"/>
    <s v="84100021"/>
    <s v=""/>
    <s v="Payroll Taxes OH"/>
    <s v=""/>
    <s v="ORD 84410107"/>
    <s v=""/>
    <s v=""/>
    <n v="448.47"/>
    <s v="9"/>
    <n v="2023"/>
    <d v="2023-09-30T00:00:00"/>
    <x v="26"/>
  </r>
  <r>
    <x v="16"/>
    <s v="84100022"/>
    <s v=""/>
    <s v="Benefits OH"/>
    <s v=""/>
    <s v="ORD 84410107"/>
    <s v=""/>
    <s v=""/>
    <n v="1511.71"/>
    <s v="9"/>
    <n v="2023"/>
    <d v="2023-09-30T00:00:00"/>
    <x v="26"/>
  </r>
  <r>
    <x v="16"/>
    <s v="84100023"/>
    <s v=""/>
    <s v="Paid Time Off OH"/>
    <s v=""/>
    <s v="ORD 84410107"/>
    <s v=""/>
    <s v=""/>
    <n v="811.28"/>
    <s v="9"/>
    <n v="2023"/>
    <d v="2023-09-30T00:00:00"/>
    <x v="26"/>
  </r>
  <r>
    <x v="16"/>
    <s v="84100024"/>
    <s v=""/>
    <s v="Incentives OH"/>
    <s v=""/>
    <s v="ORD 84410107"/>
    <s v=""/>
    <s v=""/>
    <n v="498.86"/>
    <s v="9"/>
    <n v="2023"/>
    <d v="2023-09-30T00:00:00"/>
    <x v="26"/>
  </r>
  <r>
    <x v="4"/>
    <s v="84311009"/>
    <s v=""/>
    <s v="Engineer Ex"/>
    <s v=""/>
    <s v="ORD 84730000"/>
    <s v=""/>
    <s v=""/>
    <n v="211.72"/>
    <s v="9"/>
    <n v="2023"/>
    <d v="2023-09-30T00:00:00"/>
    <x v="26"/>
  </r>
  <r>
    <x v="18"/>
    <s v="62300175"/>
    <s v=""/>
    <s v="O/S Svc – NAES"/>
    <s v=""/>
    <s v="ORD 84620091"/>
    <s v=""/>
    <s v=""/>
    <n v="10102.459999999999"/>
    <s v="9"/>
    <n v="2023"/>
    <d v="2023-09-30T00:00:00"/>
    <x v="26"/>
  </r>
  <r>
    <x v="19"/>
    <s v="60250000"/>
    <s v=""/>
    <s v="Workers Comp Payment"/>
    <s v=""/>
    <s v="ORD 92400330"/>
    <s v=""/>
    <s v=""/>
    <n v="128.52000000000001"/>
    <s v="9"/>
    <n v="2023"/>
    <d v="2023-09-30T00:00:00"/>
    <x v="26"/>
  </r>
  <r>
    <x v="19"/>
    <s v="62300175"/>
    <s v=""/>
    <s v="O/S Svc – NAES"/>
    <s v=""/>
    <s v="ORD 92400330"/>
    <s v=""/>
    <s v=""/>
    <n v="1511.4"/>
    <s v="9"/>
    <n v="2023"/>
    <d v="2023-09-30T00:00:00"/>
    <x v="26"/>
  </r>
  <r>
    <x v="20"/>
    <s v="62300060"/>
    <s v=""/>
    <s v="O/S - Tree Crew"/>
    <s v=""/>
    <s v="ORD 84620090"/>
    <s v=""/>
    <s v=""/>
    <n v="1195.7"/>
    <s v="9"/>
    <n v="2023"/>
    <d v="2023-09-30T00:00:00"/>
    <x v="26"/>
  </r>
  <r>
    <x v="20"/>
    <s v="62300175"/>
    <s v=""/>
    <s v="O/S Svc – NAES"/>
    <s v=""/>
    <s v="ORD 84620090"/>
    <s v=""/>
    <s v=""/>
    <n v="2948.38"/>
    <s v="9"/>
    <n v="2023"/>
    <d v="2023-09-30T00:00:00"/>
    <x v="26"/>
  </r>
  <r>
    <x v="28"/>
    <s v="62300175"/>
    <s v=""/>
    <s v="O/S Svc – NAES"/>
    <s v=""/>
    <s v="ORD 84000091"/>
    <s v=""/>
    <s v=""/>
    <n v="-51.6"/>
    <s v="9"/>
    <n v="2023"/>
    <d v="2023-09-30T00:00:00"/>
    <x v="26"/>
  </r>
  <r>
    <x v="21"/>
    <s v="62300175"/>
    <s v=""/>
    <s v="O/S Svc – NAES"/>
    <s v=""/>
    <s v="ORD 84100090"/>
    <s v=""/>
    <s v=""/>
    <n v="36385.949999999997"/>
    <s v="9"/>
    <n v="2023"/>
    <d v="2023-09-30T00:00:00"/>
    <x v="26"/>
  </r>
  <r>
    <x v="22"/>
    <s v="62300175"/>
    <s v=""/>
    <s v="O/S Svc – NAES"/>
    <s v=""/>
    <s v="ORD 84390090"/>
    <s v=""/>
    <s v=""/>
    <n v="22895.03"/>
    <s v="9"/>
    <n v="2023"/>
    <d v="2023-09-30T00:00:00"/>
    <x v="26"/>
  </r>
  <r>
    <x v="23"/>
    <s v="62300175"/>
    <s v=""/>
    <s v="O/S Svc – NAES"/>
    <s v=""/>
    <s v="ORD 84470090"/>
    <s v=""/>
    <s v=""/>
    <n v="5576.19"/>
    <s v="9"/>
    <n v="2023"/>
    <d v="2023-09-30T00:00:00"/>
    <x v="26"/>
  </r>
  <r>
    <x v="24"/>
    <s v="62300175"/>
    <s v=""/>
    <s v="O/S Svc – NAES"/>
    <s v=""/>
    <s v="ORD 84770090"/>
    <s v=""/>
    <s v=""/>
    <n v="-507.4"/>
    <s v="9"/>
    <n v="2023"/>
    <d v="2023-09-30T00:00:00"/>
    <x v="26"/>
  </r>
  <r>
    <x v="1"/>
    <s v="62300175"/>
    <s v=""/>
    <s v="O/S Svc – NAES"/>
    <s v=""/>
    <s v="ORD 84000030"/>
    <s v=""/>
    <s v=""/>
    <n v="22665.02"/>
    <s v="9"/>
    <n v="2023"/>
    <d v="2023-09-30T00:00:00"/>
    <x v="26"/>
  </r>
  <r>
    <x v="25"/>
    <s v="62300175"/>
    <s v=""/>
    <s v="O/S Svc – NAES"/>
    <s v=""/>
    <s v="ORD 84000090"/>
    <s v=""/>
    <s v=""/>
    <n v="3293.98"/>
    <s v="9"/>
    <n v="2023"/>
    <d v="2023-09-30T00:00:00"/>
    <x v="26"/>
  </r>
  <r>
    <x v="11"/>
    <s v="84100013"/>
    <s v=""/>
    <s v="Fleet Gas Ops OH"/>
    <s v=""/>
    <s v=""/>
    <s v=""/>
    <s v=""/>
    <n v="49.52"/>
    <s v="9"/>
    <n v="2023"/>
    <d v="2023-09-30T00:00:00"/>
    <x v="26"/>
  </r>
  <r>
    <x v="11"/>
    <s v="84100021"/>
    <s v=""/>
    <s v="Payroll Taxes OH"/>
    <s v=""/>
    <s v=""/>
    <s v=""/>
    <s v=""/>
    <n v="46.39"/>
    <s v="9"/>
    <n v="2023"/>
    <d v="2023-09-30T00:00:00"/>
    <x v="26"/>
  </r>
  <r>
    <x v="11"/>
    <s v="84100022"/>
    <s v=""/>
    <s v="Benefits OH"/>
    <s v=""/>
    <s v=""/>
    <s v=""/>
    <s v=""/>
    <n v="156.38"/>
    <s v="9"/>
    <n v="2023"/>
    <d v="2023-09-30T00:00:00"/>
    <x v="26"/>
  </r>
  <r>
    <x v="11"/>
    <s v="84100023"/>
    <s v=""/>
    <s v="Paid Time Off OH"/>
    <s v=""/>
    <s v=""/>
    <s v=""/>
    <s v=""/>
    <n v="83.93"/>
    <s v="9"/>
    <n v="2023"/>
    <d v="2023-09-30T00:00:00"/>
    <x v="26"/>
  </r>
  <r>
    <x v="11"/>
    <s v="84100024"/>
    <s v=""/>
    <s v="Incentives OH"/>
    <s v=""/>
    <s v=""/>
    <s v=""/>
    <s v=""/>
    <n v="51.61"/>
    <s v="9"/>
    <n v="2023"/>
    <d v="2023-09-30T00:00:00"/>
    <x v="26"/>
  </r>
  <r>
    <x v="11"/>
    <s v="84311007"/>
    <s v=""/>
    <s v="Consultant Ex"/>
    <s v=""/>
    <s v=""/>
    <s v="2060"/>
    <s v="Utility Oper. &amp; Maint."/>
    <n v="130.32"/>
    <s v="9"/>
    <n v="2023"/>
    <d v="2023-09-30T00:00:00"/>
    <x v="26"/>
  </r>
  <r>
    <x v="11"/>
    <s v="84311007"/>
    <s v=""/>
    <s v="Consultant Ex"/>
    <s v=""/>
    <s v=""/>
    <s v="2060"/>
    <s v="Utility Oper. &amp; Maint."/>
    <n v="260.64"/>
    <s v="9"/>
    <n v="2023"/>
    <d v="2023-09-30T00:00:00"/>
    <x v="26"/>
  </r>
  <r>
    <x v="11"/>
    <s v="84311007"/>
    <s v=""/>
    <s v="Consultant Ex"/>
    <s v=""/>
    <s v=""/>
    <s v="2060"/>
    <s v="Utility Oper. &amp; Maint."/>
    <n v="130.32"/>
    <s v="9"/>
    <n v="2023"/>
    <d v="2023-09-30T00:00:00"/>
    <x v="26"/>
  </r>
  <r>
    <x v="0"/>
    <s v="61100000"/>
    <s v="23200543"/>
    <s v="Utilities"/>
    <s v="AP Non-SAP Sys"/>
    <s v="Tacoma Public Utilities - Power cost for LNG lique"/>
    <s v="2060"/>
    <s v="Utility Oper. &amp; Maint."/>
    <n v="-47339"/>
    <s v="9"/>
    <s v="2024"/>
    <d v="2024-09-10T00:00:00"/>
    <x v="27"/>
  </r>
  <r>
    <x v="0"/>
    <s v="61100000"/>
    <s v="101611"/>
    <s v="Utilities"/>
    <s v="CITY OF TACOMA"/>
    <s v="101611 -CITY OF TACOMA"/>
    <s v="2060"/>
    <s v="Utility Oper. &amp; Maint."/>
    <n v="47047.360000000001"/>
    <s v="9"/>
    <s v="2024"/>
    <d v="2024-09-19T00:00:00"/>
    <x v="27"/>
  </r>
  <r>
    <x v="0"/>
    <s v="61100000"/>
    <s v="23200543"/>
    <s v="Utilities"/>
    <s v="AP Non-SAP Sys"/>
    <s v="Tacoma Public Utilities - Power cost for LNG lique"/>
    <s v="2060"/>
    <s v="Utility Oper. &amp; Maint."/>
    <n v="88256.4"/>
    <s v="9"/>
    <s v="2024"/>
    <d v="2024-09-27T00:00:00"/>
    <x v="27"/>
  </r>
  <r>
    <x v="7"/>
    <s v="62300175"/>
    <s v="62300175"/>
    <s v="O/S Svc – NAES"/>
    <s v="O/S Svc – NAES"/>
    <s v="TLNG Pre-Treatment System for PSE Maintenance"/>
    <s v="2060"/>
    <s v="Utility Oper. &amp; Maint."/>
    <n v="-239.38"/>
    <s v="9"/>
    <s v="2024"/>
    <d v="2024-09-30T00:00:00"/>
    <x v="27"/>
  </r>
  <r>
    <x v="3"/>
    <s v="62300175"/>
    <s v="13500222"/>
    <s v="O/S Svc – NAES"/>
    <s v="Tacoma LNG Cash Adva"/>
    <s v="TLNG Liquefaction System for PSE Operations"/>
    <s v="2060"/>
    <s v="Utility Oper. &amp; Maint."/>
    <n v="9339.5400000000009"/>
    <s v="9"/>
    <s v="2024"/>
    <d v="2024-09-30T00:00:00"/>
    <x v="27"/>
  </r>
  <r>
    <x v="4"/>
    <s v="62300175"/>
    <s v="13500222"/>
    <s v="O/S Svc – NAES"/>
    <s v="Tacoma LNG Cash Adva"/>
    <s v="TLNG Liquefaction System for PSE Maintenance"/>
    <s v="2060"/>
    <s v="Utility Oper. &amp; Maint."/>
    <n v="1998.51"/>
    <s v="9"/>
    <s v="2024"/>
    <d v="2024-09-30T00:00:00"/>
    <x v="27"/>
  </r>
  <r>
    <x v="5"/>
    <s v="62300175"/>
    <s v="13500222"/>
    <s v="O/S Svc – NAES"/>
    <s v="Tacoma LNG Cash Adva"/>
    <s v="TLNG Truck Loading System for PSE Operatoins"/>
    <s v="2060"/>
    <s v="Utility Oper. &amp; Maint."/>
    <n v="127.27"/>
    <s v="9"/>
    <s v="2024"/>
    <d v="2024-09-30T00:00:00"/>
    <x v="27"/>
  </r>
  <r>
    <x v="6"/>
    <s v="62300175"/>
    <s v="13500222"/>
    <s v="O/S Svc – NAES"/>
    <s v="Tacoma LNG Cash Adva"/>
    <s v="TLNG Pre-Treatment System for PSE Operations"/>
    <s v="2060"/>
    <s v="Utility Oper. &amp; Maint."/>
    <n v="1867.18"/>
    <s v="9"/>
    <s v="2024"/>
    <d v="2024-09-30T00:00:00"/>
    <x v="27"/>
  </r>
  <r>
    <x v="7"/>
    <s v="62300175"/>
    <s v="13500222"/>
    <s v="O/S Svc – NAES"/>
    <s v="Tacoma LNG Cash Adva"/>
    <s v="TLNG Pre-Treatment System for PSE Maintenance"/>
    <s v="2060"/>
    <s v="Utility Oper. &amp; Maint."/>
    <n v="180.18"/>
    <s v="9"/>
    <s v="2024"/>
    <d v="2024-09-30T00:00:00"/>
    <x v="27"/>
  </r>
  <r>
    <x v="9"/>
    <s v="62300175"/>
    <s v="13500222"/>
    <s v="O/S Svc – NAES"/>
    <s v="Tacoma LNG Cash Adva"/>
    <s v="TLNG Plant Utilities System for PSE Maintenance"/>
    <s v="2060"/>
    <s v="Utility Oper. &amp; Maint."/>
    <n v="99.62"/>
    <s v="9"/>
    <s v="2024"/>
    <d v="2024-09-30T00:00:00"/>
    <x v="27"/>
  </r>
  <r>
    <x v="4"/>
    <s v="62300175"/>
    <s v="13500222"/>
    <s v="O/S Svc – NAES"/>
    <s v="Tacoma LNG Cash Adva"/>
    <s v="TLNG Liquefaction System for PSE Maintenance"/>
    <s v="2060"/>
    <s v="Utility Oper. &amp; Maint."/>
    <n v="1.6"/>
    <s v="9"/>
    <s v="2024"/>
    <d v="2024-09-30T00:00:00"/>
    <x v="27"/>
  </r>
  <r>
    <x v="26"/>
    <s v="62300175"/>
    <s v=""/>
    <s v="O/S Svc – NAES"/>
    <s v=""/>
    <s v="ORD 84470091"/>
    <s v=""/>
    <s v=""/>
    <n v="12926"/>
    <s v="9"/>
    <n v="2024"/>
    <d v="2024-09-30T00:00:00"/>
    <x v="27"/>
  </r>
  <r>
    <x v="13"/>
    <s v="62300175"/>
    <s v=""/>
    <s v="O/S Svc – NAES"/>
    <s v=""/>
    <s v="ORD 84000001"/>
    <s v=""/>
    <s v=""/>
    <n v="7270.91"/>
    <s v="9"/>
    <n v="2024"/>
    <d v="2024-09-30T00:00:00"/>
    <x v="27"/>
  </r>
  <r>
    <x v="14"/>
    <s v="60870001"/>
    <s v=""/>
    <s v="Rent/Lease-Non Cancl"/>
    <s v=""/>
    <s v="ORD 84200030"/>
    <s v=""/>
    <s v=""/>
    <n v="91351.35"/>
    <s v="9"/>
    <n v="2024"/>
    <d v="2024-09-30T00:00:00"/>
    <x v="27"/>
  </r>
  <r>
    <x v="14"/>
    <s v="61100000"/>
    <s v=""/>
    <s v="Utilities"/>
    <s v=""/>
    <s v="ORD 84200030"/>
    <s v=""/>
    <s v=""/>
    <n v="18753.009999999998"/>
    <s v="9"/>
    <n v="2024"/>
    <d v="2024-09-30T00:00:00"/>
    <x v="27"/>
  </r>
  <r>
    <x v="15"/>
    <s v="62300175"/>
    <s v=""/>
    <s v="O/S Svc – NAES"/>
    <s v=""/>
    <s v="ORD 84330002"/>
    <s v=""/>
    <s v=""/>
    <n v="73295.5"/>
    <s v="9"/>
    <n v="2024"/>
    <d v="2024-09-30T00:00:00"/>
    <x v="27"/>
  </r>
  <r>
    <x v="16"/>
    <s v="84311002"/>
    <s v=""/>
    <s v="Analyst 2 Ex"/>
    <s v=""/>
    <s v="ORD 84410107"/>
    <s v=""/>
    <s v=""/>
    <n v="754.5"/>
    <s v="9"/>
    <n v="2024"/>
    <d v="2024-09-30T00:00:00"/>
    <x v="27"/>
  </r>
  <r>
    <x v="16"/>
    <s v="84311007"/>
    <s v=""/>
    <s v="Consultant Ex"/>
    <s v=""/>
    <s v="ORD 84410107"/>
    <s v=""/>
    <s v=""/>
    <n v="-155.84"/>
    <s v="9"/>
    <n v="2024"/>
    <d v="2024-09-30T00:00:00"/>
    <x v="27"/>
  </r>
  <r>
    <x v="16"/>
    <s v="84311007"/>
    <s v=""/>
    <s v="Consultant Ex"/>
    <s v=""/>
    <s v="ORD 84410107"/>
    <s v=""/>
    <s v=""/>
    <n v="58.37"/>
    <s v="9"/>
    <n v="2024"/>
    <d v="2024-09-30T00:00:00"/>
    <x v="27"/>
  </r>
  <r>
    <x v="16"/>
    <s v="84311009"/>
    <s v=""/>
    <s v="Engineer Ex"/>
    <s v=""/>
    <s v="ORD 84410107"/>
    <s v=""/>
    <s v=""/>
    <n v="328.57"/>
    <s v="9"/>
    <n v="2024"/>
    <d v="2024-09-30T00:00:00"/>
    <x v="27"/>
  </r>
  <r>
    <x v="16"/>
    <s v="84311011"/>
    <s v=""/>
    <s v="Engineer Consult Ex"/>
    <s v=""/>
    <s v="ORD 84410107"/>
    <s v=""/>
    <s v=""/>
    <n v="2551.98"/>
    <s v="9"/>
    <n v="2024"/>
    <d v="2024-09-30T00:00:00"/>
    <x v="27"/>
  </r>
  <r>
    <x v="16"/>
    <s v="62300175"/>
    <s v=""/>
    <s v="O/S Svc – NAES"/>
    <s v=""/>
    <s v="ORD 84410107"/>
    <s v=""/>
    <s v=""/>
    <n v="36855.61"/>
    <s v="9"/>
    <n v="2024"/>
    <d v="2024-09-30T00:00:00"/>
    <x v="27"/>
  </r>
  <r>
    <x v="16"/>
    <s v="84100013"/>
    <s v=""/>
    <s v="Fleet Gas Ops OH"/>
    <s v=""/>
    <s v="ORD 84410107"/>
    <s v=""/>
    <s v=""/>
    <n v="424.51"/>
    <s v="9"/>
    <n v="2024"/>
    <d v="2024-09-30T00:00:00"/>
    <x v="27"/>
  </r>
  <r>
    <x v="16"/>
    <s v="84100021"/>
    <s v=""/>
    <s v="Payroll Taxes OH"/>
    <s v=""/>
    <s v="ORD 84410107"/>
    <s v=""/>
    <s v=""/>
    <n v="332.53"/>
    <s v="9"/>
    <n v="2024"/>
    <d v="2024-09-30T00:00:00"/>
    <x v="27"/>
  </r>
  <r>
    <x v="16"/>
    <s v="84100022"/>
    <s v=""/>
    <s v="Benefits OH"/>
    <s v=""/>
    <s v="ORD 84410107"/>
    <s v=""/>
    <s v=""/>
    <n v="827.79"/>
    <s v="9"/>
    <n v="2024"/>
    <d v="2024-09-30T00:00:00"/>
    <x v="27"/>
  </r>
  <r>
    <x v="16"/>
    <s v="84100023"/>
    <s v=""/>
    <s v="Paid Time Off OH"/>
    <s v=""/>
    <s v="ORD 84410107"/>
    <s v=""/>
    <s v=""/>
    <n v="551.86"/>
    <s v="9"/>
    <n v="2024"/>
    <d v="2024-09-30T00:00:00"/>
    <x v="27"/>
  </r>
  <r>
    <x v="16"/>
    <s v="84100024"/>
    <s v=""/>
    <s v="Incentives OH"/>
    <s v=""/>
    <s v="ORD 84410107"/>
    <s v=""/>
    <s v=""/>
    <n v="385.6"/>
    <s v="9"/>
    <n v="2024"/>
    <d v="2024-09-30T00:00:00"/>
    <x v="27"/>
  </r>
  <r>
    <x v="17"/>
    <s v="62300175"/>
    <s v=""/>
    <s v="O/S Svc – NAES"/>
    <s v=""/>
    <s v="ORD 84730001"/>
    <s v=""/>
    <s v=""/>
    <n v="-92.5"/>
    <s v="9"/>
    <n v="2024"/>
    <d v="2024-09-30T00:00:00"/>
    <x v="27"/>
  </r>
  <r>
    <x v="9"/>
    <s v="62300175"/>
    <s v=""/>
    <s v="O/S Svc – NAES"/>
    <s v=""/>
    <s v="ORD 84390091"/>
    <s v=""/>
    <s v=""/>
    <n v="-578.63"/>
    <s v="9"/>
    <n v="2024"/>
    <d v="2024-09-30T00:00:00"/>
    <x v="27"/>
  </r>
  <r>
    <x v="18"/>
    <s v="62300175"/>
    <s v=""/>
    <s v="O/S Svc – NAES"/>
    <s v=""/>
    <s v="ORD 84620091"/>
    <s v=""/>
    <s v=""/>
    <n v="6175.41"/>
    <s v="9"/>
    <n v="2024"/>
    <d v="2024-09-30T00:00:00"/>
    <x v="27"/>
  </r>
  <r>
    <x v="19"/>
    <s v="60250000"/>
    <s v=""/>
    <s v="Workers Comp Payment"/>
    <s v=""/>
    <s v="ORD 92400330"/>
    <s v=""/>
    <s v=""/>
    <n v="141.68"/>
    <s v="9"/>
    <n v="2024"/>
    <d v="2024-09-30T00:00:00"/>
    <x v="27"/>
  </r>
  <r>
    <x v="19"/>
    <s v="62300175"/>
    <s v=""/>
    <s v="O/S Svc – NAES"/>
    <s v=""/>
    <s v="ORD 92400330"/>
    <s v=""/>
    <s v=""/>
    <n v="1648.93"/>
    <s v="9"/>
    <n v="2024"/>
    <d v="2024-09-30T00:00:00"/>
    <x v="27"/>
  </r>
  <r>
    <x v="20"/>
    <s v="62300175"/>
    <s v=""/>
    <s v="O/S Svc – NAES"/>
    <s v=""/>
    <s v="ORD 84620090"/>
    <s v=""/>
    <s v=""/>
    <n v="3448.2"/>
    <s v="9"/>
    <n v="2024"/>
    <d v="2024-09-30T00:00:00"/>
    <x v="27"/>
  </r>
  <r>
    <x v="21"/>
    <s v="62300175"/>
    <s v=""/>
    <s v="O/S Svc – NAES"/>
    <s v=""/>
    <s v="ORD 84100090"/>
    <s v=""/>
    <s v=""/>
    <n v="37027.64"/>
    <s v="9"/>
    <n v="2024"/>
    <d v="2024-09-30T00:00:00"/>
    <x v="27"/>
  </r>
  <r>
    <x v="22"/>
    <s v="84313023"/>
    <s v=""/>
    <s v="Relay Tech IBEW"/>
    <s v=""/>
    <s v="ORD 84390090"/>
    <s v=""/>
    <s v=""/>
    <n v="156.54"/>
    <s v="9"/>
    <n v="2024"/>
    <d v="2024-09-30T00:00:00"/>
    <x v="27"/>
  </r>
  <r>
    <x v="22"/>
    <s v="62300175"/>
    <s v=""/>
    <s v="O/S Svc – NAES"/>
    <s v=""/>
    <s v="ORD 84390090"/>
    <s v=""/>
    <s v=""/>
    <n v="44718.35"/>
    <s v="9"/>
    <n v="2024"/>
    <d v="2024-09-30T00:00:00"/>
    <x v="27"/>
  </r>
  <r>
    <x v="22"/>
    <s v="84100013"/>
    <s v=""/>
    <s v="Fleet Gas Ops OH"/>
    <s v=""/>
    <s v="ORD 84390090"/>
    <s v=""/>
    <s v=""/>
    <n v="18.79"/>
    <s v="9"/>
    <n v="2024"/>
    <d v="2024-09-30T00:00:00"/>
    <x v="27"/>
  </r>
  <r>
    <x v="22"/>
    <s v="84100021"/>
    <s v=""/>
    <s v="Payroll Taxes OH"/>
    <s v=""/>
    <s v="ORD 84390090"/>
    <s v=""/>
    <s v=""/>
    <n v="14.71"/>
    <s v="9"/>
    <n v="2024"/>
    <d v="2024-09-30T00:00:00"/>
    <x v="27"/>
  </r>
  <r>
    <x v="22"/>
    <s v="84100022"/>
    <s v=""/>
    <s v="Benefits OH"/>
    <s v=""/>
    <s v="ORD 84390090"/>
    <s v=""/>
    <s v=""/>
    <n v="36.630000000000003"/>
    <s v="9"/>
    <n v="2024"/>
    <d v="2024-09-30T00:00:00"/>
    <x v="27"/>
  </r>
  <r>
    <x v="22"/>
    <s v="84100023"/>
    <s v=""/>
    <s v="Paid Time Off OH"/>
    <s v=""/>
    <s v="ORD 84390090"/>
    <s v=""/>
    <s v=""/>
    <n v="24.42"/>
    <s v="9"/>
    <n v="2024"/>
    <d v="2024-09-30T00:00:00"/>
    <x v="27"/>
  </r>
  <r>
    <x v="22"/>
    <s v="84100024"/>
    <s v=""/>
    <s v="Incentives OH"/>
    <s v=""/>
    <s v="ORD 84390090"/>
    <s v=""/>
    <s v=""/>
    <n v="17.059999999999999"/>
    <s v="9"/>
    <n v="2024"/>
    <d v="2024-09-30T00:00:00"/>
    <x v="27"/>
  </r>
  <r>
    <x v="23"/>
    <s v="62300175"/>
    <s v=""/>
    <s v="O/S Svc – NAES"/>
    <s v=""/>
    <s v="ORD 84470090"/>
    <s v=""/>
    <s v=""/>
    <n v="860"/>
    <s v="9"/>
    <n v="2024"/>
    <d v="2024-09-30T00:00:00"/>
    <x v="27"/>
  </r>
  <r>
    <x v="24"/>
    <s v="62300175"/>
    <s v=""/>
    <s v="O/S Svc – NAES"/>
    <s v=""/>
    <s v="ORD 84770090"/>
    <s v=""/>
    <s v=""/>
    <n v="1366.25"/>
    <s v="9"/>
    <n v="2024"/>
    <d v="2024-09-30T00:00:00"/>
    <x v="27"/>
  </r>
  <r>
    <x v="1"/>
    <s v="62300175"/>
    <s v=""/>
    <s v="O/S Svc – NAES"/>
    <s v=""/>
    <s v="ORD 84000030"/>
    <s v=""/>
    <s v=""/>
    <n v="23945.13"/>
    <s v="9"/>
    <n v="2024"/>
    <d v="2024-09-30T00:00:00"/>
    <x v="27"/>
  </r>
  <r>
    <x v="25"/>
    <s v="62300175"/>
    <s v=""/>
    <s v="O/S Svc – NAES"/>
    <s v=""/>
    <s v="ORD 84000090"/>
    <s v=""/>
    <s v=""/>
    <n v="2868.92"/>
    <s v="9"/>
    <n v="2024"/>
    <d v="2024-09-30T00:00:00"/>
    <x v="27"/>
  </r>
  <r>
    <x v="33"/>
    <s v=""/>
    <s v=""/>
    <s v=""/>
    <s v=""/>
    <s v=""/>
    <s v=""/>
    <s v=""/>
    <m/>
    <s v=""/>
    <s v=""/>
    <m/>
    <x v="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69691E-D8D7-4817-99B6-CD739BE2FF13}" name="PivotTable8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Q36" firstHeaderRow="1" firstDataRow="2" firstDataCol="1"/>
  <pivotFields count="13">
    <pivotField axis="axisRow" showAll="0">
      <items count="35">
        <item h="1" x="33"/>
        <item x="13"/>
        <item x="1"/>
        <item x="30"/>
        <item x="25"/>
        <item x="28"/>
        <item x="29"/>
        <item x="6"/>
        <item x="8"/>
        <item x="32"/>
        <item x="21"/>
        <item x="14"/>
        <item x="0"/>
        <item x="31"/>
        <item x="15"/>
        <item x="7"/>
        <item x="2"/>
        <item x="22"/>
        <item x="9"/>
        <item x="10"/>
        <item x="16"/>
        <item x="27"/>
        <item x="5"/>
        <item x="3"/>
        <item x="23"/>
        <item x="26"/>
        <item x="20"/>
        <item x="18"/>
        <item x="11"/>
        <item x="4"/>
        <item x="17"/>
        <item x="24"/>
        <item x="12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Col" showAll="0">
      <items count="30">
        <item h="1" x="12"/>
        <item h="1" x="15"/>
        <item h="1" x="18"/>
        <item h="1" x="21"/>
        <item h="1" x="24"/>
        <item h="1" x="26"/>
        <item h="1" x="0"/>
        <item h="1" x="2"/>
        <item h="1" x="6"/>
        <item h="1" x="4"/>
        <item h="1" x="8"/>
        <item h="1" x="10"/>
        <item h="1" x="13"/>
        <item x="16"/>
        <item x="19"/>
        <item x="22"/>
        <item x="25"/>
        <item x="27"/>
        <item h="1" x="28"/>
        <item x="1"/>
        <item x="3"/>
        <item x="7"/>
        <item x="5"/>
        <item x="9"/>
        <item x="11"/>
        <item x="14"/>
        <item x="17"/>
        <item x="20"/>
        <item x="23"/>
        <item t="default"/>
      </items>
    </pivotField>
  </pivotFields>
  <rowFields count="1">
    <field x="0"/>
  </rowFields>
  <rowItems count="3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2"/>
  </colFields>
  <colItems count="16">
    <i>
      <x v="13"/>
    </i>
    <i>
      <x v="14"/>
    </i>
    <i>
      <x v="15"/>
    </i>
    <i>
      <x v="16"/>
    </i>
    <i>
      <x v="17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colItems>
  <dataFields count="1">
    <dataField name="Sum of Val.in rep.cur." fld="8" baseField="0" baseItem="0"/>
  </dataFields>
  <formats count="2"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53" dT="2025-09-03T18:30:24.03" personId="{0D1340A7-85D7-4232-B80E-A60594387262}" id="{55E2B431-2172-41FD-B82F-206A185FA924}">
    <text>Include the write off for pre Jan 23 deferred return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9"/>
  <sheetViews>
    <sheetView tabSelected="1" topLeftCell="A31" zoomScaleNormal="100" workbookViewId="0">
      <selection activeCell="C61" sqref="C61"/>
    </sheetView>
  </sheetViews>
  <sheetFormatPr defaultRowHeight="14.4" x14ac:dyDescent="0.3"/>
  <cols>
    <col min="2" max="2" width="85.33203125" bestFit="1" customWidth="1"/>
    <col min="3" max="3" width="15.109375" bestFit="1" customWidth="1"/>
    <col min="6" max="6" width="11.33203125" bestFit="1" customWidth="1"/>
  </cols>
  <sheetData>
    <row r="1" spans="1:5" ht="15.6" x14ac:dyDescent="0.3">
      <c r="A1" s="131" t="s">
        <v>305</v>
      </c>
      <c r="B1" s="178"/>
    </row>
    <row r="2" spans="1:5" ht="15.6" x14ac:dyDescent="0.3">
      <c r="A2" s="131" t="s">
        <v>227</v>
      </c>
      <c r="B2" s="178"/>
      <c r="C2" s="86"/>
      <c r="D2" s="86"/>
      <c r="E2" s="86"/>
    </row>
    <row r="3" spans="1:5" ht="15.6" x14ac:dyDescent="0.3">
      <c r="A3" s="178"/>
      <c r="B3" s="313" t="s">
        <v>228</v>
      </c>
    </row>
    <row r="4" spans="1:5" ht="15.6" x14ac:dyDescent="0.3">
      <c r="A4" s="178"/>
      <c r="B4" s="178"/>
    </row>
    <row r="5" spans="1:5" ht="15.6" x14ac:dyDescent="0.3">
      <c r="A5" s="180" t="s">
        <v>143</v>
      </c>
      <c r="B5" s="180" t="s">
        <v>15</v>
      </c>
      <c r="C5" s="180" t="s">
        <v>319</v>
      </c>
    </row>
    <row r="6" spans="1:5" ht="15.6" x14ac:dyDescent="0.3">
      <c r="A6" s="178"/>
      <c r="B6" s="181" t="s">
        <v>132</v>
      </c>
    </row>
    <row r="7" spans="1:5" ht="15.6" x14ac:dyDescent="0.3">
      <c r="A7" s="182">
        <f>ROW()</f>
        <v>7</v>
      </c>
      <c r="B7" s="183" t="s">
        <v>80</v>
      </c>
      <c r="C7" s="184">
        <f>'Plant Additions thr Oct 2026'!B77</f>
        <v>243881800.65000007</v>
      </c>
    </row>
    <row r="8" spans="1:5" ht="15.6" x14ac:dyDescent="0.3">
      <c r="A8" s="182">
        <f>ROW()</f>
        <v>8</v>
      </c>
      <c r="B8" s="183" t="s">
        <v>81</v>
      </c>
      <c r="C8" s="212">
        <f>'Plant Additions thr Oct 2026'!B78</f>
        <v>-26428196.201669574</v>
      </c>
    </row>
    <row r="9" spans="1:5" ht="15.6" x14ac:dyDescent="0.3">
      <c r="A9" s="182">
        <f>ROW()</f>
        <v>9</v>
      </c>
      <c r="B9" s="183" t="s">
        <v>200</v>
      </c>
      <c r="C9" s="212">
        <f>'Plant Additions thr Oct 2026'!B79</f>
        <v>-9206603.1608491261</v>
      </c>
    </row>
    <row r="10" spans="1:5" ht="15.6" x14ac:dyDescent="0.3">
      <c r="A10" s="182">
        <f>ROW()</f>
        <v>10</v>
      </c>
      <c r="B10" s="183" t="s">
        <v>131</v>
      </c>
      <c r="C10" s="202">
        <f>SUM(C7:C9)</f>
        <v>208247001.28748137</v>
      </c>
    </row>
    <row r="11" spans="1:5" ht="15.6" x14ac:dyDescent="0.3">
      <c r="A11" s="182"/>
      <c r="B11" s="178"/>
      <c r="C11" s="133"/>
    </row>
    <row r="12" spans="1:5" ht="15.6" x14ac:dyDescent="0.3">
      <c r="A12" s="182"/>
      <c r="B12" s="181" t="s">
        <v>311</v>
      </c>
      <c r="C12" s="187"/>
    </row>
    <row r="13" spans="1:5" ht="15.6" x14ac:dyDescent="0.3">
      <c r="A13" s="182">
        <f>ROW()</f>
        <v>13</v>
      </c>
      <c r="B13" s="183" t="s">
        <v>175</v>
      </c>
      <c r="C13" s="200">
        <f>'UpdateLNG Depreciation Deferral'!E83</f>
        <v>10746030.537534297</v>
      </c>
    </row>
    <row r="14" spans="1:5" ht="15.6" x14ac:dyDescent="0.3">
      <c r="A14" s="182">
        <f>ROW()</f>
        <v>14</v>
      </c>
      <c r="B14" s="183" t="s">
        <v>176</v>
      </c>
      <c r="C14" s="212">
        <f>'Updated LNG O&amp;M Deferral'!E83</f>
        <v>8879093.3499999978</v>
      </c>
    </row>
    <row r="15" spans="1:5" ht="15.6" x14ac:dyDescent="0.3">
      <c r="A15" s="182">
        <f>ROW()</f>
        <v>15</v>
      </c>
      <c r="B15" s="183" t="s">
        <v>149</v>
      </c>
      <c r="C15" s="212">
        <f>'UpdateLNG Depreciation Deferral'!H83</f>
        <v>-5373015.3600000003</v>
      </c>
    </row>
    <row r="16" spans="1:5" ht="15.6" x14ac:dyDescent="0.3">
      <c r="A16" s="182">
        <f>ROW()</f>
        <v>16</v>
      </c>
      <c r="B16" s="183" t="s">
        <v>150</v>
      </c>
      <c r="C16" s="212">
        <f>'Updated LNG O&amp;M Deferral'!H83</f>
        <v>-4439546.8800000018</v>
      </c>
    </row>
    <row r="17" spans="1:3" ht="15.6" x14ac:dyDescent="0.3">
      <c r="A17" s="182">
        <f>ROW()</f>
        <v>17</v>
      </c>
      <c r="B17" s="183" t="s">
        <v>151</v>
      </c>
      <c r="C17" s="212">
        <f>'UpdateLNG Depreciation Deferral'!L83</f>
        <v>-1128333.1872822009</v>
      </c>
    </row>
    <row r="18" spans="1:3" ht="15.6" x14ac:dyDescent="0.3">
      <c r="A18" s="182">
        <f>ROW()</f>
        <v>18</v>
      </c>
      <c r="B18" s="183" t="s">
        <v>152</v>
      </c>
      <c r="C18" s="212">
        <f>'Updated LNG O&amp;M Deferral'!L83</f>
        <v>-932304.75869999919</v>
      </c>
    </row>
    <row r="19" spans="1:3" ht="15.6" x14ac:dyDescent="0.3">
      <c r="A19" s="182">
        <f>ROW()</f>
        <v>19</v>
      </c>
      <c r="B19" s="183" t="s">
        <v>38</v>
      </c>
      <c r="C19" s="202">
        <f>SUM(C13:C18)</f>
        <v>7751923.7015520921</v>
      </c>
    </row>
    <row r="20" spans="1:3" ht="15.6" x14ac:dyDescent="0.3">
      <c r="A20" s="182"/>
      <c r="B20" s="183"/>
      <c r="C20" s="133"/>
    </row>
    <row r="21" spans="1:3" ht="15.6" x14ac:dyDescent="0.3">
      <c r="A21" s="182"/>
      <c r="B21" s="181" t="s">
        <v>243</v>
      </c>
      <c r="C21" s="132"/>
    </row>
    <row r="22" spans="1:3" ht="15.6" x14ac:dyDescent="0.3">
      <c r="A22" s="182">
        <f>ROW()</f>
        <v>22</v>
      </c>
      <c r="B22" s="183" t="s">
        <v>175</v>
      </c>
      <c r="C22" s="200">
        <f>'Post Oct 23 LNG Depr Deferra '!E83</f>
        <v>2767661.4841691628</v>
      </c>
    </row>
    <row r="23" spans="1:3" ht="15.6" x14ac:dyDescent="0.3">
      <c r="A23" s="182">
        <f>ROW()</f>
        <v>23</v>
      </c>
      <c r="B23" s="183" t="s">
        <v>176</v>
      </c>
      <c r="C23" s="212">
        <f>'Post Oct 23 LNG O&amp;M Deferral '!E83</f>
        <v>2459602.85</v>
      </c>
    </row>
    <row r="24" spans="1:3" ht="15.6" x14ac:dyDescent="0.3">
      <c r="A24" s="182">
        <f>ROW()</f>
        <v>24</v>
      </c>
      <c r="B24" s="183" t="s">
        <v>149</v>
      </c>
      <c r="C24" s="212">
        <f>'Post Oct 23 LNG Depr Deferra '!H83</f>
        <v>-461276.9140281938</v>
      </c>
    </row>
    <row r="25" spans="1:3" ht="15.6" x14ac:dyDescent="0.3">
      <c r="A25" s="182">
        <f>ROW()</f>
        <v>25</v>
      </c>
      <c r="B25" s="183" t="s">
        <v>150</v>
      </c>
      <c r="C25" s="212">
        <f>'Post Oct 23 LNG O&amp;M Deferral '!H83</f>
        <v>-409933.80833333317</v>
      </c>
    </row>
    <row r="26" spans="1:3" ht="15.6" x14ac:dyDescent="0.3">
      <c r="A26" s="182">
        <f>ROW()</f>
        <v>26</v>
      </c>
      <c r="B26" s="183" t="s">
        <v>151</v>
      </c>
      <c r="C26" s="212">
        <f>'Post Oct 23 LNG Depr Deferra '!L83</f>
        <v>-484340.75972960354</v>
      </c>
    </row>
    <row r="27" spans="1:3" ht="15.6" x14ac:dyDescent="0.3">
      <c r="A27" s="182">
        <f>ROW()</f>
        <v>27</v>
      </c>
      <c r="B27" s="183" t="s">
        <v>152</v>
      </c>
      <c r="C27" s="212">
        <f>'Post Oct 23 LNG O&amp;M Deferral '!L83</f>
        <v>-430430.49874999985</v>
      </c>
    </row>
    <row r="28" spans="1:3" ht="15.6" x14ac:dyDescent="0.3">
      <c r="A28" s="182">
        <f>ROW()</f>
        <v>28</v>
      </c>
      <c r="B28" s="183" t="s">
        <v>38</v>
      </c>
      <c r="C28" s="202">
        <f>SUM(C22:C27)</f>
        <v>3441282.353328032</v>
      </c>
    </row>
    <row r="29" spans="1:3" ht="15.6" x14ac:dyDescent="0.3">
      <c r="A29" s="182"/>
      <c r="B29" s="183"/>
      <c r="C29" s="133"/>
    </row>
    <row r="30" spans="1:3" ht="15.6" x14ac:dyDescent="0.3">
      <c r="A30" s="182">
        <f>ROW()</f>
        <v>30</v>
      </c>
      <c r="B30" s="188" t="s">
        <v>39</v>
      </c>
      <c r="C30" s="213">
        <f>C10+C19+C28</f>
        <v>219440207.34236148</v>
      </c>
    </row>
    <row r="31" spans="1:3" ht="15.6" x14ac:dyDescent="0.3">
      <c r="A31" s="182"/>
      <c r="B31" s="178"/>
      <c r="C31" s="213"/>
    </row>
    <row r="32" spans="1:3" ht="15.6" x14ac:dyDescent="0.3">
      <c r="A32" s="182">
        <f>ROW()</f>
        <v>32</v>
      </c>
      <c r="B32" s="178" t="s">
        <v>139</v>
      </c>
      <c r="C32" s="386">
        <f>'approved COC'!D46</f>
        <v>7.619999999999999E-2</v>
      </c>
    </row>
    <row r="33" spans="1:6" ht="15.6" x14ac:dyDescent="0.3">
      <c r="A33" s="182">
        <f>ROW()</f>
        <v>33</v>
      </c>
      <c r="B33" s="178" t="s">
        <v>140</v>
      </c>
      <c r="C33" s="388">
        <f>'approved COC'!D51</f>
        <v>2.6949999999999998E-2</v>
      </c>
    </row>
    <row r="34" spans="1:6" ht="15.6" x14ac:dyDescent="0.3">
      <c r="A34" s="182">
        <f>ROW()</f>
        <v>34</v>
      </c>
      <c r="B34" s="178" t="s">
        <v>141</v>
      </c>
      <c r="C34" s="387">
        <v>0.21</v>
      </c>
    </row>
    <row r="35" spans="1:6" ht="15.6" x14ac:dyDescent="0.3">
      <c r="A35" s="182">
        <f>ROW()</f>
        <v>35</v>
      </c>
      <c r="B35" s="178" t="s">
        <v>174</v>
      </c>
      <c r="C35" s="202">
        <f>C30*C32</f>
        <v>16721343.799487943</v>
      </c>
    </row>
    <row r="36" spans="1:6" ht="15.6" x14ac:dyDescent="0.3">
      <c r="A36" s="182"/>
      <c r="B36" s="178"/>
      <c r="C36" s="132"/>
    </row>
    <row r="37" spans="1:6" ht="15.6" x14ac:dyDescent="0.3">
      <c r="A37" s="182"/>
      <c r="B37" s="131" t="s">
        <v>142</v>
      </c>
      <c r="C37" s="184"/>
    </row>
    <row r="38" spans="1:6" ht="15.6" x14ac:dyDescent="0.3">
      <c r="A38" s="182">
        <f>ROW()</f>
        <v>38</v>
      </c>
      <c r="B38" s="183" t="s">
        <v>16</v>
      </c>
      <c r="C38" s="187">
        <f>-SUM('LNG Forecast O&amp;M'!D3:O3)*0.79</f>
        <v>-4374952.4455953659</v>
      </c>
    </row>
    <row r="39" spans="1:6" ht="15.6" x14ac:dyDescent="0.3">
      <c r="A39" s="182">
        <f>ROW()</f>
        <v>39</v>
      </c>
      <c r="B39" s="183" t="s">
        <v>17</v>
      </c>
      <c r="C39" s="203">
        <f>-SUM('Plant Additions thr Oct 2026'!E59:E70)*0.79</f>
        <v>-5158447.0658153389</v>
      </c>
    </row>
    <row r="40" spans="1:6" ht="15.6" x14ac:dyDescent="0.3">
      <c r="A40" s="182">
        <f>ROW()</f>
        <v>40</v>
      </c>
      <c r="B40" s="183" t="s">
        <v>234</v>
      </c>
      <c r="C40" s="203">
        <f>'Total Deferrals Summary '!D11</f>
        <v>-7091842.8612000011</v>
      </c>
    </row>
    <row r="41" spans="1:6" ht="15.6" x14ac:dyDescent="0.3">
      <c r="A41" s="182">
        <f>ROW()</f>
        <v>41</v>
      </c>
      <c r="B41" s="183" t="s">
        <v>292</v>
      </c>
      <c r="C41" s="203">
        <f>'Total Deferrals Summary '!E11</f>
        <v>-3894878.6279978794</v>
      </c>
    </row>
    <row r="42" spans="1:6" ht="15.6" x14ac:dyDescent="0.3">
      <c r="A42" s="182">
        <f>ROW()</f>
        <v>42</v>
      </c>
      <c r="B42" s="183" t="s">
        <v>290</v>
      </c>
      <c r="C42" s="187">
        <f>C30*C33*C34</f>
        <v>1241921.8534540946</v>
      </c>
    </row>
    <row r="43" spans="1:6" ht="15.6" x14ac:dyDescent="0.3">
      <c r="A43" s="182">
        <f>ROW()</f>
        <v>43</v>
      </c>
      <c r="B43" s="192" t="s">
        <v>40</v>
      </c>
      <c r="C43" s="202">
        <f>C35-SUM(C38:C42)</f>
        <v>35999542.946642436</v>
      </c>
    </row>
    <row r="44" spans="1:6" ht="15.6" x14ac:dyDescent="0.3">
      <c r="A44" s="182"/>
      <c r="B44" s="192"/>
      <c r="C44" s="212"/>
    </row>
    <row r="45" spans="1:6" ht="15.6" x14ac:dyDescent="0.3">
      <c r="A45" s="182">
        <f>ROW()</f>
        <v>45</v>
      </c>
      <c r="B45" s="192" t="s">
        <v>291</v>
      </c>
      <c r="C45" s="212">
        <f>'Tracker Monthly True-up Detail'!R18*0.79</f>
        <v>7065414.5347574325</v>
      </c>
      <c r="F45" s="173"/>
    </row>
    <row r="46" spans="1:6" ht="15.6" x14ac:dyDescent="0.3">
      <c r="A46" s="182"/>
      <c r="B46" s="192"/>
      <c r="C46" s="212"/>
    </row>
    <row r="47" spans="1:6" ht="15.6" x14ac:dyDescent="0.3">
      <c r="A47" s="182">
        <f>ROW()</f>
        <v>47</v>
      </c>
      <c r="B47" s="183" t="s">
        <v>18</v>
      </c>
      <c r="C47" s="391">
        <f>'Gas Con Factor'!E21</f>
        <v>0.75342299999999995</v>
      </c>
    </row>
    <row r="48" spans="1:6" ht="15.6" x14ac:dyDescent="0.3">
      <c r="A48" s="417">
        <f>ROW()</f>
        <v>48</v>
      </c>
      <c r="B48" s="418" t="s">
        <v>42</v>
      </c>
      <c r="C48" s="419">
        <f>(C43+C45)/C47</f>
        <v>57159069.31617415</v>
      </c>
    </row>
    <row r="49" spans="1:3" ht="15.6" x14ac:dyDescent="0.3">
      <c r="A49" s="182"/>
      <c r="C49" s="203"/>
    </row>
    <row r="50" spans="1:3" ht="15.6" x14ac:dyDescent="0.3">
      <c r="A50" s="182"/>
    </row>
    <row r="51" spans="1:3" ht="15.6" x14ac:dyDescent="0.3">
      <c r="A51" s="182">
        <f>ROW()</f>
        <v>51</v>
      </c>
      <c r="B51" s="183" t="s">
        <v>313</v>
      </c>
      <c r="C51" s="200">
        <f>'Cmply. Filed'!C36</f>
        <v>42674611.38201727</v>
      </c>
    </row>
    <row r="52" spans="1:3" ht="15.6" x14ac:dyDescent="0.3">
      <c r="A52" s="182"/>
    </row>
    <row r="53" spans="1:3" ht="15.6" x14ac:dyDescent="0.3">
      <c r="A53" s="182">
        <f>ROW()</f>
        <v>53</v>
      </c>
      <c r="B53" s="183" t="s">
        <v>315</v>
      </c>
      <c r="C53" s="200">
        <f>-C41/C47</f>
        <v>5169577.5520496182</v>
      </c>
    </row>
    <row r="54" spans="1:3" ht="15.6" x14ac:dyDescent="0.3">
      <c r="A54" s="182">
        <f>ROW()</f>
        <v>54</v>
      </c>
      <c r="B54" s="183" t="s">
        <v>314</v>
      </c>
      <c r="C54" s="200">
        <f>C45/C47</f>
        <v>9377752.6499156952</v>
      </c>
    </row>
    <row r="55" spans="1:3" ht="15.6" x14ac:dyDescent="0.3">
      <c r="A55" s="182">
        <f>ROW()</f>
        <v>55</v>
      </c>
      <c r="B55" s="183" t="s">
        <v>318</v>
      </c>
      <c r="C55" s="200">
        <f>C48-SUM(C51:C54)</f>
        <v>-62872.267808437347</v>
      </c>
    </row>
    <row r="56" spans="1:3" ht="15.6" x14ac:dyDescent="0.3">
      <c r="A56" s="182">
        <f>ROW()</f>
        <v>56</v>
      </c>
      <c r="B56" s="183" t="s">
        <v>316</v>
      </c>
      <c r="C56" s="416">
        <f>SUM(C53:C55)</f>
        <v>14484457.934156876</v>
      </c>
    </row>
    <row r="57" spans="1:3" ht="15.6" x14ac:dyDescent="0.3">
      <c r="C57" s="414"/>
    </row>
    <row r="58" spans="1:3" ht="16.2" thickBot="1" x14ac:dyDescent="0.35">
      <c r="A58" s="182">
        <f>ROW()</f>
        <v>58</v>
      </c>
      <c r="B58" s="183" t="s">
        <v>317</v>
      </c>
      <c r="C58" s="415">
        <f>C51+C56</f>
        <v>57159069.31617415</v>
      </c>
    </row>
    <row r="59" spans="1:3" ht="15" thickTop="1" x14ac:dyDescent="0.3">
      <c r="C59" s="413">
        <f>C58-C48</f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O110"/>
  <sheetViews>
    <sheetView workbookViewId="0">
      <pane xSplit="1" ySplit="9" topLeftCell="B61" activePane="bottomRight" state="frozen"/>
      <selection activeCell="C50" sqref="C50"/>
      <selection pane="topRight" activeCell="C50" sqref="C50"/>
      <selection pane="bottomLeft" activeCell="C50" sqref="C50"/>
      <selection pane="bottomRight" activeCell="C66" sqref="C66"/>
    </sheetView>
  </sheetViews>
  <sheetFormatPr defaultColWidth="9.109375" defaultRowHeight="13.2" outlineLevelRow="1" x14ac:dyDescent="0.25"/>
  <cols>
    <col min="1" max="1" width="9.6640625" style="30" customWidth="1"/>
    <col min="2" max="2" width="8.88671875" style="66" bestFit="1" customWidth="1"/>
    <col min="3" max="3" width="11.33203125" style="66" customWidth="1"/>
    <col min="4" max="5" width="11.33203125" style="66" bestFit="1" customWidth="1"/>
    <col min="6" max="6" width="16.33203125" style="66" bestFit="1" customWidth="1"/>
    <col min="7" max="7" width="16.109375" style="66" bestFit="1" customWidth="1"/>
    <col min="8" max="8" width="12.109375" style="66" bestFit="1" customWidth="1"/>
    <col min="9" max="9" width="11.44140625" style="66" bestFit="1" customWidth="1"/>
    <col min="10" max="10" width="15" style="66" bestFit="1" customWidth="1"/>
    <col min="11" max="11" width="16.6640625" style="66" bestFit="1" customWidth="1"/>
    <col min="12" max="12" width="11.33203125" style="66" bestFit="1" customWidth="1"/>
    <col min="13" max="13" width="11.44140625" style="66" bestFit="1" customWidth="1"/>
    <col min="14" max="14" width="11.109375" style="66" bestFit="1" customWidth="1"/>
    <col min="15" max="15" width="6.33203125" style="30" bestFit="1" customWidth="1"/>
    <col min="16" max="16384" width="9.109375" style="30"/>
  </cols>
  <sheetData>
    <row r="1" spans="1:15" x14ac:dyDescent="0.25">
      <c r="A1" s="27" t="s">
        <v>43</v>
      </c>
      <c r="B1" s="28"/>
      <c r="C1" s="28"/>
      <c r="D1" s="28"/>
      <c r="E1" s="28"/>
      <c r="F1" s="28"/>
      <c r="G1" s="28"/>
      <c r="H1" s="28"/>
      <c r="I1" s="28"/>
      <c r="J1" s="29"/>
      <c r="K1" s="29"/>
      <c r="L1" s="29"/>
      <c r="M1" s="29"/>
      <c r="N1" s="30"/>
    </row>
    <row r="2" spans="1:15" x14ac:dyDescent="0.25">
      <c r="A2" s="27" t="s">
        <v>238</v>
      </c>
      <c r="B2" s="28"/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30"/>
    </row>
    <row r="3" spans="1:15" x14ac:dyDescent="0.25">
      <c r="A3" s="28" t="s">
        <v>235</v>
      </c>
      <c r="B3" s="28"/>
      <c r="C3" s="28"/>
      <c r="D3" s="28"/>
      <c r="E3" s="28"/>
      <c r="F3" s="28"/>
      <c r="G3" s="28"/>
      <c r="H3" s="28"/>
      <c r="I3" s="28"/>
      <c r="J3" s="29"/>
      <c r="K3" s="29"/>
      <c r="L3" s="29"/>
      <c r="M3" s="29"/>
      <c r="N3" s="30"/>
    </row>
    <row r="4" spans="1:15" x14ac:dyDescent="0.25">
      <c r="A4" s="28"/>
      <c r="B4" s="28"/>
      <c r="C4" s="31"/>
      <c r="D4" s="32"/>
      <c r="E4" s="33"/>
      <c r="F4" s="34"/>
      <c r="G4" s="34"/>
      <c r="H4" s="34"/>
      <c r="I4" s="34"/>
      <c r="J4" s="35"/>
      <c r="K4" s="36"/>
      <c r="L4" s="35"/>
      <c r="M4" s="35"/>
      <c r="N4" s="30"/>
    </row>
    <row r="5" spans="1:15" x14ac:dyDescent="0.25">
      <c r="A5" s="29"/>
      <c r="B5" s="29"/>
      <c r="C5" s="37" t="s">
        <v>46</v>
      </c>
      <c r="D5" s="38"/>
      <c r="E5" s="35"/>
      <c r="F5" s="39"/>
      <c r="G5" s="39"/>
      <c r="H5" s="39"/>
      <c r="I5" s="39"/>
      <c r="J5" s="40"/>
      <c r="K5" s="39"/>
      <c r="L5" s="39"/>
      <c r="M5" s="39"/>
      <c r="N5" s="30"/>
    </row>
    <row r="6" spans="1:15" x14ac:dyDescent="0.25">
      <c r="A6" s="41"/>
      <c r="B6" s="41"/>
      <c r="C6" s="42" t="s">
        <v>47</v>
      </c>
      <c r="D6" s="42" t="s">
        <v>48</v>
      </c>
      <c r="E6" s="42" t="s">
        <v>49</v>
      </c>
      <c r="F6" s="42" t="s">
        <v>50</v>
      </c>
      <c r="G6" s="42" t="s">
        <v>51</v>
      </c>
      <c r="H6" s="42" t="s">
        <v>52</v>
      </c>
      <c r="I6" s="42" t="s">
        <v>41</v>
      </c>
      <c r="J6" s="42" t="s">
        <v>50</v>
      </c>
      <c r="K6" s="42" t="s">
        <v>51</v>
      </c>
      <c r="L6" s="42" t="s">
        <v>53</v>
      </c>
      <c r="M6" s="43" t="s">
        <v>54</v>
      </c>
      <c r="N6" s="44" t="s">
        <v>48</v>
      </c>
      <c r="O6" s="146" t="s">
        <v>156</v>
      </c>
    </row>
    <row r="7" spans="1:15" x14ac:dyDescent="0.25">
      <c r="A7" s="39" t="s">
        <v>55</v>
      </c>
      <c r="B7" s="45"/>
      <c r="C7" s="39" t="s">
        <v>56</v>
      </c>
      <c r="D7" s="39"/>
      <c r="E7" s="39" t="s">
        <v>48</v>
      </c>
      <c r="F7" s="39" t="s">
        <v>57</v>
      </c>
      <c r="G7" s="39" t="s">
        <v>57</v>
      </c>
      <c r="H7" s="39" t="s">
        <v>57</v>
      </c>
      <c r="I7" s="39" t="s">
        <v>58</v>
      </c>
      <c r="J7" s="39" t="s">
        <v>59</v>
      </c>
      <c r="K7" s="39" t="s">
        <v>59</v>
      </c>
      <c r="L7" s="39" t="s">
        <v>41</v>
      </c>
      <c r="M7" s="46" t="s">
        <v>53</v>
      </c>
      <c r="N7" s="47" t="s">
        <v>60</v>
      </c>
      <c r="O7" s="146" t="s">
        <v>158</v>
      </c>
    </row>
    <row r="8" spans="1:15" x14ac:dyDescent="0.25">
      <c r="A8" s="39" t="s">
        <v>61</v>
      </c>
      <c r="B8" s="45"/>
      <c r="C8" s="39" t="s">
        <v>62</v>
      </c>
      <c r="D8" s="39" t="s">
        <v>63</v>
      </c>
      <c r="E8" s="39" t="s">
        <v>64</v>
      </c>
      <c r="F8" s="39" t="s">
        <v>65</v>
      </c>
      <c r="G8" s="48" t="s">
        <v>66</v>
      </c>
      <c r="H8" s="39" t="s">
        <v>67</v>
      </c>
      <c r="I8" s="39" t="s">
        <v>68</v>
      </c>
      <c r="J8" s="39" t="s">
        <v>69</v>
      </c>
      <c r="K8" s="39" t="s">
        <v>70</v>
      </c>
      <c r="L8" s="39" t="s">
        <v>71</v>
      </c>
      <c r="M8" s="46" t="s">
        <v>72</v>
      </c>
      <c r="N8" s="47" t="s">
        <v>73</v>
      </c>
      <c r="O8" s="147" t="s">
        <v>157</v>
      </c>
    </row>
    <row r="9" spans="1:15" x14ac:dyDescent="0.25">
      <c r="A9" s="49"/>
      <c r="B9" s="49"/>
      <c r="C9" s="50"/>
      <c r="D9" s="50"/>
      <c r="E9" s="50"/>
      <c r="F9" s="51" t="s">
        <v>244</v>
      </c>
      <c r="G9" s="50"/>
      <c r="H9" s="50"/>
      <c r="I9" s="50"/>
      <c r="J9" s="50" t="s">
        <v>75</v>
      </c>
      <c r="K9" s="52"/>
      <c r="L9" s="50"/>
      <c r="M9" s="53"/>
      <c r="N9" s="54"/>
      <c r="O9" s="146">
        <v>0.21</v>
      </c>
    </row>
    <row r="10" spans="1:15" x14ac:dyDescent="0.25">
      <c r="A10" s="55"/>
      <c r="B10" s="29"/>
      <c r="C10" s="39"/>
      <c r="D10" s="56"/>
      <c r="E10" s="57"/>
      <c r="F10" s="39"/>
      <c r="G10" s="39"/>
      <c r="H10" s="56"/>
      <c r="I10" s="56"/>
      <c r="J10" s="58"/>
      <c r="K10" s="58"/>
      <c r="L10" s="58"/>
      <c r="M10" s="59"/>
      <c r="N10" s="60"/>
    </row>
    <row r="11" spans="1:15" x14ac:dyDescent="0.25">
      <c r="A11" s="61" t="s">
        <v>76</v>
      </c>
      <c r="B11" s="61"/>
      <c r="C11" s="62"/>
      <c r="D11" s="56"/>
      <c r="E11" s="63"/>
      <c r="F11" s="56"/>
      <c r="G11" s="56"/>
      <c r="H11" s="56"/>
      <c r="I11" s="56"/>
      <c r="J11" s="63"/>
      <c r="K11" s="63"/>
      <c r="L11" s="63"/>
      <c r="M11" s="59"/>
      <c r="N11" s="64"/>
    </row>
    <row r="12" spans="1:15" hidden="1" outlineLevel="1" x14ac:dyDescent="0.25">
      <c r="A12" s="61">
        <v>44165</v>
      </c>
      <c r="B12" s="61"/>
      <c r="C12" s="62"/>
      <c r="D12" s="56"/>
      <c r="E12" s="63"/>
      <c r="F12" s="56"/>
      <c r="G12" s="56"/>
      <c r="H12" s="56"/>
      <c r="I12" s="56"/>
      <c r="J12" s="63"/>
      <c r="K12" s="63"/>
      <c r="L12" s="63"/>
      <c r="M12" s="58"/>
      <c r="N12" s="64"/>
    </row>
    <row r="13" spans="1:15" hidden="1" outlineLevel="1" x14ac:dyDescent="0.25">
      <c r="A13" s="61">
        <v>44196</v>
      </c>
      <c r="B13" s="61"/>
      <c r="C13" s="62"/>
      <c r="D13" s="56"/>
      <c r="E13" s="63"/>
      <c r="F13" s="56"/>
      <c r="G13" s="56"/>
      <c r="H13" s="56"/>
      <c r="I13" s="56"/>
      <c r="J13" s="63"/>
      <c r="K13" s="63"/>
      <c r="L13" s="63"/>
      <c r="M13" s="58"/>
      <c r="N13" s="64"/>
    </row>
    <row r="14" spans="1:15" hidden="1" outlineLevel="1" x14ac:dyDescent="0.25">
      <c r="A14" s="61">
        <v>44227</v>
      </c>
      <c r="B14" s="61"/>
      <c r="C14" s="62"/>
      <c r="D14" s="56"/>
      <c r="E14" s="63"/>
      <c r="F14" s="56"/>
      <c r="G14" s="56"/>
      <c r="H14" s="56"/>
      <c r="I14" s="56"/>
      <c r="J14" s="63"/>
      <c r="K14" s="63"/>
      <c r="L14" s="63"/>
      <c r="M14" s="58"/>
      <c r="N14" s="64"/>
    </row>
    <row r="15" spans="1:15" hidden="1" outlineLevel="1" x14ac:dyDescent="0.25">
      <c r="A15" s="61">
        <v>44255</v>
      </c>
      <c r="B15" s="61"/>
      <c r="C15" s="62"/>
      <c r="D15" s="56"/>
      <c r="E15" s="63"/>
      <c r="F15" s="56"/>
      <c r="G15" s="56"/>
      <c r="H15" s="56"/>
      <c r="I15" s="56"/>
      <c r="J15" s="63"/>
      <c r="K15" s="63"/>
      <c r="L15" s="63"/>
      <c r="M15" s="58"/>
      <c r="N15" s="64"/>
    </row>
    <row r="16" spans="1:15" hidden="1" outlineLevel="1" x14ac:dyDescent="0.25">
      <c r="A16" s="61">
        <v>44286</v>
      </c>
      <c r="B16" s="61"/>
      <c r="C16" s="62"/>
      <c r="D16" s="56"/>
      <c r="E16" s="63"/>
      <c r="F16" s="56"/>
      <c r="G16" s="56"/>
      <c r="H16" s="56"/>
      <c r="I16" s="56"/>
      <c r="J16" s="63"/>
      <c r="K16" s="63"/>
      <c r="L16" s="63"/>
      <c r="M16" s="58"/>
      <c r="N16" s="64"/>
    </row>
    <row r="17" spans="1:15" hidden="1" outlineLevel="1" x14ac:dyDescent="0.25">
      <c r="A17" s="61">
        <v>44316</v>
      </c>
      <c r="B17" s="61"/>
      <c r="C17" s="62"/>
      <c r="D17" s="56"/>
      <c r="E17" s="63"/>
      <c r="F17" s="56"/>
      <c r="G17" s="56"/>
      <c r="H17" s="56"/>
      <c r="I17" s="56"/>
      <c r="J17" s="63"/>
      <c r="K17" s="63"/>
      <c r="L17" s="63"/>
      <c r="M17" s="58"/>
      <c r="N17" s="64"/>
    </row>
    <row r="18" spans="1:15" hidden="1" outlineLevel="1" x14ac:dyDescent="0.25">
      <c r="A18" s="61">
        <v>44347</v>
      </c>
      <c r="B18" s="61"/>
      <c r="C18" s="62"/>
      <c r="D18" s="56"/>
      <c r="E18" s="63"/>
      <c r="F18" s="56"/>
      <c r="G18" s="56"/>
      <c r="H18" s="56"/>
      <c r="I18" s="56"/>
      <c r="J18" s="63"/>
      <c r="K18" s="63"/>
      <c r="L18" s="63"/>
      <c r="M18" s="58"/>
      <c r="N18" s="64"/>
    </row>
    <row r="19" spans="1:15" hidden="1" outlineLevel="1" x14ac:dyDescent="0.25">
      <c r="A19" s="61">
        <v>44377</v>
      </c>
      <c r="B19" s="61"/>
      <c r="C19" s="62"/>
      <c r="D19" s="56"/>
      <c r="E19" s="63"/>
      <c r="F19" s="56"/>
      <c r="G19" s="56"/>
      <c r="H19" s="56"/>
      <c r="I19" s="56"/>
      <c r="J19" s="63"/>
      <c r="K19" s="63"/>
      <c r="L19" s="63"/>
      <c r="M19" s="58"/>
      <c r="N19" s="64"/>
    </row>
    <row r="20" spans="1:15" hidden="1" outlineLevel="1" x14ac:dyDescent="0.25">
      <c r="A20" s="61">
        <v>44408</v>
      </c>
      <c r="B20" s="61"/>
      <c r="C20" s="62"/>
      <c r="D20" s="56"/>
      <c r="E20" s="63"/>
      <c r="F20" s="56"/>
      <c r="G20" s="56"/>
      <c r="H20" s="56"/>
      <c r="I20" s="56"/>
      <c r="J20" s="63"/>
      <c r="K20" s="63"/>
      <c r="L20" s="63"/>
      <c r="M20" s="58"/>
      <c r="N20" s="64"/>
    </row>
    <row r="21" spans="1:15" hidden="1" outlineLevel="1" x14ac:dyDescent="0.25">
      <c r="A21" s="61">
        <v>44439</v>
      </c>
      <c r="B21" s="61"/>
      <c r="C21" s="62"/>
      <c r="D21" s="56"/>
      <c r="E21" s="63"/>
      <c r="F21" s="56"/>
      <c r="G21" s="56"/>
      <c r="H21" s="56"/>
      <c r="I21" s="56"/>
      <c r="J21" s="63"/>
      <c r="K21" s="63"/>
      <c r="L21" s="63"/>
      <c r="M21" s="58"/>
      <c r="N21" s="64"/>
    </row>
    <row r="22" spans="1:15" hidden="1" outlineLevel="1" x14ac:dyDescent="0.25">
      <c r="A22" s="61">
        <v>44469</v>
      </c>
      <c r="B22" s="61"/>
      <c r="C22" s="79"/>
      <c r="D22" s="56"/>
      <c r="E22" s="63"/>
      <c r="F22" s="56"/>
      <c r="G22" s="56"/>
      <c r="H22" s="56"/>
      <c r="I22" s="56"/>
      <c r="J22" s="63"/>
      <c r="K22" s="63"/>
      <c r="L22" s="63"/>
      <c r="M22" s="58"/>
      <c r="N22" s="64"/>
    </row>
    <row r="23" spans="1:15" hidden="1" outlineLevel="1" x14ac:dyDescent="0.25">
      <c r="A23" s="61">
        <v>44500</v>
      </c>
      <c r="B23" s="61"/>
      <c r="C23" s="79"/>
      <c r="D23" s="56"/>
      <c r="E23" s="63"/>
      <c r="F23" s="56"/>
      <c r="G23" s="56"/>
      <c r="H23" s="56"/>
      <c r="I23" s="56"/>
      <c r="J23" s="63"/>
      <c r="K23" s="63"/>
      <c r="L23" s="63"/>
      <c r="M23" s="58"/>
      <c r="N23" s="64"/>
    </row>
    <row r="24" spans="1:15" collapsed="1" x14ac:dyDescent="0.25">
      <c r="A24" s="61">
        <v>44530</v>
      </c>
      <c r="B24" s="61"/>
      <c r="C24" s="62"/>
      <c r="D24" s="63">
        <f>D11+C24</f>
        <v>0</v>
      </c>
      <c r="E24" s="63">
        <f t="shared" ref="E24:E87" si="0">(D12+D24+SUM(D13:D23)*2)/24</f>
        <v>0</v>
      </c>
      <c r="F24" s="63">
        <v>0</v>
      </c>
      <c r="G24" s="63">
        <v>0</v>
      </c>
      <c r="H24" s="63">
        <v>0</v>
      </c>
      <c r="I24" s="63">
        <v>0</v>
      </c>
      <c r="J24" s="63">
        <f t="shared" ref="J24:J87" si="1">(-C24*0.21)+(F24*0.21)</f>
        <v>0</v>
      </c>
      <c r="K24" s="63">
        <f t="shared" ref="K24:K87" si="2">K23+J24</f>
        <v>0</v>
      </c>
      <c r="L24" s="63">
        <v>0</v>
      </c>
      <c r="M24" s="63">
        <v>0</v>
      </c>
      <c r="N24" s="65">
        <v>0</v>
      </c>
    </row>
    <row r="25" spans="1:15" x14ac:dyDescent="0.25">
      <c r="A25" s="61">
        <v>44561</v>
      </c>
      <c r="B25" s="61"/>
      <c r="C25" s="62"/>
      <c r="D25" s="63">
        <f t="shared" ref="D25:D88" si="3">D24+C25</f>
        <v>0</v>
      </c>
      <c r="E25" s="63">
        <f t="shared" si="0"/>
        <v>0</v>
      </c>
      <c r="F25" s="63">
        <v>0</v>
      </c>
      <c r="G25" s="63">
        <v>0</v>
      </c>
      <c r="H25" s="63">
        <v>0</v>
      </c>
      <c r="I25" s="63">
        <v>0</v>
      </c>
      <c r="J25" s="63">
        <f t="shared" si="1"/>
        <v>0</v>
      </c>
      <c r="K25" s="63">
        <f t="shared" si="2"/>
        <v>0</v>
      </c>
      <c r="L25" s="63">
        <v>0</v>
      </c>
      <c r="M25" s="63">
        <v>0</v>
      </c>
      <c r="N25" s="65">
        <v>0</v>
      </c>
    </row>
    <row r="26" spans="1:15" x14ac:dyDescent="0.25">
      <c r="A26" s="61">
        <v>44592</v>
      </c>
      <c r="B26" s="61"/>
      <c r="C26" s="62"/>
      <c r="D26" s="63">
        <f t="shared" si="3"/>
        <v>0</v>
      </c>
      <c r="E26" s="63">
        <f>(D14+D26+SUM(D15:D25)*2)/24</f>
        <v>0</v>
      </c>
      <c r="F26" s="124"/>
      <c r="G26" s="63">
        <f t="shared" ref="G26:G89" si="4">G25-F26</f>
        <v>0</v>
      </c>
      <c r="H26" s="63">
        <f t="shared" ref="H26:H37" si="5">(G14+G26+SUM(G15:G25)*2)/24</f>
        <v>0</v>
      </c>
      <c r="I26" s="63">
        <f>E26+H26</f>
        <v>0</v>
      </c>
      <c r="J26" s="63">
        <f t="shared" si="1"/>
        <v>0</v>
      </c>
      <c r="K26" s="63">
        <f t="shared" si="2"/>
        <v>0</v>
      </c>
      <c r="L26" s="63">
        <f t="shared" ref="L26:L89" si="6">(K14+K26+SUM(K15:K25)*2)/24</f>
        <v>0</v>
      </c>
      <c r="M26" s="63">
        <f>I26+L26</f>
        <v>0</v>
      </c>
      <c r="N26" s="65">
        <f t="shared" ref="N26:N89" si="7">+D26+G26+K26</f>
        <v>0</v>
      </c>
      <c r="O26" s="145"/>
    </row>
    <row r="27" spans="1:15" x14ac:dyDescent="0.25">
      <c r="A27" s="61">
        <v>44620</v>
      </c>
      <c r="B27" s="61"/>
      <c r="C27" s="62"/>
      <c r="D27" s="63">
        <f t="shared" si="3"/>
        <v>0</v>
      </c>
      <c r="E27" s="63">
        <f>(D15+D27+SUM(D16:D26)*2)/24</f>
        <v>0</v>
      </c>
      <c r="F27" s="124"/>
      <c r="G27" s="63">
        <f t="shared" si="4"/>
        <v>0</v>
      </c>
      <c r="H27" s="63">
        <f t="shared" si="5"/>
        <v>0</v>
      </c>
      <c r="I27" s="63">
        <f t="shared" ref="I27:I90" si="8">E27+H27</f>
        <v>0</v>
      </c>
      <c r="J27" s="63">
        <f t="shared" si="1"/>
        <v>0</v>
      </c>
      <c r="K27" s="63">
        <f t="shared" si="2"/>
        <v>0</v>
      </c>
      <c r="L27" s="63">
        <f t="shared" si="6"/>
        <v>0</v>
      </c>
      <c r="M27" s="63">
        <f t="shared" ref="M27:M36" si="9">I27+L27</f>
        <v>0</v>
      </c>
      <c r="N27" s="65">
        <f t="shared" si="7"/>
        <v>0</v>
      </c>
      <c r="O27" s="145" t="e">
        <f t="shared" ref="O27:O90" si="10">-K27/(D27+G27)</f>
        <v>#DIV/0!</v>
      </c>
    </row>
    <row r="28" spans="1:15" x14ac:dyDescent="0.25">
      <c r="A28" s="61">
        <v>44651</v>
      </c>
      <c r="B28" s="61"/>
      <c r="C28" s="62"/>
      <c r="D28" s="63">
        <f t="shared" si="3"/>
        <v>0</v>
      </c>
      <c r="E28" s="63">
        <f t="shared" si="0"/>
        <v>0</v>
      </c>
      <c r="F28" s="124"/>
      <c r="G28" s="63">
        <f t="shared" si="4"/>
        <v>0</v>
      </c>
      <c r="H28" s="63">
        <f t="shared" si="5"/>
        <v>0</v>
      </c>
      <c r="I28" s="63">
        <f t="shared" si="8"/>
        <v>0</v>
      </c>
      <c r="J28" s="63">
        <f t="shared" si="1"/>
        <v>0</v>
      </c>
      <c r="K28" s="63">
        <f t="shared" si="2"/>
        <v>0</v>
      </c>
      <c r="L28" s="63">
        <f t="shared" si="6"/>
        <v>0</v>
      </c>
      <c r="M28" s="63">
        <f t="shared" si="9"/>
        <v>0</v>
      </c>
      <c r="N28" s="65">
        <f t="shared" si="7"/>
        <v>0</v>
      </c>
      <c r="O28" s="145" t="e">
        <f t="shared" si="10"/>
        <v>#DIV/0!</v>
      </c>
    </row>
    <row r="29" spans="1:15" x14ac:dyDescent="0.25">
      <c r="A29" s="61">
        <v>44681</v>
      </c>
      <c r="B29" s="61"/>
      <c r="C29" s="62"/>
      <c r="D29" s="63">
        <f t="shared" si="3"/>
        <v>0</v>
      </c>
      <c r="E29" s="63">
        <f t="shared" si="0"/>
        <v>0</v>
      </c>
      <c r="F29" s="124"/>
      <c r="G29" s="63">
        <f t="shared" si="4"/>
        <v>0</v>
      </c>
      <c r="H29" s="63">
        <f t="shared" si="5"/>
        <v>0</v>
      </c>
      <c r="I29" s="63">
        <f t="shared" si="8"/>
        <v>0</v>
      </c>
      <c r="J29" s="63">
        <f t="shared" si="1"/>
        <v>0</v>
      </c>
      <c r="K29" s="63">
        <f t="shared" si="2"/>
        <v>0</v>
      </c>
      <c r="L29" s="63">
        <f t="shared" si="6"/>
        <v>0</v>
      </c>
      <c r="M29" s="63">
        <f t="shared" si="9"/>
        <v>0</v>
      </c>
      <c r="N29" s="65">
        <f t="shared" si="7"/>
        <v>0</v>
      </c>
      <c r="O29" s="145" t="e">
        <f t="shared" si="10"/>
        <v>#DIV/0!</v>
      </c>
    </row>
    <row r="30" spans="1:15" x14ac:dyDescent="0.25">
      <c r="A30" s="61">
        <v>44712</v>
      </c>
      <c r="B30" s="61"/>
      <c r="C30" s="62"/>
      <c r="D30" s="63">
        <f t="shared" si="3"/>
        <v>0</v>
      </c>
      <c r="E30" s="63">
        <f t="shared" si="0"/>
        <v>0</v>
      </c>
      <c r="F30" s="124"/>
      <c r="G30" s="63">
        <f t="shared" si="4"/>
        <v>0</v>
      </c>
      <c r="H30" s="63">
        <f t="shared" si="5"/>
        <v>0</v>
      </c>
      <c r="I30" s="63">
        <f t="shared" si="8"/>
        <v>0</v>
      </c>
      <c r="J30" s="63">
        <f t="shared" si="1"/>
        <v>0</v>
      </c>
      <c r="K30" s="63">
        <f t="shared" si="2"/>
        <v>0</v>
      </c>
      <c r="L30" s="63">
        <f t="shared" si="6"/>
        <v>0</v>
      </c>
      <c r="M30" s="63">
        <f t="shared" si="9"/>
        <v>0</v>
      </c>
      <c r="N30" s="65">
        <f t="shared" si="7"/>
        <v>0</v>
      </c>
      <c r="O30" s="145" t="e">
        <f t="shared" si="10"/>
        <v>#DIV/0!</v>
      </c>
    </row>
    <row r="31" spans="1:15" x14ac:dyDescent="0.25">
      <c r="A31" s="61">
        <v>44742</v>
      </c>
      <c r="B31" s="61"/>
      <c r="C31" s="62"/>
      <c r="D31" s="63">
        <f t="shared" si="3"/>
        <v>0</v>
      </c>
      <c r="E31" s="63">
        <f t="shared" si="0"/>
        <v>0</v>
      </c>
      <c r="F31" s="124"/>
      <c r="G31" s="63">
        <f t="shared" si="4"/>
        <v>0</v>
      </c>
      <c r="H31" s="63">
        <f t="shared" si="5"/>
        <v>0</v>
      </c>
      <c r="I31" s="63">
        <f t="shared" si="8"/>
        <v>0</v>
      </c>
      <c r="J31" s="63">
        <f t="shared" si="1"/>
        <v>0</v>
      </c>
      <c r="K31" s="63">
        <f t="shared" si="2"/>
        <v>0</v>
      </c>
      <c r="L31" s="63">
        <f t="shared" si="6"/>
        <v>0</v>
      </c>
      <c r="M31" s="63">
        <f t="shared" si="9"/>
        <v>0</v>
      </c>
      <c r="N31" s="65">
        <f t="shared" si="7"/>
        <v>0</v>
      </c>
      <c r="O31" s="145" t="e">
        <f t="shared" si="10"/>
        <v>#DIV/0!</v>
      </c>
    </row>
    <row r="32" spans="1:15" x14ac:dyDescent="0.25">
      <c r="A32" s="61">
        <v>44773</v>
      </c>
      <c r="C32" s="62"/>
      <c r="D32" s="63">
        <f t="shared" si="3"/>
        <v>0</v>
      </c>
      <c r="E32" s="63">
        <f t="shared" si="0"/>
        <v>0</v>
      </c>
      <c r="F32" s="124"/>
      <c r="G32" s="63">
        <f t="shared" si="4"/>
        <v>0</v>
      </c>
      <c r="H32" s="63">
        <f t="shared" si="5"/>
        <v>0</v>
      </c>
      <c r="I32" s="63">
        <f t="shared" si="8"/>
        <v>0</v>
      </c>
      <c r="J32" s="63">
        <f t="shared" si="1"/>
        <v>0</v>
      </c>
      <c r="K32" s="63">
        <f t="shared" si="2"/>
        <v>0</v>
      </c>
      <c r="L32" s="63">
        <f t="shared" si="6"/>
        <v>0</v>
      </c>
      <c r="M32" s="63">
        <f t="shared" si="9"/>
        <v>0</v>
      </c>
      <c r="N32" s="65">
        <f t="shared" si="7"/>
        <v>0</v>
      </c>
      <c r="O32" s="145" t="e">
        <f t="shared" si="10"/>
        <v>#DIV/0!</v>
      </c>
    </row>
    <row r="33" spans="1:15" x14ac:dyDescent="0.25">
      <c r="A33" s="61">
        <v>44804</v>
      </c>
      <c r="C33" s="62"/>
      <c r="D33" s="63">
        <f t="shared" si="3"/>
        <v>0</v>
      </c>
      <c r="E33" s="63">
        <f t="shared" si="0"/>
        <v>0</v>
      </c>
      <c r="F33" s="124"/>
      <c r="G33" s="63">
        <f t="shared" si="4"/>
        <v>0</v>
      </c>
      <c r="H33" s="63">
        <f t="shared" si="5"/>
        <v>0</v>
      </c>
      <c r="I33" s="63">
        <f t="shared" si="8"/>
        <v>0</v>
      </c>
      <c r="J33" s="63">
        <f t="shared" si="1"/>
        <v>0</v>
      </c>
      <c r="K33" s="63">
        <f t="shared" si="2"/>
        <v>0</v>
      </c>
      <c r="L33" s="63">
        <f t="shared" si="6"/>
        <v>0</v>
      </c>
      <c r="M33" s="63">
        <f t="shared" si="9"/>
        <v>0</v>
      </c>
      <c r="N33" s="65">
        <f t="shared" si="7"/>
        <v>0</v>
      </c>
      <c r="O33" s="145" t="e">
        <f t="shared" si="10"/>
        <v>#DIV/0!</v>
      </c>
    </row>
    <row r="34" spans="1:15" x14ac:dyDescent="0.25">
      <c r="A34" s="61">
        <v>44834</v>
      </c>
      <c r="C34" s="62"/>
      <c r="D34" s="63">
        <f t="shared" si="3"/>
        <v>0</v>
      </c>
      <c r="E34" s="63">
        <f t="shared" si="0"/>
        <v>0</v>
      </c>
      <c r="F34" s="124"/>
      <c r="G34" s="63">
        <f t="shared" si="4"/>
        <v>0</v>
      </c>
      <c r="H34" s="63">
        <f t="shared" si="5"/>
        <v>0</v>
      </c>
      <c r="I34" s="63">
        <f t="shared" si="8"/>
        <v>0</v>
      </c>
      <c r="J34" s="63">
        <f t="shared" si="1"/>
        <v>0</v>
      </c>
      <c r="K34" s="63">
        <f t="shared" si="2"/>
        <v>0</v>
      </c>
      <c r="L34" s="63">
        <f t="shared" si="6"/>
        <v>0</v>
      </c>
      <c r="M34" s="63">
        <f t="shared" si="9"/>
        <v>0</v>
      </c>
      <c r="N34" s="65">
        <f t="shared" si="7"/>
        <v>0</v>
      </c>
      <c r="O34" s="145" t="e">
        <f t="shared" si="10"/>
        <v>#DIV/0!</v>
      </c>
    </row>
    <row r="35" spans="1:15" x14ac:dyDescent="0.25">
      <c r="A35" s="61">
        <v>44865</v>
      </c>
      <c r="C35" s="62"/>
      <c r="D35" s="63">
        <f t="shared" si="3"/>
        <v>0</v>
      </c>
      <c r="E35" s="63">
        <f t="shared" si="0"/>
        <v>0</v>
      </c>
      <c r="F35" s="124"/>
      <c r="G35" s="63">
        <f t="shared" si="4"/>
        <v>0</v>
      </c>
      <c r="H35" s="63">
        <f t="shared" si="5"/>
        <v>0</v>
      </c>
      <c r="I35" s="63">
        <f t="shared" si="8"/>
        <v>0</v>
      </c>
      <c r="J35" s="63">
        <f t="shared" si="1"/>
        <v>0</v>
      </c>
      <c r="K35" s="63">
        <f t="shared" si="2"/>
        <v>0</v>
      </c>
      <c r="L35" s="63">
        <f t="shared" si="6"/>
        <v>0</v>
      </c>
      <c r="M35" s="63">
        <f t="shared" si="9"/>
        <v>0</v>
      </c>
      <c r="N35" s="65">
        <f t="shared" si="7"/>
        <v>0</v>
      </c>
      <c r="O35" s="145" t="e">
        <f t="shared" si="10"/>
        <v>#DIV/0!</v>
      </c>
    </row>
    <row r="36" spans="1:15" x14ac:dyDescent="0.25">
      <c r="A36" s="61">
        <v>44895</v>
      </c>
      <c r="C36" s="62"/>
      <c r="D36" s="63">
        <f t="shared" si="3"/>
        <v>0</v>
      </c>
      <c r="E36" s="63">
        <f t="shared" si="0"/>
        <v>0</v>
      </c>
      <c r="F36" s="124"/>
      <c r="G36" s="63">
        <f t="shared" si="4"/>
        <v>0</v>
      </c>
      <c r="H36" s="63">
        <f t="shared" si="5"/>
        <v>0</v>
      </c>
      <c r="I36" s="63">
        <f t="shared" si="8"/>
        <v>0</v>
      </c>
      <c r="J36" s="63">
        <f t="shared" si="1"/>
        <v>0</v>
      </c>
      <c r="K36" s="63">
        <f t="shared" si="2"/>
        <v>0</v>
      </c>
      <c r="L36" s="63">
        <f t="shared" si="6"/>
        <v>0</v>
      </c>
      <c r="M36" s="63">
        <f t="shared" si="9"/>
        <v>0</v>
      </c>
      <c r="N36" s="65">
        <f t="shared" si="7"/>
        <v>0</v>
      </c>
      <c r="O36" s="145" t="e">
        <f t="shared" si="10"/>
        <v>#DIV/0!</v>
      </c>
    </row>
    <row r="37" spans="1:15" x14ac:dyDescent="0.25">
      <c r="A37" s="61">
        <v>44926</v>
      </c>
      <c r="C37" s="62"/>
      <c r="D37" s="63">
        <f t="shared" si="3"/>
        <v>0</v>
      </c>
      <c r="E37" s="63">
        <f t="shared" si="0"/>
        <v>0</v>
      </c>
      <c r="F37" s="124"/>
      <c r="G37" s="63">
        <f t="shared" si="4"/>
        <v>0</v>
      </c>
      <c r="H37" s="63">
        <f t="shared" si="5"/>
        <v>0</v>
      </c>
      <c r="I37" s="63">
        <f t="shared" si="8"/>
        <v>0</v>
      </c>
      <c r="J37" s="63">
        <f t="shared" si="1"/>
        <v>0</v>
      </c>
      <c r="K37" s="63">
        <f t="shared" si="2"/>
        <v>0</v>
      </c>
      <c r="L37" s="63">
        <f t="shared" si="6"/>
        <v>0</v>
      </c>
      <c r="M37" s="63">
        <f t="shared" ref="M37:M100" si="11">L37+I37</f>
        <v>0</v>
      </c>
      <c r="N37" s="64">
        <f t="shared" si="7"/>
        <v>0</v>
      </c>
      <c r="O37" s="145" t="e">
        <f t="shared" si="10"/>
        <v>#DIV/0!</v>
      </c>
    </row>
    <row r="38" spans="1:15" x14ac:dyDescent="0.25">
      <c r="A38" s="61">
        <v>44957</v>
      </c>
      <c r="B38" s="61"/>
      <c r="C38" s="62"/>
      <c r="D38" s="63">
        <f t="shared" si="3"/>
        <v>0</v>
      </c>
      <c r="E38" s="63">
        <f>(D26+D38+SUM(D27:D37)*2)/24</f>
        <v>0</v>
      </c>
      <c r="F38" s="124"/>
      <c r="G38" s="63">
        <f t="shared" si="4"/>
        <v>0</v>
      </c>
      <c r="H38" s="63">
        <f t="shared" ref="H38:H101" si="12">(G26+G38+SUM(G27:G37)*2)/24</f>
        <v>0</v>
      </c>
      <c r="I38" s="63">
        <f t="shared" si="8"/>
        <v>0</v>
      </c>
      <c r="J38" s="63">
        <f t="shared" si="1"/>
        <v>0</v>
      </c>
      <c r="K38" s="68">
        <f t="shared" si="2"/>
        <v>0</v>
      </c>
      <c r="L38" s="63">
        <f t="shared" si="6"/>
        <v>0</v>
      </c>
      <c r="M38" s="69">
        <f t="shared" si="11"/>
        <v>0</v>
      </c>
      <c r="N38" s="64">
        <f t="shared" si="7"/>
        <v>0</v>
      </c>
      <c r="O38" s="145" t="e">
        <f t="shared" si="10"/>
        <v>#DIV/0!</v>
      </c>
    </row>
    <row r="39" spans="1:15" x14ac:dyDescent="0.25">
      <c r="A39" s="61">
        <v>44985</v>
      </c>
      <c r="B39" s="61"/>
      <c r="C39" s="62"/>
      <c r="D39" s="63">
        <f t="shared" si="3"/>
        <v>0</v>
      </c>
      <c r="E39" s="63">
        <f t="shared" si="0"/>
        <v>0</v>
      </c>
      <c r="F39" s="124"/>
      <c r="G39" s="63">
        <f t="shared" si="4"/>
        <v>0</v>
      </c>
      <c r="H39" s="63">
        <f t="shared" si="12"/>
        <v>0</v>
      </c>
      <c r="I39" s="63">
        <f t="shared" si="8"/>
        <v>0</v>
      </c>
      <c r="J39" s="63">
        <f t="shared" si="1"/>
        <v>0</v>
      </c>
      <c r="K39" s="68">
        <f t="shared" si="2"/>
        <v>0</v>
      </c>
      <c r="L39" s="63">
        <f t="shared" si="6"/>
        <v>0</v>
      </c>
      <c r="M39" s="69">
        <f t="shared" si="11"/>
        <v>0</v>
      </c>
      <c r="N39" s="64">
        <f t="shared" si="7"/>
        <v>0</v>
      </c>
      <c r="O39" s="145" t="e">
        <f t="shared" si="10"/>
        <v>#DIV/0!</v>
      </c>
    </row>
    <row r="40" spans="1:15" x14ac:dyDescent="0.25">
      <c r="A40" s="61">
        <v>45016</v>
      </c>
      <c r="B40" s="61"/>
      <c r="C40" s="62"/>
      <c r="D40" s="63">
        <f t="shared" si="3"/>
        <v>0</v>
      </c>
      <c r="E40" s="63">
        <f t="shared" si="0"/>
        <v>0</v>
      </c>
      <c r="F40" s="124"/>
      <c r="G40" s="63">
        <f t="shared" si="4"/>
        <v>0</v>
      </c>
      <c r="H40" s="63">
        <f t="shared" si="12"/>
        <v>0</v>
      </c>
      <c r="I40" s="63">
        <f t="shared" si="8"/>
        <v>0</v>
      </c>
      <c r="J40" s="63">
        <f t="shared" si="1"/>
        <v>0</v>
      </c>
      <c r="K40" s="68">
        <f t="shared" si="2"/>
        <v>0</v>
      </c>
      <c r="L40" s="63">
        <f t="shared" si="6"/>
        <v>0</v>
      </c>
      <c r="M40" s="69">
        <f t="shared" si="11"/>
        <v>0</v>
      </c>
      <c r="N40" s="64">
        <f t="shared" si="7"/>
        <v>0</v>
      </c>
      <c r="O40" s="145" t="e">
        <f t="shared" si="10"/>
        <v>#DIV/0!</v>
      </c>
    </row>
    <row r="41" spans="1:15" x14ac:dyDescent="0.25">
      <c r="A41" s="61">
        <v>45046</v>
      </c>
      <c r="B41" s="61"/>
      <c r="C41" s="62"/>
      <c r="D41" s="63">
        <f t="shared" si="3"/>
        <v>0</v>
      </c>
      <c r="E41" s="63">
        <f t="shared" si="0"/>
        <v>0</v>
      </c>
      <c r="F41" s="124"/>
      <c r="G41" s="63">
        <f t="shared" si="4"/>
        <v>0</v>
      </c>
      <c r="H41" s="63">
        <f t="shared" si="12"/>
        <v>0</v>
      </c>
      <c r="I41" s="63">
        <f t="shared" si="8"/>
        <v>0</v>
      </c>
      <c r="J41" s="63">
        <f t="shared" si="1"/>
        <v>0</v>
      </c>
      <c r="K41" s="68">
        <f t="shared" si="2"/>
        <v>0</v>
      </c>
      <c r="L41" s="63">
        <f t="shared" si="6"/>
        <v>0</v>
      </c>
      <c r="M41" s="69">
        <f t="shared" si="11"/>
        <v>0</v>
      </c>
      <c r="N41" s="64">
        <f t="shared" si="7"/>
        <v>0</v>
      </c>
      <c r="O41" s="145" t="e">
        <f t="shared" si="10"/>
        <v>#DIV/0!</v>
      </c>
    </row>
    <row r="42" spans="1:15" x14ac:dyDescent="0.25">
      <c r="A42" s="61">
        <v>45077</v>
      </c>
      <c r="B42" s="61"/>
      <c r="C42" s="62"/>
      <c r="D42" s="63">
        <f t="shared" si="3"/>
        <v>0</v>
      </c>
      <c r="E42" s="63">
        <f t="shared" si="0"/>
        <v>0</v>
      </c>
      <c r="F42" s="124"/>
      <c r="G42" s="63">
        <f t="shared" si="4"/>
        <v>0</v>
      </c>
      <c r="H42" s="63">
        <f t="shared" si="12"/>
        <v>0</v>
      </c>
      <c r="I42" s="63">
        <f t="shared" si="8"/>
        <v>0</v>
      </c>
      <c r="J42" s="63">
        <f t="shared" si="1"/>
        <v>0</v>
      </c>
      <c r="K42" s="68">
        <f t="shared" si="2"/>
        <v>0</v>
      </c>
      <c r="L42" s="63">
        <f t="shared" si="6"/>
        <v>0</v>
      </c>
      <c r="M42" s="69">
        <f t="shared" si="11"/>
        <v>0</v>
      </c>
      <c r="N42" s="64">
        <f t="shared" si="7"/>
        <v>0</v>
      </c>
      <c r="O42" s="145" t="e">
        <f t="shared" si="10"/>
        <v>#DIV/0!</v>
      </c>
    </row>
    <row r="43" spans="1:15" x14ac:dyDescent="0.25">
      <c r="A43" s="61">
        <v>45107</v>
      </c>
      <c r="B43" s="61"/>
      <c r="C43" s="62"/>
      <c r="D43" s="63">
        <f t="shared" si="3"/>
        <v>0</v>
      </c>
      <c r="E43" s="63">
        <f t="shared" si="0"/>
        <v>0</v>
      </c>
      <c r="F43" s="124"/>
      <c r="G43" s="63">
        <f t="shared" si="4"/>
        <v>0</v>
      </c>
      <c r="H43" s="63">
        <f t="shared" si="12"/>
        <v>0</v>
      </c>
      <c r="I43" s="63">
        <f t="shared" si="8"/>
        <v>0</v>
      </c>
      <c r="J43" s="63">
        <f t="shared" si="1"/>
        <v>0</v>
      </c>
      <c r="K43" s="68">
        <f t="shared" si="2"/>
        <v>0</v>
      </c>
      <c r="L43" s="63">
        <f t="shared" si="6"/>
        <v>0</v>
      </c>
      <c r="M43" s="69">
        <f t="shared" si="11"/>
        <v>0</v>
      </c>
      <c r="N43" s="64">
        <f t="shared" si="7"/>
        <v>0</v>
      </c>
      <c r="O43" s="145" t="e">
        <f t="shared" si="10"/>
        <v>#DIV/0!</v>
      </c>
    </row>
    <row r="44" spans="1:15" x14ac:dyDescent="0.25">
      <c r="A44" s="61">
        <v>45138</v>
      </c>
      <c r="B44" s="61"/>
      <c r="C44" s="62"/>
      <c r="D44" s="63">
        <f t="shared" si="3"/>
        <v>0</v>
      </c>
      <c r="E44" s="63">
        <f t="shared" si="0"/>
        <v>0</v>
      </c>
      <c r="F44" s="124"/>
      <c r="G44" s="63">
        <f t="shared" si="4"/>
        <v>0</v>
      </c>
      <c r="H44" s="63">
        <f t="shared" si="12"/>
        <v>0</v>
      </c>
      <c r="I44" s="63">
        <f t="shared" si="8"/>
        <v>0</v>
      </c>
      <c r="J44" s="63">
        <f t="shared" si="1"/>
        <v>0</v>
      </c>
      <c r="K44" s="68">
        <f t="shared" si="2"/>
        <v>0</v>
      </c>
      <c r="L44" s="63">
        <f t="shared" si="6"/>
        <v>0</v>
      </c>
      <c r="M44" s="69">
        <f t="shared" si="11"/>
        <v>0</v>
      </c>
      <c r="N44" s="64">
        <f t="shared" si="7"/>
        <v>0</v>
      </c>
      <c r="O44" s="145" t="e">
        <f t="shared" si="10"/>
        <v>#DIV/0!</v>
      </c>
    </row>
    <row r="45" spans="1:15" x14ac:dyDescent="0.25">
      <c r="A45" s="61">
        <v>45169</v>
      </c>
      <c r="B45" s="61"/>
      <c r="C45" s="62"/>
      <c r="D45" s="63">
        <f t="shared" si="3"/>
        <v>0</v>
      </c>
      <c r="E45" s="63">
        <f t="shared" si="0"/>
        <v>0</v>
      </c>
      <c r="F45" s="124"/>
      <c r="G45" s="63">
        <f t="shared" si="4"/>
        <v>0</v>
      </c>
      <c r="H45" s="63">
        <f t="shared" si="12"/>
        <v>0</v>
      </c>
      <c r="I45" s="63">
        <f t="shared" si="8"/>
        <v>0</v>
      </c>
      <c r="J45" s="63">
        <f t="shared" si="1"/>
        <v>0</v>
      </c>
      <c r="K45" s="68">
        <f t="shared" si="2"/>
        <v>0</v>
      </c>
      <c r="L45" s="63">
        <f t="shared" si="6"/>
        <v>0</v>
      </c>
      <c r="M45" s="69">
        <f t="shared" si="11"/>
        <v>0</v>
      </c>
      <c r="N45" s="64">
        <f t="shared" si="7"/>
        <v>0</v>
      </c>
      <c r="O45" s="145" t="e">
        <f t="shared" si="10"/>
        <v>#DIV/0!</v>
      </c>
    </row>
    <row r="46" spans="1:15" x14ac:dyDescent="0.25">
      <c r="A46" s="61">
        <v>45199</v>
      </c>
      <c r="B46" s="61"/>
      <c r="C46" s="62"/>
      <c r="D46" s="63">
        <f t="shared" si="3"/>
        <v>0</v>
      </c>
      <c r="E46" s="63">
        <f t="shared" si="0"/>
        <v>0</v>
      </c>
      <c r="F46" s="124"/>
      <c r="G46" s="63">
        <f t="shared" si="4"/>
        <v>0</v>
      </c>
      <c r="H46" s="63">
        <f t="shared" si="12"/>
        <v>0</v>
      </c>
      <c r="I46" s="63">
        <f t="shared" si="8"/>
        <v>0</v>
      </c>
      <c r="J46" s="63">
        <f t="shared" si="1"/>
        <v>0</v>
      </c>
      <c r="K46" s="68">
        <f t="shared" si="2"/>
        <v>0</v>
      </c>
      <c r="L46" s="63">
        <f t="shared" si="6"/>
        <v>0</v>
      </c>
      <c r="M46" s="69">
        <f t="shared" si="11"/>
        <v>0</v>
      </c>
      <c r="N46" s="64">
        <f t="shared" si="7"/>
        <v>0</v>
      </c>
      <c r="O46" s="145" t="e">
        <f t="shared" si="10"/>
        <v>#DIV/0!</v>
      </c>
    </row>
    <row r="47" spans="1:15" ht="13.8" thickBot="1" x14ac:dyDescent="0.3">
      <c r="A47" s="61">
        <v>45230</v>
      </c>
      <c r="B47" s="61"/>
      <c r="C47" s="62"/>
      <c r="D47" s="63">
        <f t="shared" si="3"/>
        <v>0</v>
      </c>
      <c r="E47" s="63">
        <f t="shared" si="0"/>
        <v>0</v>
      </c>
      <c r="F47" s="124"/>
      <c r="G47" s="63">
        <f t="shared" si="4"/>
        <v>0</v>
      </c>
      <c r="H47" s="63">
        <f t="shared" si="12"/>
        <v>0</v>
      </c>
      <c r="I47" s="63">
        <f t="shared" si="8"/>
        <v>0</v>
      </c>
      <c r="J47" s="63">
        <f t="shared" si="1"/>
        <v>0</v>
      </c>
      <c r="K47" s="68">
        <f t="shared" si="2"/>
        <v>0</v>
      </c>
      <c r="L47" s="63">
        <f t="shared" si="6"/>
        <v>0</v>
      </c>
      <c r="M47" s="69">
        <f t="shared" si="11"/>
        <v>0</v>
      </c>
      <c r="N47" s="64">
        <f t="shared" si="7"/>
        <v>0</v>
      </c>
      <c r="O47" s="145" t="e">
        <f t="shared" si="10"/>
        <v>#DIV/0!</v>
      </c>
    </row>
    <row r="48" spans="1:15" x14ac:dyDescent="0.25">
      <c r="A48" s="134">
        <v>45260</v>
      </c>
      <c r="B48" s="134"/>
      <c r="C48" s="135"/>
      <c r="D48" s="136">
        <f t="shared" si="3"/>
        <v>0</v>
      </c>
      <c r="E48" s="136">
        <f>(D36+D48+SUM(D37:D47)*2)/24</f>
        <v>0</v>
      </c>
      <c r="F48" s="137"/>
      <c r="G48" s="136">
        <f t="shared" si="4"/>
        <v>0</v>
      </c>
      <c r="H48" s="136">
        <f t="shared" si="12"/>
        <v>0</v>
      </c>
      <c r="I48" s="136">
        <f t="shared" si="8"/>
        <v>0</v>
      </c>
      <c r="J48" s="136">
        <f t="shared" si="1"/>
        <v>0</v>
      </c>
      <c r="K48" s="138">
        <f t="shared" si="2"/>
        <v>0</v>
      </c>
      <c r="L48" s="136">
        <f t="shared" si="6"/>
        <v>0</v>
      </c>
      <c r="M48" s="139">
        <f t="shared" si="11"/>
        <v>0</v>
      </c>
      <c r="N48" s="140">
        <f t="shared" si="7"/>
        <v>0</v>
      </c>
      <c r="O48" s="145" t="e">
        <f t="shared" si="10"/>
        <v>#DIV/0!</v>
      </c>
    </row>
    <row r="49" spans="1:15" x14ac:dyDescent="0.25">
      <c r="A49" s="61">
        <v>45291</v>
      </c>
      <c r="B49" s="61"/>
      <c r="C49" s="63"/>
      <c r="D49" s="63">
        <f t="shared" si="3"/>
        <v>0</v>
      </c>
      <c r="E49" s="63">
        <f t="shared" si="0"/>
        <v>0</v>
      </c>
      <c r="F49" s="124"/>
      <c r="G49" s="63">
        <f t="shared" si="4"/>
        <v>0</v>
      </c>
      <c r="H49" s="63">
        <f t="shared" si="12"/>
        <v>0</v>
      </c>
      <c r="I49" s="63">
        <f t="shared" si="8"/>
        <v>0</v>
      </c>
      <c r="J49" s="63">
        <f t="shared" si="1"/>
        <v>0</v>
      </c>
      <c r="K49" s="68">
        <f t="shared" si="2"/>
        <v>0</v>
      </c>
      <c r="L49" s="63">
        <f t="shared" si="6"/>
        <v>0</v>
      </c>
      <c r="M49" s="69">
        <f t="shared" si="11"/>
        <v>0</v>
      </c>
      <c r="N49" s="64">
        <f t="shared" si="7"/>
        <v>0</v>
      </c>
      <c r="O49" s="145" t="e">
        <f t="shared" si="10"/>
        <v>#DIV/0!</v>
      </c>
    </row>
    <row r="50" spans="1:15" x14ac:dyDescent="0.25">
      <c r="A50" s="61">
        <v>45322</v>
      </c>
      <c r="B50" s="61"/>
      <c r="C50" s="63"/>
      <c r="D50" s="63">
        <f t="shared" si="3"/>
        <v>0</v>
      </c>
      <c r="E50" s="63">
        <f t="shared" si="0"/>
        <v>0</v>
      </c>
      <c r="F50" s="124"/>
      <c r="G50" s="63">
        <f t="shared" si="4"/>
        <v>0</v>
      </c>
      <c r="H50" s="63">
        <f t="shared" si="12"/>
        <v>0</v>
      </c>
      <c r="I50" s="63">
        <f t="shared" si="8"/>
        <v>0</v>
      </c>
      <c r="J50" s="63">
        <f t="shared" si="1"/>
        <v>0</v>
      </c>
      <c r="K50" s="68">
        <f t="shared" si="2"/>
        <v>0</v>
      </c>
      <c r="L50" s="63">
        <f t="shared" si="6"/>
        <v>0</v>
      </c>
      <c r="M50" s="69">
        <f t="shared" si="11"/>
        <v>0</v>
      </c>
      <c r="N50" s="64">
        <f t="shared" si="7"/>
        <v>0</v>
      </c>
      <c r="O50" s="145" t="e">
        <f t="shared" si="10"/>
        <v>#DIV/0!</v>
      </c>
    </row>
    <row r="51" spans="1:15" x14ac:dyDescent="0.25">
      <c r="A51" s="61">
        <v>45351</v>
      </c>
      <c r="B51" s="61"/>
      <c r="C51" s="63"/>
      <c r="D51" s="63">
        <f t="shared" si="3"/>
        <v>0</v>
      </c>
      <c r="E51" s="63">
        <f t="shared" si="0"/>
        <v>0</v>
      </c>
      <c r="F51" s="124"/>
      <c r="G51" s="63">
        <f t="shared" si="4"/>
        <v>0</v>
      </c>
      <c r="H51" s="63">
        <f t="shared" si="12"/>
        <v>0</v>
      </c>
      <c r="I51" s="63">
        <f t="shared" si="8"/>
        <v>0</v>
      </c>
      <c r="J51" s="63">
        <f t="shared" si="1"/>
        <v>0</v>
      </c>
      <c r="K51" s="68">
        <f t="shared" si="2"/>
        <v>0</v>
      </c>
      <c r="L51" s="63">
        <f t="shared" si="6"/>
        <v>0</v>
      </c>
      <c r="M51" s="69">
        <f t="shared" si="11"/>
        <v>0</v>
      </c>
      <c r="N51" s="64">
        <f t="shared" si="7"/>
        <v>0</v>
      </c>
      <c r="O51" s="145" t="e">
        <f t="shared" si="10"/>
        <v>#DIV/0!</v>
      </c>
    </row>
    <row r="52" spans="1:15" x14ac:dyDescent="0.25">
      <c r="A52" s="61">
        <v>45382</v>
      </c>
      <c r="B52" s="61"/>
      <c r="C52" s="63"/>
      <c r="D52" s="63">
        <f t="shared" si="3"/>
        <v>0</v>
      </c>
      <c r="E52" s="63">
        <f t="shared" si="0"/>
        <v>0</v>
      </c>
      <c r="F52" s="124"/>
      <c r="G52" s="63">
        <f t="shared" si="4"/>
        <v>0</v>
      </c>
      <c r="H52" s="63">
        <f t="shared" si="12"/>
        <v>0</v>
      </c>
      <c r="I52" s="63">
        <f t="shared" si="8"/>
        <v>0</v>
      </c>
      <c r="J52" s="63">
        <f t="shared" si="1"/>
        <v>0</v>
      </c>
      <c r="K52" s="68">
        <f t="shared" si="2"/>
        <v>0</v>
      </c>
      <c r="L52" s="63">
        <f t="shared" si="6"/>
        <v>0</v>
      </c>
      <c r="M52" s="69">
        <f t="shared" si="11"/>
        <v>0</v>
      </c>
      <c r="N52" s="64">
        <f t="shared" si="7"/>
        <v>0</v>
      </c>
      <c r="O52" s="145" t="e">
        <f t="shared" si="10"/>
        <v>#DIV/0!</v>
      </c>
    </row>
    <row r="53" spans="1:15" x14ac:dyDescent="0.25">
      <c r="A53" s="61">
        <v>45412</v>
      </c>
      <c r="B53" s="61"/>
      <c r="C53" s="63"/>
      <c r="D53" s="63">
        <f t="shared" si="3"/>
        <v>0</v>
      </c>
      <c r="E53" s="63">
        <f t="shared" si="0"/>
        <v>0</v>
      </c>
      <c r="F53" s="124"/>
      <c r="G53" s="63">
        <f t="shared" si="4"/>
        <v>0</v>
      </c>
      <c r="H53" s="63">
        <f t="shared" si="12"/>
        <v>0</v>
      </c>
      <c r="I53" s="63">
        <f t="shared" si="8"/>
        <v>0</v>
      </c>
      <c r="J53" s="63">
        <f t="shared" si="1"/>
        <v>0</v>
      </c>
      <c r="K53" s="68">
        <f t="shared" si="2"/>
        <v>0</v>
      </c>
      <c r="L53" s="63">
        <f t="shared" si="6"/>
        <v>0</v>
      </c>
      <c r="M53" s="69">
        <f t="shared" si="11"/>
        <v>0</v>
      </c>
      <c r="N53" s="64">
        <f t="shared" si="7"/>
        <v>0</v>
      </c>
      <c r="O53" s="145" t="e">
        <f t="shared" si="10"/>
        <v>#DIV/0!</v>
      </c>
    </row>
    <row r="54" spans="1:15" x14ac:dyDescent="0.25">
      <c r="A54" s="61">
        <v>45443</v>
      </c>
      <c r="B54" s="61"/>
      <c r="C54" s="63"/>
      <c r="D54" s="63">
        <f t="shared" si="3"/>
        <v>0</v>
      </c>
      <c r="E54" s="63">
        <f t="shared" si="0"/>
        <v>0</v>
      </c>
      <c r="F54" s="124"/>
      <c r="G54" s="63">
        <f t="shared" si="4"/>
        <v>0</v>
      </c>
      <c r="H54" s="63">
        <f t="shared" si="12"/>
        <v>0</v>
      </c>
      <c r="I54" s="63">
        <f t="shared" si="8"/>
        <v>0</v>
      </c>
      <c r="J54" s="63">
        <f t="shared" si="1"/>
        <v>0</v>
      </c>
      <c r="K54" s="68">
        <f t="shared" si="2"/>
        <v>0</v>
      </c>
      <c r="L54" s="63">
        <f t="shared" si="6"/>
        <v>0</v>
      </c>
      <c r="M54" s="69">
        <f t="shared" si="11"/>
        <v>0</v>
      </c>
      <c r="N54" s="64">
        <f t="shared" si="7"/>
        <v>0</v>
      </c>
      <c r="O54" s="145" t="e">
        <f t="shared" si="10"/>
        <v>#DIV/0!</v>
      </c>
    </row>
    <row r="55" spans="1:15" x14ac:dyDescent="0.25">
      <c r="A55" s="61">
        <v>45473</v>
      </c>
      <c r="B55" s="61"/>
      <c r="C55" s="63"/>
      <c r="D55" s="63">
        <f t="shared" si="3"/>
        <v>0</v>
      </c>
      <c r="E55" s="63">
        <f t="shared" si="0"/>
        <v>0</v>
      </c>
      <c r="F55" s="124"/>
      <c r="G55" s="63">
        <f t="shared" si="4"/>
        <v>0</v>
      </c>
      <c r="H55" s="63">
        <f t="shared" si="12"/>
        <v>0</v>
      </c>
      <c r="I55" s="63">
        <f t="shared" si="8"/>
        <v>0</v>
      </c>
      <c r="J55" s="63">
        <f t="shared" si="1"/>
        <v>0</v>
      </c>
      <c r="K55" s="68">
        <f t="shared" si="2"/>
        <v>0</v>
      </c>
      <c r="L55" s="63">
        <f t="shared" si="6"/>
        <v>0</v>
      </c>
      <c r="M55" s="69">
        <f t="shared" si="11"/>
        <v>0</v>
      </c>
      <c r="N55" s="64">
        <f t="shared" si="7"/>
        <v>0</v>
      </c>
      <c r="O55" s="145" t="e">
        <f t="shared" si="10"/>
        <v>#DIV/0!</v>
      </c>
    </row>
    <row r="56" spans="1:15" x14ac:dyDescent="0.25">
      <c r="A56" s="61">
        <v>45504</v>
      </c>
      <c r="B56" s="61"/>
      <c r="C56" s="63"/>
      <c r="D56" s="63">
        <f t="shared" si="3"/>
        <v>0</v>
      </c>
      <c r="E56" s="63">
        <f t="shared" si="0"/>
        <v>0</v>
      </c>
      <c r="F56" s="124"/>
      <c r="G56" s="63">
        <f t="shared" si="4"/>
        <v>0</v>
      </c>
      <c r="H56" s="63">
        <f t="shared" si="12"/>
        <v>0</v>
      </c>
      <c r="I56" s="63">
        <f t="shared" si="8"/>
        <v>0</v>
      </c>
      <c r="J56" s="63">
        <f t="shared" si="1"/>
        <v>0</v>
      </c>
      <c r="K56" s="68">
        <f t="shared" si="2"/>
        <v>0</v>
      </c>
      <c r="L56" s="63">
        <f t="shared" si="6"/>
        <v>0</v>
      </c>
      <c r="M56" s="69">
        <f t="shared" si="11"/>
        <v>0</v>
      </c>
      <c r="N56" s="64">
        <f t="shared" si="7"/>
        <v>0</v>
      </c>
      <c r="O56" s="145" t="e">
        <f t="shared" si="10"/>
        <v>#DIV/0!</v>
      </c>
    </row>
    <row r="57" spans="1:15" x14ac:dyDescent="0.25">
      <c r="A57" s="61">
        <v>45535</v>
      </c>
      <c r="B57" s="61"/>
      <c r="C57" s="63"/>
      <c r="D57" s="63">
        <f t="shared" si="3"/>
        <v>0</v>
      </c>
      <c r="E57" s="63">
        <f t="shared" si="0"/>
        <v>0</v>
      </c>
      <c r="F57" s="124"/>
      <c r="G57" s="63">
        <f t="shared" si="4"/>
        <v>0</v>
      </c>
      <c r="H57" s="63">
        <f t="shared" si="12"/>
        <v>0</v>
      </c>
      <c r="I57" s="63">
        <f t="shared" si="8"/>
        <v>0</v>
      </c>
      <c r="J57" s="63">
        <f t="shared" si="1"/>
        <v>0</v>
      </c>
      <c r="K57" s="68">
        <f t="shared" si="2"/>
        <v>0</v>
      </c>
      <c r="L57" s="63">
        <f t="shared" si="6"/>
        <v>0</v>
      </c>
      <c r="M57" s="69">
        <f t="shared" si="11"/>
        <v>0</v>
      </c>
      <c r="N57" s="64">
        <f t="shared" si="7"/>
        <v>0</v>
      </c>
      <c r="O57" s="145" t="e">
        <f t="shared" si="10"/>
        <v>#DIV/0!</v>
      </c>
    </row>
    <row r="58" spans="1:15" x14ac:dyDescent="0.25">
      <c r="A58" s="61">
        <v>45565</v>
      </c>
      <c r="B58" s="61"/>
      <c r="C58" s="63"/>
      <c r="D58" s="63">
        <f t="shared" si="3"/>
        <v>0</v>
      </c>
      <c r="E58" s="63">
        <f t="shared" si="0"/>
        <v>0</v>
      </c>
      <c r="F58" s="124"/>
      <c r="G58" s="63">
        <f t="shared" si="4"/>
        <v>0</v>
      </c>
      <c r="H58" s="63">
        <f t="shared" si="12"/>
        <v>0</v>
      </c>
      <c r="I58" s="63">
        <f t="shared" si="8"/>
        <v>0</v>
      </c>
      <c r="J58" s="63">
        <f t="shared" si="1"/>
        <v>0</v>
      </c>
      <c r="K58" s="68">
        <f t="shared" si="2"/>
        <v>0</v>
      </c>
      <c r="L58" s="63">
        <f t="shared" si="6"/>
        <v>0</v>
      </c>
      <c r="M58" s="69">
        <f t="shared" si="11"/>
        <v>0</v>
      </c>
      <c r="N58" s="64">
        <f t="shared" si="7"/>
        <v>0</v>
      </c>
      <c r="O58" s="145" t="e">
        <f t="shared" si="10"/>
        <v>#DIV/0!</v>
      </c>
    </row>
    <row r="59" spans="1:15" ht="13.8" thickBot="1" x14ac:dyDescent="0.3">
      <c r="A59" s="61">
        <v>45596</v>
      </c>
      <c r="B59" s="61"/>
      <c r="C59" s="63"/>
      <c r="D59" s="63">
        <f t="shared" si="3"/>
        <v>0</v>
      </c>
      <c r="E59" s="199">
        <f t="shared" si="0"/>
        <v>0</v>
      </c>
      <c r="F59" s="124"/>
      <c r="G59" s="63">
        <f t="shared" si="4"/>
        <v>0</v>
      </c>
      <c r="H59" s="199">
        <f t="shared" si="12"/>
        <v>0</v>
      </c>
      <c r="I59" s="63">
        <f t="shared" si="8"/>
        <v>0</v>
      </c>
      <c r="J59" s="63">
        <f t="shared" si="1"/>
        <v>0</v>
      </c>
      <c r="K59" s="68">
        <f t="shared" si="2"/>
        <v>0</v>
      </c>
      <c r="L59" s="63">
        <f t="shared" si="6"/>
        <v>0</v>
      </c>
      <c r="M59" s="69">
        <f t="shared" si="11"/>
        <v>0</v>
      </c>
      <c r="N59" s="64">
        <f t="shared" si="7"/>
        <v>0</v>
      </c>
      <c r="O59" s="145" t="e">
        <f t="shared" si="10"/>
        <v>#DIV/0!</v>
      </c>
    </row>
    <row r="60" spans="1:15" x14ac:dyDescent="0.25">
      <c r="A60" s="134">
        <v>45626</v>
      </c>
      <c r="B60" s="141"/>
      <c r="C60" s="136"/>
      <c r="D60" s="136">
        <f t="shared" si="3"/>
        <v>0</v>
      </c>
      <c r="E60" s="136">
        <f t="shared" si="0"/>
        <v>0</v>
      </c>
      <c r="F60" s="137"/>
      <c r="G60" s="136">
        <f t="shared" si="4"/>
        <v>0</v>
      </c>
      <c r="H60" s="136">
        <f t="shared" si="12"/>
        <v>0</v>
      </c>
      <c r="I60" s="136">
        <f t="shared" si="8"/>
        <v>0</v>
      </c>
      <c r="J60" s="136">
        <f t="shared" si="1"/>
        <v>0</v>
      </c>
      <c r="K60" s="138">
        <f t="shared" si="2"/>
        <v>0</v>
      </c>
      <c r="L60" s="136">
        <f t="shared" si="6"/>
        <v>0</v>
      </c>
      <c r="M60" s="139">
        <f t="shared" si="11"/>
        <v>0</v>
      </c>
      <c r="N60" s="140">
        <f t="shared" si="7"/>
        <v>0</v>
      </c>
      <c r="O60" s="145" t="e">
        <f t="shared" si="10"/>
        <v>#DIV/0!</v>
      </c>
    </row>
    <row r="61" spans="1:15" x14ac:dyDescent="0.25">
      <c r="A61" s="61">
        <v>45657</v>
      </c>
      <c r="B61" s="30"/>
      <c r="C61" s="63"/>
      <c r="D61" s="63">
        <f t="shared" si="3"/>
        <v>0</v>
      </c>
      <c r="E61" s="63">
        <f t="shared" si="0"/>
        <v>0</v>
      </c>
      <c r="F61" s="124"/>
      <c r="G61" s="63">
        <f t="shared" si="4"/>
        <v>0</v>
      </c>
      <c r="H61" s="63">
        <f t="shared" si="12"/>
        <v>0</v>
      </c>
      <c r="I61" s="63">
        <f t="shared" si="8"/>
        <v>0</v>
      </c>
      <c r="J61" s="63">
        <f t="shared" si="1"/>
        <v>0</v>
      </c>
      <c r="K61" s="68">
        <f t="shared" si="2"/>
        <v>0</v>
      </c>
      <c r="L61" s="63">
        <f t="shared" si="6"/>
        <v>0</v>
      </c>
      <c r="M61" s="69">
        <f t="shared" si="11"/>
        <v>0</v>
      </c>
      <c r="N61" s="64">
        <f t="shared" si="7"/>
        <v>0</v>
      </c>
      <c r="O61" s="145" t="e">
        <f t="shared" si="10"/>
        <v>#DIV/0!</v>
      </c>
    </row>
    <row r="62" spans="1:15" x14ac:dyDescent="0.25">
      <c r="A62" s="61">
        <v>45688</v>
      </c>
      <c r="B62" s="30"/>
      <c r="C62" s="63"/>
      <c r="D62" s="63">
        <f t="shared" si="3"/>
        <v>0</v>
      </c>
      <c r="E62" s="63">
        <f t="shared" si="0"/>
        <v>0</v>
      </c>
      <c r="F62" s="124"/>
      <c r="G62" s="63">
        <f t="shared" si="4"/>
        <v>0</v>
      </c>
      <c r="H62" s="63">
        <f t="shared" si="12"/>
        <v>0</v>
      </c>
      <c r="I62" s="63">
        <f t="shared" si="8"/>
        <v>0</v>
      </c>
      <c r="J62" s="63">
        <f t="shared" si="1"/>
        <v>0</v>
      </c>
      <c r="K62" s="68">
        <f t="shared" si="2"/>
        <v>0</v>
      </c>
      <c r="L62" s="63">
        <f t="shared" si="6"/>
        <v>0</v>
      </c>
      <c r="M62" s="69">
        <f t="shared" si="11"/>
        <v>0</v>
      </c>
      <c r="N62" s="64">
        <f t="shared" si="7"/>
        <v>0</v>
      </c>
      <c r="O62" s="145" t="e">
        <f t="shared" si="10"/>
        <v>#DIV/0!</v>
      </c>
    </row>
    <row r="63" spans="1:15" x14ac:dyDescent="0.25">
      <c r="A63" s="61">
        <v>45716</v>
      </c>
      <c r="B63" s="30"/>
      <c r="C63" s="63"/>
      <c r="D63" s="63">
        <f t="shared" si="3"/>
        <v>0</v>
      </c>
      <c r="E63" s="63">
        <f t="shared" si="0"/>
        <v>0</v>
      </c>
      <c r="F63" s="124"/>
      <c r="G63" s="63">
        <f t="shared" si="4"/>
        <v>0</v>
      </c>
      <c r="H63" s="63">
        <f t="shared" si="12"/>
        <v>0</v>
      </c>
      <c r="I63" s="63">
        <f t="shared" si="8"/>
        <v>0</v>
      </c>
      <c r="J63" s="63">
        <f t="shared" si="1"/>
        <v>0</v>
      </c>
      <c r="K63" s="68">
        <f t="shared" si="2"/>
        <v>0</v>
      </c>
      <c r="L63" s="63">
        <f t="shared" si="6"/>
        <v>0</v>
      </c>
      <c r="M63" s="69">
        <f t="shared" si="11"/>
        <v>0</v>
      </c>
      <c r="N63" s="64">
        <f t="shared" si="7"/>
        <v>0</v>
      </c>
      <c r="O63" s="145" t="e">
        <f t="shared" si="10"/>
        <v>#DIV/0!</v>
      </c>
    </row>
    <row r="64" spans="1:15" x14ac:dyDescent="0.25">
      <c r="A64" s="61">
        <v>45747</v>
      </c>
      <c r="B64" s="30"/>
      <c r="C64" s="63"/>
      <c r="D64" s="63">
        <f t="shared" si="3"/>
        <v>0</v>
      </c>
      <c r="E64" s="63">
        <f t="shared" si="0"/>
        <v>0</v>
      </c>
      <c r="F64" s="124"/>
      <c r="G64" s="63">
        <f t="shared" si="4"/>
        <v>0</v>
      </c>
      <c r="H64" s="63">
        <f t="shared" si="12"/>
        <v>0</v>
      </c>
      <c r="I64" s="63">
        <f t="shared" si="8"/>
        <v>0</v>
      </c>
      <c r="J64" s="63">
        <f t="shared" si="1"/>
        <v>0</v>
      </c>
      <c r="K64" s="68">
        <f t="shared" si="2"/>
        <v>0</v>
      </c>
      <c r="L64" s="63">
        <f t="shared" si="6"/>
        <v>0</v>
      </c>
      <c r="M64" s="69">
        <f t="shared" si="11"/>
        <v>0</v>
      </c>
      <c r="N64" s="64">
        <f t="shared" si="7"/>
        <v>0</v>
      </c>
      <c r="O64" s="145" t="e">
        <f t="shared" si="10"/>
        <v>#DIV/0!</v>
      </c>
    </row>
    <row r="65" spans="1:15" x14ac:dyDescent="0.25">
      <c r="A65" s="61">
        <v>45777</v>
      </c>
      <c r="B65" s="30"/>
      <c r="C65" s="63"/>
      <c r="D65" s="63">
        <f t="shared" si="3"/>
        <v>0</v>
      </c>
      <c r="E65" s="63">
        <f t="shared" si="0"/>
        <v>0</v>
      </c>
      <c r="F65" s="124"/>
      <c r="G65" s="63">
        <f t="shared" si="4"/>
        <v>0</v>
      </c>
      <c r="H65" s="63">
        <f t="shared" si="12"/>
        <v>0</v>
      </c>
      <c r="I65" s="63">
        <f t="shared" si="8"/>
        <v>0</v>
      </c>
      <c r="J65" s="63">
        <f t="shared" si="1"/>
        <v>0</v>
      </c>
      <c r="K65" s="68">
        <f t="shared" si="2"/>
        <v>0</v>
      </c>
      <c r="L65" s="63">
        <f t="shared" si="6"/>
        <v>0</v>
      </c>
      <c r="M65" s="69">
        <f t="shared" si="11"/>
        <v>0</v>
      </c>
      <c r="N65" s="64">
        <f t="shared" si="7"/>
        <v>0</v>
      </c>
      <c r="O65" s="145" t="e">
        <f t="shared" si="10"/>
        <v>#DIV/0!</v>
      </c>
    </row>
    <row r="66" spans="1:15" x14ac:dyDescent="0.25">
      <c r="A66" s="61">
        <v>45808</v>
      </c>
      <c r="B66" s="30"/>
      <c r="C66" s="63">
        <f>'One-time deferral transfer'!B28</f>
        <v>2459602.8499999996</v>
      </c>
      <c r="D66" s="63">
        <f t="shared" si="3"/>
        <v>2459602.8499999996</v>
      </c>
      <c r="E66" s="63">
        <f t="shared" si="0"/>
        <v>102483.45208333332</v>
      </c>
      <c r="F66" s="124"/>
      <c r="G66" s="63">
        <f t="shared" si="4"/>
        <v>0</v>
      </c>
      <c r="H66" s="63">
        <f t="shared" si="12"/>
        <v>0</v>
      </c>
      <c r="I66" s="63">
        <f t="shared" si="8"/>
        <v>102483.45208333332</v>
      </c>
      <c r="J66" s="63">
        <f t="shared" si="1"/>
        <v>-516516.59849999991</v>
      </c>
      <c r="K66" s="68">
        <f t="shared" si="2"/>
        <v>-516516.59849999991</v>
      </c>
      <c r="L66" s="63">
        <f t="shared" si="6"/>
        <v>-21521.524937499995</v>
      </c>
      <c r="M66" s="69">
        <f t="shared" si="11"/>
        <v>80961.927145833324</v>
      </c>
      <c r="N66" s="64">
        <f t="shared" si="7"/>
        <v>1943086.2514999998</v>
      </c>
      <c r="O66" s="145">
        <f t="shared" si="10"/>
        <v>0.21</v>
      </c>
    </row>
    <row r="67" spans="1:15" x14ac:dyDescent="0.25">
      <c r="A67" s="61">
        <v>45838</v>
      </c>
      <c r="B67" s="30"/>
      <c r="C67" s="63"/>
      <c r="D67" s="63">
        <f t="shared" si="3"/>
        <v>2459602.8499999996</v>
      </c>
      <c r="E67" s="63">
        <f t="shared" si="0"/>
        <v>307450.35624999995</v>
      </c>
      <c r="F67" s="124"/>
      <c r="G67" s="63">
        <f t="shared" si="4"/>
        <v>0</v>
      </c>
      <c r="H67" s="63">
        <f t="shared" si="12"/>
        <v>0</v>
      </c>
      <c r="I67" s="63">
        <f t="shared" si="8"/>
        <v>307450.35624999995</v>
      </c>
      <c r="J67" s="63">
        <f t="shared" si="1"/>
        <v>0</v>
      </c>
      <c r="K67" s="68">
        <f t="shared" si="2"/>
        <v>-516516.59849999991</v>
      </c>
      <c r="L67" s="63">
        <f t="shared" si="6"/>
        <v>-64564.574812499988</v>
      </c>
      <c r="M67" s="69">
        <f t="shared" si="11"/>
        <v>242885.78143749997</v>
      </c>
      <c r="N67" s="64">
        <f t="shared" si="7"/>
        <v>1943086.2514999998</v>
      </c>
      <c r="O67" s="145">
        <f t="shared" si="10"/>
        <v>0.21</v>
      </c>
    </row>
    <row r="68" spans="1:15" x14ac:dyDescent="0.25">
      <c r="A68" s="61">
        <v>45869</v>
      </c>
      <c r="B68" s="30"/>
      <c r="C68" s="63"/>
      <c r="D68" s="63">
        <f t="shared" si="3"/>
        <v>2459602.8499999996</v>
      </c>
      <c r="E68" s="63">
        <f t="shared" si="0"/>
        <v>512417.26041666657</v>
      </c>
      <c r="F68" s="124"/>
      <c r="G68" s="63">
        <f t="shared" si="4"/>
        <v>0</v>
      </c>
      <c r="H68" s="63">
        <f t="shared" si="12"/>
        <v>0</v>
      </c>
      <c r="I68" s="63">
        <f t="shared" si="8"/>
        <v>512417.26041666657</v>
      </c>
      <c r="J68" s="63">
        <f t="shared" si="1"/>
        <v>0</v>
      </c>
      <c r="K68" s="68">
        <f t="shared" si="2"/>
        <v>-516516.59849999991</v>
      </c>
      <c r="L68" s="63">
        <f t="shared" si="6"/>
        <v>-107607.62468749999</v>
      </c>
      <c r="M68" s="69">
        <f t="shared" si="11"/>
        <v>404809.63572916656</v>
      </c>
      <c r="N68" s="64">
        <f t="shared" si="7"/>
        <v>1943086.2514999998</v>
      </c>
      <c r="O68" s="145">
        <f t="shared" si="10"/>
        <v>0.21</v>
      </c>
    </row>
    <row r="69" spans="1:15" x14ac:dyDescent="0.25">
      <c r="A69" s="61">
        <v>45900</v>
      </c>
      <c r="B69" s="30"/>
      <c r="C69" s="63"/>
      <c r="D69" s="63">
        <f t="shared" si="3"/>
        <v>2459602.8499999996</v>
      </c>
      <c r="E69" s="63">
        <f t="shared" si="0"/>
        <v>717384.16458333319</v>
      </c>
      <c r="F69" s="124"/>
      <c r="G69" s="63">
        <f t="shared" si="4"/>
        <v>0</v>
      </c>
      <c r="H69" s="63">
        <f t="shared" si="12"/>
        <v>0</v>
      </c>
      <c r="I69" s="63">
        <f t="shared" si="8"/>
        <v>717384.16458333319</v>
      </c>
      <c r="J69" s="63">
        <f t="shared" si="1"/>
        <v>0</v>
      </c>
      <c r="K69" s="68">
        <f t="shared" si="2"/>
        <v>-516516.59849999991</v>
      </c>
      <c r="L69" s="63">
        <f t="shared" si="6"/>
        <v>-150650.67456249997</v>
      </c>
      <c r="M69" s="69">
        <f t="shared" si="11"/>
        <v>566733.49002083321</v>
      </c>
      <c r="N69" s="64">
        <f t="shared" si="7"/>
        <v>1943086.2514999998</v>
      </c>
      <c r="O69" s="145">
        <f t="shared" si="10"/>
        <v>0.21</v>
      </c>
    </row>
    <row r="70" spans="1:15" x14ac:dyDescent="0.25">
      <c r="A70" s="61">
        <v>45930</v>
      </c>
      <c r="B70" s="30"/>
      <c r="C70" s="63"/>
      <c r="D70" s="63">
        <f t="shared" si="3"/>
        <v>2459602.8499999996</v>
      </c>
      <c r="E70" s="63">
        <f t="shared" si="0"/>
        <v>922351.06874999998</v>
      </c>
      <c r="F70" s="124"/>
      <c r="G70" s="63">
        <f t="shared" si="4"/>
        <v>0</v>
      </c>
      <c r="H70" s="63">
        <f t="shared" si="12"/>
        <v>0</v>
      </c>
      <c r="I70" s="63">
        <f t="shared" si="8"/>
        <v>922351.06874999998</v>
      </c>
      <c r="J70" s="63">
        <f t="shared" si="1"/>
        <v>0</v>
      </c>
      <c r="K70" s="68">
        <f t="shared" si="2"/>
        <v>-516516.59849999991</v>
      </c>
      <c r="L70" s="63">
        <f t="shared" si="6"/>
        <v>-193693.72443749997</v>
      </c>
      <c r="M70" s="69">
        <f t="shared" si="11"/>
        <v>728657.34431249998</v>
      </c>
      <c r="N70" s="64">
        <f t="shared" si="7"/>
        <v>1943086.2514999998</v>
      </c>
      <c r="O70" s="145">
        <f t="shared" si="10"/>
        <v>0.21</v>
      </c>
    </row>
    <row r="71" spans="1:15" ht="13.8" thickBot="1" x14ac:dyDescent="0.3">
      <c r="A71" s="61">
        <v>45961</v>
      </c>
      <c r="B71" s="30"/>
      <c r="C71" s="63"/>
      <c r="D71" s="63">
        <f t="shared" si="3"/>
        <v>2459602.8499999996</v>
      </c>
      <c r="E71" s="63">
        <f t="shared" si="0"/>
        <v>1127317.9729166664</v>
      </c>
      <c r="F71" s="124"/>
      <c r="G71" s="63">
        <f t="shared" si="4"/>
        <v>0</v>
      </c>
      <c r="H71" s="63">
        <f t="shared" si="12"/>
        <v>0</v>
      </c>
      <c r="I71" s="63">
        <f t="shared" si="8"/>
        <v>1127317.9729166664</v>
      </c>
      <c r="J71" s="63">
        <f t="shared" si="1"/>
        <v>0</v>
      </c>
      <c r="K71" s="68">
        <f t="shared" si="2"/>
        <v>-516516.59849999991</v>
      </c>
      <c r="L71" s="63">
        <f t="shared" si="6"/>
        <v>-236736.7743125</v>
      </c>
      <c r="M71" s="69">
        <f t="shared" si="11"/>
        <v>890581.19860416639</v>
      </c>
      <c r="N71" s="64">
        <f t="shared" si="7"/>
        <v>1943086.2514999998</v>
      </c>
      <c r="O71" s="145">
        <f t="shared" si="10"/>
        <v>0.21</v>
      </c>
    </row>
    <row r="72" spans="1:15" x14ac:dyDescent="0.25">
      <c r="A72" s="134">
        <v>45991</v>
      </c>
      <c r="B72" s="141"/>
      <c r="C72" s="136"/>
      <c r="D72" s="136">
        <f t="shared" si="3"/>
        <v>2459602.8499999996</v>
      </c>
      <c r="E72" s="136">
        <f t="shared" si="0"/>
        <v>1332284.8770833332</v>
      </c>
      <c r="F72" s="137">
        <f>D72/36</f>
        <v>68322.301388888882</v>
      </c>
      <c r="G72" s="136">
        <f t="shared" si="4"/>
        <v>-68322.301388888882</v>
      </c>
      <c r="H72" s="136">
        <f t="shared" si="12"/>
        <v>-2846.7625578703701</v>
      </c>
      <c r="I72" s="136">
        <f t="shared" si="8"/>
        <v>1329438.1145254627</v>
      </c>
      <c r="J72" s="136">
        <f t="shared" si="1"/>
        <v>14347.683291666664</v>
      </c>
      <c r="K72" s="138">
        <f t="shared" si="2"/>
        <v>-502168.91520833323</v>
      </c>
      <c r="L72" s="136">
        <f t="shared" si="6"/>
        <v>-279182.0040503472</v>
      </c>
      <c r="M72" s="139">
        <f t="shared" si="11"/>
        <v>1050256.1104751155</v>
      </c>
      <c r="N72" s="140">
        <f t="shared" si="7"/>
        <v>1889111.6334027774</v>
      </c>
      <c r="O72" s="145">
        <f t="shared" si="10"/>
        <v>0.21000000000000002</v>
      </c>
    </row>
    <row r="73" spans="1:15" x14ac:dyDescent="0.25">
      <c r="A73" s="61">
        <v>46022</v>
      </c>
      <c r="B73" s="30"/>
      <c r="C73" s="63"/>
      <c r="D73" s="63">
        <f t="shared" si="3"/>
        <v>2459602.8499999996</v>
      </c>
      <c r="E73" s="63">
        <f t="shared" si="0"/>
        <v>1537251.7812499998</v>
      </c>
      <c r="F73" s="124">
        <f t="shared" ref="F73:F107" si="13">D73/36</f>
        <v>68322.301388888882</v>
      </c>
      <c r="G73" s="63">
        <f t="shared" si="4"/>
        <v>-136644.60277777776</v>
      </c>
      <c r="H73" s="63">
        <f t="shared" si="12"/>
        <v>-11387.05023148148</v>
      </c>
      <c r="I73" s="63">
        <f t="shared" si="8"/>
        <v>1525864.7310185183</v>
      </c>
      <c r="J73" s="63">
        <f t="shared" si="1"/>
        <v>14347.683291666664</v>
      </c>
      <c r="K73" s="68">
        <f t="shared" si="2"/>
        <v>-487821.23191666655</v>
      </c>
      <c r="L73" s="63">
        <f t="shared" si="6"/>
        <v>-320431.59351388883</v>
      </c>
      <c r="M73" s="69">
        <f t="shared" si="11"/>
        <v>1205433.1375046296</v>
      </c>
      <c r="N73" s="64">
        <f t="shared" si="7"/>
        <v>1835137.0153055554</v>
      </c>
      <c r="O73" s="145">
        <f t="shared" si="10"/>
        <v>0.21</v>
      </c>
    </row>
    <row r="74" spans="1:15" x14ac:dyDescent="0.25">
      <c r="A74" s="61">
        <v>46053</v>
      </c>
      <c r="B74" s="30"/>
      <c r="C74" s="30"/>
      <c r="D74" s="63">
        <f t="shared" si="3"/>
        <v>2459602.8499999996</v>
      </c>
      <c r="E74" s="63">
        <f t="shared" si="0"/>
        <v>1742218.6854166666</v>
      </c>
      <c r="F74" s="124">
        <f t="shared" si="13"/>
        <v>68322.301388888882</v>
      </c>
      <c r="G74" s="63">
        <f t="shared" si="4"/>
        <v>-204966.90416666665</v>
      </c>
      <c r="H74" s="63">
        <f t="shared" si="12"/>
        <v>-25620.863020833331</v>
      </c>
      <c r="I74" s="63">
        <f t="shared" si="8"/>
        <v>1716597.8223958332</v>
      </c>
      <c r="J74" s="63">
        <f t="shared" si="1"/>
        <v>14347.683291666664</v>
      </c>
      <c r="K74" s="68">
        <f t="shared" si="2"/>
        <v>-473473.54862499988</v>
      </c>
      <c r="L74" s="63">
        <f t="shared" si="6"/>
        <v>-360485.54270312493</v>
      </c>
      <c r="M74" s="69">
        <f t="shared" si="11"/>
        <v>1356112.2796927083</v>
      </c>
      <c r="N74" s="64">
        <f t="shared" si="7"/>
        <v>1781162.397208333</v>
      </c>
      <c r="O74" s="145">
        <f t="shared" si="10"/>
        <v>0.21</v>
      </c>
    </row>
    <row r="75" spans="1:15" x14ac:dyDescent="0.25">
      <c r="A75" s="61">
        <v>46081</v>
      </c>
      <c r="B75" s="30"/>
      <c r="C75" s="30"/>
      <c r="D75" s="63">
        <f t="shared" si="3"/>
        <v>2459602.8499999996</v>
      </c>
      <c r="E75" s="63">
        <f t="shared" si="0"/>
        <v>1947185.5895833333</v>
      </c>
      <c r="F75" s="124">
        <f t="shared" si="13"/>
        <v>68322.301388888882</v>
      </c>
      <c r="G75" s="63">
        <f t="shared" si="4"/>
        <v>-273289.20555555553</v>
      </c>
      <c r="H75" s="63">
        <f t="shared" si="12"/>
        <v>-45548.200925925921</v>
      </c>
      <c r="I75" s="63">
        <f t="shared" si="8"/>
        <v>1901637.3886574074</v>
      </c>
      <c r="J75" s="63">
        <f t="shared" si="1"/>
        <v>14347.683291666664</v>
      </c>
      <c r="K75" s="68">
        <f t="shared" si="2"/>
        <v>-459125.8653333332</v>
      </c>
      <c r="L75" s="63">
        <f t="shared" si="6"/>
        <v>-399343.85161805549</v>
      </c>
      <c r="M75" s="69">
        <f t="shared" si="11"/>
        <v>1502293.5370393519</v>
      </c>
      <c r="N75" s="64">
        <f t="shared" si="7"/>
        <v>1727187.7791111111</v>
      </c>
      <c r="O75" s="145">
        <f t="shared" si="10"/>
        <v>0.20999999999999996</v>
      </c>
    </row>
    <row r="76" spans="1:15" x14ac:dyDescent="0.25">
      <c r="A76" s="61">
        <v>46112</v>
      </c>
      <c r="B76" s="30"/>
      <c r="C76" s="30"/>
      <c r="D76" s="63">
        <f t="shared" si="3"/>
        <v>2459602.8499999996</v>
      </c>
      <c r="E76" s="63">
        <f t="shared" si="0"/>
        <v>2152152.4937499999</v>
      </c>
      <c r="F76" s="124">
        <f t="shared" si="13"/>
        <v>68322.301388888882</v>
      </c>
      <c r="G76" s="63">
        <f t="shared" si="4"/>
        <v>-341611.50694444438</v>
      </c>
      <c r="H76" s="63">
        <f t="shared" si="12"/>
        <v>-71169.063946759255</v>
      </c>
      <c r="I76" s="63">
        <f t="shared" si="8"/>
        <v>2080983.4298032406</v>
      </c>
      <c r="J76" s="63">
        <f t="shared" si="1"/>
        <v>14347.683291666664</v>
      </c>
      <c r="K76" s="68">
        <f t="shared" si="2"/>
        <v>-444778.18204166653</v>
      </c>
      <c r="L76" s="63">
        <f t="shared" si="6"/>
        <v>-437006.52025868051</v>
      </c>
      <c r="M76" s="69">
        <f t="shared" si="11"/>
        <v>1643976.9095445601</v>
      </c>
      <c r="N76" s="64">
        <f t="shared" si="7"/>
        <v>1673213.1610138887</v>
      </c>
      <c r="O76" s="145">
        <f t="shared" si="10"/>
        <v>0.20999999999999996</v>
      </c>
    </row>
    <row r="77" spans="1:15" x14ac:dyDescent="0.25">
      <c r="A77" s="61">
        <v>46142</v>
      </c>
      <c r="B77" s="30"/>
      <c r="C77" s="30"/>
      <c r="D77" s="63">
        <f t="shared" si="3"/>
        <v>2459602.8499999996</v>
      </c>
      <c r="E77" s="63">
        <f t="shared" si="0"/>
        <v>2357119.3979166667</v>
      </c>
      <c r="F77" s="124">
        <f t="shared" si="13"/>
        <v>68322.301388888882</v>
      </c>
      <c r="G77" s="63">
        <f t="shared" si="4"/>
        <v>-409933.80833333323</v>
      </c>
      <c r="H77" s="63">
        <f t="shared" si="12"/>
        <v>-102483.45208333332</v>
      </c>
      <c r="I77" s="63">
        <f t="shared" si="8"/>
        <v>2254635.9458333333</v>
      </c>
      <c r="J77" s="63">
        <f t="shared" si="1"/>
        <v>14347.683291666664</v>
      </c>
      <c r="K77" s="68">
        <f t="shared" si="2"/>
        <v>-430430.49874999985</v>
      </c>
      <c r="L77" s="63">
        <f t="shared" si="6"/>
        <v>-473473.54862499988</v>
      </c>
      <c r="M77" s="69">
        <f t="shared" si="11"/>
        <v>1781162.3972083335</v>
      </c>
      <c r="N77" s="64">
        <f t="shared" si="7"/>
        <v>1619238.5429166667</v>
      </c>
      <c r="O77" s="145">
        <f t="shared" si="10"/>
        <v>0.20999999999999994</v>
      </c>
    </row>
    <row r="78" spans="1:15" x14ac:dyDescent="0.25">
      <c r="A78" s="61">
        <v>46173</v>
      </c>
      <c r="B78" s="30"/>
      <c r="C78" s="30"/>
      <c r="D78" s="63">
        <f t="shared" si="3"/>
        <v>2459602.8499999996</v>
      </c>
      <c r="E78" s="63">
        <f t="shared" si="0"/>
        <v>2459602.85</v>
      </c>
      <c r="F78" s="124">
        <f t="shared" si="13"/>
        <v>68322.301388888882</v>
      </c>
      <c r="G78" s="63">
        <f t="shared" si="4"/>
        <v>-478256.10972222209</v>
      </c>
      <c r="H78" s="63">
        <f t="shared" si="12"/>
        <v>-139491.36533564812</v>
      </c>
      <c r="I78" s="63">
        <f t="shared" si="8"/>
        <v>2320111.4846643521</v>
      </c>
      <c r="J78" s="63">
        <f t="shared" si="1"/>
        <v>14347.683291666664</v>
      </c>
      <c r="K78" s="68">
        <f t="shared" si="2"/>
        <v>-416082.81545833318</v>
      </c>
      <c r="L78" s="63">
        <f t="shared" si="6"/>
        <v>-487223.41177951382</v>
      </c>
      <c r="M78" s="69">
        <f t="shared" si="11"/>
        <v>1832888.0728848383</v>
      </c>
      <c r="N78" s="64">
        <f t="shared" si="7"/>
        <v>1565263.9248194443</v>
      </c>
      <c r="O78" s="145">
        <f t="shared" si="10"/>
        <v>0.20999999999999996</v>
      </c>
    </row>
    <row r="79" spans="1:15" x14ac:dyDescent="0.25">
      <c r="A79" s="61">
        <v>46203</v>
      </c>
      <c r="B79" s="30"/>
      <c r="D79" s="63">
        <f t="shared" si="3"/>
        <v>2459602.8499999996</v>
      </c>
      <c r="E79" s="63">
        <f t="shared" si="0"/>
        <v>2459602.85</v>
      </c>
      <c r="F79" s="124">
        <f t="shared" si="13"/>
        <v>68322.301388888882</v>
      </c>
      <c r="G79" s="63">
        <f t="shared" si="4"/>
        <v>-546578.41111111094</v>
      </c>
      <c r="H79" s="63">
        <f t="shared" si="12"/>
        <v>-182192.80370370366</v>
      </c>
      <c r="I79" s="63">
        <f t="shared" si="8"/>
        <v>2277410.0462962966</v>
      </c>
      <c r="J79" s="63">
        <f t="shared" si="1"/>
        <v>14347.683291666664</v>
      </c>
      <c r="K79" s="68">
        <f t="shared" si="2"/>
        <v>-401735.1321666665</v>
      </c>
      <c r="L79" s="63">
        <f t="shared" si="6"/>
        <v>-478256.1097222222</v>
      </c>
      <c r="M79" s="63">
        <f t="shared" si="11"/>
        <v>1799153.9365740744</v>
      </c>
      <c r="N79" s="64">
        <f t="shared" si="7"/>
        <v>1511289.3067222224</v>
      </c>
      <c r="O79" s="145">
        <f t="shared" si="10"/>
        <v>0.20999999999999994</v>
      </c>
    </row>
    <row r="80" spans="1:15" x14ac:dyDescent="0.25">
      <c r="A80" s="61">
        <v>46234</v>
      </c>
      <c r="B80" s="30"/>
      <c r="D80" s="63">
        <f t="shared" si="3"/>
        <v>2459602.8499999996</v>
      </c>
      <c r="E80" s="63">
        <f t="shared" si="0"/>
        <v>2459602.85</v>
      </c>
      <c r="F80" s="124">
        <f t="shared" si="13"/>
        <v>68322.301388888882</v>
      </c>
      <c r="G80" s="63">
        <f t="shared" si="4"/>
        <v>-614900.71249999979</v>
      </c>
      <c r="H80" s="63">
        <f t="shared" si="12"/>
        <v>-230587.76718749991</v>
      </c>
      <c r="I80" s="63">
        <f t="shared" si="8"/>
        <v>2229015.0828125002</v>
      </c>
      <c r="J80" s="63">
        <f t="shared" si="1"/>
        <v>14347.683291666664</v>
      </c>
      <c r="K80" s="68">
        <f t="shared" si="2"/>
        <v>-387387.44887499983</v>
      </c>
      <c r="L80" s="63">
        <f t="shared" si="6"/>
        <v>-468093.16739062493</v>
      </c>
      <c r="M80" s="63">
        <f t="shared" si="11"/>
        <v>1760921.9154218752</v>
      </c>
      <c r="N80" s="64">
        <f t="shared" si="7"/>
        <v>1457314.688625</v>
      </c>
      <c r="O80" s="145">
        <f t="shared" si="10"/>
        <v>0.20999999999999994</v>
      </c>
    </row>
    <row r="81" spans="1:15" x14ac:dyDescent="0.25">
      <c r="A81" s="61">
        <v>46265</v>
      </c>
      <c r="B81" s="30"/>
      <c r="D81" s="63">
        <f t="shared" si="3"/>
        <v>2459602.8499999996</v>
      </c>
      <c r="E81" s="63">
        <f t="shared" si="0"/>
        <v>2459602.85</v>
      </c>
      <c r="F81" s="124">
        <f t="shared" si="13"/>
        <v>68322.301388888882</v>
      </c>
      <c r="G81" s="63">
        <f t="shared" si="4"/>
        <v>-683223.01388888864</v>
      </c>
      <c r="H81" s="63">
        <f t="shared" si="12"/>
        <v>-284676.25578703696</v>
      </c>
      <c r="I81" s="63">
        <f t="shared" si="8"/>
        <v>2174926.5942129632</v>
      </c>
      <c r="J81" s="63">
        <f t="shared" si="1"/>
        <v>14347.683291666664</v>
      </c>
      <c r="K81" s="68">
        <f t="shared" si="2"/>
        <v>-373039.76558333315</v>
      </c>
      <c r="L81" s="63">
        <f t="shared" si="6"/>
        <v>-456734.58478472213</v>
      </c>
      <c r="M81" s="63">
        <f t="shared" si="11"/>
        <v>1718192.0094282411</v>
      </c>
      <c r="N81" s="64">
        <f t="shared" si="7"/>
        <v>1403340.070527778</v>
      </c>
      <c r="O81" s="145">
        <f t="shared" si="10"/>
        <v>0.20999999999999991</v>
      </c>
    </row>
    <row r="82" spans="1:15" x14ac:dyDescent="0.25">
      <c r="A82" s="61">
        <v>46295</v>
      </c>
      <c r="B82" s="30"/>
      <c r="D82" s="63">
        <f t="shared" si="3"/>
        <v>2459602.8499999996</v>
      </c>
      <c r="E82" s="63">
        <f t="shared" si="0"/>
        <v>2459602.85</v>
      </c>
      <c r="F82" s="124">
        <f t="shared" si="13"/>
        <v>68322.301388888882</v>
      </c>
      <c r="G82" s="63">
        <f t="shared" si="4"/>
        <v>-751545.3152777775</v>
      </c>
      <c r="H82" s="63">
        <f t="shared" si="12"/>
        <v>-344458.26950231468</v>
      </c>
      <c r="I82" s="63">
        <f t="shared" si="8"/>
        <v>2115144.5804976854</v>
      </c>
      <c r="J82" s="63">
        <f t="shared" si="1"/>
        <v>14347.683291666664</v>
      </c>
      <c r="K82" s="68">
        <f t="shared" si="2"/>
        <v>-358692.08229166648</v>
      </c>
      <c r="L82" s="63">
        <f t="shared" si="6"/>
        <v>-444180.36190451379</v>
      </c>
      <c r="M82" s="63">
        <f t="shared" si="11"/>
        <v>1670964.2185931716</v>
      </c>
      <c r="N82" s="64">
        <f t="shared" si="7"/>
        <v>1349365.4524305556</v>
      </c>
      <c r="O82" s="145">
        <f t="shared" si="10"/>
        <v>0.20999999999999991</v>
      </c>
    </row>
    <row r="83" spans="1:15" ht="13.8" thickBot="1" x14ac:dyDescent="0.3">
      <c r="A83" s="61">
        <v>46326</v>
      </c>
      <c r="B83" s="30"/>
      <c r="D83" s="63">
        <f t="shared" si="3"/>
        <v>2459602.8499999996</v>
      </c>
      <c r="E83" s="63">
        <f t="shared" si="0"/>
        <v>2459602.85</v>
      </c>
      <c r="F83" s="124">
        <f t="shared" si="13"/>
        <v>68322.301388888882</v>
      </c>
      <c r="G83" s="63">
        <f t="shared" si="4"/>
        <v>-819867.61666666635</v>
      </c>
      <c r="H83" s="63">
        <f t="shared" si="12"/>
        <v>-409933.80833333317</v>
      </c>
      <c r="I83" s="63">
        <f t="shared" si="8"/>
        <v>2049669.041666667</v>
      </c>
      <c r="J83" s="63">
        <f t="shared" si="1"/>
        <v>14347.683291666664</v>
      </c>
      <c r="K83" s="68">
        <f t="shared" si="2"/>
        <v>-344344.3989999998</v>
      </c>
      <c r="L83" s="63">
        <f t="shared" si="6"/>
        <v>-430430.49874999985</v>
      </c>
      <c r="M83" s="63">
        <f t="shared" si="11"/>
        <v>1619238.5429166672</v>
      </c>
      <c r="N83" s="64">
        <f t="shared" si="7"/>
        <v>1295390.8343333337</v>
      </c>
      <c r="O83" s="145">
        <f t="shared" si="10"/>
        <v>0.20999999999999988</v>
      </c>
    </row>
    <row r="84" spans="1:15" x14ac:dyDescent="0.25">
      <c r="A84" s="134">
        <v>46356</v>
      </c>
      <c r="B84" s="141"/>
      <c r="C84" s="141"/>
      <c r="D84" s="136">
        <f t="shared" si="3"/>
        <v>2459602.8499999996</v>
      </c>
      <c r="E84" s="136">
        <f t="shared" si="0"/>
        <v>2459602.85</v>
      </c>
      <c r="F84" s="137">
        <f t="shared" si="13"/>
        <v>68322.301388888882</v>
      </c>
      <c r="G84" s="136">
        <f t="shared" si="4"/>
        <v>-888189.9180555552</v>
      </c>
      <c r="H84" s="136">
        <f t="shared" si="12"/>
        <v>-478256.10972222203</v>
      </c>
      <c r="I84" s="136">
        <f t="shared" si="8"/>
        <v>1981346.7402777781</v>
      </c>
      <c r="J84" s="136">
        <f t="shared" si="1"/>
        <v>14347.683291666664</v>
      </c>
      <c r="K84" s="138">
        <f t="shared" si="2"/>
        <v>-329996.71570833313</v>
      </c>
      <c r="L84" s="136">
        <f t="shared" si="6"/>
        <v>-416082.81545833318</v>
      </c>
      <c r="M84" s="136">
        <f t="shared" si="11"/>
        <v>1565263.924819445</v>
      </c>
      <c r="N84" s="140">
        <f t="shared" si="7"/>
        <v>1241416.2162361112</v>
      </c>
      <c r="O84" s="145">
        <f t="shared" si="10"/>
        <v>0.20999999999999988</v>
      </c>
    </row>
    <row r="85" spans="1:15" x14ac:dyDescent="0.25">
      <c r="A85" s="61">
        <v>46387</v>
      </c>
      <c r="B85" s="30"/>
      <c r="D85" s="63">
        <f t="shared" si="3"/>
        <v>2459602.8499999996</v>
      </c>
      <c r="E85" s="63">
        <f t="shared" si="0"/>
        <v>2459602.85</v>
      </c>
      <c r="F85" s="124">
        <f t="shared" si="13"/>
        <v>68322.301388888882</v>
      </c>
      <c r="G85" s="63">
        <f t="shared" si="4"/>
        <v>-956512.21944444405</v>
      </c>
      <c r="H85" s="63">
        <f t="shared" si="12"/>
        <v>-546578.41111111094</v>
      </c>
      <c r="I85" s="63">
        <f t="shared" si="8"/>
        <v>1913024.4388888893</v>
      </c>
      <c r="J85" s="63">
        <f t="shared" si="1"/>
        <v>14347.683291666664</v>
      </c>
      <c r="K85" s="68">
        <f t="shared" si="2"/>
        <v>-315649.03241666645</v>
      </c>
      <c r="L85" s="63">
        <f t="shared" si="6"/>
        <v>-401735.1321666665</v>
      </c>
      <c r="M85" s="63">
        <f t="shared" si="11"/>
        <v>1511289.3067222228</v>
      </c>
      <c r="N85" s="64">
        <f t="shared" si="7"/>
        <v>1187441.5981388893</v>
      </c>
      <c r="O85" s="145">
        <f t="shared" si="10"/>
        <v>0.20999999999999983</v>
      </c>
    </row>
    <row r="86" spans="1:15" s="328" customFormat="1" x14ac:dyDescent="0.25">
      <c r="A86" s="323">
        <v>46418</v>
      </c>
      <c r="C86" s="324"/>
      <c r="D86" s="199">
        <f t="shared" si="3"/>
        <v>2459602.8499999996</v>
      </c>
      <c r="E86" s="199">
        <f t="shared" si="0"/>
        <v>2459602.85</v>
      </c>
      <c r="F86" s="329">
        <f t="shared" si="13"/>
        <v>68322.301388888882</v>
      </c>
      <c r="G86" s="199">
        <f t="shared" si="4"/>
        <v>-1024834.5208333329</v>
      </c>
      <c r="H86" s="199">
        <f t="shared" si="12"/>
        <v>-614900.71249999979</v>
      </c>
      <c r="I86" s="199">
        <f t="shared" si="8"/>
        <v>1844702.1375000002</v>
      </c>
      <c r="J86" s="199">
        <f t="shared" si="1"/>
        <v>14347.683291666664</v>
      </c>
      <c r="K86" s="326">
        <f t="shared" si="2"/>
        <v>-301301.34912499978</v>
      </c>
      <c r="L86" s="199">
        <f t="shared" si="6"/>
        <v>-387387.44887499983</v>
      </c>
      <c r="M86" s="199">
        <f t="shared" si="11"/>
        <v>1457314.6886250004</v>
      </c>
      <c r="N86" s="327">
        <f t="shared" si="7"/>
        <v>1133466.9800416669</v>
      </c>
      <c r="O86" s="330">
        <f t="shared" si="10"/>
        <v>0.20999999999999985</v>
      </c>
    </row>
    <row r="87" spans="1:15" x14ac:dyDescent="0.25">
      <c r="A87" s="61">
        <v>46446</v>
      </c>
      <c r="B87" s="30"/>
      <c r="D87" s="63">
        <f t="shared" si="3"/>
        <v>2459602.8499999996</v>
      </c>
      <c r="E87" s="63">
        <f t="shared" si="0"/>
        <v>2459602.85</v>
      </c>
      <c r="F87" s="124">
        <f t="shared" si="13"/>
        <v>68322.301388888882</v>
      </c>
      <c r="G87" s="63">
        <f t="shared" si="4"/>
        <v>-1093156.8222222219</v>
      </c>
      <c r="H87" s="63">
        <f t="shared" si="12"/>
        <v>-683223.01388888864</v>
      </c>
      <c r="I87" s="63">
        <f t="shared" si="8"/>
        <v>1776379.8361111116</v>
      </c>
      <c r="J87" s="63">
        <f t="shared" si="1"/>
        <v>14347.683291666664</v>
      </c>
      <c r="K87" s="68">
        <f t="shared" si="2"/>
        <v>-286953.6658333331</v>
      </c>
      <c r="L87" s="63">
        <f t="shared" si="6"/>
        <v>-373039.76558333315</v>
      </c>
      <c r="M87" s="63">
        <f t="shared" si="11"/>
        <v>1403340.0705277785</v>
      </c>
      <c r="N87" s="64">
        <f t="shared" si="7"/>
        <v>1079492.3619444447</v>
      </c>
      <c r="O87" s="145">
        <f t="shared" si="10"/>
        <v>0.20999999999999983</v>
      </c>
    </row>
    <row r="88" spans="1:15" x14ac:dyDescent="0.25">
      <c r="A88" s="61">
        <v>46477</v>
      </c>
      <c r="B88" s="30"/>
      <c r="D88" s="63">
        <f t="shared" si="3"/>
        <v>2459602.8499999996</v>
      </c>
      <c r="E88" s="63">
        <f t="shared" ref="E88:E95" si="14">(D76+D88+SUM(D77:D87)*2)/24</f>
        <v>2459602.85</v>
      </c>
      <c r="F88" s="124">
        <f t="shared" si="13"/>
        <v>68322.301388888882</v>
      </c>
      <c r="G88" s="63">
        <f t="shared" si="4"/>
        <v>-1161479.1236111107</v>
      </c>
      <c r="H88" s="63">
        <f t="shared" si="12"/>
        <v>-751545.31527777761</v>
      </c>
      <c r="I88" s="63">
        <f t="shared" si="8"/>
        <v>1708057.5347222225</v>
      </c>
      <c r="J88" s="63">
        <f t="shared" ref="J88:J107" si="15">(-C88*0.21)+(F88*0.21)</f>
        <v>14347.683291666664</v>
      </c>
      <c r="K88" s="68">
        <f t="shared" ref="K88:K107" si="16">K87+J88</f>
        <v>-272605.98254166642</v>
      </c>
      <c r="L88" s="63">
        <f t="shared" si="6"/>
        <v>-358692.08229166648</v>
      </c>
      <c r="M88" s="63">
        <f t="shared" si="11"/>
        <v>1349365.4524305561</v>
      </c>
      <c r="N88" s="64">
        <f t="shared" si="7"/>
        <v>1025517.7438472225</v>
      </c>
      <c r="O88" s="145">
        <f t="shared" si="10"/>
        <v>0.2099999999999998</v>
      </c>
    </row>
    <row r="89" spans="1:15" x14ac:dyDescent="0.25">
      <c r="A89" s="61">
        <v>46507</v>
      </c>
      <c r="B89" s="30"/>
      <c r="D89" s="63">
        <f t="shared" ref="D89:D107" si="17">D88+C89</f>
        <v>2459602.8499999996</v>
      </c>
      <c r="E89" s="63">
        <f t="shared" si="14"/>
        <v>2459602.85</v>
      </c>
      <c r="F89" s="124">
        <f t="shared" si="13"/>
        <v>68322.301388888882</v>
      </c>
      <c r="G89" s="63">
        <f t="shared" si="4"/>
        <v>-1229801.4249999996</v>
      </c>
      <c r="H89" s="63">
        <f t="shared" si="12"/>
        <v>-819867.61666666635</v>
      </c>
      <c r="I89" s="63">
        <f t="shared" si="8"/>
        <v>1639735.2333333339</v>
      </c>
      <c r="J89" s="63">
        <f t="shared" si="15"/>
        <v>14347.683291666664</v>
      </c>
      <c r="K89" s="68">
        <f t="shared" si="16"/>
        <v>-258258.29924999975</v>
      </c>
      <c r="L89" s="63">
        <f t="shared" si="6"/>
        <v>-344344.3989999998</v>
      </c>
      <c r="M89" s="63">
        <f t="shared" si="11"/>
        <v>1295390.8343333341</v>
      </c>
      <c r="N89" s="64">
        <f t="shared" si="7"/>
        <v>971543.12575000036</v>
      </c>
      <c r="O89" s="145">
        <f t="shared" si="10"/>
        <v>0.2099999999999998</v>
      </c>
    </row>
    <row r="90" spans="1:15" x14ac:dyDescent="0.25">
      <c r="A90" s="61">
        <v>46538</v>
      </c>
      <c r="B90" s="30"/>
      <c r="D90" s="63">
        <f t="shared" si="17"/>
        <v>2459602.8499999996</v>
      </c>
      <c r="E90" s="63">
        <f t="shared" si="14"/>
        <v>2459602.85</v>
      </c>
      <c r="F90" s="124">
        <f t="shared" si="13"/>
        <v>68322.301388888882</v>
      </c>
      <c r="G90" s="63">
        <f t="shared" ref="G90:G107" si="18">G89-F90</f>
        <v>-1298123.7263888884</v>
      </c>
      <c r="H90" s="63">
        <f t="shared" si="12"/>
        <v>-888189.9180555552</v>
      </c>
      <c r="I90" s="63">
        <f t="shared" si="8"/>
        <v>1571412.9319444448</v>
      </c>
      <c r="J90" s="63">
        <f t="shared" si="15"/>
        <v>14347.683291666664</v>
      </c>
      <c r="K90" s="68">
        <f t="shared" si="16"/>
        <v>-243910.61595833307</v>
      </c>
      <c r="L90" s="63">
        <f t="shared" ref="L90:L95" si="19">(K78+K90+SUM(K79:K89)*2)/24</f>
        <v>-329996.71570833313</v>
      </c>
      <c r="M90" s="63">
        <f t="shared" si="11"/>
        <v>1241416.2162361117</v>
      </c>
      <c r="N90" s="64">
        <f t="shared" ref="N90:N107" si="20">+D90+G90+K90</f>
        <v>917568.50765277818</v>
      </c>
      <c r="O90" s="145">
        <f t="shared" si="10"/>
        <v>0.20999999999999977</v>
      </c>
    </row>
    <row r="91" spans="1:15" x14ac:dyDescent="0.25">
      <c r="A91" s="61">
        <v>46568</v>
      </c>
      <c r="B91" s="30"/>
      <c r="D91" s="63">
        <f t="shared" si="17"/>
        <v>2459602.8499999996</v>
      </c>
      <c r="E91" s="63">
        <f t="shared" si="14"/>
        <v>2459602.85</v>
      </c>
      <c r="F91" s="124">
        <f t="shared" si="13"/>
        <v>68322.301388888882</v>
      </c>
      <c r="G91" s="63">
        <f t="shared" si="18"/>
        <v>-1366446.0277777773</v>
      </c>
      <c r="H91" s="63">
        <f t="shared" si="12"/>
        <v>-956512.21944444405</v>
      </c>
      <c r="I91" s="63">
        <f t="shared" ref="I91:I107" si="21">E91+H91</f>
        <v>1503090.6305555562</v>
      </c>
      <c r="J91" s="63">
        <f t="shared" si="15"/>
        <v>14347.683291666664</v>
      </c>
      <c r="K91" s="68">
        <f t="shared" si="16"/>
        <v>-229562.9326666664</v>
      </c>
      <c r="L91" s="63">
        <f t="shared" si="19"/>
        <v>-315649.03241666645</v>
      </c>
      <c r="M91" s="63">
        <f t="shared" si="11"/>
        <v>1187441.5981388898</v>
      </c>
      <c r="N91" s="64">
        <f t="shared" si="20"/>
        <v>863593.889555556</v>
      </c>
      <c r="O91" s="145">
        <f t="shared" ref="O91:O94" si="22">-K91/(D91+G91)</f>
        <v>0.20999999999999974</v>
      </c>
    </row>
    <row r="92" spans="1:15" x14ac:dyDescent="0.25">
      <c r="A92" s="61">
        <v>46599</v>
      </c>
      <c r="B92" s="30"/>
      <c r="D92" s="63">
        <f t="shared" si="17"/>
        <v>2459602.8499999996</v>
      </c>
      <c r="E92" s="63">
        <f t="shared" si="14"/>
        <v>2459602.85</v>
      </c>
      <c r="F92" s="124">
        <f t="shared" si="13"/>
        <v>68322.301388888882</v>
      </c>
      <c r="G92" s="63">
        <f t="shared" si="18"/>
        <v>-1434768.3291666661</v>
      </c>
      <c r="H92" s="63">
        <f t="shared" si="12"/>
        <v>-1024834.520833333</v>
      </c>
      <c r="I92" s="63">
        <f t="shared" si="21"/>
        <v>1434768.3291666671</v>
      </c>
      <c r="J92" s="63">
        <f t="shared" si="15"/>
        <v>14347.683291666664</v>
      </c>
      <c r="K92" s="68">
        <f t="shared" si="16"/>
        <v>-215215.24937499972</v>
      </c>
      <c r="L92" s="63">
        <f t="shared" si="19"/>
        <v>-301301.34912499978</v>
      </c>
      <c r="M92" s="63">
        <f t="shared" si="11"/>
        <v>1133466.9800416674</v>
      </c>
      <c r="N92" s="64">
        <f t="shared" si="20"/>
        <v>809619.27145833382</v>
      </c>
      <c r="O92" s="145">
        <f t="shared" si="22"/>
        <v>0.20999999999999969</v>
      </c>
    </row>
    <row r="93" spans="1:15" x14ac:dyDescent="0.25">
      <c r="A93" s="61">
        <v>46630</v>
      </c>
      <c r="B93" s="30"/>
      <c r="D93" s="63">
        <f t="shared" si="17"/>
        <v>2459602.8499999996</v>
      </c>
      <c r="E93" s="63">
        <f t="shared" si="14"/>
        <v>2459602.85</v>
      </c>
      <c r="F93" s="124">
        <f t="shared" si="13"/>
        <v>68322.301388888882</v>
      </c>
      <c r="G93" s="63">
        <f t="shared" si="18"/>
        <v>-1503090.630555555</v>
      </c>
      <c r="H93" s="63">
        <f t="shared" si="12"/>
        <v>-1093156.8222222219</v>
      </c>
      <c r="I93" s="63">
        <f t="shared" si="21"/>
        <v>1366446.0277777782</v>
      </c>
      <c r="J93" s="63">
        <f t="shared" si="15"/>
        <v>14347.683291666664</v>
      </c>
      <c r="K93" s="68">
        <f t="shared" si="16"/>
        <v>-200867.56608333305</v>
      </c>
      <c r="L93" s="63">
        <f t="shared" si="19"/>
        <v>-286953.6658333331</v>
      </c>
      <c r="M93" s="63">
        <f t="shared" si="11"/>
        <v>1079492.3619444452</v>
      </c>
      <c r="N93" s="64">
        <f t="shared" si="20"/>
        <v>755644.65336111165</v>
      </c>
      <c r="O93" s="145">
        <f t="shared" si="22"/>
        <v>0.20999999999999966</v>
      </c>
    </row>
    <row r="94" spans="1:15" x14ac:dyDescent="0.25">
      <c r="A94" s="61">
        <v>46660</v>
      </c>
      <c r="B94" s="30"/>
      <c r="D94" s="63">
        <f t="shared" si="17"/>
        <v>2459602.8499999996</v>
      </c>
      <c r="E94" s="63">
        <f t="shared" si="14"/>
        <v>2459602.85</v>
      </c>
      <c r="F94" s="124">
        <f t="shared" si="13"/>
        <v>68322.301388888882</v>
      </c>
      <c r="G94" s="63">
        <f t="shared" si="18"/>
        <v>-1571412.9319444438</v>
      </c>
      <c r="H94" s="63">
        <f t="shared" si="12"/>
        <v>-1161479.1236111107</v>
      </c>
      <c r="I94" s="63">
        <f t="shared" si="21"/>
        <v>1298123.7263888894</v>
      </c>
      <c r="J94" s="63">
        <f t="shared" si="15"/>
        <v>14347.683291666664</v>
      </c>
      <c r="K94" s="68">
        <f t="shared" si="16"/>
        <v>-186519.88279166637</v>
      </c>
      <c r="L94" s="63">
        <f t="shared" si="19"/>
        <v>-272605.98254166642</v>
      </c>
      <c r="M94" s="63">
        <f t="shared" si="11"/>
        <v>1025517.743847223</v>
      </c>
      <c r="N94" s="64">
        <f t="shared" si="20"/>
        <v>701670.03526388947</v>
      </c>
      <c r="O94" s="145">
        <f t="shared" si="22"/>
        <v>0.2099999999999996</v>
      </c>
    </row>
    <row r="95" spans="1:15" ht="13.8" thickBot="1" x14ac:dyDescent="0.3">
      <c r="A95" s="61">
        <v>46691</v>
      </c>
      <c r="B95" s="30"/>
      <c r="D95" s="63">
        <f t="shared" si="17"/>
        <v>2459602.8499999996</v>
      </c>
      <c r="E95" s="63">
        <f t="shared" si="14"/>
        <v>2459602.85</v>
      </c>
      <c r="F95" s="124">
        <f t="shared" si="13"/>
        <v>68322.301388888882</v>
      </c>
      <c r="G95" s="63">
        <f t="shared" si="18"/>
        <v>-1639735.2333333327</v>
      </c>
      <c r="H95" s="63">
        <f t="shared" si="12"/>
        <v>-1229801.4249999993</v>
      </c>
      <c r="I95" s="63">
        <f t="shared" si="21"/>
        <v>1229801.4250000007</v>
      </c>
      <c r="J95" s="63">
        <f t="shared" si="15"/>
        <v>14347.683291666664</v>
      </c>
      <c r="K95" s="68">
        <f t="shared" si="16"/>
        <v>-172172.1994999997</v>
      </c>
      <c r="L95" s="63">
        <f t="shared" si="19"/>
        <v>-258258.29924999972</v>
      </c>
      <c r="M95" s="63">
        <f t="shared" si="11"/>
        <v>971543.12575000105</v>
      </c>
      <c r="N95" s="64">
        <f t="shared" si="20"/>
        <v>647695.41716666729</v>
      </c>
      <c r="O95" s="145"/>
    </row>
    <row r="96" spans="1:15" x14ac:dyDescent="0.25">
      <c r="A96" s="134">
        <v>46721</v>
      </c>
      <c r="B96" s="141"/>
      <c r="C96" s="141"/>
      <c r="D96" s="136">
        <f t="shared" si="17"/>
        <v>2459602.8499999996</v>
      </c>
      <c r="E96" s="136">
        <f t="shared" ref="E96:E98" si="23">(D84+D96+SUM(D85:D95)*2)/24</f>
        <v>2459602.85</v>
      </c>
      <c r="F96" s="137">
        <f t="shared" si="13"/>
        <v>68322.301388888882</v>
      </c>
      <c r="G96" s="136">
        <f t="shared" si="18"/>
        <v>-1708057.5347222215</v>
      </c>
      <c r="H96" s="136">
        <f t="shared" si="12"/>
        <v>-1298123.7263888884</v>
      </c>
      <c r="I96" s="136">
        <f t="shared" si="21"/>
        <v>1161479.1236111117</v>
      </c>
      <c r="J96" s="136">
        <f t="shared" si="15"/>
        <v>14347.683291666664</v>
      </c>
      <c r="K96" s="138">
        <f t="shared" si="16"/>
        <v>-157824.51620833302</v>
      </c>
      <c r="L96" s="136">
        <f t="shared" ref="L96:L107" si="24">(K84+K96+SUM(K85:K95)*2)/24</f>
        <v>-243910.61595833304</v>
      </c>
      <c r="M96" s="136">
        <f t="shared" si="11"/>
        <v>917568.50765277864</v>
      </c>
      <c r="N96" s="140">
        <f t="shared" si="20"/>
        <v>593720.79906944511</v>
      </c>
      <c r="O96" s="145"/>
    </row>
    <row r="97" spans="1:15" x14ac:dyDescent="0.25">
      <c r="A97" s="61">
        <v>46752</v>
      </c>
      <c r="B97" s="30"/>
      <c r="D97" s="63">
        <f t="shared" si="17"/>
        <v>2459602.8499999996</v>
      </c>
      <c r="E97" s="63">
        <f t="shared" si="23"/>
        <v>2459602.85</v>
      </c>
      <c r="F97" s="124">
        <f t="shared" si="13"/>
        <v>68322.301388888882</v>
      </c>
      <c r="G97" s="63">
        <f t="shared" si="18"/>
        <v>-1776379.8361111104</v>
      </c>
      <c r="H97" s="63">
        <f t="shared" si="12"/>
        <v>-1366446.0277777773</v>
      </c>
      <c r="I97" s="63">
        <f t="shared" si="21"/>
        <v>1093156.8222222228</v>
      </c>
      <c r="J97" s="63">
        <f t="shared" si="15"/>
        <v>14347.683291666664</v>
      </c>
      <c r="K97" s="68">
        <f t="shared" si="16"/>
        <v>-143476.83291666635</v>
      </c>
      <c r="L97" s="63">
        <f t="shared" si="24"/>
        <v>-229562.93266666637</v>
      </c>
      <c r="M97" s="63">
        <f t="shared" si="11"/>
        <v>863593.88955555647</v>
      </c>
      <c r="N97" s="64">
        <f t="shared" si="20"/>
        <v>539746.18097222294</v>
      </c>
      <c r="O97" s="145"/>
    </row>
    <row r="98" spans="1:15" x14ac:dyDescent="0.25">
      <c r="A98" s="61">
        <v>46783</v>
      </c>
      <c r="B98" s="30"/>
      <c r="D98" s="63">
        <f t="shared" si="17"/>
        <v>2459602.8499999996</v>
      </c>
      <c r="E98" s="63">
        <f t="shared" si="23"/>
        <v>2459602.85</v>
      </c>
      <c r="F98" s="124">
        <f t="shared" si="13"/>
        <v>68322.301388888882</v>
      </c>
      <c r="G98" s="63">
        <f t="shared" si="18"/>
        <v>-1844702.1374999993</v>
      </c>
      <c r="H98" s="63">
        <f t="shared" si="12"/>
        <v>-1434768.3291666659</v>
      </c>
      <c r="I98" s="63">
        <f t="shared" si="21"/>
        <v>1024834.5208333342</v>
      </c>
      <c r="J98" s="63">
        <f t="shared" si="15"/>
        <v>14347.683291666664</v>
      </c>
      <c r="K98" s="68">
        <f t="shared" si="16"/>
        <v>-129129.14962499969</v>
      </c>
      <c r="L98" s="63">
        <f t="shared" si="24"/>
        <v>-215215.24937499969</v>
      </c>
      <c r="M98" s="63">
        <f t="shared" si="11"/>
        <v>809619.27145833452</v>
      </c>
      <c r="N98" s="64">
        <f t="shared" si="20"/>
        <v>485771.5628750007</v>
      </c>
      <c r="O98" s="145"/>
    </row>
    <row r="99" spans="1:15" x14ac:dyDescent="0.25">
      <c r="A99" s="61">
        <v>46812</v>
      </c>
      <c r="B99" s="30"/>
      <c r="D99" s="63">
        <f t="shared" si="17"/>
        <v>2459602.8499999996</v>
      </c>
      <c r="E99" s="63">
        <f t="shared" ref="E99:E107" si="25">(D87+D99+SUM(D88:D98)*2)/24</f>
        <v>2459602.85</v>
      </c>
      <c r="F99" s="124">
        <f t="shared" si="13"/>
        <v>68322.301388888882</v>
      </c>
      <c r="G99" s="63">
        <f t="shared" si="18"/>
        <v>-1913024.4388888881</v>
      </c>
      <c r="H99" s="63">
        <f t="shared" si="12"/>
        <v>-1503090.630555555</v>
      </c>
      <c r="I99" s="63">
        <f t="shared" si="21"/>
        <v>956512.2194444451</v>
      </c>
      <c r="J99" s="63">
        <f t="shared" si="15"/>
        <v>14347.683291666664</v>
      </c>
      <c r="K99" s="68">
        <f t="shared" si="16"/>
        <v>-114781.46633333302</v>
      </c>
      <c r="L99" s="63">
        <f t="shared" si="24"/>
        <v>-200867.56608333302</v>
      </c>
      <c r="M99" s="63">
        <f t="shared" si="11"/>
        <v>755644.65336111211</v>
      </c>
      <c r="N99" s="64">
        <f t="shared" si="20"/>
        <v>431796.94477777847</v>
      </c>
      <c r="O99" s="145"/>
    </row>
    <row r="100" spans="1:15" x14ac:dyDescent="0.25">
      <c r="A100" s="61">
        <v>46843</v>
      </c>
      <c r="B100" s="30"/>
      <c r="D100" s="63">
        <f t="shared" si="17"/>
        <v>2459602.8499999996</v>
      </c>
      <c r="E100" s="63">
        <f t="shared" si="25"/>
        <v>2459602.85</v>
      </c>
      <c r="F100" s="124">
        <f t="shared" si="13"/>
        <v>68322.301388888882</v>
      </c>
      <c r="G100" s="63">
        <f t="shared" si="18"/>
        <v>-1981346.740277777</v>
      </c>
      <c r="H100" s="63">
        <f t="shared" si="12"/>
        <v>-1571412.9319444438</v>
      </c>
      <c r="I100" s="63">
        <f t="shared" si="21"/>
        <v>888189.91805555625</v>
      </c>
      <c r="J100" s="63">
        <f t="shared" si="15"/>
        <v>14347.683291666664</v>
      </c>
      <c r="K100" s="68">
        <f t="shared" si="16"/>
        <v>-100433.78304166636</v>
      </c>
      <c r="L100" s="63">
        <f t="shared" si="24"/>
        <v>-186519.88279166634</v>
      </c>
      <c r="M100" s="63">
        <f t="shared" si="11"/>
        <v>701670.03526388993</v>
      </c>
      <c r="N100" s="64">
        <f t="shared" si="20"/>
        <v>377822.32668055629</v>
      </c>
      <c r="O100" s="145"/>
    </row>
    <row r="101" spans="1:15" x14ac:dyDescent="0.25">
      <c r="A101" s="61">
        <v>46873</v>
      </c>
      <c r="B101" s="30"/>
      <c r="D101" s="63">
        <f t="shared" si="17"/>
        <v>2459602.8499999996</v>
      </c>
      <c r="E101" s="63">
        <f t="shared" si="25"/>
        <v>2459602.85</v>
      </c>
      <c r="F101" s="124">
        <f t="shared" si="13"/>
        <v>68322.301388888882</v>
      </c>
      <c r="G101" s="63">
        <f t="shared" si="18"/>
        <v>-2049669.0416666658</v>
      </c>
      <c r="H101" s="63">
        <f t="shared" si="12"/>
        <v>-1639735.2333333327</v>
      </c>
      <c r="I101" s="63">
        <f t="shared" si="21"/>
        <v>819867.6166666674</v>
      </c>
      <c r="J101" s="63">
        <f t="shared" si="15"/>
        <v>14347.683291666664</v>
      </c>
      <c r="K101" s="68">
        <f t="shared" si="16"/>
        <v>-86086.099749999703</v>
      </c>
      <c r="L101" s="63">
        <f t="shared" si="24"/>
        <v>-172172.19949999967</v>
      </c>
      <c r="M101" s="63">
        <f t="shared" ref="M101:M107" si="26">L101+I101</f>
        <v>647695.41716666776</v>
      </c>
      <c r="N101" s="64">
        <f t="shared" si="20"/>
        <v>323847.70858333411</v>
      </c>
      <c r="O101" s="145"/>
    </row>
    <row r="102" spans="1:15" x14ac:dyDescent="0.25">
      <c r="A102" s="61">
        <v>46904</v>
      </c>
      <c r="B102" s="30"/>
      <c r="D102" s="63">
        <f t="shared" si="17"/>
        <v>2459602.8499999996</v>
      </c>
      <c r="E102" s="63">
        <f t="shared" si="25"/>
        <v>2459602.85</v>
      </c>
      <c r="F102" s="124">
        <f t="shared" si="13"/>
        <v>68322.301388888882</v>
      </c>
      <c r="G102" s="63">
        <f t="shared" si="18"/>
        <v>-2117991.3430555547</v>
      </c>
      <c r="H102" s="63">
        <f t="shared" ref="H102:H107" si="27">(G90+G102+SUM(G91:G101)*2)/24</f>
        <v>-1708057.5347222213</v>
      </c>
      <c r="I102" s="63">
        <f t="shared" si="21"/>
        <v>751545.31527777878</v>
      </c>
      <c r="J102" s="63">
        <f t="shared" si="15"/>
        <v>14347.683291666664</v>
      </c>
      <c r="K102" s="68">
        <f t="shared" si="16"/>
        <v>-71738.416458333042</v>
      </c>
      <c r="L102" s="63">
        <f t="shared" si="24"/>
        <v>-157824.51620833299</v>
      </c>
      <c r="M102" s="63">
        <f t="shared" si="26"/>
        <v>593720.79906944581</v>
      </c>
      <c r="N102" s="64">
        <f t="shared" si="20"/>
        <v>269873.09048611193</v>
      </c>
      <c r="O102" s="145"/>
    </row>
    <row r="103" spans="1:15" x14ac:dyDescent="0.25">
      <c r="A103" s="61">
        <v>46934</v>
      </c>
      <c r="B103" s="30"/>
      <c r="D103" s="63">
        <f t="shared" si="17"/>
        <v>2459602.8499999996</v>
      </c>
      <c r="E103" s="63">
        <f t="shared" si="25"/>
        <v>2459602.85</v>
      </c>
      <c r="F103" s="124">
        <f t="shared" si="13"/>
        <v>68322.301388888882</v>
      </c>
      <c r="G103" s="63">
        <f t="shared" si="18"/>
        <v>-2186313.6444444438</v>
      </c>
      <c r="H103" s="63">
        <f t="shared" si="27"/>
        <v>-1776379.8361111099</v>
      </c>
      <c r="I103" s="63">
        <f t="shared" si="21"/>
        <v>683223.01388889016</v>
      </c>
      <c r="J103" s="63">
        <f t="shared" si="15"/>
        <v>14347.683291666664</v>
      </c>
      <c r="K103" s="68">
        <f t="shared" si="16"/>
        <v>-57390.733166666381</v>
      </c>
      <c r="L103" s="63">
        <f t="shared" si="24"/>
        <v>-143476.83291666638</v>
      </c>
      <c r="M103" s="63">
        <f t="shared" si="26"/>
        <v>539746.18097222375</v>
      </c>
      <c r="N103" s="64">
        <f t="shared" si="20"/>
        <v>215898.4723888895</v>
      </c>
      <c r="O103" s="145"/>
    </row>
    <row r="104" spans="1:15" x14ac:dyDescent="0.25">
      <c r="A104" s="61">
        <v>46965</v>
      </c>
      <c r="B104" s="30"/>
      <c r="D104" s="63">
        <f t="shared" si="17"/>
        <v>2459602.8499999996</v>
      </c>
      <c r="E104" s="63">
        <f t="shared" si="25"/>
        <v>2459602.85</v>
      </c>
      <c r="F104" s="124">
        <f t="shared" si="13"/>
        <v>68322.301388888882</v>
      </c>
      <c r="G104" s="63">
        <f t="shared" si="18"/>
        <v>-2254635.9458333328</v>
      </c>
      <c r="H104" s="63">
        <f t="shared" si="27"/>
        <v>-1844702.1374999993</v>
      </c>
      <c r="I104" s="63">
        <f t="shared" si="21"/>
        <v>614900.71250000084</v>
      </c>
      <c r="J104" s="63">
        <f t="shared" si="15"/>
        <v>14347.683291666664</v>
      </c>
      <c r="K104" s="68">
        <f t="shared" si="16"/>
        <v>-43043.04987499972</v>
      </c>
      <c r="L104" s="63">
        <f t="shared" si="24"/>
        <v>-129129.14962499969</v>
      </c>
      <c r="M104" s="63">
        <f t="shared" si="26"/>
        <v>485771.56287500117</v>
      </c>
      <c r="N104" s="64">
        <f t="shared" si="20"/>
        <v>161923.85429166706</v>
      </c>
      <c r="O104" s="145"/>
    </row>
    <row r="105" spans="1:15" x14ac:dyDescent="0.25">
      <c r="A105" s="61">
        <v>46996</v>
      </c>
      <c r="B105" s="30"/>
      <c r="D105" s="63">
        <f t="shared" si="17"/>
        <v>2459602.8499999996</v>
      </c>
      <c r="E105" s="63">
        <f t="shared" si="25"/>
        <v>2459602.85</v>
      </c>
      <c r="F105" s="124">
        <f t="shared" si="13"/>
        <v>68322.301388888882</v>
      </c>
      <c r="G105" s="63">
        <f t="shared" si="18"/>
        <v>-2322958.2472222219</v>
      </c>
      <c r="H105" s="63">
        <f t="shared" si="27"/>
        <v>-1913024.4388888881</v>
      </c>
      <c r="I105" s="63">
        <f t="shared" si="21"/>
        <v>546578.41111111199</v>
      </c>
      <c r="J105" s="63">
        <f t="shared" si="15"/>
        <v>14347.683291666664</v>
      </c>
      <c r="K105" s="68">
        <f t="shared" si="16"/>
        <v>-28695.366583333056</v>
      </c>
      <c r="L105" s="63">
        <f t="shared" si="24"/>
        <v>-114781.46633333305</v>
      </c>
      <c r="M105" s="63">
        <f t="shared" si="26"/>
        <v>431796.94477777893</v>
      </c>
      <c r="N105" s="64">
        <f t="shared" si="20"/>
        <v>107949.23619444465</v>
      </c>
      <c r="O105" s="145"/>
    </row>
    <row r="106" spans="1:15" x14ac:dyDescent="0.25">
      <c r="A106" s="61">
        <v>47026</v>
      </c>
      <c r="B106" s="30"/>
      <c r="D106" s="63">
        <f t="shared" si="17"/>
        <v>2459602.8499999996</v>
      </c>
      <c r="E106" s="63">
        <f t="shared" si="25"/>
        <v>2459602.85</v>
      </c>
      <c r="F106" s="124">
        <f t="shared" si="13"/>
        <v>68322.301388888882</v>
      </c>
      <c r="G106" s="63">
        <f t="shared" si="18"/>
        <v>-2391280.548611111</v>
      </c>
      <c r="H106" s="63">
        <f t="shared" si="27"/>
        <v>-1981346.7402777772</v>
      </c>
      <c r="I106" s="63">
        <f t="shared" si="21"/>
        <v>478256.1097222229</v>
      </c>
      <c r="J106" s="63">
        <f t="shared" si="15"/>
        <v>14347.683291666664</v>
      </c>
      <c r="K106" s="68">
        <f t="shared" si="16"/>
        <v>-14347.683291666392</v>
      </c>
      <c r="L106" s="63">
        <f t="shared" si="24"/>
        <v>-100433.78304166638</v>
      </c>
      <c r="M106" s="63">
        <f t="shared" si="26"/>
        <v>377822.32668055652</v>
      </c>
      <c r="N106" s="64">
        <f t="shared" si="20"/>
        <v>53974.618097222228</v>
      </c>
      <c r="O106" s="145"/>
    </row>
    <row r="107" spans="1:15" x14ac:dyDescent="0.25">
      <c r="A107" s="70">
        <v>47057</v>
      </c>
      <c r="B107" s="71"/>
      <c r="C107" s="71"/>
      <c r="D107" s="72">
        <f t="shared" si="17"/>
        <v>2459602.8499999996</v>
      </c>
      <c r="E107" s="72">
        <f t="shared" si="25"/>
        <v>2459602.85</v>
      </c>
      <c r="F107" s="125">
        <f t="shared" si="13"/>
        <v>68322.301388888882</v>
      </c>
      <c r="G107" s="72">
        <f t="shared" si="18"/>
        <v>-2459602.85</v>
      </c>
      <c r="H107" s="72">
        <f t="shared" si="27"/>
        <v>-2049669.0416666663</v>
      </c>
      <c r="I107" s="72">
        <f t="shared" si="21"/>
        <v>409933.80833333381</v>
      </c>
      <c r="J107" s="72">
        <f t="shared" si="15"/>
        <v>14347.683291666664</v>
      </c>
      <c r="K107" s="73">
        <f t="shared" si="16"/>
        <v>2.7284841053187847E-10</v>
      </c>
      <c r="L107" s="72">
        <f t="shared" si="24"/>
        <v>-86086.099749999688</v>
      </c>
      <c r="M107" s="72">
        <f t="shared" si="26"/>
        <v>323847.70858333411</v>
      </c>
      <c r="N107" s="74">
        <f t="shared" si="20"/>
        <v>-1.9281287677586079E-10</v>
      </c>
      <c r="O107" s="145"/>
    </row>
    <row r="110" spans="1:15" x14ac:dyDescent="0.25">
      <c r="A110" s="30" t="s">
        <v>300</v>
      </c>
      <c r="F110" s="130">
        <f>SUM(F72:F83)</f>
        <v>819867.61666666635</v>
      </c>
    </row>
  </sheetData>
  <printOptions horizontalCentered="1"/>
  <pageMargins left="0.2" right="0.2" top="0.25" bottom="0.5" header="0.3" footer="0.3"/>
  <pageSetup scale="75" firstPageNumber="4" fitToHeight="0" orientation="landscape" useFirstPageNumber="1" r:id="rId1"/>
  <headerFooter>
    <oddFooter>&amp;R&amp;"Times New Roman,Regular"Exh. SEF-3 page &amp;P of 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O110"/>
  <sheetViews>
    <sheetView workbookViewId="0">
      <pane xSplit="1" ySplit="9" topLeftCell="B41" activePane="bottomRight" state="frozen"/>
      <selection activeCell="C50" sqref="C50"/>
      <selection pane="topRight" activeCell="C50" sqref="C50"/>
      <selection pane="bottomLeft" activeCell="C50" sqref="C50"/>
      <selection pane="bottomRight" activeCell="C54" sqref="C54"/>
    </sheetView>
  </sheetViews>
  <sheetFormatPr defaultColWidth="9.109375" defaultRowHeight="13.2" outlineLevelRow="1" x14ac:dyDescent="0.25"/>
  <cols>
    <col min="1" max="1" width="9.6640625" style="30" customWidth="1"/>
    <col min="2" max="2" width="8.88671875" style="66" bestFit="1" customWidth="1"/>
    <col min="3" max="3" width="11.33203125" style="66" customWidth="1"/>
    <col min="4" max="5" width="11.33203125" style="66" bestFit="1" customWidth="1"/>
    <col min="6" max="6" width="16.33203125" style="66" bestFit="1" customWidth="1"/>
    <col min="7" max="7" width="16.109375" style="66" bestFit="1" customWidth="1"/>
    <col min="8" max="8" width="12.109375" style="66" bestFit="1" customWidth="1"/>
    <col min="9" max="9" width="11.44140625" style="66" bestFit="1" customWidth="1"/>
    <col min="10" max="10" width="15" style="66" bestFit="1" customWidth="1"/>
    <col min="11" max="11" width="16.6640625" style="66" bestFit="1" customWidth="1"/>
    <col min="12" max="12" width="11.33203125" style="66" bestFit="1" customWidth="1"/>
    <col min="13" max="13" width="11.44140625" style="66" bestFit="1" customWidth="1"/>
    <col min="14" max="14" width="11.109375" style="66" bestFit="1" customWidth="1"/>
    <col min="15" max="15" width="6.33203125" style="30" bestFit="1" customWidth="1"/>
    <col min="16" max="16384" width="9.109375" style="30"/>
  </cols>
  <sheetData>
    <row r="1" spans="1:15" x14ac:dyDescent="0.25">
      <c r="A1" s="27" t="s">
        <v>43</v>
      </c>
      <c r="B1" s="28"/>
      <c r="C1" s="28"/>
      <c r="D1" s="28"/>
      <c r="E1" s="28"/>
      <c r="F1" s="28"/>
      <c r="G1" s="28"/>
      <c r="H1" s="28"/>
      <c r="I1" s="28"/>
      <c r="J1" s="29"/>
      <c r="K1" s="29"/>
      <c r="L1" s="29"/>
      <c r="M1" s="29"/>
      <c r="N1" s="30"/>
    </row>
    <row r="2" spans="1:15" x14ac:dyDescent="0.25">
      <c r="A2" s="27" t="s">
        <v>184</v>
      </c>
      <c r="B2" s="28"/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30"/>
    </row>
    <row r="3" spans="1:15" s="318" customFormat="1" x14ac:dyDescent="0.25">
      <c r="A3" s="412" t="s">
        <v>312</v>
      </c>
      <c r="B3" s="316"/>
      <c r="C3" s="316"/>
      <c r="D3" s="316"/>
      <c r="E3" s="316"/>
      <c r="F3" s="316"/>
      <c r="G3" s="316"/>
      <c r="H3" s="316"/>
      <c r="I3" s="316"/>
      <c r="J3" s="317"/>
      <c r="K3" s="317"/>
      <c r="L3" s="317"/>
      <c r="M3" s="317"/>
    </row>
    <row r="4" spans="1:15" x14ac:dyDescent="0.25">
      <c r="A4" s="28" t="s">
        <v>232</v>
      </c>
      <c r="B4" s="28"/>
      <c r="C4" s="31"/>
      <c r="D4" s="32"/>
      <c r="E4" s="33"/>
      <c r="F4" s="34"/>
      <c r="G4" s="34"/>
      <c r="H4" s="34"/>
      <c r="I4" s="34"/>
      <c r="J4" s="35"/>
      <c r="K4" s="36"/>
      <c r="L4" s="35"/>
      <c r="M4" s="35"/>
      <c r="N4" s="30"/>
    </row>
    <row r="5" spans="1:15" x14ac:dyDescent="0.25">
      <c r="A5" s="29"/>
      <c r="B5" s="29"/>
      <c r="C5" s="37" t="s">
        <v>46</v>
      </c>
      <c r="D5" s="38"/>
      <c r="E5" s="35"/>
      <c r="F5" s="39"/>
      <c r="G5" s="39"/>
      <c r="H5" s="39"/>
      <c r="I5" s="39"/>
      <c r="J5" s="40"/>
      <c r="K5" s="39"/>
      <c r="L5" s="39"/>
      <c r="M5" s="39"/>
      <c r="N5" s="30"/>
    </row>
    <row r="6" spans="1:15" x14ac:dyDescent="0.25">
      <c r="A6" s="41"/>
      <c r="B6" s="41"/>
      <c r="C6" s="42" t="s">
        <v>47</v>
      </c>
      <c r="D6" s="42" t="s">
        <v>48</v>
      </c>
      <c r="E6" s="42" t="s">
        <v>49</v>
      </c>
      <c r="F6" s="42" t="s">
        <v>50</v>
      </c>
      <c r="G6" s="42" t="s">
        <v>51</v>
      </c>
      <c r="H6" s="42" t="s">
        <v>52</v>
      </c>
      <c r="I6" s="42" t="s">
        <v>41</v>
      </c>
      <c r="J6" s="42" t="s">
        <v>50</v>
      </c>
      <c r="K6" s="42" t="s">
        <v>51</v>
      </c>
      <c r="L6" s="42" t="s">
        <v>53</v>
      </c>
      <c r="M6" s="43" t="s">
        <v>54</v>
      </c>
      <c r="N6" s="44" t="s">
        <v>48</v>
      </c>
      <c r="O6" s="146" t="s">
        <v>156</v>
      </c>
    </row>
    <row r="7" spans="1:15" x14ac:dyDescent="0.25">
      <c r="A7" s="39" t="s">
        <v>55</v>
      </c>
      <c r="B7" s="45"/>
      <c r="C7" s="39" t="s">
        <v>56</v>
      </c>
      <c r="D7" s="39"/>
      <c r="E7" s="39" t="s">
        <v>48</v>
      </c>
      <c r="F7" s="39" t="s">
        <v>57</v>
      </c>
      <c r="G7" s="39" t="s">
        <v>57</v>
      </c>
      <c r="H7" s="39" t="s">
        <v>57</v>
      </c>
      <c r="I7" s="39" t="s">
        <v>58</v>
      </c>
      <c r="J7" s="39" t="s">
        <v>59</v>
      </c>
      <c r="K7" s="39" t="s">
        <v>59</v>
      </c>
      <c r="L7" s="39" t="s">
        <v>41</v>
      </c>
      <c r="M7" s="46" t="s">
        <v>53</v>
      </c>
      <c r="N7" s="47" t="s">
        <v>60</v>
      </c>
      <c r="O7" s="146" t="s">
        <v>158</v>
      </c>
    </row>
    <row r="8" spans="1:15" x14ac:dyDescent="0.25">
      <c r="A8" s="39" t="s">
        <v>61</v>
      </c>
      <c r="B8" s="45"/>
      <c r="C8" s="39" t="s">
        <v>62</v>
      </c>
      <c r="D8" s="39" t="s">
        <v>63</v>
      </c>
      <c r="E8" s="39" t="s">
        <v>64</v>
      </c>
      <c r="F8" s="39" t="s">
        <v>65</v>
      </c>
      <c r="G8" s="48" t="s">
        <v>66</v>
      </c>
      <c r="H8" s="39" t="s">
        <v>67</v>
      </c>
      <c r="I8" s="39" t="s">
        <v>68</v>
      </c>
      <c r="J8" s="39" t="s">
        <v>69</v>
      </c>
      <c r="K8" s="39" t="s">
        <v>70</v>
      </c>
      <c r="L8" s="39" t="s">
        <v>71</v>
      </c>
      <c r="M8" s="46" t="s">
        <v>72</v>
      </c>
      <c r="N8" s="47" t="s">
        <v>73</v>
      </c>
      <c r="O8" s="147" t="s">
        <v>157</v>
      </c>
    </row>
    <row r="9" spans="1:15" x14ac:dyDescent="0.25">
      <c r="A9" s="49"/>
      <c r="B9" s="49"/>
      <c r="C9" s="50"/>
      <c r="D9" s="50"/>
      <c r="E9" s="50"/>
      <c r="F9" s="51" t="s">
        <v>74</v>
      </c>
      <c r="G9" s="50"/>
      <c r="H9" s="50"/>
      <c r="I9" s="50"/>
      <c r="J9" s="50" t="s">
        <v>75</v>
      </c>
      <c r="K9" s="52"/>
      <c r="L9" s="50"/>
      <c r="M9" s="53"/>
      <c r="N9" s="54"/>
      <c r="O9" s="146">
        <v>0.21</v>
      </c>
    </row>
    <row r="10" spans="1:15" x14ac:dyDescent="0.25">
      <c r="A10" s="55"/>
      <c r="B10" s="29"/>
      <c r="C10" s="39"/>
      <c r="D10" s="56"/>
      <c r="E10" s="57"/>
      <c r="F10" s="39"/>
      <c r="G10" s="39"/>
      <c r="H10" s="56"/>
      <c r="I10" s="56"/>
      <c r="J10" s="58"/>
      <c r="K10" s="58"/>
      <c r="L10" s="58"/>
      <c r="M10" s="59"/>
      <c r="N10" s="60"/>
    </row>
    <row r="11" spans="1:15" x14ac:dyDescent="0.25">
      <c r="A11" s="61" t="s">
        <v>76</v>
      </c>
      <c r="B11" s="61"/>
      <c r="C11" s="62"/>
      <c r="D11" s="56"/>
      <c r="E11" s="63"/>
      <c r="F11" s="56"/>
      <c r="G11" s="56"/>
      <c r="H11" s="56"/>
      <c r="I11" s="56"/>
      <c r="J11" s="63"/>
      <c r="K11" s="63"/>
      <c r="L11" s="63"/>
      <c r="M11" s="59"/>
      <c r="N11" s="64"/>
    </row>
    <row r="12" spans="1:15" hidden="1" outlineLevel="1" x14ac:dyDescent="0.25">
      <c r="A12" s="61">
        <v>44165</v>
      </c>
      <c r="B12" s="61"/>
      <c r="C12" s="62"/>
      <c r="D12" s="56"/>
      <c r="E12" s="63"/>
      <c r="F12" s="56"/>
      <c r="G12" s="56"/>
      <c r="H12" s="56"/>
      <c r="I12" s="56"/>
      <c r="J12" s="63"/>
      <c r="K12" s="63"/>
      <c r="L12" s="63"/>
      <c r="M12" s="58"/>
      <c r="N12" s="64"/>
    </row>
    <row r="13" spans="1:15" hidden="1" outlineLevel="1" x14ac:dyDescent="0.25">
      <c r="A13" s="61">
        <v>44196</v>
      </c>
      <c r="B13" s="61"/>
      <c r="C13" s="62"/>
      <c r="D13" s="56"/>
      <c r="E13" s="63"/>
      <c r="F13" s="56"/>
      <c r="G13" s="56"/>
      <c r="H13" s="56"/>
      <c r="I13" s="56"/>
      <c r="J13" s="63"/>
      <c r="K13" s="63"/>
      <c r="L13" s="63"/>
      <c r="M13" s="58"/>
      <c r="N13" s="64"/>
    </row>
    <row r="14" spans="1:15" hidden="1" outlineLevel="1" x14ac:dyDescent="0.25">
      <c r="A14" s="61">
        <v>44227</v>
      </c>
      <c r="B14" s="61"/>
      <c r="C14" s="62"/>
      <c r="D14" s="56"/>
      <c r="E14" s="63"/>
      <c r="F14" s="56"/>
      <c r="G14" s="56"/>
      <c r="H14" s="56"/>
      <c r="I14" s="56"/>
      <c r="J14" s="63"/>
      <c r="K14" s="63"/>
      <c r="L14" s="63"/>
      <c r="M14" s="58"/>
      <c r="N14" s="64"/>
    </row>
    <row r="15" spans="1:15" hidden="1" outlineLevel="1" x14ac:dyDescent="0.25">
      <c r="A15" s="61">
        <v>44255</v>
      </c>
      <c r="B15" s="61"/>
      <c r="C15" s="62"/>
      <c r="D15" s="56"/>
      <c r="E15" s="63"/>
      <c r="F15" s="56"/>
      <c r="G15" s="56"/>
      <c r="H15" s="56"/>
      <c r="I15" s="56"/>
      <c r="J15" s="63"/>
      <c r="K15" s="63"/>
      <c r="L15" s="63"/>
      <c r="M15" s="58"/>
      <c r="N15" s="64"/>
    </row>
    <row r="16" spans="1:15" hidden="1" outlineLevel="1" x14ac:dyDescent="0.25">
      <c r="A16" s="61">
        <v>44286</v>
      </c>
      <c r="B16" s="61"/>
      <c r="C16" s="62"/>
      <c r="D16" s="56"/>
      <c r="E16" s="63"/>
      <c r="F16" s="56"/>
      <c r="G16" s="56"/>
      <c r="H16" s="56"/>
      <c r="I16" s="56"/>
      <c r="J16" s="63"/>
      <c r="K16" s="63"/>
      <c r="L16" s="63"/>
      <c r="M16" s="58"/>
      <c r="N16" s="64"/>
    </row>
    <row r="17" spans="1:15" hidden="1" outlineLevel="1" x14ac:dyDescent="0.25">
      <c r="A17" s="61">
        <v>44316</v>
      </c>
      <c r="B17" s="61"/>
      <c r="C17" s="62"/>
      <c r="D17" s="56"/>
      <c r="E17" s="63"/>
      <c r="F17" s="56"/>
      <c r="G17" s="56"/>
      <c r="H17" s="56"/>
      <c r="I17" s="56"/>
      <c r="J17" s="63"/>
      <c r="K17" s="63"/>
      <c r="L17" s="63"/>
      <c r="M17" s="58"/>
      <c r="N17" s="64"/>
    </row>
    <row r="18" spans="1:15" hidden="1" outlineLevel="1" x14ac:dyDescent="0.25">
      <c r="A18" s="61">
        <v>44347</v>
      </c>
      <c r="B18" s="61"/>
      <c r="C18" s="62"/>
      <c r="D18" s="56"/>
      <c r="E18" s="63"/>
      <c r="F18" s="56"/>
      <c r="G18" s="56"/>
      <c r="H18" s="56"/>
      <c r="I18" s="56"/>
      <c r="J18" s="63"/>
      <c r="K18" s="63"/>
      <c r="L18" s="63"/>
      <c r="M18" s="58"/>
      <c r="N18" s="64"/>
    </row>
    <row r="19" spans="1:15" hidden="1" outlineLevel="1" x14ac:dyDescent="0.25">
      <c r="A19" s="61">
        <v>44377</v>
      </c>
      <c r="B19" s="61"/>
      <c r="C19" s="62"/>
      <c r="D19" s="56"/>
      <c r="E19" s="63"/>
      <c r="F19" s="56"/>
      <c r="G19" s="56"/>
      <c r="H19" s="56"/>
      <c r="I19" s="56"/>
      <c r="J19" s="63"/>
      <c r="K19" s="63"/>
      <c r="L19" s="63"/>
      <c r="M19" s="58"/>
      <c r="N19" s="64"/>
    </row>
    <row r="20" spans="1:15" hidden="1" outlineLevel="1" x14ac:dyDescent="0.25">
      <c r="A20" s="61">
        <v>44408</v>
      </c>
      <c r="B20" s="61"/>
      <c r="C20" s="62"/>
      <c r="D20" s="56"/>
      <c r="E20" s="63"/>
      <c r="F20" s="56"/>
      <c r="G20" s="56"/>
      <c r="H20" s="56"/>
      <c r="I20" s="56"/>
      <c r="J20" s="63"/>
      <c r="K20" s="63"/>
      <c r="L20" s="63"/>
      <c r="M20" s="58"/>
      <c r="N20" s="64"/>
    </row>
    <row r="21" spans="1:15" hidden="1" outlineLevel="1" x14ac:dyDescent="0.25">
      <c r="A21" s="61">
        <v>44439</v>
      </c>
      <c r="B21" s="61"/>
      <c r="C21" s="62"/>
      <c r="D21" s="56"/>
      <c r="E21" s="63"/>
      <c r="F21" s="56"/>
      <c r="G21" s="56"/>
      <c r="H21" s="56"/>
      <c r="I21" s="56"/>
      <c r="J21" s="63"/>
      <c r="K21" s="63"/>
      <c r="L21" s="63"/>
      <c r="M21" s="58"/>
      <c r="N21" s="64"/>
    </row>
    <row r="22" spans="1:15" hidden="1" outlineLevel="1" x14ac:dyDescent="0.25">
      <c r="A22" s="61">
        <v>44469</v>
      </c>
      <c r="B22" s="61"/>
      <c r="C22" s="79"/>
      <c r="D22" s="56"/>
      <c r="E22" s="63"/>
      <c r="F22" s="56"/>
      <c r="G22" s="56"/>
      <c r="H22" s="56"/>
      <c r="I22" s="56"/>
      <c r="J22" s="63"/>
      <c r="K22" s="63"/>
      <c r="L22" s="63"/>
      <c r="M22" s="58"/>
      <c r="N22" s="64"/>
    </row>
    <row r="23" spans="1:15" hidden="1" outlineLevel="1" x14ac:dyDescent="0.25">
      <c r="A23" s="61">
        <v>44500</v>
      </c>
      <c r="B23" s="61"/>
      <c r="C23" s="79"/>
      <c r="D23" s="56"/>
      <c r="E23" s="63"/>
      <c r="F23" s="56"/>
      <c r="G23" s="56"/>
      <c r="H23" s="56"/>
      <c r="I23" s="56"/>
      <c r="J23" s="63"/>
      <c r="K23" s="63"/>
      <c r="L23" s="63"/>
      <c r="M23" s="58"/>
      <c r="N23" s="64"/>
    </row>
    <row r="24" spans="1:15" collapsed="1" x14ac:dyDescent="0.25">
      <c r="A24" s="61">
        <v>44530</v>
      </c>
      <c r="B24" s="61"/>
      <c r="C24" s="62"/>
      <c r="D24" s="63">
        <f>D11+C24</f>
        <v>0</v>
      </c>
      <c r="E24" s="63">
        <f t="shared" ref="E24:E87" si="0">(D12+D24+SUM(D13:D23)*2)/24</f>
        <v>0</v>
      </c>
      <c r="F24" s="63">
        <v>0</v>
      </c>
      <c r="G24" s="63">
        <v>0</v>
      </c>
      <c r="H24" s="63">
        <v>0</v>
      </c>
      <c r="I24" s="63">
        <v>0</v>
      </c>
      <c r="J24" s="63">
        <f t="shared" ref="J24:J87" si="1">(-C24*0.21)+(F24*0.21)</f>
        <v>0</v>
      </c>
      <c r="K24" s="63">
        <f t="shared" ref="K24:K87" si="2">K23+J24</f>
        <v>0</v>
      </c>
      <c r="L24" s="63">
        <v>0</v>
      </c>
      <c r="M24" s="63">
        <v>0</v>
      </c>
      <c r="N24" s="65">
        <v>0</v>
      </c>
    </row>
    <row r="25" spans="1:15" x14ac:dyDescent="0.25">
      <c r="A25" s="61">
        <v>44561</v>
      </c>
      <c r="B25" s="61"/>
      <c r="C25" s="62"/>
      <c r="D25" s="63">
        <f t="shared" ref="D25:D88" si="3">D24+C25</f>
        <v>0</v>
      </c>
      <c r="E25" s="63">
        <f t="shared" si="0"/>
        <v>0</v>
      </c>
      <c r="F25" s="63">
        <v>0</v>
      </c>
      <c r="G25" s="63">
        <v>0</v>
      </c>
      <c r="H25" s="63">
        <v>0</v>
      </c>
      <c r="I25" s="63">
        <v>0</v>
      </c>
      <c r="J25" s="63">
        <f t="shared" si="1"/>
        <v>0</v>
      </c>
      <c r="K25" s="63">
        <f t="shared" si="2"/>
        <v>0</v>
      </c>
      <c r="L25" s="63">
        <v>0</v>
      </c>
      <c r="M25" s="63">
        <v>0</v>
      </c>
      <c r="N25" s="65">
        <v>0</v>
      </c>
    </row>
    <row r="26" spans="1:15" x14ac:dyDescent="0.25">
      <c r="A26" s="61">
        <v>44592</v>
      </c>
      <c r="B26" s="61"/>
      <c r="C26" s="62"/>
      <c r="D26" s="63">
        <f t="shared" si="3"/>
        <v>0</v>
      </c>
      <c r="E26" s="63">
        <f>(D14+D26+SUM(D15:D25)*2)/24</f>
        <v>0</v>
      </c>
      <c r="F26" s="124"/>
      <c r="G26" s="63">
        <f t="shared" ref="G26:G89" si="4">G25-F26</f>
        <v>0</v>
      </c>
      <c r="H26" s="63">
        <f t="shared" ref="H26:H37" si="5">(G14+G26+SUM(G15:G25)*2)/24</f>
        <v>0</v>
      </c>
      <c r="I26" s="63">
        <f>E26+H26</f>
        <v>0</v>
      </c>
      <c r="J26" s="63">
        <f t="shared" si="1"/>
        <v>0</v>
      </c>
      <c r="K26" s="63">
        <f t="shared" si="2"/>
        <v>0</v>
      </c>
      <c r="L26" s="63">
        <f t="shared" ref="L26:L89" si="6">(K14+K26+SUM(K15:K25)*2)/24</f>
        <v>0</v>
      </c>
      <c r="M26" s="63">
        <f>I26+L26</f>
        <v>0</v>
      </c>
      <c r="N26" s="65">
        <f t="shared" ref="N26:N89" si="7">+D26+G26+K26</f>
        <v>0</v>
      </c>
      <c r="O26" s="145"/>
    </row>
    <row r="27" spans="1:15" x14ac:dyDescent="0.25">
      <c r="A27" s="61">
        <v>44620</v>
      </c>
      <c r="B27" s="61"/>
      <c r="C27" s="62">
        <v>306629.76000000001</v>
      </c>
      <c r="D27" s="63">
        <f t="shared" si="3"/>
        <v>306629.76000000001</v>
      </c>
      <c r="E27" s="63">
        <f>(D15+D27+SUM(D16:D26)*2)/24</f>
        <v>12776.24</v>
      </c>
      <c r="F27" s="124"/>
      <c r="G27" s="63">
        <f t="shared" si="4"/>
        <v>0</v>
      </c>
      <c r="H27" s="63">
        <f t="shared" si="5"/>
        <v>0</v>
      </c>
      <c r="I27" s="63">
        <f t="shared" ref="I27:I90" si="8">E27+H27</f>
        <v>12776.24</v>
      </c>
      <c r="J27" s="63">
        <f t="shared" si="1"/>
        <v>-64392.249600000003</v>
      </c>
      <c r="K27" s="63">
        <f t="shared" si="2"/>
        <v>-64392.249600000003</v>
      </c>
      <c r="L27" s="63">
        <f t="shared" si="6"/>
        <v>-2683.0104000000001</v>
      </c>
      <c r="M27" s="63">
        <f t="shared" ref="M27:M36" si="9">I27+L27</f>
        <v>10093.229599999999</v>
      </c>
      <c r="N27" s="65">
        <f t="shared" si="7"/>
        <v>242237.5104</v>
      </c>
      <c r="O27" s="145">
        <f t="shared" ref="O27:O90" si="10">-K27/(D27+G27)</f>
        <v>0.21</v>
      </c>
    </row>
    <row r="28" spans="1:15" x14ac:dyDescent="0.25">
      <c r="A28" s="61">
        <v>44651</v>
      </c>
      <c r="B28" s="61"/>
      <c r="C28" s="62">
        <v>404337</v>
      </c>
      <c r="D28" s="63">
        <f t="shared" si="3"/>
        <v>710966.76</v>
      </c>
      <c r="E28" s="63">
        <f t="shared" si="0"/>
        <v>55176.095000000001</v>
      </c>
      <c r="F28" s="124"/>
      <c r="G28" s="63">
        <f t="shared" si="4"/>
        <v>0</v>
      </c>
      <c r="H28" s="63">
        <f t="shared" si="5"/>
        <v>0</v>
      </c>
      <c r="I28" s="63">
        <f t="shared" si="8"/>
        <v>55176.095000000001</v>
      </c>
      <c r="J28" s="63">
        <f t="shared" si="1"/>
        <v>-84910.77</v>
      </c>
      <c r="K28" s="63">
        <f t="shared" si="2"/>
        <v>-149303.0196</v>
      </c>
      <c r="L28" s="63">
        <f t="shared" si="6"/>
        <v>-11586.979950000001</v>
      </c>
      <c r="M28" s="63">
        <f t="shared" si="9"/>
        <v>43589.11505</v>
      </c>
      <c r="N28" s="65">
        <f t="shared" si="7"/>
        <v>561663.74040000001</v>
      </c>
      <c r="O28" s="145">
        <f t="shared" si="10"/>
        <v>0.21</v>
      </c>
    </row>
    <row r="29" spans="1:15" x14ac:dyDescent="0.25">
      <c r="A29" s="61">
        <v>44681</v>
      </c>
      <c r="B29" s="61"/>
      <c r="C29" s="62">
        <v>355362.34</v>
      </c>
      <c r="D29" s="63">
        <f t="shared" si="3"/>
        <v>1066329.1000000001</v>
      </c>
      <c r="E29" s="63">
        <f t="shared" si="0"/>
        <v>129230.08916666667</v>
      </c>
      <c r="F29" s="124"/>
      <c r="G29" s="63">
        <f t="shared" si="4"/>
        <v>0</v>
      </c>
      <c r="H29" s="63">
        <f t="shared" si="5"/>
        <v>0</v>
      </c>
      <c r="I29" s="63">
        <f t="shared" si="8"/>
        <v>129230.08916666667</v>
      </c>
      <c r="J29" s="63">
        <f t="shared" si="1"/>
        <v>-74626.091400000005</v>
      </c>
      <c r="K29" s="63">
        <f t="shared" si="2"/>
        <v>-223929.111</v>
      </c>
      <c r="L29" s="63">
        <f t="shared" si="6"/>
        <v>-27138.318725000001</v>
      </c>
      <c r="M29" s="63">
        <f t="shared" si="9"/>
        <v>102091.77044166667</v>
      </c>
      <c r="N29" s="65">
        <f t="shared" si="7"/>
        <v>842399.98900000006</v>
      </c>
      <c r="O29" s="145">
        <f t="shared" si="10"/>
        <v>0.21</v>
      </c>
    </row>
    <row r="30" spans="1:15" x14ac:dyDescent="0.25">
      <c r="A30" s="61">
        <v>44712</v>
      </c>
      <c r="B30" s="61"/>
      <c r="C30" s="62">
        <v>353470.22</v>
      </c>
      <c r="D30" s="63">
        <f t="shared" si="3"/>
        <v>1419799.32</v>
      </c>
      <c r="E30" s="63">
        <f t="shared" si="0"/>
        <v>232818.77333333335</v>
      </c>
      <c r="F30" s="124"/>
      <c r="G30" s="63">
        <f t="shared" si="4"/>
        <v>0</v>
      </c>
      <c r="H30" s="63">
        <f t="shared" si="5"/>
        <v>0</v>
      </c>
      <c r="I30" s="63">
        <f t="shared" si="8"/>
        <v>232818.77333333335</v>
      </c>
      <c r="J30" s="63">
        <f t="shared" si="1"/>
        <v>-74228.746199999994</v>
      </c>
      <c r="K30" s="63">
        <f t="shared" si="2"/>
        <v>-298157.85719999997</v>
      </c>
      <c r="L30" s="63">
        <f t="shared" si="6"/>
        <v>-48891.9424</v>
      </c>
      <c r="M30" s="63">
        <f t="shared" si="9"/>
        <v>183926.83093333335</v>
      </c>
      <c r="N30" s="65">
        <f t="shared" si="7"/>
        <v>1121641.4628000001</v>
      </c>
      <c r="O30" s="145">
        <f t="shared" si="10"/>
        <v>0.20999999999999996</v>
      </c>
    </row>
    <row r="31" spans="1:15" x14ac:dyDescent="0.25">
      <c r="A31" s="61">
        <v>44742</v>
      </c>
      <c r="B31" s="61"/>
      <c r="C31" s="62">
        <v>334818.90999999997</v>
      </c>
      <c r="D31" s="63">
        <f t="shared" si="3"/>
        <v>1754618.23</v>
      </c>
      <c r="E31" s="63">
        <f t="shared" si="0"/>
        <v>365086.17125000007</v>
      </c>
      <c r="F31" s="124"/>
      <c r="G31" s="63">
        <f t="shared" si="4"/>
        <v>0</v>
      </c>
      <c r="H31" s="63">
        <f t="shared" si="5"/>
        <v>0</v>
      </c>
      <c r="I31" s="63">
        <f t="shared" si="8"/>
        <v>365086.17125000007</v>
      </c>
      <c r="J31" s="63">
        <f t="shared" si="1"/>
        <v>-70311.971099999995</v>
      </c>
      <c r="K31" s="63">
        <f t="shared" si="2"/>
        <v>-368469.82829999994</v>
      </c>
      <c r="L31" s="63">
        <f t="shared" si="6"/>
        <v>-76668.095962499996</v>
      </c>
      <c r="M31" s="63">
        <f t="shared" si="9"/>
        <v>288418.07528750005</v>
      </c>
      <c r="N31" s="65">
        <f t="shared" si="7"/>
        <v>1386148.4017</v>
      </c>
      <c r="O31" s="145">
        <f t="shared" si="10"/>
        <v>0.20999999999999996</v>
      </c>
    </row>
    <row r="32" spans="1:15" x14ac:dyDescent="0.25">
      <c r="A32" s="61">
        <v>44773</v>
      </c>
      <c r="C32" s="62">
        <v>374212.85</v>
      </c>
      <c r="D32" s="63">
        <f t="shared" si="3"/>
        <v>2128831.08</v>
      </c>
      <c r="E32" s="63">
        <f t="shared" si="0"/>
        <v>526896.5591666667</v>
      </c>
      <c r="F32" s="124"/>
      <c r="G32" s="63">
        <f t="shared" si="4"/>
        <v>0</v>
      </c>
      <c r="H32" s="63">
        <f t="shared" si="5"/>
        <v>0</v>
      </c>
      <c r="I32" s="63">
        <f t="shared" si="8"/>
        <v>526896.5591666667</v>
      </c>
      <c r="J32" s="63">
        <f t="shared" si="1"/>
        <v>-78584.698499999999</v>
      </c>
      <c r="K32" s="63">
        <f t="shared" si="2"/>
        <v>-447054.52679999993</v>
      </c>
      <c r="L32" s="63">
        <f t="shared" si="6"/>
        <v>-110648.27742499999</v>
      </c>
      <c r="M32" s="63">
        <f t="shared" si="9"/>
        <v>416248.28174166672</v>
      </c>
      <c r="N32" s="65">
        <f t="shared" si="7"/>
        <v>1681776.5532000002</v>
      </c>
      <c r="O32" s="145">
        <f t="shared" si="10"/>
        <v>0.20999999999999996</v>
      </c>
    </row>
    <row r="33" spans="1:15" x14ac:dyDescent="0.25">
      <c r="A33" s="61">
        <v>44804</v>
      </c>
      <c r="C33" s="62">
        <v>596097.85</v>
      </c>
      <c r="D33" s="63">
        <f t="shared" si="3"/>
        <v>2724928.93</v>
      </c>
      <c r="E33" s="63">
        <f t="shared" si="0"/>
        <v>729136.55958333332</v>
      </c>
      <c r="F33" s="124"/>
      <c r="G33" s="63">
        <f t="shared" si="4"/>
        <v>0</v>
      </c>
      <c r="H33" s="63">
        <f t="shared" si="5"/>
        <v>0</v>
      </c>
      <c r="I33" s="63">
        <f t="shared" si="8"/>
        <v>729136.55958333332</v>
      </c>
      <c r="J33" s="63">
        <f t="shared" si="1"/>
        <v>-125180.54849999999</v>
      </c>
      <c r="K33" s="63">
        <f t="shared" si="2"/>
        <v>-572235.07529999991</v>
      </c>
      <c r="L33" s="63">
        <f t="shared" si="6"/>
        <v>-153118.67751249997</v>
      </c>
      <c r="M33" s="63">
        <f t="shared" si="9"/>
        <v>576017.88207083335</v>
      </c>
      <c r="N33" s="65">
        <f t="shared" si="7"/>
        <v>2152693.8547</v>
      </c>
      <c r="O33" s="145">
        <f t="shared" si="10"/>
        <v>0.20999999999999996</v>
      </c>
    </row>
    <row r="34" spans="1:15" x14ac:dyDescent="0.25">
      <c r="A34" s="61">
        <v>44834</v>
      </c>
      <c r="C34" s="62">
        <v>526798.9</v>
      </c>
      <c r="D34" s="63">
        <f t="shared" si="3"/>
        <v>3251727.83</v>
      </c>
      <c r="E34" s="63">
        <f t="shared" si="0"/>
        <v>978163.9245833332</v>
      </c>
      <c r="F34" s="124"/>
      <c r="G34" s="63">
        <f t="shared" si="4"/>
        <v>0</v>
      </c>
      <c r="H34" s="63">
        <f t="shared" si="5"/>
        <v>0</v>
      </c>
      <c r="I34" s="63">
        <f t="shared" si="8"/>
        <v>978163.9245833332</v>
      </c>
      <c r="J34" s="63">
        <f t="shared" si="1"/>
        <v>-110627.769</v>
      </c>
      <c r="K34" s="63">
        <f t="shared" si="2"/>
        <v>-682862.84429999988</v>
      </c>
      <c r="L34" s="63">
        <f t="shared" si="6"/>
        <v>-205414.42416249998</v>
      </c>
      <c r="M34" s="63">
        <f t="shared" si="9"/>
        <v>772749.50042083324</v>
      </c>
      <c r="N34" s="65">
        <f t="shared" si="7"/>
        <v>2568864.9857000001</v>
      </c>
      <c r="O34" s="145">
        <f t="shared" si="10"/>
        <v>0.20999999999999996</v>
      </c>
    </row>
    <row r="35" spans="1:15" x14ac:dyDescent="0.25">
      <c r="A35" s="61">
        <v>44865</v>
      </c>
      <c r="C35" s="62">
        <v>366507.41</v>
      </c>
      <c r="D35" s="63">
        <f t="shared" si="3"/>
        <v>3618235.24</v>
      </c>
      <c r="E35" s="63">
        <f t="shared" si="0"/>
        <v>1264412.3858333332</v>
      </c>
      <c r="F35" s="124"/>
      <c r="G35" s="63">
        <f t="shared" si="4"/>
        <v>0</v>
      </c>
      <c r="H35" s="63">
        <f t="shared" si="5"/>
        <v>0</v>
      </c>
      <c r="I35" s="63">
        <f t="shared" si="8"/>
        <v>1264412.3858333332</v>
      </c>
      <c r="J35" s="63">
        <f t="shared" si="1"/>
        <v>-76966.556099999987</v>
      </c>
      <c r="K35" s="63">
        <f t="shared" si="2"/>
        <v>-759829.40039999993</v>
      </c>
      <c r="L35" s="63">
        <f t="shared" si="6"/>
        <v>-265526.60102499998</v>
      </c>
      <c r="M35" s="63">
        <f t="shared" si="9"/>
        <v>998885.78480833326</v>
      </c>
      <c r="N35" s="65">
        <f t="shared" si="7"/>
        <v>2858405.8396000005</v>
      </c>
      <c r="O35" s="145">
        <f t="shared" si="10"/>
        <v>0.20999999999999996</v>
      </c>
    </row>
    <row r="36" spans="1:15" x14ac:dyDescent="0.25">
      <c r="A36" s="61">
        <v>44895</v>
      </c>
      <c r="C36" s="62">
        <v>372998.51</v>
      </c>
      <c r="D36" s="63">
        <f t="shared" si="3"/>
        <v>3991233.75</v>
      </c>
      <c r="E36" s="63">
        <f t="shared" si="0"/>
        <v>1581473.59375</v>
      </c>
      <c r="F36" s="124"/>
      <c r="G36" s="63">
        <f t="shared" si="4"/>
        <v>0</v>
      </c>
      <c r="H36" s="63">
        <f t="shared" si="5"/>
        <v>0</v>
      </c>
      <c r="I36" s="63">
        <f t="shared" si="8"/>
        <v>1581473.59375</v>
      </c>
      <c r="J36" s="63">
        <f t="shared" si="1"/>
        <v>-78329.687099999996</v>
      </c>
      <c r="K36" s="63">
        <f t="shared" si="2"/>
        <v>-838159.08749999991</v>
      </c>
      <c r="L36" s="63">
        <f t="shared" si="6"/>
        <v>-332109.45468749997</v>
      </c>
      <c r="M36" s="63">
        <f t="shared" si="9"/>
        <v>1249364.1390625001</v>
      </c>
      <c r="N36" s="65">
        <f t="shared" si="7"/>
        <v>3153074.6625000001</v>
      </c>
      <c r="O36" s="145">
        <f t="shared" si="10"/>
        <v>0.20999999999999996</v>
      </c>
    </row>
    <row r="37" spans="1:15" x14ac:dyDescent="0.25">
      <c r="A37" s="61">
        <v>44926</v>
      </c>
      <c r="C37" s="62">
        <v>474539.27</v>
      </c>
      <c r="D37" s="63">
        <f t="shared" si="3"/>
        <v>4465773.0199999996</v>
      </c>
      <c r="E37" s="63">
        <f t="shared" si="0"/>
        <v>1933848.8758333332</v>
      </c>
      <c r="F37" s="124"/>
      <c r="G37" s="63">
        <f t="shared" si="4"/>
        <v>0</v>
      </c>
      <c r="H37" s="63">
        <f t="shared" si="5"/>
        <v>0</v>
      </c>
      <c r="I37" s="63">
        <f t="shared" si="8"/>
        <v>1933848.8758333332</v>
      </c>
      <c r="J37" s="63">
        <f t="shared" si="1"/>
        <v>-99653.246700000003</v>
      </c>
      <c r="K37" s="63">
        <f t="shared" si="2"/>
        <v>-937812.33419999992</v>
      </c>
      <c r="L37" s="63">
        <f t="shared" si="6"/>
        <v>-406108.26392500004</v>
      </c>
      <c r="M37" s="63">
        <f t="shared" ref="M37:M100" si="11">L37+I37</f>
        <v>1527740.6119083331</v>
      </c>
      <c r="N37" s="64">
        <f t="shared" si="7"/>
        <v>3527960.6857999996</v>
      </c>
      <c r="O37" s="145">
        <f t="shared" si="10"/>
        <v>0.21</v>
      </c>
    </row>
    <row r="38" spans="1:15" x14ac:dyDescent="0.25">
      <c r="A38" s="61">
        <v>44957</v>
      </c>
      <c r="B38" s="61"/>
      <c r="C38" s="62">
        <v>343277.89</v>
      </c>
      <c r="D38" s="63">
        <f t="shared" si="3"/>
        <v>4809050.9099999992</v>
      </c>
      <c r="E38" s="63">
        <f>(D26+D38+SUM(D27:D37)*2)/24</f>
        <v>2320299.8729166663</v>
      </c>
      <c r="F38" s="124"/>
      <c r="G38" s="63">
        <f t="shared" si="4"/>
        <v>0</v>
      </c>
      <c r="H38" s="63">
        <f t="shared" ref="H38:H95" si="12">(G26+G38+SUM(G27:G37)*2)/24</f>
        <v>0</v>
      </c>
      <c r="I38" s="63">
        <f t="shared" si="8"/>
        <v>2320299.8729166663</v>
      </c>
      <c r="J38" s="63">
        <f t="shared" si="1"/>
        <v>-72088.356899999999</v>
      </c>
      <c r="K38" s="68">
        <f t="shared" si="2"/>
        <v>-1009900.6910999999</v>
      </c>
      <c r="L38" s="63">
        <f t="shared" si="6"/>
        <v>-487262.97331249999</v>
      </c>
      <c r="M38" s="69">
        <f t="shared" si="11"/>
        <v>1833036.8996041664</v>
      </c>
      <c r="N38" s="64">
        <f t="shared" si="7"/>
        <v>3799150.2188999993</v>
      </c>
      <c r="O38" s="145">
        <f t="shared" si="10"/>
        <v>0.21000000000000002</v>
      </c>
    </row>
    <row r="39" spans="1:15" x14ac:dyDescent="0.25">
      <c r="A39" s="61">
        <v>44985</v>
      </c>
      <c r="B39" s="61"/>
      <c r="C39" s="62">
        <v>603434.99</v>
      </c>
      <c r="D39" s="63">
        <f t="shared" si="3"/>
        <v>5412485.8999999994</v>
      </c>
      <c r="E39" s="63">
        <f t="shared" si="0"/>
        <v>2733421</v>
      </c>
      <c r="F39" s="124"/>
      <c r="G39" s="63">
        <f t="shared" si="4"/>
        <v>0</v>
      </c>
      <c r="H39" s="63">
        <f t="shared" si="12"/>
        <v>0</v>
      </c>
      <c r="I39" s="63">
        <f t="shared" si="8"/>
        <v>2733421</v>
      </c>
      <c r="J39" s="63">
        <f t="shared" si="1"/>
        <v>-126721.34789999999</v>
      </c>
      <c r="K39" s="68">
        <f t="shared" si="2"/>
        <v>-1136622.0389999999</v>
      </c>
      <c r="L39" s="63">
        <f t="shared" si="6"/>
        <v>-574018.40999999992</v>
      </c>
      <c r="M39" s="69">
        <f t="shared" si="11"/>
        <v>2159402.59</v>
      </c>
      <c r="N39" s="64">
        <f t="shared" si="7"/>
        <v>4275863.8609999996</v>
      </c>
      <c r="O39" s="145">
        <f t="shared" si="10"/>
        <v>0.21</v>
      </c>
    </row>
    <row r="40" spans="1:15" x14ac:dyDescent="0.25">
      <c r="A40" s="61">
        <v>45016</v>
      </c>
      <c r="B40" s="61"/>
      <c r="C40" s="62">
        <v>376752.99</v>
      </c>
      <c r="D40" s="63">
        <f t="shared" si="3"/>
        <v>5789238.8899999997</v>
      </c>
      <c r="E40" s="63">
        <f t="shared" si="0"/>
        <v>3157759.677916667</v>
      </c>
      <c r="F40" s="124"/>
      <c r="G40" s="63">
        <f t="shared" si="4"/>
        <v>0</v>
      </c>
      <c r="H40" s="63">
        <f t="shared" si="12"/>
        <v>0</v>
      </c>
      <c r="I40" s="63">
        <f t="shared" si="8"/>
        <v>3157759.677916667</v>
      </c>
      <c r="J40" s="63">
        <f t="shared" si="1"/>
        <v>-79118.127899999992</v>
      </c>
      <c r="K40" s="68">
        <f t="shared" si="2"/>
        <v>-1215740.1668999998</v>
      </c>
      <c r="L40" s="63">
        <f t="shared" si="6"/>
        <v>-663129.53236249986</v>
      </c>
      <c r="M40" s="69">
        <f t="shared" si="11"/>
        <v>2494630.1455541672</v>
      </c>
      <c r="N40" s="64">
        <f t="shared" si="7"/>
        <v>4573498.7231000001</v>
      </c>
      <c r="O40" s="145">
        <f t="shared" si="10"/>
        <v>0.21</v>
      </c>
    </row>
    <row r="41" spans="1:15" x14ac:dyDescent="0.25">
      <c r="A41" s="61">
        <v>45046</v>
      </c>
      <c r="B41" s="61"/>
      <c r="C41" s="62">
        <v>377271.7</v>
      </c>
      <c r="D41" s="63">
        <f t="shared" si="3"/>
        <v>6166510.5899999999</v>
      </c>
      <c r="E41" s="63">
        <f t="shared" si="0"/>
        <v>3581861.9120833334</v>
      </c>
      <c r="F41" s="124"/>
      <c r="G41" s="63">
        <f t="shared" si="4"/>
        <v>0</v>
      </c>
      <c r="H41" s="63">
        <f t="shared" si="12"/>
        <v>0</v>
      </c>
      <c r="I41" s="63">
        <f t="shared" si="8"/>
        <v>3581861.9120833334</v>
      </c>
      <c r="J41" s="63">
        <f t="shared" si="1"/>
        <v>-79227.057000000001</v>
      </c>
      <c r="K41" s="68">
        <f t="shared" si="2"/>
        <v>-1294967.2238999999</v>
      </c>
      <c r="L41" s="63">
        <f t="shared" si="6"/>
        <v>-752191.00153749995</v>
      </c>
      <c r="M41" s="69">
        <f t="shared" si="11"/>
        <v>2829670.9105458334</v>
      </c>
      <c r="N41" s="64">
        <f t="shared" si="7"/>
        <v>4871543.3661000002</v>
      </c>
      <c r="O41" s="145">
        <f t="shared" si="10"/>
        <v>0.21</v>
      </c>
    </row>
    <row r="42" spans="1:15" x14ac:dyDescent="0.25">
      <c r="A42" s="61">
        <v>45077</v>
      </c>
      <c r="B42" s="61"/>
      <c r="C42" s="62">
        <v>627306.56000000006</v>
      </c>
      <c r="D42" s="63">
        <f t="shared" si="3"/>
        <v>6793817.1500000004</v>
      </c>
      <c r="E42" s="63">
        <f t="shared" si="0"/>
        <v>4018286.8837500005</v>
      </c>
      <c r="F42" s="124"/>
      <c r="G42" s="63">
        <f t="shared" si="4"/>
        <v>0</v>
      </c>
      <c r="H42" s="63">
        <f t="shared" si="12"/>
        <v>0</v>
      </c>
      <c r="I42" s="63">
        <f t="shared" si="8"/>
        <v>4018286.8837500005</v>
      </c>
      <c r="J42" s="63">
        <f t="shared" si="1"/>
        <v>-131734.37760000001</v>
      </c>
      <c r="K42" s="68">
        <f t="shared" si="2"/>
        <v>-1426701.6014999999</v>
      </c>
      <c r="L42" s="63">
        <f t="shared" si="6"/>
        <v>-843840.24558749993</v>
      </c>
      <c r="M42" s="69">
        <f t="shared" si="11"/>
        <v>3174446.6381625007</v>
      </c>
      <c r="N42" s="64">
        <f t="shared" si="7"/>
        <v>5367115.5485000005</v>
      </c>
      <c r="O42" s="145">
        <f t="shared" si="10"/>
        <v>0.20999999999999996</v>
      </c>
    </row>
    <row r="43" spans="1:15" x14ac:dyDescent="0.25">
      <c r="A43" s="61">
        <v>45107</v>
      </c>
      <c r="B43" s="61"/>
      <c r="C43" s="62">
        <v>398315.14</v>
      </c>
      <c r="D43" s="63">
        <f t="shared" si="3"/>
        <v>7192132.29</v>
      </c>
      <c r="E43" s="63">
        <f t="shared" si="0"/>
        <v>4468767.3791666664</v>
      </c>
      <c r="F43" s="124"/>
      <c r="G43" s="63">
        <f t="shared" si="4"/>
        <v>0</v>
      </c>
      <c r="H43" s="63">
        <f t="shared" si="12"/>
        <v>0</v>
      </c>
      <c r="I43" s="63">
        <f t="shared" si="8"/>
        <v>4468767.3791666664</v>
      </c>
      <c r="J43" s="63">
        <f t="shared" si="1"/>
        <v>-83646.179399999994</v>
      </c>
      <c r="K43" s="68">
        <f t="shared" si="2"/>
        <v>-1510347.7808999999</v>
      </c>
      <c r="L43" s="63">
        <f t="shared" si="6"/>
        <v>-938441.14962499996</v>
      </c>
      <c r="M43" s="69">
        <f t="shared" si="11"/>
        <v>3530326.2295416663</v>
      </c>
      <c r="N43" s="64">
        <f t="shared" si="7"/>
        <v>5681784.5091000004</v>
      </c>
      <c r="O43" s="145">
        <f t="shared" si="10"/>
        <v>0.21</v>
      </c>
    </row>
    <row r="44" spans="1:15" x14ac:dyDescent="0.25">
      <c r="A44" s="61">
        <v>45138</v>
      </c>
      <c r="B44" s="61"/>
      <c r="C44" s="62">
        <v>356982.69</v>
      </c>
      <c r="D44" s="63">
        <f t="shared" si="3"/>
        <v>7549114.9800000004</v>
      </c>
      <c r="E44" s="63">
        <f t="shared" si="0"/>
        <v>4921175.6275000004</v>
      </c>
      <c r="F44" s="124"/>
      <c r="G44" s="63">
        <f t="shared" si="4"/>
        <v>0</v>
      </c>
      <c r="H44" s="63">
        <f t="shared" si="12"/>
        <v>0</v>
      </c>
      <c r="I44" s="63">
        <f t="shared" si="8"/>
        <v>4921175.6275000004</v>
      </c>
      <c r="J44" s="63">
        <f t="shared" si="1"/>
        <v>-74966.3649</v>
      </c>
      <c r="K44" s="68">
        <f t="shared" si="2"/>
        <v>-1585314.1457999998</v>
      </c>
      <c r="L44" s="63">
        <f t="shared" si="6"/>
        <v>-1033446.881775</v>
      </c>
      <c r="M44" s="69">
        <f t="shared" si="11"/>
        <v>3887728.7457250003</v>
      </c>
      <c r="N44" s="64">
        <f t="shared" si="7"/>
        <v>5963800.8342000004</v>
      </c>
      <c r="O44" s="145">
        <f t="shared" si="10"/>
        <v>0.20999999999999996</v>
      </c>
    </row>
    <row r="45" spans="1:15" x14ac:dyDescent="0.25">
      <c r="A45" s="61">
        <v>45169</v>
      </c>
      <c r="B45" s="61"/>
      <c r="C45" s="62">
        <v>254865.87</v>
      </c>
      <c r="D45" s="63">
        <f t="shared" si="3"/>
        <v>7803980.8500000006</v>
      </c>
      <c r="E45" s="63">
        <f t="shared" si="0"/>
        <v>5358647.9533333331</v>
      </c>
      <c r="F45" s="124"/>
      <c r="G45" s="63">
        <f t="shared" si="4"/>
        <v>0</v>
      </c>
      <c r="H45" s="63">
        <f t="shared" si="12"/>
        <v>0</v>
      </c>
      <c r="I45" s="63">
        <f t="shared" si="8"/>
        <v>5358647.9533333331</v>
      </c>
      <c r="J45" s="63">
        <f t="shared" si="1"/>
        <v>-53521.832699999999</v>
      </c>
      <c r="K45" s="68">
        <f t="shared" si="2"/>
        <v>-1638835.9784999997</v>
      </c>
      <c r="L45" s="63">
        <f t="shared" si="6"/>
        <v>-1125316.0702</v>
      </c>
      <c r="M45" s="69">
        <f t="shared" si="11"/>
        <v>4233331.8831333332</v>
      </c>
      <c r="N45" s="64">
        <f t="shared" si="7"/>
        <v>6165144.8715000004</v>
      </c>
      <c r="O45" s="145">
        <f t="shared" si="10"/>
        <v>0.20999999999999996</v>
      </c>
    </row>
    <row r="46" spans="1:15" x14ac:dyDescent="0.25">
      <c r="A46" s="61">
        <v>45199</v>
      </c>
      <c r="B46" s="61"/>
      <c r="C46" s="62">
        <v>337483.09</v>
      </c>
      <c r="D46" s="63">
        <f t="shared" si="3"/>
        <v>8141463.9400000004</v>
      </c>
      <c r="E46" s="63">
        <f t="shared" si="0"/>
        <v>5774014.1212499999</v>
      </c>
      <c r="F46" s="124"/>
      <c r="G46" s="63">
        <f t="shared" si="4"/>
        <v>0</v>
      </c>
      <c r="H46" s="63">
        <f t="shared" si="12"/>
        <v>0</v>
      </c>
      <c r="I46" s="63">
        <f t="shared" si="8"/>
        <v>5774014.1212499999</v>
      </c>
      <c r="J46" s="63">
        <f t="shared" si="1"/>
        <v>-70871.448900000003</v>
      </c>
      <c r="K46" s="68">
        <f t="shared" si="2"/>
        <v>-1709707.4273999997</v>
      </c>
      <c r="L46" s="63">
        <f t="shared" si="6"/>
        <v>-1212542.9654624995</v>
      </c>
      <c r="M46" s="69">
        <f t="shared" si="11"/>
        <v>4561471.1557875006</v>
      </c>
      <c r="N46" s="64">
        <f t="shared" si="7"/>
        <v>6431756.5126000009</v>
      </c>
      <c r="O46" s="145">
        <f t="shared" si="10"/>
        <v>0.20999999999999996</v>
      </c>
    </row>
    <row r="47" spans="1:15" ht="13.8" thickBot="1" x14ac:dyDescent="0.3">
      <c r="A47" s="61">
        <v>45230</v>
      </c>
      <c r="B47" s="61"/>
      <c r="C47" s="62">
        <v>433667.74</v>
      </c>
      <c r="D47" s="63">
        <f t="shared" si="3"/>
        <v>8575131.6799999997</v>
      </c>
      <c r="E47" s="63">
        <f t="shared" si="0"/>
        <v>6184290.4775</v>
      </c>
      <c r="F47" s="124"/>
      <c r="G47" s="63">
        <f t="shared" si="4"/>
        <v>0</v>
      </c>
      <c r="H47" s="63">
        <f t="shared" si="12"/>
        <v>0</v>
      </c>
      <c r="I47" s="63">
        <f t="shared" si="8"/>
        <v>6184290.4775</v>
      </c>
      <c r="J47" s="63">
        <f t="shared" si="1"/>
        <v>-91070.225399999996</v>
      </c>
      <c r="K47" s="68">
        <f t="shared" si="2"/>
        <v>-1800777.6527999998</v>
      </c>
      <c r="L47" s="63">
        <f t="shared" si="6"/>
        <v>-1298701.0002749998</v>
      </c>
      <c r="M47" s="69">
        <f t="shared" si="11"/>
        <v>4885589.477225</v>
      </c>
      <c r="N47" s="64">
        <f t="shared" si="7"/>
        <v>6774354.0272000004</v>
      </c>
      <c r="O47" s="145">
        <f t="shared" si="10"/>
        <v>0.21</v>
      </c>
    </row>
    <row r="48" spans="1:15" x14ac:dyDescent="0.25">
      <c r="A48" s="134">
        <v>45260</v>
      </c>
      <c r="B48" s="134" t="s">
        <v>144</v>
      </c>
      <c r="C48" s="331">
        <v>446129.13</v>
      </c>
      <c r="D48" s="136">
        <f t="shared" si="3"/>
        <v>9021260.8100000005</v>
      </c>
      <c r="E48" s="136">
        <f>(D36+D48+SUM(D37:D47)*2)/24</f>
        <v>6600412.29</v>
      </c>
      <c r="F48" s="137"/>
      <c r="G48" s="136">
        <f t="shared" si="4"/>
        <v>0</v>
      </c>
      <c r="H48" s="136">
        <f t="shared" si="12"/>
        <v>0</v>
      </c>
      <c r="I48" s="136">
        <f t="shared" si="8"/>
        <v>6600412.29</v>
      </c>
      <c r="J48" s="136">
        <f t="shared" si="1"/>
        <v>-93687.117299999998</v>
      </c>
      <c r="K48" s="138">
        <f t="shared" si="2"/>
        <v>-1894464.7700999998</v>
      </c>
      <c r="L48" s="136">
        <f t="shared" si="6"/>
        <v>-1386086.5808999997</v>
      </c>
      <c r="M48" s="139">
        <f t="shared" si="11"/>
        <v>5214325.7091000006</v>
      </c>
      <c r="N48" s="140">
        <f t="shared" si="7"/>
        <v>7126796.0399000011</v>
      </c>
      <c r="O48" s="145">
        <f t="shared" si="10"/>
        <v>0.20999999999999996</v>
      </c>
    </row>
    <row r="49" spans="1:15" x14ac:dyDescent="0.25">
      <c r="A49" s="61">
        <v>45291</v>
      </c>
      <c r="B49" s="61" t="s">
        <v>144</v>
      </c>
      <c r="C49" s="332">
        <v>365301.45</v>
      </c>
      <c r="D49" s="63">
        <f t="shared" si="3"/>
        <v>9386562.2599999998</v>
      </c>
      <c r="E49" s="63">
        <f t="shared" si="0"/>
        <v>7015029.6358333332</v>
      </c>
      <c r="F49" s="124"/>
      <c r="G49" s="63">
        <f t="shared" si="4"/>
        <v>0</v>
      </c>
      <c r="H49" s="63">
        <f t="shared" si="12"/>
        <v>0</v>
      </c>
      <c r="I49" s="63">
        <f t="shared" si="8"/>
        <v>7015029.6358333332</v>
      </c>
      <c r="J49" s="63">
        <f t="shared" si="1"/>
        <v>-76713.304499999998</v>
      </c>
      <c r="K49" s="68">
        <f t="shared" si="2"/>
        <v>-1971178.0745999999</v>
      </c>
      <c r="L49" s="63">
        <f t="shared" si="6"/>
        <v>-1473156.2235249998</v>
      </c>
      <c r="M49" s="69">
        <f t="shared" si="11"/>
        <v>5541873.4123083334</v>
      </c>
      <c r="N49" s="64">
        <f t="shared" si="7"/>
        <v>7415384.1853999998</v>
      </c>
      <c r="O49" s="145">
        <f t="shared" si="10"/>
        <v>0.21</v>
      </c>
    </row>
    <row r="50" spans="1:15" x14ac:dyDescent="0.25">
      <c r="A50" s="61">
        <v>45322</v>
      </c>
      <c r="B50" s="61" t="s">
        <v>144</v>
      </c>
      <c r="C50" s="332">
        <v>517731.95</v>
      </c>
      <c r="D50" s="63">
        <f t="shared" si="3"/>
        <v>9904294.209999999</v>
      </c>
      <c r="E50" s="63">
        <f t="shared" si="0"/>
        <v>7432364.3250000002</v>
      </c>
      <c r="F50" s="124"/>
      <c r="G50" s="63">
        <f t="shared" si="4"/>
        <v>0</v>
      </c>
      <c r="H50" s="63">
        <f t="shared" si="12"/>
        <v>0</v>
      </c>
      <c r="I50" s="63">
        <f t="shared" si="8"/>
        <v>7432364.3250000002</v>
      </c>
      <c r="J50" s="63">
        <f t="shared" si="1"/>
        <v>-108723.7095</v>
      </c>
      <c r="K50" s="68">
        <f t="shared" si="2"/>
        <v>-2079901.7840999998</v>
      </c>
      <c r="L50" s="63">
        <f t="shared" si="6"/>
        <v>-1560796.5082499997</v>
      </c>
      <c r="M50" s="69">
        <f t="shared" si="11"/>
        <v>5871567.8167500002</v>
      </c>
      <c r="N50" s="64">
        <f t="shared" si="7"/>
        <v>7824392.4258999992</v>
      </c>
      <c r="O50" s="145">
        <f t="shared" si="10"/>
        <v>0.21</v>
      </c>
    </row>
    <row r="51" spans="1:15" x14ac:dyDescent="0.25">
      <c r="A51" s="61">
        <v>45351</v>
      </c>
      <c r="B51" s="61" t="s">
        <v>144</v>
      </c>
      <c r="C51" s="332">
        <v>314447.03000000003</v>
      </c>
      <c r="D51" s="63">
        <f t="shared" si="3"/>
        <v>10218741.239999998</v>
      </c>
      <c r="E51" s="63">
        <f t="shared" si="0"/>
        <v>7844926.7683333317</v>
      </c>
      <c r="F51" s="124"/>
      <c r="G51" s="63">
        <f t="shared" si="4"/>
        <v>0</v>
      </c>
      <c r="H51" s="63">
        <f t="shared" si="12"/>
        <v>0</v>
      </c>
      <c r="I51" s="63">
        <f t="shared" si="8"/>
        <v>7844926.7683333317</v>
      </c>
      <c r="J51" s="63">
        <f t="shared" si="1"/>
        <v>-66033.876300000004</v>
      </c>
      <c r="K51" s="68">
        <f t="shared" si="2"/>
        <v>-2145935.6603999999</v>
      </c>
      <c r="L51" s="63">
        <f t="shared" si="6"/>
        <v>-1647434.6213499999</v>
      </c>
      <c r="M51" s="69">
        <f t="shared" si="11"/>
        <v>6197492.146983332</v>
      </c>
      <c r="N51" s="64">
        <f t="shared" si="7"/>
        <v>8072805.5795999989</v>
      </c>
      <c r="O51" s="145">
        <f t="shared" si="10"/>
        <v>0.21000000000000002</v>
      </c>
    </row>
    <row r="52" spans="1:15" x14ac:dyDescent="0.25">
      <c r="A52" s="61">
        <v>45382</v>
      </c>
      <c r="B52" s="61" t="s">
        <v>144</v>
      </c>
      <c r="C52" s="332">
        <v>749513.88</v>
      </c>
      <c r="D52" s="63">
        <f t="shared" si="3"/>
        <v>10968255.119999999</v>
      </c>
      <c r="E52" s="63">
        <f t="shared" si="0"/>
        <v>8260979.7504166653</v>
      </c>
      <c r="F52" s="124"/>
      <c r="G52" s="63">
        <f t="shared" si="4"/>
        <v>0</v>
      </c>
      <c r="H52" s="63">
        <f t="shared" si="12"/>
        <v>0</v>
      </c>
      <c r="I52" s="63">
        <f t="shared" si="8"/>
        <v>8260979.7504166653</v>
      </c>
      <c r="J52" s="63">
        <f t="shared" si="1"/>
        <v>-157397.9148</v>
      </c>
      <c r="K52" s="68">
        <f t="shared" si="2"/>
        <v>-2303333.5751999998</v>
      </c>
      <c r="L52" s="63">
        <f t="shared" si="6"/>
        <v>-1734805.7475874999</v>
      </c>
      <c r="M52" s="69">
        <f t="shared" si="11"/>
        <v>6526174.0028291652</v>
      </c>
      <c r="N52" s="64">
        <f t="shared" si="7"/>
        <v>8664921.5447999984</v>
      </c>
      <c r="O52" s="145">
        <f t="shared" si="10"/>
        <v>0.21</v>
      </c>
    </row>
    <row r="53" spans="1:15" x14ac:dyDescent="0.25">
      <c r="A53" s="61">
        <v>45412</v>
      </c>
      <c r="B53" s="61" t="s">
        <v>144</v>
      </c>
      <c r="C53" s="332">
        <v>370441.08</v>
      </c>
      <c r="D53" s="63">
        <f t="shared" si="3"/>
        <v>11338696.199999999</v>
      </c>
      <c r="E53" s="63">
        <f t="shared" si="0"/>
        <v>8692279.8270833325</v>
      </c>
      <c r="F53" s="124"/>
      <c r="G53" s="63">
        <f t="shared" si="4"/>
        <v>0</v>
      </c>
      <c r="H53" s="63">
        <f t="shared" si="12"/>
        <v>0</v>
      </c>
      <c r="I53" s="63">
        <f t="shared" si="8"/>
        <v>8692279.8270833325</v>
      </c>
      <c r="J53" s="63">
        <f t="shared" si="1"/>
        <v>-77792.626799999998</v>
      </c>
      <c r="K53" s="68">
        <f t="shared" si="2"/>
        <v>-2381126.202</v>
      </c>
      <c r="L53" s="63">
        <f t="shared" si="6"/>
        <v>-1825378.7636874998</v>
      </c>
      <c r="M53" s="69">
        <f t="shared" si="11"/>
        <v>6866901.0633958327</v>
      </c>
      <c r="N53" s="64">
        <f t="shared" si="7"/>
        <v>8957569.9979999997</v>
      </c>
      <c r="O53" s="145">
        <f t="shared" si="10"/>
        <v>0.21000000000000002</v>
      </c>
    </row>
    <row r="54" spans="1:15" x14ac:dyDescent="0.25">
      <c r="A54" s="61">
        <v>45443</v>
      </c>
      <c r="B54" s="61" t="s">
        <v>144</v>
      </c>
      <c r="C54" s="332">
        <f>-'One-time deferral transfer'!B28</f>
        <v>-2459602.8499999996</v>
      </c>
      <c r="D54" s="63">
        <f t="shared" si="3"/>
        <v>8879093.3499999996</v>
      </c>
      <c r="E54" s="63">
        <f t="shared" si="0"/>
        <v>8994674.0691666659</v>
      </c>
      <c r="F54" s="124">
        <v>184981.12</v>
      </c>
      <c r="G54" s="63">
        <f t="shared" si="4"/>
        <v>-184981.12</v>
      </c>
      <c r="H54" s="63">
        <f t="shared" si="12"/>
        <v>-7707.5466666666662</v>
      </c>
      <c r="I54" s="63">
        <f t="shared" si="8"/>
        <v>8986966.522499999</v>
      </c>
      <c r="J54" s="63">
        <f t="shared" si="1"/>
        <v>555362.63369999989</v>
      </c>
      <c r="K54" s="68">
        <f t="shared" si="2"/>
        <v>-1825763.5683000002</v>
      </c>
      <c r="L54" s="63">
        <f t="shared" si="6"/>
        <v>-1887262.9697249997</v>
      </c>
      <c r="M54" s="69">
        <f t="shared" si="11"/>
        <v>7099703.5527749993</v>
      </c>
      <c r="N54" s="64">
        <f t="shared" si="7"/>
        <v>6868348.6617000001</v>
      </c>
      <c r="O54" s="145">
        <f t="shared" si="10"/>
        <v>0.21000000000000002</v>
      </c>
    </row>
    <row r="55" spans="1:15" x14ac:dyDescent="0.25">
      <c r="A55" s="61">
        <v>45473</v>
      </c>
      <c r="B55" s="61" t="s">
        <v>144</v>
      </c>
      <c r="C55" s="63"/>
      <c r="D55" s="63">
        <f t="shared" si="3"/>
        <v>8879093.3499999996</v>
      </c>
      <c r="E55" s="63">
        <f t="shared" si="0"/>
        <v>9151850.621666668</v>
      </c>
      <c r="F55" s="124">
        <f>F54</f>
        <v>184981.12</v>
      </c>
      <c r="G55" s="63">
        <f t="shared" si="4"/>
        <v>-369962.23999999999</v>
      </c>
      <c r="H55" s="63">
        <f t="shared" si="12"/>
        <v>-30830.186666666665</v>
      </c>
      <c r="I55" s="63">
        <f t="shared" si="8"/>
        <v>9121020.4350000005</v>
      </c>
      <c r="J55" s="63">
        <f t="shared" si="1"/>
        <v>38846.035199999998</v>
      </c>
      <c r="K55" s="68">
        <f t="shared" si="2"/>
        <v>-1786917.5331000001</v>
      </c>
      <c r="L55" s="63">
        <f t="shared" si="6"/>
        <v>-1915414.2913499998</v>
      </c>
      <c r="M55" s="69">
        <f t="shared" si="11"/>
        <v>7205606.1436500009</v>
      </c>
      <c r="N55" s="64">
        <f t="shared" si="7"/>
        <v>6722213.5768999998</v>
      </c>
      <c r="O55" s="145">
        <f t="shared" si="10"/>
        <v>0.21000000000000002</v>
      </c>
    </row>
    <row r="56" spans="1:15" x14ac:dyDescent="0.25">
      <c r="A56" s="61">
        <v>45504</v>
      </c>
      <c r="B56" s="61" t="s">
        <v>144</v>
      </c>
      <c r="C56" s="63"/>
      <c r="D56" s="63">
        <f t="shared" si="3"/>
        <v>8879093.3499999996</v>
      </c>
      <c r="E56" s="63">
        <f t="shared" si="0"/>
        <v>9277556.4312500004</v>
      </c>
      <c r="F56" s="124">
        <f t="shared" ref="F56:F101" si="13">F55</f>
        <v>184981.12</v>
      </c>
      <c r="G56" s="63">
        <f t="shared" si="4"/>
        <v>-554943.36</v>
      </c>
      <c r="H56" s="63">
        <f t="shared" si="12"/>
        <v>-69367.92</v>
      </c>
      <c r="I56" s="63">
        <f t="shared" si="8"/>
        <v>9208188.5112500004</v>
      </c>
      <c r="J56" s="63">
        <f t="shared" si="1"/>
        <v>38846.035199999998</v>
      </c>
      <c r="K56" s="68">
        <f t="shared" si="2"/>
        <v>-1748071.4979000001</v>
      </c>
      <c r="L56" s="63">
        <f t="shared" si="6"/>
        <v>-1933719.5873624999</v>
      </c>
      <c r="M56" s="69">
        <f t="shared" si="11"/>
        <v>7274468.9238875005</v>
      </c>
      <c r="N56" s="64">
        <f t="shared" si="7"/>
        <v>6576078.4920999995</v>
      </c>
      <c r="O56" s="145">
        <f t="shared" si="10"/>
        <v>0.21000000000000002</v>
      </c>
    </row>
    <row r="57" spans="1:15" x14ac:dyDescent="0.25">
      <c r="A57" s="61">
        <v>45535</v>
      </c>
      <c r="B57" s="61" t="s">
        <v>144</v>
      </c>
      <c r="C57" s="63"/>
      <c r="D57" s="63">
        <f t="shared" si="3"/>
        <v>8879093.3499999996</v>
      </c>
      <c r="E57" s="63">
        <f t="shared" si="0"/>
        <v>9377768.5508333314</v>
      </c>
      <c r="F57" s="124">
        <f t="shared" si="13"/>
        <v>184981.12</v>
      </c>
      <c r="G57" s="63">
        <f t="shared" si="4"/>
        <v>-739924.47999999998</v>
      </c>
      <c r="H57" s="63">
        <f t="shared" si="12"/>
        <v>-123320.74666666666</v>
      </c>
      <c r="I57" s="63">
        <f t="shared" si="8"/>
        <v>9254447.8041666653</v>
      </c>
      <c r="J57" s="63">
        <f t="shared" si="1"/>
        <v>38846.035199999998</v>
      </c>
      <c r="K57" s="68">
        <f t="shared" si="2"/>
        <v>-1709225.4627</v>
      </c>
      <c r="L57" s="63">
        <f t="shared" si="6"/>
        <v>-1943434.0388750003</v>
      </c>
      <c r="M57" s="69">
        <f t="shared" si="11"/>
        <v>7311013.7652916647</v>
      </c>
      <c r="N57" s="64">
        <f t="shared" si="7"/>
        <v>6429943.4072999991</v>
      </c>
      <c r="O57" s="145">
        <f t="shared" si="10"/>
        <v>0.21000000000000002</v>
      </c>
    </row>
    <row r="58" spans="1:15" x14ac:dyDescent="0.25">
      <c r="A58" s="61">
        <v>45565</v>
      </c>
      <c r="B58" s="61" t="s">
        <v>144</v>
      </c>
      <c r="C58" s="63"/>
      <c r="D58" s="63">
        <f t="shared" si="3"/>
        <v>8879093.3499999996</v>
      </c>
      <c r="E58" s="63">
        <f t="shared" si="0"/>
        <v>9453299.4637499973</v>
      </c>
      <c r="F58" s="124">
        <f t="shared" si="13"/>
        <v>184981.12</v>
      </c>
      <c r="G58" s="63">
        <f t="shared" si="4"/>
        <v>-924905.6</v>
      </c>
      <c r="H58" s="63">
        <f t="shared" si="12"/>
        <v>-192688.66666666666</v>
      </c>
      <c r="I58" s="63">
        <f t="shared" si="8"/>
        <v>9260610.7970833313</v>
      </c>
      <c r="J58" s="63">
        <f t="shared" si="1"/>
        <v>38846.035199999998</v>
      </c>
      <c r="K58" s="68">
        <f t="shared" si="2"/>
        <v>-1670379.4275</v>
      </c>
      <c r="L58" s="63">
        <f t="shared" si="6"/>
        <v>-1944728.2673875</v>
      </c>
      <c r="M58" s="69">
        <f t="shared" si="11"/>
        <v>7315882.5296958312</v>
      </c>
      <c r="N58" s="64">
        <f t="shared" si="7"/>
        <v>6283808.3224999998</v>
      </c>
      <c r="O58" s="145">
        <f t="shared" si="10"/>
        <v>0.21</v>
      </c>
    </row>
    <row r="59" spans="1:15" ht="13.8" thickBot="1" x14ac:dyDescent="0.3">
      <c r="A59" s="61">
        <v>45596</v>
      </c>
      <c r="B59" s="61" t="s">
        <v>144</v>
      </c>
      <c r="C59" s="63"/>
      <c r="D59" s="63">
        <f t="shared" si="3"/>
        <v>8879093.3499999996</v>
      </c>
      <c r="E59" s="199">
        <f t="shared" si="0"/>
        <v>9496699.0920833293</v>
      </c>
      <c r="F59" s="124">
        <f t="shared" si="13"/>
        <v>184981.12</v>
      </c>
      <c r="G59" s="63">
        <f t="shared" si="4"/>
        <v>-1109886.72</v>
      </c>
      <c r="H59" s="199">
        <f t="shared" si="12"/>
        <v>-277471.68</v>
      </c>
      <c r="I59" s="63">
        <f t="shared" si="8"/>
        <v>9219227.4120833296</v>
      </c>
      <c r="J59" s="63">
        <f t="shared" si="1"/>
        <v>38846.035199999998</v>
      </c>
      <c r="K59" s="68">
        <f t="shared" si="2"/>
        <v>-1631533.3922999999</v>
      </c>
      <c r="L59" s="63">
        <f t="shared" si="6"/>
        <v>-1936037.7565374996</v>
      </c>
      <c r="M59" s="69">
        <f t="shared" si="11"/>
        <v>7283189.6555458298</v>
      </c>
      <c r="N59" s="64">
        <f t="shared" si="7"/>
        <v>6137673.2377000004</v>
      </c>
      <c r="O59" s="145">
        <f t="shared" si="10"/>
        <v>0.21</v>
      </c>
    </row>
    <row r="60" spans="1:15" x14ac:dyDescent="0.25">
      <c r="A60" s="134">
        <v>45626</v>
      </c>
      <c r="B60" s="141" t="s">
        <v>145</v>
      </c>
      <c r="C60" s="136"/>
      <c r="D60" s="136">
        <f t="shared" si="3"/>
        <v>8879093.3499999996</v>
      </c>
      <c r="E60" s="136">
        <f t="shared" si="0"/>
        <v>9503440.5174999982</v>
      </c>
      <c r="F60" s="137">
        <f t="shared" si="13"/>
        <v>184981.12</v>
      </c>
      <c r="G60" s="136">
        <f t="shared" si="4"/>
        <v>-1294867.8399999999</v>
      </c>
      <c r="H60" s="136">
        <f t="shared" si="12"/>
        <v>-377669.78666666662</v>
      </c>
      <c r="I60" s="136">
        <f t="shared" si="8"/>
        <v>9125770.7308333311</v>
      </c>
      <c r="J60" s="136">
        <f t="shared" si="1"/>
        <v>38846.035199999998</v>
      </c>
      <c r="K60" s="138">
        <f t="shared" si="2"/>
        <v>-1592687.3570999999</v>
      </c>
      <c r="L60" s="136">
        <f t="shared" si="6"/>
        <v>-1916411.8534749995</v>
      </c>
      <c r="M60" s="139">
        <f t="shared" si="11"/>
        <v>7209358.8773583313</v>
      </c>
      <c r="N60" s="140">
        <f t="shared" si="7"/>
        <v>5991538.1529000001</v>
      </c>
      <c r="O60" s="145">
        <f t="shared" si="10"/>
        <v>0.21</v>
      </c>
    </row>
    <row r="61" spans="1:15" x14ac:dyDescent="0.25">
      <c r="A61" s="61">
        <v>45657</v>
      </c>
      <c r="B61" s="30" t="s">
        <v>145</v>
      </c>
      <c r="C61" s="63"/>
      <c r="D61" s="63">
        <f t="shared" si="3"/>
        <v>8879093.3499999996</v>
      </c>
      <c r="E61" s="63">
        <f t="shared" si="0"/>
        <v>9476372.3354166653</v>
      </c>
      <c r="F61" s="124">
        <f t="shared" si="13"/>
        <v>184981.12</v>
      </c>
      <c r="G61" s="63">
        <f t="shared" si="4"/>
        <v>-1479848.96</v>
      </c>
      <c r="H61" s="63">
        <f t="shared" si="12"/>
        <v>-493282.98666666663</v>
      </c>
      <c r="I61" s="63">
        <f t="shared" si="8"/>
        <v>8983089.348749999</v>
      </c>
      <c r="J61" s="63">
        <f t="shared" si="1"/>
        <v>38846.035199999998</v>
      </c>
      <c r="K61" s="68">
        <f t="shared" si="2"/>
        <v>-1553841.3218999999</v>
      </c>
      <c r="L61" s="63">
        <f t="shared" si="6"/>
        <v>-1886448.7632374996</v>
      </c>
      <c r="M61" s="69">
        <f t="shared" si="11"/>
        <v>7096640.5855124993</v>
      </c>
      <c r="N61" s="64">
        <f t="shared" si="7"/>
        <v>5845403.0680999998</v>
      </c>
      <c r="O61" s="145">
        <f t="shared" si="10"/>
        <v>0.21</v>
      </c>
    </row>
    <row r="62" spans="1:15" x14ac:dyDescent="0.25">
      <c r="A62" s="61">
        <v>45688</v>
      </c>
      <c r="B62" s="30" t="s">
        <v>145</v>
      </c>
      <c r="C62" s="63"/>
      <c r="D62" s="63">
        <f t="shared" si="3"/>
        <v>8879093.3499999996</v>
      </c>
      <c r="E62" s="63">
        <f t="shared" si="0"/>
        <v>9412511.0949999969</v>
      </c>
      <c r="F62" s="124">
        <f t="shared" si="13"/>
        <v>184981.12</v>
      </c>
      <c r="G62" s="63">
        <f t="shared" si="4"/>
        <v>-1664830.08</v>
      </c>
      <c r="H62" s="63">
        <f t="shared" si="12"/>
        <v>-624311.27999999991</v>
      </c>
      <c r="I62" s="63">
        <f t="shared" si="8"/>
        <v>8788199.8149999976</v>
      </c>
      <c r="J62" s="63">
        <f t="shared" si="1"/>
        <v>38846.035199999998</v>
      </c>
      <c r="K62" s="68">
        <f t="shared" si="2"/>
        <v>-1514995.2866999998</v>
      </c>
      <c r="L62" s="63">
        <f t="shared" si="6"/>
        <v>-1845521.9611499996</v>
      </c>
      <c r="M62" s="69">
        <f t="shared" si="11"/>
        <v>6942677.8538499977</v>
      </c>
      <c r="N62" s="64">
        <f t="shared" si="7"/>
        <v>5699267.9832999995</v>
      </c>
      <c r="O62" s="145">
        <f t="shared" si="10"/>
        <v>0.21</v>
      </c>
    </row>
    <row r="63" spans="1:15" x14ac:dyDescent="0.25">
      <c r="A63" s="61">
        <v>45716</v>
      </c>
      <c r="B63" s="30" t="s">
        <v>145</v>
      </c>
      <c r="C63" s="63"/>
      <c r="D63" s="63">
        <f t="shared" si="3"/>
        <v>8879093.3499999996</v>
      </c>
      <c r="E63" s="63">
        <f t="shared" si="0"/>
        <v>9313975.7304166649</v>
      </c>
      <c r="F63" s="124">
        <f t="shared" si="13"/>
        <v>184981.12</v>
      </c>
      <c r="G63" s="63">
        <f t="shared" si="4"/>
        <v>-1849811.2000000002</v>
      </c>
      <c r="H63" s="63">
        <f t="shared" si="12"/>
        <v>-770754.66666666663</v>
      </c>
      <c r="I63" s="63">
        <f t="shared" si="8"/>
        <v>8543221.0637499988</v>
      </c>
      <c r="J63" s="63">
        <f t="shared" si="1"/>
        <v>38846.035199999998</v>
      </c>
      <c r="K63" s="68">
        <f t="shared" si="2"/>
        <v>-1476149.2514999998</v>
      </c>
      <c r="L63" s="63">
        <f t="shared" si="6"/>
        <v>-1794076.4233875002</v>
      </c>
      <c r="M63" s="69">
        <f t="shared" si="11"/>
        <v>6749144.6403624984</v>
      </c>
      <c r="N63" s="64">
        <f t="shared" si="7"/>
        <v>5553132.8984999992</v>
      </c>
      <c r="O63" s="145">
        <f t="shared" si="10"/>
        <v>0.21</v>
      </c>
    </row>
    <row r="64" spans="1:15" x14ac:dyDescent="0.25">
      <c r="A64" s="61">
        <v>45747</v>
      </c>
      <c r="B64" s="30" t="s">
        <v>145</v>
      </c>
      <c r="C64" s="63"/>
      <c r="D64" s="63">
        <f t="shared" si="3"/>
        <v>8879093.3499999996</v>
      </c>
      <c r="E64" s="63">
        <f t="shared" si="0"/>
        <v>9171108.661249999</v>
      </c>
      <c r="F64" s="124">
        <f t="shared" si="13"/>
        <v>184981.12</v>
      </c>
      <c r="G64" s="63">
        <f t="shared" si="4"/>
        <v>-2034792.3200000003</v>
      </c>
      <c r="H64" s="63">
        <f t="shared" si="12"/>
        <v>-932613.14666666661</v>
      </c>
      <c r="I64" s="63">
        <f t="shared" si="8"/>
        <v>8238495.5145833325</v>
      </c>
      <c r="J64" s="63">
        <f t="shared" si="1"/>
        <v>38846.035199999998</v>
      </c>
      <c r="K64" s="68">
        <f t="shared" si="2"/>
        <v>-1437303.2162999997</v>
      </c>
      <c r="L64" s="63">
        <f t="shared" si="6"/>
        <v>-1730084.0580625001</v>
      </c>
      <c r="M64" s="69">
        <f t="shared" si="11"/>
        <v>6508411.4565208321</v>
      </c>
      <c r="N64" s="64">
        <f t="shared" si="7"/>
        <v>5406997.8136999998</v>
      </c>
      <c r="O64" s="145">
        <f t="shared" si="10"/>
        <v>0.21</v>
      </c>
    </row>
    <row r="65" spans="1:15" x14ac:dyDescent="0.25">
      <c r="A65" s="61">
        <v>45777</v>
      </c>
      <c r="B65" s="30" t="s">
        <v>145</v>
      </c>
      <c r="C65" s="63"/>
      <c r="D65" s="63">
        <f t="shared" si="3"/>
        <v>8879093.3499999996</v>
      </c>
      <c r="E65" s="63">
        <f t="shared" si="0"/>
        <v>8981576.8020833302</v>
      </c>
      <c r="F65" s="124">
        <f t="shared" si="13"/>
        <v>184981.12</v>
      </c>
      <c r="G65" s="63">
        <f t="shared" si="4"/>
        <v>-2219773.4400000004</v>
      </c>
      <c r="H65" s="63">
        <f t="shared" si="12"/>
        <v>-1109886.72</v>
      </c>
      <c r="I65" s="63">
        <f t="shared" si="8"/>
        <v>7871690.0820833305</v>
      </c>
      <c r="J65" s="63">
        <f t="shared" si="1"/>
        <v>38846.035199999998</v>
      </c>
      <c r="K65" s="68">
        <f t="shared" si="2"/>
        <v>-1398457.1810999997</v>
      </c>
      <c r="L65" s="63">
        <f t="shared" si="6"/>
        <v>-1653054.9172375</v>
      </c>
      <c r="M65" s="69">
        <f t="shared" si="11"/>
        <v>6218635.1648458308</v>
      </c>
      <c r="N65" s="64">
        <f t="shared" si="7"/>
        <v>5260862.7288999995</v>
      </c>
      <c r="O65" s="145">
        <f t="shared" si="10"/>
        <v>0.21</v>
      </c>
    </row>
    <row r="66" spans="1:15" x14ac:dyDescent="0.25">
      <c r="A66" s="61">
        <v>45808</v>
      </c>
      <c r="B66" s="30" t="s">
        <v>145</v>
      </c>
      <c r="C66" s="63"/>
      <c r="D66" s="63">
        <f t="shared" si="3"/>
        <v>8879093.3499999996</v>
      </c>
      <c r="E66" s="63">
        <f t="shared" si="0"/>
        <v>8879093.3499999978</v>
      </c>
      <c r="F66" s="124">
        <f t="shared" si="13"/>
        <v>184981.12</v>
      </c>
      <c r="G66" s="63">
        <f t="shared" si="4"/>
        <v>-2404754.5600000005</v>
      </c>
      <c r="H66" s="63">
        <f t="shared" si="12"/>
        <v>-1294867.8400000001</v>
      </c>
      <c r="I66" s="63">
        <f t="shared" si="8"/>
        <v>7584225.5099999979</v>
      </c>
      <c r="J66" s="63">
        <f t="shared" si="1"/>
        <v>38846.035199999998</v>
      </c>
      <c r="K66" s="68">
        <f t="shared" si="2"/>
        <v>-1359611.1458999997</v>
      </c>
      <c r="L66" s="63">
        <f t="shared" si="6"/>
        <v>-1592687.3570999997</v>
      </c>
      <c r="M66" s="69">
        <f t="shared" si="11"/>
        <v>5991538.1528999982</v>
      </c>
      <c r="N66" s="64">
        <f t="shared" si="7"/>
        <v>5114727.6440999992</v>
      </c>
      <c r="O66" s="145">
        <f t="shared" si="10"/>
        <v>0.20999999999999996</v>
      </c>
    </row>
    <row r="67" spans="1:15" x14ac:dyDescent="0.25">
      <c r="A67" s="61">
        <v>45838</v>
      </c>
      <c r="B67" s="30" t="s">
        <v>145</v>
      </c>
      <c r="C67" s="63"/>
      <c r="D67" s="63">
        <f t="shared" si="3"/>
        <v>8879093.3499999996</v>
      </c>
      <c r="E67" s="63">
        <f t="shared" si="0"/>
        <v>8879093.3499999978</v>
      </c>
      <c r="F67" s="124">
        <f t="shared" si="13"/>
        <v>184981.12</v>
      </c>
      <c r="G67" s="63">
        <f t="shared" si="4"/>
        <v>-2589735.6800000006</v>
      </c>
      <c r="H67" s="63">
        <f t="shared" si="12"/>
        <v>-1479848.96</v>
      </c>
      <c r="I67" s="63">
        <f t="shared" si="8"/>
        <v>7399244.3899999978</v>
      </c>
      <c r="J67" s="63">
        <f t="shared" si="1"/>
        <v>38846.035199999998</v>
      </c>
      <c r="K67" s="68">
        <f t="shared" si="2"/>
        <v>-1320765.1106999996</v>
      </c>
      <c r="L67" s="63">
        <f t="shared" si="6"/>
        <v>-1553841.3218999996</v>
      </c>
      <c r="M67" s="69">
        <f t="shared" si="11"/>
        <v>5845403.0680999979</v>
      </c>
      <c r="N67" s="64">
        <f t="shared" si="7"/>
        <v>4968592.5592999998</v>
      </c>
      <c r="O67" s="145">
        <f t="shared" si="10"/>
        <v>0.20999999999999996</v>
      </c>
    </row>
    <row r="68" spans="1:15" x14ac:dyDescent="0.25">
      <c r="A68" s="61">
        <v>45869</v>
      </c>
      <c r="B68" s="30" t="s">
        <v>145</v>
      </c>
      <c r="C68" s="63"/>
      <c r="D68" s="63">
        <f t="shared" si="3"/>
        <v>8879093.3499999996</v>
      </c>
      <c r="E68" s="63">
        <f t="shared" si="0"/>
        <v>8879093.3499999978</v>
      </c>
      <c r="F68" s="124">
        <f t="shared" si="13"/>
        <v>184981.12</v>
      </c>
      <c r="G68" s="63">
        <f t="shared" si="4"/>
        <v>-2774716.8000000007</v>
      </c>
      <c r="H68" s="63">
        <f t="shared" si="12"/>
        <v>-1664830.0800000003</v>
      </c>
      <c r="I68" s="63">
        <f t="shared" si="8"/>
        <v>7214263.2699999977</v>
      </c>
      <c r="J68" s="63">
        <f t="shared" si="1"/>
        <v>38846.035199999998</v>
      </c>
      <c r="K68" s="68">
        <f t="shared" si="2"/>
        <v>-1281919.0754999996</v>
      </c>
      <c r="L68" s="63">
        <f t="shared" si="6"/>
        <v>-1514995.2866999998</v>
      </c>
      <c r="M68" s="69">
        <f t="shared" si="11"/>
        <v>5699267.9832999976</v>
      </c>
      <c r="N68" s="64">
        <f t="shared" si="7"/>
        <v>4822457.4744999995</v>
      </c>
      <c r="O68" s="145">
        <f t="shared" si="10"/>
        <v>0.20999999999999996</v>
      </c>
    </row>
    <row r="69" spans="1:15" x14ac:dyDescent="0.25">
      <c r="A69" s="61">
        <v>45900</v>
      </c>
      <c r="B69" s="30" t="s">
        <v>145</v>
      </c>
      <c r="C69" s="63"/>
      <c r="D69" s="63">
        <f t="shared" si="3"/>
        <v>8879093.3499999996</v>
      </c>
      <c r="E69" s="63">
        <f t="shared" si="0"/>
        <v>8879093.3499999978</v>
      </c>
      <c r="F69" s="124">
        <f t="shared" si="13"/>
        <v>184981.12</v>
      </c>
      <c r="G69" s="63">
        <f t="shared" si="4"/>
        <v>-2959697.9200000009</v>
      </c>
      <c r="H69" s="63">
        <f t="shared" si="12"/>
        <v>-1849811.2000000002</v>
      </c>
      <c r="I69" s="63">
        <f t="shared" si="8"/>
        <v>7029282.1499999976</v>
      </c>
      <c r="J69" s="63">
        <f t="shared" si="1"/>
        <v>38846.035199999998</v>
      </c>
      <c r="K69" s="68">
        <f t="shared" si="2"/>
        <v>-1243073.0402999995</v>
      </c>
      <c r="L69" s="63">
        <f t="shared" si="6"/>
        <v>-1476149.2515</v>
      </c>
      <c r="M69" s="69">
        <f t="shared" si="11"/>
        <v>5553132.8984999973</v>
      </c>
      <c r="N69" s="64">
        <f t="shared" si="7"/>
        <v>4676322.3896999992</v>
      </c>
      <c r="O69" s="145">
        <f t="shared" si="10"/>
        <v>0.20999999999999996</v>
      </c>
    </row>
    <row r="70" spans="1:15" x14ac:dyDescent="0.25">
      <c r="A70" s="61">
        <v>45930</v>
      </c>
      <c r="B70" s="30" t="s">
        <v>145</v>
      </c>
      <c r="C70" s="63"/>
      <c r="D70" s="63">
        <f t="shared" si="3"/>
        <v>8879093.3499999996</v>
      </c>
      <c r="E70" s="63">
        <f t="shared" si="0"/>
        <v>8879093.3499999978</v>
      </c>
      <c r="F70" s="124">
        <f t="shared" si="13"/>
        <v>184981.12</v>
      </c>
      <c r="G70" s="63">
        <f t="shared" si="4"/>
        <v>-3144679.040000001</v>
      </c>
      <c r="H70" s="63">
        <f t="shared" si="12"/>
        <v>-2034792.3200000005</v>
      </c>
      <c r="I70" s="63">
        <f t="shared" si="8"/>
        <v>6844301.0299999975</v>
      </c>
      <c r="J70" s="63">
        <f t="shared" si="1"/>
        <v>38846.035199999998</v>
      </c>
      <c r="K70" s="68">
        <f t="shared" si="2"/>
        <v>-1204227.0050999995</v>
      </c>
      <c r="L70" s="63">
        <f t="shared" si="6"/>
        <v>-1437303.2162999997</v>
      </c>
      <c r="M70" s="69">
        <f t="shared" si="11"/>
        <v>5406997.813699998</v>
      </c>
      <c r="N70" s="64">
        <f t="shared" si="7"/>
        <v>4530187.3048999989</v>
      </c>
      <c r="O70" s="145">
        <f t="shared" si="10"/>
        <v>0.20999999999999996</v>
      </c>
    </row>
    <row r="71" spans="1:15" ht="13.8" thickBot="1" x14ac:dyDescent="0.3">
      <c r="A71" s="61">
        <v>45961</v>
      </c>
      <c r="B71" s="30" t="s">
        <v>145</v>
      </c>
      <c r="C71" s="63"/>
      <c r="D71" s="63">
        <f t="shared" si="3"/>
        <v>8879093.3499999996</v>
      </c>
      <c r="E71" s="63">
        <f t="shared" si="0"/>
        <v>8879093.3499999978</v>
      </c>
      <c r="F71" s="124">
        <f t="shared" si="13"/>
        <v>184981.12</v>
      </c>
      <c r="G71" s="63">
        <f t="shared" si="4"/>
        <v>-3329660.1600000011</v>
      </c>
      <c r="H71" s="63">
        <f t="shared" si="12"/>
        <v>-2219773.4400000004</v>
      </c>
      <c r="I71" s="63">
        <f t="shared" si="8"/>
        <v>6659319.9099999974</v>
      </c>
      <c r="J71" s="63">
        <f t="shared" si="1"/>
        <v>38846.035199999998</v>
      </c>
      <c r="K71" s="68">
        <f t="shared" si="2"/>
        <v>-1165380.9698999994</v>
      </c>
      <c r="L71" s="63">
        <f t="shared" si="6"/>
        <v>-1398457.1810999997</v>
      </c>
      <c r="M71" s="69">
        <f t="shared" si="11"/>
        <v>5260862.7288999977</v>
      </c>
      <c r="N71" s="64">
        <f t="shared" si="7"/>
        <v>4384052.2200999986</v>
      </c>
      <c r="O71" s="145">
        <f t="shared" si="10"/>
        <v>0.20999999999999996</v>
      </c>
    </row>
    <row r="72" spans="1:15" x14ac:dyDescent="0.25">
      <c r="A72" s="134">
        <v>45991</v>
      </c>
      <c r="B72" s="141" t="s">
        <v>146</v>
      </c>
      <c r="C72" s="136"/>
      <c r="D72" s="136">
        <f t="shared" si="3"/>
        <v>8879093.3499999996</v>
      </c>
      <c r="E72" s="136">
        <f t="shared" si="0"/>
        <v>8879093.3499999978</v>
      </c>
      <c r="F72" s="137">
        <f t="shared" si="13"/>
        <v>184981.12</v>
      </c>
      <c r="G72" s="136">
        <f t="shared" si="4"/>
        <v>-3514641.2800000012</v>
      </c>
      <c r="H72" s="136">
        <f t="shared" si="12"/>
        <v>-2404754.5600000005</v>
      </c>
      <c r="I72" s="136">
        <f t="shared" si="8"/>
        <v>6474338.7899999972</v>
      </c>
      <c r="J72" s="136">
        <f t="shared" si="1"/>
        <v>38846.035199999998</v>
      </c>
      <c r="K72" s="138">
        <f t="shared" si="2"/>
        <v>-1126534.9346999994</v>
      </c>
      <c r="L72" s="136">
        <f t="shared" si="6"/>
        <v>-1359611.1458999997</v>
      </c>
      <c r="M72" s="139">
        <f t="shared" si="11"/>
        <v>5114727.6440999974</v>
      </c>
      <c r="N72" s="140">
        <f t="shared" si="7"/>
        <v>4237917.1352999993</v>
      </c>
      <c r="O72" s="145">
        <f t="shared" si="10"/>
        <v>0.20999999999999994</v>
      </c>
    </row>
    <row r="73" spans="1:15" x14ac:dyDescent="0.25">
      <c r="A73" s="61">
        <v>46022</v>
      </c>
      <c r="B73" s="30" t="s">
        <v>146</v>
      </c>
      <c r="C73" s="63"/>
      <c r="D73" s="63">
        <f t="shared" si="3"/>
        <v>8879093.3499999996</v>
      </c>
      <c r="E73" s="63">
        <f t="shared" si="0"/>
        <v>8879093.3499999978</v>
      </c>
      <c r="F73" s="124">
        <f t="shared" si="13"/>
        <v>184981.12</v>
      </c>
      <c r="G73" s="63">
        <f t="shared" si="4"/>
        <v>-3699622.4000000013</v>
      </c>
      <c r="H73" s="63">
        <f t="shared" si="12"/>
        <v>-2589735.6800000006</v>
      </c>
      <c r="I73" s="63">
        <f t="shared" si="8"/>
        <v>6289357.6699999971</v>
      </c>
      <c r="J73" s="63">
        <f t="shared" si="1"/>
        <v>38846.035199999998</v>
      </c>
      <c r="K73" s="68">
        <f t="shared" si="2"/>
        <v>-1087688.8994999994</v>
      </c>
      <c r="L73" s="63">
        <f t="shared" si="6"/>
        <v>-1320765.1106999996</v>
      </c>
      <c r="M73" s="69">
        <f t="shared" si="11"/>
        <v>4968592.559299998</v>
      </c>
      <c r="N73" s="64">
        <f t="shared" si="7"/>
        <v>4091782.050499999</v>
      </c>
      <c r="O73" s="145">
        <f t="shared" si="10"/>
        <v>0.20999999999999994</v>
      </c>
    </row>
    <row r="74" spans="1:15" x14ac:dyDescent="0.25">
      <c r="A74" s="61">
        <v>46053</v>
      </c>
      <c r="B74" s="30" t="s">
        <v>146</v>
      </c>
      <c r="C74" s="30"/>
      <c r="D74" s="63">
        <f t="shared" si="3"/>
        <v>8879093.3499999996</v>
      </c>
      <c r="E74" s="63">
        <f t="shared" si="0"/>
        <v>8879093.3499999978</v>
      </c>
      <c r="F74" s="124">
        <f t="shared" si="13"/>
        <v>184981.12</v>
      </c>
      <c r="G74" s="63">
        <f t="shared" si="4"/>
        <v>-3884603.5200000014</v>
      </c>
      <c r="H74" s="63">
        <f t="shared" si="12"/>
        <v>-2774716.8000000012</v>
      </c>
      <c r="I74" s="63">
        <f t="shared" si="8"/>
        <v>6104376.549999997</v>
      </c>
      <c r="J74" s="63">
        <f t="shared" si="1"/>
        <v>38846.035199999998</v>
      </c>
      <c r="K74" s="68">
        <f t="shared" si="2"/>
        <v>-1048842.8642999993</v>
      </c>
      <c r="L74" s="63">
        <f t="shared" si="6"/>
        <v>-1281919.0754999996</v>
      </c>
      <c r="M74" s="69">
        <f t="shared" si="11"/>
        <v>4822457.4744999977</v>
      </c>
      <c r="N74" s="64">
        <f t="shared" si="7"/>
        <v>3945646.9656999987</v>
      </c>
      <c r="O74" s="145">
        <f t="shared" si="10"/>
        <v>0.20999999999999994</v>
      </c>
    </row>
    <row r="75" spans="1:15" x14ac:dyDescent="0.25">
      <c r="A75" s="61">
        <v>46081</v>
      </c>
      <c r="B75" s="30" t="s">
        <v>146</v>
      </c>
      <c r="C75" s="30"/>
      <c r="D75" s="63">
        <f t="shared" si="3"/>
        <v>8879093.3499999996</v>
      </c>
      <c r="E75" s="63">
        <f t="shared" si="0"/>
        <v>8879093.3499999978</v>
      </c>
      <c r="F75" s="124">
        <f t="shared" si="13"/>
        <v>184981.12</v>
      </c>
      <c r="G75" s="63">
        <f t="shared" si="4"/>
        <v>-4069584.6400000015</v>
      </c>
      <c r="H75" s="63">
        <f t="shared" si="12"/>
        <v>-2959697.9200000013</v>
      </c>
      <c r="I75" s="63">
        <f t="shared" si="8"/>
        <v>5919395.429999996</v>
      </c>
      <c r="J75" s="63">
        <f t="shared" si="1"/>
        <v>38846.035199999998</v>
      </c>
      <c r="K75" s="68">
        <f t="shared" si="2"/>
        <v>-1009996.8290999993</v>
      </c>
      <c r="L75" s="63">
        <f t="shared" si="6"/>
        <v>-1243073.0402999995</v>
      </c>
      <c r="M75" s="69">
        <f t="shared" si="11"/>
        <v>4676322.3896999964</v>
      </c>
      <c r="N75" s="64">
        <f t="shared" si="7"/>
        <v>3799511.8808999988</v>
      </c>
      <c r="O75" s="145">
        <f t="shared" si="10"/>
        <v>0.20999999999999994</v>
      </c>
    </row>
    <row r="76" spans="1:15" x14ac:dyDescent="0.25">
      <c r="A76" s="61">
        <v>46112</v>
      </c>
      <c r="B76" s="30" t="s">
        <v>146</v>
      </c>
      <c r="C76" s="30"/>
      <c r="D76" s="63">
        <f t="shared" si="3"/>
        <v>8879093.3499999996</v>
      </c>
      <c r="E76" s="63">
        <f t="shared" si="0"/>
        <v>8879093.3499999978</v>
      </c>
      <c r="F76" s="124">
        <f t="shared" si="13"/>
        <v>184981.12</v>
      </c>
      <c r="G76" s="63">
        <f t="shared" si="4"/>
        <v>-4254565.7600000016</v>
      </c>
      <c r="H76" s="63">
        <f t="shared" si="12"/>
        <v>-3144679.040000001</v>
      </c>
      <c r="I76" s="63">
        <f t="shared" si="8"/>
        <v>5734414.3099999968</v>
      </c>
      <c r="J76" s="63">
        <f t="shared" si="1"/>
        <v>38846.035199999998</v>
      </c>
      <c r="K76" s="68">
        <f t="shared" si="2"/>
        <v>-971150.79389999923</v>
      </c>
      <c r="L76" s="63">
        <f t="shared" si="6"/>
        <v>-1204227.0050999995</v>
      </c>
      <c r="M76" s="69">
        <f t="shared" si="11"/>
        <v>4530187.3048999971</v>
      </c>
      <c r="N76" s="64">
        <f t="shared" si="7"/>
        <v>3653376.796099999</v>
      </c>
      <c r="O76" s="145">
        <f t="shared" si="10"/>
        <v>0.20999999999999994</v>
      </c>
    </row>
    <row r="77" spans="1:15" x14ac:dyDescent="0.25">
      <c r="A77" s="61">
        <v>46142</v>
      </c>
      <c r="B77" s="30" t="s">
        <v>146</v>
      </c>
      <c r="C77" s="30"/>
      <c r="D77" s="63">
        <f t="shared" si="3"/>
        <v>8879093.3499999996</v>
      </c>
      <c r="E77" s="63">
        <f t="shared" si="0"/>
        <v>8879093.3499999978</v>
      </c>
      <c r="F77" s="124">
        <f t="shared" si="13"/>
        <v>184981.12</v>
      </c>
      <c r="G77" s="63">
        <f t="shared" si="4"/>
        <v>-4439546.8800000018</v>
      </c>
      <c r="H77" s="63">
        <f t="shared" si="12"/>
        <v>-3329660.1600000006</v>
      </c>
      <c r="I77" s="63">
        <f t="shared" si="8"/>
        <v>5549433.1899999976</v>
      </c>
      <c r="J77" s="63">
        <f t="shared" si="1"/>
        <v>38846.035199999998</v>
      </c>
      <c r="K77" s="68">
        <f t="shared" si="2"/>
        <v>-932304.75869999919</v>
      </c>
      <c r="L77" s="63">
        <f t="shared" si="6"/>
        <v>-1165380.9698999994</v>
      </c>
      <c r="M77" s="69">
        <f t="shared" si="11"/>
        <v>4384052.2200999986</v>
      </c>
      <c r="N77" s="64">
        <f t="shared" si="7"/>
        <v>3507241.7112999987</v>
      </c>
      <c r="O77" s="145">
        <f t="shared" si="10"/>
        <v>0.20999999999999991</v>
      </c>
    </row>
    <row r="78" spans="1:15" x14ac:dyDescent="0.25">
      <c r="A78" s="61">
        <v>46173</v>
      </c>
      <c r="B78" s="30" t="s">
        <v>146</v>
      </c>
      <c r="C78" s="30"/>
      <c r="D78" s="63">
        <f t="shared" si="3"/>
        <v>8879093.3499999996</v>
      </c>
      <c r="E78" s="63">
        <f t="shared" si="0"/>
        <v>8879093.3499999978</v>
      </c>
      <c r="F78" s="124">
        <f t="shared" si="13"/>
        <v>184981.12</v>
      </c>
      <c r="G78" s="63">
        <f t="shared" si="4"/>
        <v>-4624528.0000000019</v>
      </c>
      <c r="H78" s="63">
        <f t="shared" si="12"/>
        <v>-3514641.2800000017</v>
      </c>
      <c r="I78" s="63">
        <f t="shared" si="8"/>
        <v>5364452.0699999966</v>
      </c>
      <c r="J78" s="63">
        <f t="shared" si="1"/>
        <v>38846.035199999998</v>
      </c>
      <c r="K78" s="68">
        <f t="shared" si="2"/>
        <v>-893458.72349999915</v>
      </c>
      <c r="L78" s="63">
        <f t="shared" si="6"/>
        <v>-1126534.9346999996</v>
      </c>
      <c r="M78" s="69">
        <f t="shared" si="11"/>
        <v>4237917.1352999974</v>
      </c>
      <c r="N78" s="64">
        <f t="shared" si="7"/>
        <v>3361106.6264999984</v>
      </c>
      <c r="O78" s="145">
        <f t="shared" si="10"/>
        <v>0.20999999999999991</v>
      </c>
    </row>
    <row r="79" spans="1:15" x14ac:dyDescent="0.25">
      <c r="A79" s="61">
        <v>46203</v>
      </c>
      <c r="B79" s="30" t="s">
        <v>146</v>
      </c>
      <c r="D79" s="63">
        <f t="shared" si="3"/>
        <v>8879093.3499999996</v>
      </c>
      <c r="E79" s="63">
        <f t="shared" si="0"/>
        <v>8879093.3499999978</v>
      </c>
      <c r="F79" s="124">
        <f t="shared" si="13"/>
        <v>184981.12</v>
      </c>
      <c r="G79" s="63">
        <f t="shared" si="4"/>
        <v>-4809509.120000002</v>
      </c>
      <c r="H79" s="63">
        <f t="shared" si="12"/>
        <v>-3699622.4000000004</v>
      </c>
      <c r="I79" s="63">
        <f t="shared" si="8"/>
        <v>5179470.9499999974</v>
      </c>
      <c r="J79" s="63">
        <f t="shared" si="1"/>
        <v>38846.035199999998</v>
      </c>
      <c r="K79" s="68">
        <f t="shared" si="2"/>
        <v>-854612.68829999911</v>
      </c>
      <c r="L79" s="63">
        <f t="shared" si="6"/>
        <v>-1087688.8994999996</v>
      </c>
      <c r="M79" s="63">
        <f t="shared" si="11"/>
        <v>4091782.050499998</v>
      </c>
      <c r="N79" s="64">
        <f t="shared" si="7"/>
        <v>3214971.5416999985</v>
      </c>
      <c r="O79" s="145">
        <f t="shared" si="10"/>
        <v>0.20999999999999991</v>
      </c>
    </row>
    <row r="80" spans="1:15" x14ac:dyDescent="0.25">
      <c r="A80" s="61">
        <v>46234</v>
      </c>
      <c r="B80" s="30" t="s">
        <v>146</v>
      </c>
      <c r="D80" s="63">
        <f t="shared" si="3"/>
        <v>8879093.3499999996</v>
      </c>
      <c r="E80" s="63">
        <f t="shared" si="0"/>
        <v>8879093.3499999978</v>
      </c>
      <c r="F80" s="124">
        <f t="shared" si="13"/>
        <v>184981.12</v>
      </c>
      <c r="G80" s="63">
        <f t="shared" si="4"/>
        <v>-4994490.2400000021</v>
      </c>
      <c r="H80" s="63">
        <f t="shared" si="12"/>
        <v>-3884603.5200000019</v>
      </c>
      <c r="I80" s="63">
        <f t="shared" si="8"/>
        <v>4994489.8299999963</v>
      </c>
      <c r="J80" s="63">
        <f t="shared" si="1"/>
        <v>38846.035199999998</v>
      </c>
      <c r="K80" s="68">
        <f t="shared" si="2"/>
        <v>-815766.65309999906</v>
      </c>
      <c r="L80" s="63">
        <f t="shared" si="6"/>
        <v>-1048842.8642999993</v>
      </c>
      <c r="M80" s="63">
        <f t="shared" si="11"/>
        <v>3945646.9656999968</v>
      </c>
      <c r="N80" s="64">
        <f t="shared" si="7"/>
        <v>3068836.4568999987</v>
      </c>
      <c r="O80" s="145">
        <f t="shared" si="10"/>
        <v>0.20999999999999988</v>
      </c>
    </row>
    <row r="81" spans="1:15" x14ac:dyDescent="0.25">
      <c r="A81" s="61">
        <v>46265</v>
      </c>
      <c r="B81" s="30" t="s">
        <v>146</v>
      </c>
      <c r="D81" s="63">
        <f t="shared" si="3"/>
        <v>8879093.3499999996</v>
      </c>
      <c r="E81" s="63">
        <f t="shared" si="0"/>
        <v>8879093.3499999978</v>
      </c>
      <c r="F81" s="124">
        <f t="shared" si="13"/>
        <v>184981.12</v>
      </c>
      <c r="G81" s="63">
        <f t="shared" si="4"/>
        <v>-5179471.3600000022</v>
      </c>
      <c r="H81" s="63">
        <f t="shared" si="12"/>
        <v>-4069584.640000002</v>
      </c>
      <c r="I81" s="63">
        <f t="shared" si="8"/>
        <v>4809508.7099999953</v>
      </c>
      <c r="J81" s="63">
        <f t="shared" si="1"/>
        <v>38846.035199999998</v>
      </c>
      <c r="K81" s="68">
        <f t="shared" si="2"/>
        <v>-776920.61789999902</v>
      </c>
      <c r="L81" s="63">
        <f t="shared" si="6"/>
        <v>-1009996.8290999992</v>
      </c>
      <c r="M81" s="63">
        <f t="shared" si="11"/>
        <v>3799511.880899996</v>
      </c>
      <c r="N81" s="64">
        <f t="shared" si="7"/>
        <v>2922701.3720999984</v>
      </c>
      <c r="O81" s="145">
        <f t="shared" si="10"/>
        <v>0.20999999999999988</v>
      </c>
    </row>
    <row r="82" spans="1:15" x14ac:dyDescent="0.25">
      <c r="A82" s="61">
        <v>46295</v>
      </c>
      <c r="B82" s="30" t="s">
        <v>146</v>
      </c>
      <c r="D82" s="63">
        <f t="shared" si="3"/>
        <v>8879093.3499999996</v>
      </c>
      <c r="E82" s="63">
        <f t="shared" si="0"/>
        <v>8879093.3499999978</v>
      </c>
      <c r="F82" s="124">
        <f t="shared" si="13"/>
        <v>184981.12</v>
      </c>
      <c r="G82" s="63">
        <f t="shared" si="4"/>
        <v>-5364452.4800000023</v>
      </c>
      <c r="H82" s="63">
        <f t="shared" si="12"/>
        <v>-4254565.7600000016</v>
      </c>
      <c r="I82" s="63">
        <f t="shared" si="8"/>
        <v>4624527.5899999961</v>
      </c>
      <c r="J82" s="63">
        <f t="shared" si="1"/>
        <v>38846.035199999998</v>
      </c>
      <c r="K82" s="68">
        <f t="shared" si="2"/>
        <v>-738074.58269999898</v>
      </c>
      <c r="L82" s="63">
        <f t="shared" si="6"/>
        <v>-971150.79389999935</v>
      </c>
      <c r="M82" s="63">
        <f t="shared" si="11"/>
        <v>3653376.7960999967</v>
      </c>
      <c r="N82" s="64">
        <f t="shared" si="7"/>
        <v>2776566.2872999981</v>
      </c>
      <c r="O82" s="145">
        <f t="shared" si="10"/>
        <v>0.20999999999999988</v>
      </c>
    </row>
    <row r="83" spans="1:15" ht="13.8" thickBot="1" x14ac:dyDescent="0.3">
      <c r="A83" s="61">
        <v>46326</v>
      </c>
      <c r="B83" s="30" t="s">
        <v>146</v>
      </c>
      <c r="D83" s="63">
        <f t="shared" si="3"/>
        <v>8879093.3499999996</v>
      </c>
      <c r="E83" s="63">
        <f t="shared" si="0"/>
        <v>8879093.3499999978</v>
      </c>
      <c r="F83" s="124">
        <f t="shared" si="13"/>
        <v>184981.12</v>
      </c>
      <c r="G83" s="63">
        <f t="shared" si="4"/>
        <v>-5549433.6000000024</v>
      </c>
      <c r="H83" s="63">
        <f t="shared" si="12"/>
        <v>-4439546.8800000018</v>
      </c>
      <c r="I83" s="63">
        <f t="shared" si="8"/>
        <v>4439546.469999996</v>
      </c>
      <c r="J83" s="63">
        <f t="shared" si="1"/>
        <v>38846.035199999998</v>
      </c>
      <c r="K83" s="68">
        <f t="shared" si="2"/>
        <v>-699228.54749999894</v>
      </c>
      <c r="L83" s="63">
        <f t="shared" si="6"/>
        <v>-932304.75869999919</v>
      </c>
      <c r="M83" s="63">
        <f t="shared" si="11"/>
        <v>3507241.7112999968</v>
      </c>
      <c r="N83" s="64">
        <f t="shared" si="7"/>
        <v>2630431.2024999983</v>
      </c>
      <c r="O83" s="145">
        <f t="shared" si="10"/>
        <v>0.20999999999999985</v>
      </c>
    </row>
    <row r="84" spans="1:15" x14ac:dyDescent="0.25">
      <c r="A84" s="134">
        <v>46356</v>
      </c>
      <c r="B84" s="141" t="s">
        <v>147</v>
      </c>
      <c r="C84" s="141"/>
      <c r="D84" s="136">
        <f t="shared" si="3"/>
        <v>8879093.3499999996</v>
      </c>
      <c r="E84" s="136">
        <f t="shared" si="0"/>
        <v>8879093.3499999978</v>
      </c>
      <c r="F84" s="137">
        <f t="shared" si="13"/>
        <v>184981.12</v>
      </c>
      <c r="G84" s="136">
        <f t="shared" si="4"/>
        <v>-5734414.7200000025</v>
      </c>
      <c r="H84" s="136">
        <f t="shared" si="12"/>
        <v>-4624528.0000000019</v>
      </c>
      <c r="I84" s="136">
        <f t="shared" si="8"/>
        <v>4254565.3499999959</v>
      </c>
      <c r="J84" s="136">
        <f t="shared" si="1"/>
        <v>38846.035199999998</v>
      </c>
      <c r="K84" s="138">
        <f t="shared" si="2"/>
        <v>-660382.5122999989</v>
      </c>
      <c r="L84" s="136">
        <f t="shared" si="6"/>
        <v>-893458.72349999927</v>
      </c>
      <c r="M84" s="136">
        <f t="shared" si="11"/>
        <v>3361106.6264999965</v>
      </c>
      <c r="N84" s="140">
        <f t="shared" si="7"/>
        <v>2484296.1176999984</v>
      </c>
      <c r="O84" s="145">
        <f t="shared" si="10"/>
        <v>0.20999999999999985</v>
      </c>
    </row>
    <row r="85" spans="1:15" x14ac:dyDescent="0.25">
      <c r="A85" s="61">
        <v>46387</v>
      </c>
      <c r="B85" s="30" t="s">
        <v>147</v>
      </c>
      <c r="D85" s="63">
        <f t="shared" si="3"/>
        <v>8879093.3499999996</v>
      </c>
      <c r="E85" s="63">
        <f t="shared" si="0"/>
        <v>8879093.3499999978</v>
      </c>
      <c r="F85" s="124">
        <f t="shared" si="13"/>
        <v>184981.12</v>
      </c>
      <c r="G85" s="63">
        <f t="shared" si="4"/>
        <v>-5919395.8400000026</v>
      </c>
      <c r="H85" s="63">
        <f t="shared" si="12"/>
        <v>-4809509.120000002</v>
      </c>
      <c r="I85" s="63">
        <f t="shared" si="8"/>
        <v>4069584.2299999958</v>
      </c>
      <c r="J85" s="63">
        <f t="shared" si="1"/>
        <v>38846.035199999998</v>
      </c>
      <c r="K85" s="68">
        <f t="shared" si="2"/>
        <v>-621536.47709999885</v>
      </c>
      <c r="L85" s="63">
        <f t="shared" si="6"/>
        <v>-854612.68829999911</v>
      </c>
      <c r="M85" s="63">
        <f t="shared" si="11"/>
        <v>3214971.5416999967</v>
      </c>
      <c r="N85" s="64">
        <f t="shared" si="7"/>
        <v>2338161.0328999981</v>
      </c>
      <c r="O85" s="145">
        <f t="shared" si="10"/>
        <v>0.20999999999999983</v>
      </c>
    </row>
    <row r="86" spans="1:15" s="328" customFormat="1" x14ac:dyDescent="0.25">
      <c r="A86" s="323">
        <v>46418</v>
      </c>
      <c r="B86" s="328" t="s">
        <v>147</v>
      </c>
      <c r="C86" s="324"/>
      <c r="D86" s="199">
        <f t="shared" si="3"/>
        <v>8879093.3499999996</v>
      </c>
      <c r="E86" s="199">
        <f t="shared" si="0"/>
        <v>8879093.3499999978</v>
      </c>
      <c r="F86" s="329">
        <f t="shared" si="13"/>
        <v>184981.12</v>
      </c>
      <c r="G86" s="199">
        <f t="shared" si="4"/>
        <v>-6104376.9600000028</v>
      </c>
      <c r="H86" s="199">
        <f t="shared" si="12"/>
        <v>-4994490.240000003</v>
      </c>
      <c r="I86" s="199">
        <f t="shared" si="8"/>
        <v>3884603.1099999947</v>
      </c>
      <c r="J86" s="199">
        <f t="shared" si="1"/>
        <v>38846.035199999998</v>
      </c>
      <c r="K86" s="326">
        <f t="shared" si="2"/>
        <v>-582690.44189999881</v>
      </c>
      <c r="L86" s="199">
        <f t="shared" si="6"/>
        <v>-815766.65309999918</v>
      </c>
      <c r="M86" s="199">
        <f t="shared" si="11"/>
        <v>3068836.4568999954</v>
      </c>
      <c r="N86" s="327">
        <f t="shared" si="7"/>
        <v>2192025.9480999978</v>
      </c>
      <c r="O86" s="330">
        <f t="shared" si="10"/>
        <v>0.2099999999999998</v>
      </c>
    </row>
    <row r="87" spans="1:15" x14ac:dyDescent="0.25">
      <c r="A87" s="61">
        <v>46446</v>
      </c>
      <c r="B87" s="30" t="s">
        <v>147</v>
      </c>
      <c r="D87" s="63">
        <f t="shared" si="3"/>
        <v>8879093.3499999996</v>
      </c>
      <c r="E87" s="63">
        <f t="shared" si="0"/>
        <v>8879093.3499999978</v>
      </c>
      <c r="F87" s="124">
        <f t="shared" si="13"/>
        <v>184981.12</v>
      </c>
      <c r="G87" s="63">
        <f t="shared" si="4"/>
        <v>-6289358.0800000029</v>
      </c>
      <c r="H87" s="63">
        <f t="shared" si="12"/>
        <v>-5179471.3600000022</v>
      </c>
      <c r="I87" s="63">
        <f t="shared" si="8"/>
        <v>3699621.9899999956</v>
      </c>
      <c r="J87" s="63">
        <f t="shared" si="1"/>
        <v>38846.035199999998</v>
      </c>
      <c r="K87" s="68">
        <f t="shared" si="2"/>
        <v>-543844.40669999877</v>
      </c>
      <c r="L87" s="63">
        <f t="shared" si="6"/>
        <v>-776920.61789999902</v>
      </c>
      <c r="M87" s="63">
        <f t="shared" si="11"/>
        <v>2922701.3720999965</v>
      </c>
      <c r="N87" s="64">
        <f t="shared" si="7"/>
        <v>2045890.863299998</v>
      </c>
      <c r="O87" s="145">
        <f t="shared" si="10"/>
        <v>0.2099999999999998</v>
      </c>
    </row>
    <row r="88" spans="1:15" x14ac:dyDescent="0.25">
      <c r="A88" s="61">
        <v>46477</v>
      </c>
      <c r="B88" s="30" t="s">
        <v>147</v>
      </c>
      <c r="D88" s="63">
        <f t="shared" si="3"/>
        <v>8879093.3499999996</v>
      </c>
      <c r="E88" s="63">
        <f t="shared" ref="E88:E95" si="14">(D76+D88+SUM(D77:D87)*2)/24</f>
        <v>8879093.3499999978</v>
      </c>
      <c r="F88" s="124">
        <f t="shared" si="13"/>
        <v>184981.12</v>
      </c>
      <c r="G88" s="63">
        <f t="shared" si="4"/>
        <v>-6474339.200000003</v>
      </c>
      <c r="H88" s="63">
        <f t="shared" si="12"/>
        <v>-5364452.4800000032</v>
      </c>
      <c r="I88" s="63">
        <f t="shared" si="8"/>
        <v>3514640.8699999945</v>
      </c>
      <c r="J88" s="63">
        <f t="shared" ref="J88:J107" si="15">(-C88*0.21)+(F88*0.21)</f>
        <v>38846.035199999998</v>
      </c>
      <c r="K88" s="68">
        <f t="shared" ref="K88:K107" si="16">K87+J88</f>
        <v>-504998.37149999879</v>
      </c>
      <c r="L88" s="63">
        <f t="shared" si="6"/>
        <v>-738074.5826999991</v>
      </c>
      <c r="M88" s="63">
        <f t="shared" si="11"/>
        <v>2776566.2872999953</v>
      </c>
      <c r="N88" s="64">
        <f t="shared" si="7"/>
        <v>1899755.7784999979</v>
      </c>
      <c r="O88" s="145">
        <f t="shared" si="10"/>
        <v>0.2099999999999998</v>
      </c>
    </row>
    <row r="89" spans="1:15" x14ac:dyDescent="0.25">
      <c r="A89" s="61">
        <v>46507</v>
      </c>
      <c r="B89" s="30" t="s">
        <v>147</v>
      </c>
      <c r="D89" s="63">
        <f t="shared" ref="D89:D107" si="17">D88+C89</f>
        <v>8879093.3499999996</v>
      </c>
      <c r="E89" s="63">
        <f t="shared" si="14"/>
        <v>8879093.3499999978</v>
      </c>
      <c r="F89" s="124">
        <f t="shared" si="13"/>
        <v>184981.12</v>
      </c>
      <c r="G89" s="63">
        <f t="shared" si="4"/>
        <v>-6659320.3200000031</v>
      </c>
      <c r="H89" s="63">
        <f t="shared" si="12"/>
        <v>-5549433.6000000024</v>
      </c>
      <c r="I89" s="63">
        <f t="shared" si="8"/>
        <v>3329659.7499999953</v>
      </c>
      <c r="J89" s="63">
        <f t="shared" si="15"/>
        <v>38846.035199999998</v>
      </c>
      <c r="K89" s="68">
        <f t="shared" si="16"/>
        <v>-466152.3362999988</v>
      </c>
      <c r="L89" s="63">
        <f t="shared" si="6"/>
        <v>-699228.54749999894</v>
      </c>
      <c r="M89" s="63">
        <f t="shared" si="11"/>
        <v>2630431.2024999964</v>
      </c>
      <c r="N89" s="64">
        <f t="shared" si="7"/>
        <v>1753620.6936999978</v>
      </c>
      <c r="O89" s="145">
        <f t="shared" si="10"/>
        <v>0.2099999999999998</v>
      </c>
    </row>
    <row r="90" spans="1:15" x14ac:dyDescent="0.25">
      <c r="A90" s="61">
        <v>46538</v>
      </c>
      <c r="B90" s="30" t="s">
        <v>147</v>
      </c>
      <c r="D90" s="63">
        <f t="shared" si="17"/>
        <v>8879093.3499999996</v>
      </c>
      <c r="E90" s="63">
        <f t="shared" si="14"/>
        <v>8879093.3499999978</v>
      </c>
      <c r="F90" s="124">
        <f t="shared" si="13"/>
        <v>184981.12</v>
      </c>
      <c r="G90" s="63">
        <f t="shared" ref="G90:G107" si="18">G89-F90</f>
        <v>-6844301.4400000032</v>
      </c>
      <c r="H90" s="63">
        <f t="shared" si="12"/>
        <v>-5734414.7200000025</v>
      </c>
      <c r="I90" s="63">
        <f t="shared" si="8"/>
        <v>3144678.6299999952</v>
      </c>
      <c r="J90" s="63">
        <f t="shared" si="15"/>
        <v>38846.035199999998</v>
      </c>
      <c r="K90" s="68">
        <f t="shared" si="16"/>
        <v>-427306.30109999882</v>
      </c>
      <c r="L90" s="63">
        <f t="shared" ref="L90:L95" si="19">(K78+K90+SUM(K79:K89)*2)/24</f>
        <v>-660382.5122999989</v>
      </c>
      <c r="M90" s="63">
        <f t="shared" si="11"/>
        <v>2484296.1176999966</v>
      </c>
      <c r="N90" s="64">
        <f t="shared" ref="N90:N107" si="20">+D90+G90+K90</f>
        <v>1607485.6088999975</v>
      </c>
      <c r="O90" s="145">
        <f t="shared" si="10"/>
        <v>0.2099999999999998</v>
      </c>
    </row>
    <row r="91" spans="1:15" x14ac:dyDescent="0.25">
      <c r="A91" s="61">
        <v>46568</v>
      </c>
      <c r="B91" s="30" t="s">
        <v>147</v>
      </c>
      <c r="D91" s="63">
        <f t="shared" si="17"/>
        <v>8879093.3499999996</v>
      </c>
      <c r="E91" s="63">
        <f t="shared" si="14"/>
        <v>8879093.3499999978</v>
      </c>
      <c r="F91" s="124">
        <f t="shared" si="13"/>
        <v>184981.12</v>
      </c>
      <c r="G91" s="63">
        <f t="shared" si="18"/>
        <v>-7029282.5600000033</v>
      </c>
      <c r="H91" s="63">
        <f t="shared" si="12"/>
        <v>-5919395.8400000026</v>
      </c>
      <c r="I91" s="63">
        <f t="shared" ref="I91:I107" si="21">E91+H91</f>
        <v>2959697.5099999951</v>
      </c>
      <c r="J91" s="63">
        <f t="shared" si="15"/>
        <v>38846.035199999998</v>
      </c>
      <c r="K91" s="68">
        <f t="shared" si="16"/>
        <v>-388460.26589999883</v>
      </c>
      <c r="L91" s="63">
        <f t="shared" si="19"/>
        <v>-621536.47709999897</v>
      </c>
      <c r="M91" s="63">
        <f t="shared" si="11"/>
        <v>2338161.0328999963</v>
      </c>
      <c r="N91" s="64">
        <f t="shared" si="20"/>
        <v>1461350.5240999975</v>
      </c>
      <c r="O91" s="145">
        <f t="shared" ref="O91:O94" si="22">-K91/(D91+G91)</f>
        <v>0.2099999999999998</v>
      </c>
    </row>
    <row r="92" spans="1:15" x14ac:dyDescent="0.25">
      <c r="A92" s="61">
        <v>46599</v>
      </c>
      <c r="B92" s="30" t="s">
        <v>147</v>
      </c>
      <c r="D92" s="63">
        <f t="shared" si="17"/>
        <v>8879093.3499999996</v>
      </c>
      <c r="E92" s="63">
        <f t="shared" si="14"/>
        <v>8879093.3499999978</v>
      </c>
      <c r="F92" s="124">
        <f t="shared" si="13"/>
        <v>184981.12</v>
      </c>
      <c r="G92" s="63">
        <f t="shared" si="18"/>
        <v>-7214263.6800000034</v>
      </c>
      <c r="H92" s="63">
        <f t="shared" si="12"/>
        <v>-6104376.9600000037</v>
      </c>
      <c r="I92" s="63">
        <f t="shared" si="21"/>
        <v>2774716.3899999941</v>
      </c>
      <c r="J92" s="63">
        <f t="shared" si="15"/>
        <v>38846.035199999998</v>
      </c>
      <c r="K92" s="68">
        <f t="shared" si="16"/>
        <v>-349614.23069999885</v>
      </c>
      <c r="L92" s="63">
        <f t="shared" si="19"/>
        <v>-582690.44189999881</v>
      </c>
      <c r="M92" s="63">
        <f t="shared" si="11"/>
        <v>2192025.948099995</v>
      </c>
      <c r="N92" s="64">
        <f t="shared" si="20"/>
        <v>1315215.4392999974</v>
      </c>
      <c r="O92" s="145">
        <f t="shared" si="22"/>
        <v>0.2099999999999998</v>
      </c>
    </row>
    <row r="93" spans="1:15" x14ac:dyDescent="0.25">
      <c r="A93" s="61">
        <v>46630</v>
      </c>
      <c r="B93" s="30" t="s">
        <v>147</v>
      </c>
      <c r="D93" s="63">
        <f t="shared" si="17"/>
        <v>8879093.3499999996</v>
      </c>
      <c r="E93" s="63">
        <f t="shared" si="14"/>
        <v>8879093.3499999978</v>
      </c>
      <c r="F93" s="124">
        <f t="shared" si="13"/>
        <v>184981.12</v>
      </c>
      <c r="G93" s="63">
        <f t="shared" si="18"/>
        <v>-7399244.8000000035</v>
      </c>
      <c r="H93" s="63">
        <f t="shared" si="12"/>
        <v>-6289358.0800000029</v>
      </c>
      <c r="I93" s="63">
        <f t="shared" si="21"/>
        <v>2589735.2699999949</v>
      </c>
      <c r="J93" s="63">
        <f t="shared" si="15"/>
        <v>38846.035199999998</v>
      </c>
      <c r="K93" s="68">
        <f t="shared" si="16"/>
        <v>-310768.19549999887</v>
      </c>
      <c r="L93" s="63">
        <f t="shared" si="19"/>
        <v>-543844.40669999889</v>
      </c>
      <c r="M93" s="63">
        <f t="shared" si="11"/>
        <v>2045890.8632999961</v>
      </c>
      <c r="N93" s="64">
        <f t="shared" si="20"/>
        <v>1169080.3544999971</v>
      </c>
      <c r="O93" s="145">
        <f t="shared" si="22"/>
        <v>0.2099999999999998</v>
      </c>
    </row>
    <row r="94" spans="1:15" x14ac:dyDescent="0.25">
      <c r="A94" s="61">
        <v>46660</v>
      </c>
      <c r="B94" s="30" t="s">
        <v>147</v>
      </c>
      <c r="D94" s="63">
        <f t="shared" si="17"/>
        <v>8879093.3499999996</v>
      </c>
      <c r="E94" s="63">
        <f t="shared" si="14"/>
        <v>8879093.3499999978</v>
      </c>
      <c r="F94" s="124">
        <f t="shared" si="13"/>
        <v>184981.12</v>
      </c>
      <c r="G94" s="63">
        <f t="shared" si="18"/>
        <v>-7584225.9200000037</v>
      </c>
      <c r="H94" s="63">
        <f t="shared" si="12"/>
        <v>-6474339.200000003</v>
      </c>
      <c r="I94" s="63">
        <f t="shared" si="21"/>
        <v>2404754.1499999948</v>
      </c>
      <c r="J94" s="63">
        <f t="shared" si="15"/>
        <v>38846.035199999998</v>
      </c>
      <c r="K94" s="68">
        <f t="shared" si="16"/>
        <v>-271922.16029999888</v>
      </c>
      <c r="L94" s="63">
        <f t="shared" si="19"/>
        <v>-504998.37149999879</v>
      </c>
      <c r="M94" s="63">
        <f t="shared" si="11"/>
        <v>1899755.7784999961</v>
      </c>
      <c r="N94" s="64">
        <f t="shared" si="20"/>
        <v>1022945.269699997</v>
      </c>
      <c r="O94" s="145">
        <f t="shared" si="22"/>
        <v>0.2099999999999998</v>
      </c>
    </row>
    <row r="95" spans="1:15" ht="13.8" thickBot="1" x14ac:dyDescent="0.3">
      <c r="A95" s="61">
        <v>46691</v>
      </c>
      <c r="B95" s="30" t="s">
        <v>147</v>
      </c>
      <c r="D95" s="63">
        <f t="shared" si="17"/>
        <v>8879093.3499999996</v>
      </c>
      <c r="E95" s="63">
        <f t="shared" si="14"/>
        <v>8879093.3499999978</v>
      </c>
      <c r="F95" s="124">
        <f t="shared" si="13"/>
        <v>184981.12</v>
      </c>
      <c r="G95" s="63">
        <f t="shared" si="18"/>
        <v>-7769207.0400000038</v>
      </c>
      <c r="H95" s="63">
        <f t="shared" si="12"/>
        <v>-6659320.320000004</v>
      </c>
      <c r="I95" s="63">
        <f t="shared" si="21"/>
        <v>2219773.0299999937</v>
      </c>
      <c r="J95" s="63">
        <f t="shared" si="15"/>
        <v>38846.035199999998</v>
      </c>
      <c r="K95" s="68">
        <f t="shared" si="16"/>
        <v>-233076.1250999989</v>
      </c>
      <c r="L95" s="63">
        <f t="shared" si="19"/>
        <v>-466152.33629999886</v>
      </c>
      <c r="M95" s="63">
        <f t="shared" si="11"/>
        <v>1753620.6936999948</v>
      </c>
      <c r="N95" s="64">
        <f t="shared" si="20"/>
        <v>876810.18489999697</v>
      </c>
      <c r="O95" s="145"/>
    </row>
    <row r="96" spans="1:15" x14ac:dyDescent="0.25">
      <c r="A96" s="134">
        <v>46721</v>
      </c>
      <c r="B96" s="141" t="s">
        <v>148</v>
      </c>
      <c r="C96" s="141"/>
      <c r="D96" s="136">
        <f t="shared" si="17"/>
        <v>8879093.3499999996</v>
      </c>
      <c r="E96" s="136">
        <f t="shared" ref="E96:E98" si="23">(D84+D96+SUM(D85:D95)*2)/24</f>
        <v>8879093.3499999978</v>
      </c>
      <c r="F96" s="137">
        <f t="shared" si="13"/>
        <v>184981.12</v>
      </c>
      <c r="G96" s="136">
        <f t="shared" si="18"/>
        <v>-7954188.1600000039</v>
      </c>
      <c r="H96" s="136">
        <f t="shared" ref="H96:H98" si="24">(G84+G96+SUM(G85:G95)*2)/24</f>
        <v>-6844301.4400000041</v>
      </c>
      <c r="I96" s="136">
        <f t="shared" si="21"/>
        <v>2034791.9099999936</v>
      </c>
      <c r="J96" s="136">
        <f t="shared" si="15"/>
        <v>38846.035199999998</v>
      </c>
      <c r="K96" s="138">
        <f t="shared" si="16"/>
        <v>-194230.08989999891</v>
      </c>
      <c r="L96" s="136">
        <f t="shared" ref="L96:L107" si="25">(K84+K96+SUM(K85:K95)*2)/24</f>
        <v>-427306.30109999882</v>
      </c>
      <c r="M96" s="136">
        <f t="shared" si="11"/>
        <v>1607485.6088999948</v>
      </c>
      <c r="N96" s="140">
        <f t="shared" si="20"/>
        <v>730675.1000999969</v>
      </c>
      <c r="O96" s="145"/>
    </row>
    <row r="97" spans="1:15" x14ac:dyDescent="0.25">
      <c r="A97" s="61">
        <v>46752</v>
      </c>
      <c r="B97" s="30" t="s">
        <v>148</v>
      </c>
      <c r="D97" s="63">
        <f t="shared" si="17"/>
        <v>8879093.3499999996</v>
      </c>
      <c r="E97" s="63">
        <f t="shared" si="23"/>
        <v>8879093.3499999978</v>
      </c>
      <c r="F97" s="124">
        <f t="shared" si="13"/>
        <v>184981.12</v>
      </c>
      <c r="G97" s="63">
        <f t="shared" si="18"/>
        <v>-8139169.280000004</v>
      </c>
      <c r="H97" s="63">
        <f t="shared" si="24"/>
        <v>-7029282.5600000024</v>
      </c>
      <c r="I97" s="63">
        <f t="shared" si="21"/>
        <v>1849810.7899999954</v>
      </c>
      <c r="J97" s="63">
        <f t="shared" si="15"/>
        <v>38846.035199999998</v>
      </c>
      <c r="K97" s="68">
        <f t="shared" si="16"/>
        <v>-155384.05469999893</v>
      </c>
      <c r="L97" s="63">
        <f t="shared" si="25"/>
        <v>-388460.26589999883</v>
      </c>
      <c r="M97" s="63">
        <f t="shared" si="11"/>
        <v>1461350.5240999965</v>
      </c>
      <c r="N97" s="64">
        <f t="shared" si="20"/>
        <v>584540.01529999671</v>
      </c>
      <c r="O97" s="145"/>
    </row>
    <row r="98" spans="1:15" x14ac:dyDescent="0.25">
      <c r="A98" s="61">
        <v>46783</v>
      </c>
      <c r="B98" s="30" t="s">
        <v>148</v>
      </c>
      <c r="D98" s="63">
        <f t="shared" si="17"/>
        <v>8879093.3499999996</v>
      </c>
      <c r="E98" s="63">
        <f t="shared" si="23"/>
        <v>8879093.3499999978</v>
      </c>
      <c r="F98" s="124">
        <f t="shared" si="13"/>
        <v>184981.12</v>
      </c>
      <c r="G98" s="63">
        <f t="shared" si="18"/>
        <v>-8324150.4000000041</v>
      </c>
      <c r="H98" s="63">
        <f t="shared" si="24"/>
        <v>-7214263.6800000034</v>
      </c>
      <c r="I98" s="63">
        <f t="shared" si="21"/>
        <v>1664829.6699999943</v>
      </c>
      <c r="J98" s="63">
        <f t="shared" si="15"/>
        <v>38846.035199999998</v>
      </c>
      <c r="K98" s="68">
        <f t="shared" si="16"/>
        <v>-116538.01949999893</v>
      </c>
      <c r="L98" s="63">
        <f t="shared" si="25"/>
        <v>-349614.23069999885</v>
      </c>
      <c r="M98" s="63">
        <f t="shared" si="11"/>
        <v>1315215.4392999955</v>
      </c>
      <c r="N98" s="64">
        <f t="shared" si="20"/>
        <v>438404.93049999658</v>
      </c>
      <c r="O98" s="145"/>
    </row>
    <row r="99" spans="1:15" x14ac:dyDescent="0.25">
      <c r="A99" s="61">
        <v>46812</v>
      </c>
      <c r="B99" s="30" t="s">
        <v>148</v>
      </c>
      <c r="D99" s="63">
        <f t="shared" si="17"/>
        <v>8879093.3499999996</v>
      </c>
      <c r="E99" s="63">
        <f t="shared" ref="E99:E107" si="26">(D87+D99+SUM(D88:D98)*2)/24</f>
        <v>8879093.3499999978</v>
      </c>
      <c r="F99" s="124">
        <f t="shared" si="13"/>
        <v>184981.12</v>
      </c>
      <c r="G99" s="63">
        <f t="shared" si="18"/>
        <v>-8509131.5200000033</v>
      </c>
      <c r="H99" s="63">
        <f t="shared" ref="H99:H107" si="27">(G87+G99+SUM(G88:G98)*2)/24</f>
        <v>-7399244.8000000035</v>
      </c>
      <c r="I99" s="63">
        <f t="shared" si="21"/>
        <v>1479848.5499999942</v>
      </c>
      <c r="J99" s="63">
        <f t="shared" si="15"/>
        <v>38846.035199999998</v>
      </c>
      <c r="K99" s="68">
        <f t="shared" si="16"/>
        <v>-77691.984299998934</v>
      </c>
      <c r="L99" s="63">
        <f t="shared" si="25"/>
        <v>-310768.19549999892</v>
      </c>
      <c r="M99" s="63">
        <f t="shared" si="11"/>
        <v>1169080.3544999952</v>
      </c>
      <c r="N99" s="64">
        <f t="shared" si="20"/>
        <v>292269.84569999739</v>
      </c>
      <c r="O99" s="145"/>
    </row>
    <row r="100" spans="1:15" x14ac:dyDescent="0.25">
      <c r="A100" s="61">
        <v>46843</v>
      </c>
      <c r="B100" s="30" t="s">
        <v>148</v>
      </c>
      <c r="D100" s="63">
        <f t="shared" si="17"/>
        <v>8879093.3499999996</v>
      </c>
      <c r="E100" s="63">
        <f t="shared" si="26"/>
        <v>8879093.3499999978</v>
      </c>
      <c r="F100" s="124">
        <f t="shared" si="13"/>
        <v>184981.12</v>
      </c>
      <c r="G100" s="63">
        <f t="shared" si="18"/>
        <v>-8694112.6400000025</v>
      </c>
      <c r="H100" s="63">
        <f t="shared" si="27"/>
        <v>-7584225.9200000027</v>
      </c>
      <c r="I100" s="63">
        <f t="shared" si="21"/>
        <v>1294867.429999995</v>
      </c>
      <c r="J100" s="63">
        <f t="shared" si="15"/>
        <v>38846.035199999998</v>
      </c>
      <c r="K100" s="68">
        <f t="shared" si="16"/>
        <v>-38845.949099998936</v>
      </c>
      <c r="L100" s="63">
        <f t="shared" si="25"/>
        <v>-271922.16029999882</v>
      </c>
      <c r="M100" s="63">
        <f t="shared" si="11"/>
        <v>1022945.2696999962</v>
      </c>
      <c r="N100" s="64">
        <f t="shared" si="20"/>
        <v>146134.76089999825</v>
      </c>
      <c r="O100" s="145"/>
    </row>
    <row r="101" spans="1:15" x14ac:dyDescent="0.25">
      <c r="A101" s="61">
        <v>46873</v>
      </c>
      <c r="B101" s="30" t="s">
        <v>148</v>
      </c>
      <c r="D101" s="63">
        <f t="shared" si="17"/>
        <v>8879093.3499999996</v>
      </c>
      <c r="E101" s="63">
        <f t="shared" si="26"/>
        <v>8879093.3499999978</v>
      </c>
      <c r="F101" s="124">
        <f t="shared" si="13"/>
        <v>184981.12</v>
      </c>
      <c r="G101" s="63">
        <f t="shared" si="18"/>
        <v>-8879093.7600000016</v>
      </c>
      <c r="H101" s="63">
        <f t="shared" si="27"/>
        <v>-7769207.0400000038</v>
      </c>
      <c r="I101" s="63">
        <f t="shared" si="21"/>
        <v>1109886.309999994</v>
      </c>
      <c r="J101" s="63">
        <f t="shared" si="15"/>
        <v>38846.035199999998</v>
      </c>
      <c r="K101" s="68">
        <f t="shared" si="16"/>
        <v>8.610000106273219E-2</v>
      </c>
      <c r="L101" s="63">
        <f t="shared" si="25"/>
        <v>-233076.12509999887</v>
      </c>
      <c r="M101" s="63">
        <f t="shared" ref="M101:M107" si="28">L101+I101</f>
        <v>876810.1848999951</v>
      </c>
      <c r="N101" s="64">
        <f t="shared" si="20"/>
        <v>-0.32390000094892457</v>
      </c>
      <c r="O101" s="145"/>
    </row>
    <row r="102" spans="1:15" x14ac:dyDescent="0.25">
      <c r="A102" s="61">
        <v>46904</v>
      </c>
      <c r="B102" s="30" t="s">
        <v>148</v>
      </c>
      <c r="D102" s="63">
        <f t="shared" si="17"/>
        <v>8879093.3499999996</v>
      </c>
      <c r="E102" s="63">
        <f t="shared" si="26"/>
        <v>8879093.3499999978</v>
      </c>
      <c r="F102" s="124"/>
      <c r="G102" s="63">
        <f t="shared" si="18"/>
        <v>-8879093.7600000016</v>
      </c>
      <c r="H102" s="63">
        <f t="shared" si="27"/>
        <v>-7946480.6133333379</v>
      </c>
      <c r="I102" s="63">
        <f t="shared" si="21"/>
        <v>932612.73666665982</v>
      </c>
      <c r="J102" s="63">
        <f t="shared" si="15"/>
        <v>0</v>
      </c>
      <c r="K102" s="68">
        <f t="shared" si="16"/>
        <v>8.610000106273219E-2</v>
      </c>
      <c r="L102" s="63">
        <f t="shared" si="25"/>
        <v>-195848.6746999989</v>
      </c>
      <c r="M102" s="63">
        <f t="shared" si="28"/>
        <v>736764.0619666609</v>
      </c>
      <c r="N102" s="64">
        <f t="shared" si="20"/>
        <v>-0.32390000094892457</v>
      </c>
      <c r="O102" s="145"/>
    </row>
    <row r="103" spans="1:15" x14ac:dyDescent="0.25">
      <c r="A103" s="61">
        <v>46934</v>
      </c>
      <c r="B103" s="30" t="s">
        <v>148</v>
      </c>
      <c r="D103" s="63">
        <f t="shared" si="17"/>
        <v>8879093.3499999996</v>
      </c>
      <c r="E103" s="63">
        <f t="shared" si="26"/>
        <v>8879093.3499999978</v>
      </c>
      <c r="F103" s="124"/>
      <c r="G103" s="63">
        <f t="shared" si="18"/>
        <v>-8879093.7600000016</v>
      </c>
      <c r="H103" s="63">
        <f t="shared" si="27"/>
        <v>-8108339.0933333375</v>
      </c>
      <c r="I103" s="63">
        <f t="shared" si="21"/>
        <v>770754.25666666031</v>
      </c>
      <c r="J103" s="63">
        <f t="shared" si="15"/>
        <v>0</v>
      </c>
      <c r="K103" s="68">
        <f t="shared" si="16"/>
        <v>8.610000106273219E-2</v>
      </c>
      <c r="L103" s="63">
        <f t="shared" si="25"/>
        <v>-161858.39389999889</v>
      </c>
      <c r="M103" s="63">
        <f t="shared" si="28"/>
        <v>608895.86276666145</v>
      </c>
      <c r="N103" s="64">
        <f t="shared" si="20"/>
        <v>-0.32390000094892457</v>
      </c>
      <c r="O103" s="145"/>
    </row>
    <row r="104" spans="1:15" x14ac:dyDescent="0.25">
      <c r="A104" s="61">
        <v>46965</v>
      </c>
      <c r="B104" s="30" t="s">
        <v>148</v>
      </c>
      <c r="D104" s="63">
        <f t="shared" si="17"/>
        <v>8879093.3499999996</v>
      </c>
      <c r="E104" s="63">
        <f t="shared" si="26"/>
        <v>8879093.3499999978</v>
      </c>
      <c r="F104" s="124"/>
      <c r="G104" s="63">
        <f t="shared" si="18"/>
        <v>-8879093.7600000016</v>
      </c>
      <c r="H104" s="63">
        <f t="shared" si="27"/>
        <v>-8254782.4800000032</v>
      </c>
      <c r="I104" s="63">
        <f t="shared" si="21"/>
        <v>624310.86999999452</v>
      </c>
      <c r="J104" s="63">
        <f t="shared" si="15"/>
        <v>0</v>
      </c>
      <c r="K104" s="68">
        <f t="shared" si="16"/>
        <v>8.610000106273219E-2</v>
      </c>
      <c r="L104" s="63">
        <f t="shared" si="25"/>
        <v>-131105.2826999989</v>
      </c>
      <c r="M104" s="63">
        <f t="shared" si="28"/>
        <v>493205.58729999559</v>
      </c>
      <c r="N104" s="64">
        <f t="shared" si="20"/>
        <v>-0.32390000094892457</v>
      </c>
      <c r="O104" s="145"/>
    </row>
    <row r="105" spans="1:15" x14ac:dyDescent="0.25">
      <c r="A105" s="61">
        <v>46996</v>
      </c>
      <c r="B105" s="30" t="s">
        <v>148</v>
      </c>
      <c r="D105" s="63">
        <f t="shared" si="17"/>
        <v>8879093.3499999996</v>
      </c>
      <c r="E105" s="63">
        <f t="shared" si="26"/>
        <v>8879093.3499999978</v>
      </c>
      <c r="F105" s="124"/>
      <c r="G105" s="63">
        <f t="shared" si="18"/>
        <v>-8879093.7600000016</v>
      </c>
      <c r="H105" s="63">
        <f t="shared" si="27"/>
        <v>-8385810.7733333372</v>
      </c>
      <c r="I105" s="63">
        <f t="shared" si="21"/>
        <v>493282.57666666061</v>
      </c>
      <c r="J105" s="63">
        <f t="shared" si="15"/>
        <v>0</v>
      </c>
      <c r="K105" s="68">
        <f t="shared" si="16"/>
        <v>8.610000106273219E-2</v>
      </c>
      <c r="L105" s="63">
        <f t="shared" si="25"/>
        <v>-103589.3410999989</v>
      </c>
      <c r="M105" s="63">
        <f t="shared" si="28"/>
        <v>389693.23556666169</v>
      </c>
      <c r="N105" s="64">
        <f t="shared" si="20"/>
        <v>-0.32390000094892457</v>
      </c>
      <c r="O105" s="145"/>
    </row>
    <row r="106" spans="1:15" x14ac:dyDescent="0.25">
      <c r="A106" s="61">
        <v>47026</v>
      </c>
      <c r="B106" s="30" t="s">
        <v>148</v>
      </c>
      <c r="D106" s="63">
        <f t="shared" si="17"/>
        <v>8879093.3499999996</v>
      </c>
      <c r="E106" s="63">
        <f t="shared" si="26"/>
        <v>8879093.3499999978</v>
      </c>
      <c r="F106" s="124"/>
      <c r="G106" s="63">
        <f t="shared" si="18"/>
        <v>-8879093.7600000016</v>
      </c>
      <c r="H106" s="63">
        <f t="shared" si="27"/>
        <v>-8501423.9733333383</v>
      </c>
      <c r="I106" s="63">
        <f t="shared" si="21"/>
        <v>377669.37666665949</v>
      </c>
      <c r="J106" s="63">
        <f t="shared" si="15"/>
        <v>0</v>
      </c>
      <c r="K106" s="68">
        <f t="shared" si="16"/>
        <v>8.610000106273219E-2</v>
      </c>
      <c r="L106" s="63">
        <f t="shared" si="25"/>
        <v>-79310.569099998916</v>
      </c>
      <c r="M106" s="63">
        <f t="shared" si="28"/>
        <v>298358.80756666057</v>
      </c>
      <c r="N106" s="64">
        <f t="shared" si="20"/>
        <v>-0.32390000094892457</v>
      </c>
      <c r="O106" s="145"/>
    </row>
    <row r="107" spans="1:15" x14ac:dyDescent="0.25">
      <c r="A107" s="70">
        <v>47057</v>
      </c>
      <c r="B107" s="71" t="s">
        <v>148</v>
      </c>
      <c r="C107" s="71"/>
      <c r="D107" s="72">
        <f t="shared" si="17"/>
        <v>8879093.3499999996</v>
      </c>
      <c r="E107" s="72">
        <f t="shared" si="26"/>
        <v>8879093.3499999978</v>
      </c>
      <c r="F107" s="125"/>
      <c r="G107" s="72">
        <f t="shared" si="18"/>
        <v>-8879093.7600000016</v>
      </c>
      <c r="H107" s="72">
        <f t="shared" si="27"/>
        <v>-8601622.0800000038</v>
      </c>
      <c r="I107" s="72">
        <f t="shared" si="21"/>
        <v>277471.26999999397</v>
      </c>
      <c r="J107" s="72">
        <f t="shared" si="15"/>
        <v>0</v>
      </c>
      <c r="K107" s="73">
        <f t="shared" si="16"/>
        <v>8.610000106273219E-2</v>
      </c>
      <c r="L107" s="72">
        <f t="shared" si="25"/>
        <v>-58268.966699998913</v>
      </c>
      <c r="M107" s="72">
        <f t="shared" si="28"/>
        <v>219202.30329999505</v>
      </c>
      <c r="N107" s="74">
        <f t="shared" si="20"/>
        <v>-0.32390000094892457</v>
      </c>
      <c r="O107" s="145"/>
    </row>
    <row r="110" spans="1:15" x14ac:dyDescent="0.25">
      <c r="A110" s="30" t="s">
        <v>297</v>
      </c>
      <c r="F110" s="130">
        <f>SUM(F72:F83)</f>
        <v>2219773.4400000004</v>
      </c>
    </row>
  </sheetData>
  <printOptions horizontalCentered="1"/>
  <pageMargins left="0.2" right="0.2" top="0.25" bottom="0.5" header="0.3" footer="0.3"/>
  <pageSetup scale="75" firstPageNumber="4" fitToHeight="0" orientation="landscape" useFirstPageNumber="1" r:id="rId1"/>
  <headerFooter>
    <oddFooter>&amp;R&amp;"Times New Roman,Regular"Exh. SEF-3 page &amp;P of 16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Q120"/>
  <sheetViews>
    <sheetView workbookViewId="0">
      <pane xSplit="1" ySplit="9" topLeftCell="B53" activePane="bottomRight" state="frozen"/>
      <selection activeCell="C50" sqref="C50"/>
      <selection pane="topRight" activeCell="C50" sqref="C50"/>
      <selection pane="bottomLeft" activeCell="C50" sqref="C50"/>
      <selection pane="bottomRight" activeCell="C54" sqref="C54"/>
    </sheetView>
  </sheetViews>
  <sheetFormatPr defaultColWidth="9.109375" defaultRowHeight="13.2" outlineLevelRow="1" x14ac:dyDescent="0.25"/>
  <cols>
    <col min="1" max="1" width="10.5546875" style="30" customWidth="1"/>
    <col min="2" max="2" width="8.88671875" style="66" bestFit="1" customWidth="1"/>
    <col min="3" max="3" width="14.6640625" style="66" bestFit="1" customWidth="1"/>
    <col min="4" max="4" width="11.33203125" style="66" bestFit="1" customWidth="1"/>
    <col min="5" max="5" width="13.6640625" style="66" customWidth="1"/>
    <col min="6" max="6" width="12.5546875" style="66" bestFit="1" customWidth="1"/>
    <col min="7" max="7" width="16.109375" style="66" bestFit="1" customWidth="1"/>
    <col min="8" max="8" width="12.109375" style="66" bestFit="1" customWidth="1"/>
    <col min="9" max="9" width="11.44140625" style="66" bestFit="1" customWidth="1"/>
    <col min="10" max="10" width="15" style="66" bestFit="1" customWidth="1"/>
    <col min="11" max="11" width="16.6640625" style="66" bestFit="1" customWidth="1"/>
    <col min="12" max="12" width="11.33203125" style="66" bestFit="1" customWidth="1"/>
    <col min="13" max="13" width="11.44140625" style="66" bestFit="1" customWidth="1"/>
    <col min="14" max="14" width="11.109375" style="66" bestFit="1" customWidth="1"/>
    <col min="15" max="15" width="10" style="30" customWidth="1"/>
    <col min="16" max="16384" width="9.109375" style="30"/>
  </cols>
  <sheetData>
    <row r="1" spans="1:17" x14ac:dyDescent="0.25">
      <c r="A1" s="27" t="s">
        <v>43</v>
      </c>
      <c r="B1" s="28"/>
      <c r="C1" s="28"/>
      <c r="D1" s="28"/>
      <c r="E1" s="28"/>
      <c r="F1" s="28"/>
      <c r="G1" s="28"/>
      <c r="H1" s="28"/>
      <c r="I1" s="28"/>
      <c r="J1" s="29"/>
      <c r="K1" s="29"/>
      <c r="L1" s="29"/>
      <c r="M1" s="29"/>
      <c r="N1" s="30"/>
    </row>
    <row r="2" spans="1:17" x14ac:dyDescent="0.25">
      <c r="A2" s="27" t="s">
        <v>44</v>
      </c>
      <c r="B2" s="28"/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29"/>
      <c r="O2" s="29"/>
      <c r="P2" s="29"/>
      <c r="Q2" s="29"/>
    </row>
    <row r="3" spans="1:17" s="318" customFormat="1" x14ac:dyDescent="0.25">
      <c r="A3" s="412" t="s">
        <v>312</v>
      </c>
      <c r="B3" s="316"/>
      <c r="C3" s="316"/>
      <c r="D3" s="316"/>
      <c r="E3" s="316"/>
      <c r="F3" s="316"/>
      <c r="G3" s="316"/>
      <c r="H3" s="316"/>
      <c r="I3" s="316"/>
      <c r="J3" s="317"/>
      <c r="K3" s="317"/>
      <c r="L3" s="317"/>
      <c r="M3" s="317"/>
    </row>
    <row r="4" spans="1:17" x14ac:dyDescent="0.25">
      <c r="A4" s="28" t="s">
        <v>231</v>
      </c>
      <c r="B4" s="28"/>
      <c r="C4" s="31"/>
      <c r="D4" s="32"/>
      <c r="E4" s="33"/>
      <c r="F4" s="34"/>
      <c r="G4" s="34"/>
      <c r="H4" s="34"/>
      <c r="I4" s="34"/>
      <c r="J4" s="35"/>
      <c r="K4" s="36"/>
      <c r="L4" s="35"/>
      <c r="M4" s="35"/>
      <c r="N4" s="30"/>
    </row>
    <row r="5" spans="1:17" x14ac:dyDescent="0.25">
      <c r="A5" s="29"/>
      <c r="B5" s="29"/>
      <c r="C5" s="37" t="s">
        <v>46</v>
      </c>
      <c r="D5" s="38"/>
      <c r="E5" s="35"/>
      <c r="F5" s="39"/>
      <c r="G5" s="39"/>
      <c r="H5" s="39"/>
      <c r="I5" s="39"/>
      <c r="J5" s="40"/>
      <c r="K5" s="39"/>
      <c r="L5" s="39"/>
      <c r="M5" s="39"/>
      <c r="N5" s="30"/>
    </row>
    <row r="6" spans="1:17" x14ac:dyDescent="0.25">
      <c r="A6" s="41"/>
      <c r="B6" s="41"/>
      <c r="C6" s="42" t="s">
        <v>47</v>
      </c>
      <c r="D6" s="42" t="s">
        <v>48</v>
      </c>
      <c r="E6" s="42" t="s">
        <v>49</v>
      </c>
      <c r="F6" s="42" t="s">
        <v>50</v>
      </c>
      <c r="G6" s="42" t="s">
        <v>51</v>
      </c>
      <c r="H6" s="42" t="s">
        <v>52</v>
      </c>
      <c r="I6" s="42" t="s">
        <v>41</v>
      </c>
      <c r="J6" s="42" t="s">
        <v>50</v>
      </c>
      <c r="K6" s="42" t="s">
        <v>51</v>
      </c>
      <c r="L6" s="42" t="s">
        <v>53</v>
      </c>
      <c r="M6" s="43" t="s">
        <v>54</v>
      </c>
      <c r="N6" s="44" t="s">
        <v>48</v>
      </c>
    </row>
    <row r="7" spans="1:17" x14ac:dyDescent="0.25">
      <c r="A7" s="39" t="s">
        <v>55</v>
      </c>
      <c r="B7" s="45"/>
      <c r="C7" s="39" t="s">
        <v>56</v>
      </c>
      <c r="D7" s="39"/>
      <c r="E7" s="39" t="s">
        <v>48</v>
      </c>
      <c r="F7" s="39" t="s">
        <v>57</v>
      </c>
      <c r="G7" s="39" t="s">
        <v>57</v>
      </c>
      <c r="H7" s="39" t="s">
        <v>57</v>
      </c>
      <c r="I7" s="39" t="s">
        <v>58</v>
      </c>
      <c r="J7" s="39" t="s">
        <v>59</v>
      </c>
      <c r="K7" s="39" t="s">
        <v>59</v>
      </c>
      <c r="L7" s="39" t="s">
        <v>41</v>
      </c>
      <c r="M7" s="46" t="s">
        <v>53</v>
      </c>
      <c r="N7" s="47" t="s">
        <v>60</v>
      </c>
    </row>
    <row r="8" spans="1:17" x14ac:dyDescent="0.25">
      <c r="A8" s="39" t="s">
        <v>61</v>
      </c>
      <c r="B8" s="45"/>
      <c r="C8" s="39" t="s">
        <v>62</v>
      </c>
      <c r="D8" s="39" t="s">
        <v>63</v>
      </c>
      <c r="E8" s="39" t="s">
        <v>64</v>
      </c>
      <c r="F8" s="39" t="s">
        <v>65</v>
      </c>
      <c r="G8" s="48" t="s">
        <v>66</v>
      </c>
      <c r="H8" s="39" t="s">
        <v>67</v>
      </c>
      <c r="I8" s="39" t="s">
        <v>68</v>
      </c>
      <c r="J8" s="39" t="s">
        <v>69</v>
      </c>
      <c r="K8" s="39" t="s">
        <v>70</v>
      </c>
      <c r="L8" s="39" t="s">
        <v>71</v>
      </c>
      <c r="M8" s="46" t="s">
        <v>72</v>
      </c>
      <c r="N8" s="47" t="s">
        <v>73</v>
      </c>
    </row>
    <row r="9" spans="1:17" x14ac:dyDescent="0.25">
      <c r="A9" s="49"/>
      <c r="B9" s="49"/>
      <c r="C9" s="50"/>
      <c r="D9" s="50"/>
      <c r="E9" s="50"/>
      <c r="F9" s="51" t="s">
        <v>74</v>
      </c>
      <c r="G9" s="50"/>
      <c r="H9" s="50"/>
      <c r="I9" s="50"/>
      <c r="J9" s="50" t="s">
        <v>75</v>
      </c>
      <c r="K9" s="52"/>
      <c r="L9" s="50"/>
      <c r="M9" s="53"/>
      <c r="N9" s="54"/>
    </row>
    <row r="10" spans="1:17" x14ac:dyDescent="0.25">
      <c r="A10" s="55"/>
      <c r="B10" s="29"/>
      <c r="C10" s="39"/>
      <c r="D10" s="56"/>
      <c r="E10" s="57"/>
      <c r="F10" s="121"/>
      <c r="G10" s="39"/>
      <c r="H10" s="56"/>
      <c r="I10" s="56"/>
      <c r="J10" s="58"/>
      <c r="K10" s="58"/>
      <c r="L10" s="58"/>
      <c r="M10" s="59"/>
      <c r="N10" s="60"/>
    </row>
    <row r="11" spans="1:17" x14ac:dyDescent="0.25">
      <c r="A11" s="61" t="s">
        <v>76</v>
      </c>
      <c r="B11" s="61"/>
      <c r="C11" s="62"/>
      <c r="D11" s="56"/>
      <c r="E11" s="63"/>
      <c r="F11" s="122"/>
      <c r="G11" s="56"/>
      <c r="H11" s="56"/>
      <c r="I11" s="56"/>
      <c r="J11" s="63"/>
      <c r="K11" s="63"/>
      <c r="L11" s="63"/>
      <c r="M11" s="59"/>
      <c r="N11" s="64"/>
    </row>
    <row r="12" spans="1:17" hidden="1" outlineLevel="1" x14ac:dyDescent="0.25">
      <c r="A12" s="61">
        <v>44165</v>
      </c>
      <c r="B12" s="61"/>
      <c r="C12" s="62"/>
      <c r="D12" s="56"/>
      <c r="E12" s="63"/>
      <c r="F12" s="122"/>
      <c r="G12" s="56"/>
      <c r="H12" s="56"/>
      <c r="I12" s="56"/>
      <c r="J12" s="63"/>
      <c r="K12" s="63"/>
      <c r="L12" s="63"/>
      <c r="M12" s="58"/>
      <c r="N12" s="64"/>
    </row>
    <row r="13" spans="1:17" hidden="1" outlineLevel="1" x14ac:dyDescent="0.25">
      <c r="A13" s="61">
        <v>44196</v>
      </c>
      <c r="B13" s="61"/>
      <c r="C13" s="62"/>
      <c r="D13" s="56"/>
      <c r="E13" s="63"/>
      <c r="F13" s="122"/>
      <c r="G13" s="56"/>
      <c r="H13" s="56"/>
      <c r="I13" s="56"/>
      <c r="J13" s="63"/>
      <c r="K13" s="63"/>
      <c r="L13" s="63"/>
      <c r="M13" s="58"/>
      <c r="N13" s="64"/>
    </row>
    <row r="14" spans="1:17" hidden="1" outlineLevel="1" x14ac:dyDescent="0.25">
      <c r="A14" s="61">
        <v>44227</v>
      </c>
      <c r="B14" s="61"/>
      <c r="C14" s="62"/>
      <c r="D14" s="56"/>
      <c r="E14" s="63"/>
      <c r="F14" s="122"/>
      <c r="G14" s="56"/>
      <c r="H14" s="56"/>
      <c r="I14" s="56"/>
      <c r="J14" s="63"/>
      <c r="K14" s="63"/>
      <c r="L14" s="63"/>
      <c r="M14" s="58"/>
      <c r="N14" s="64"/>
    </row>
    <row r="15" spans="1:17" hidden="1" outlineLevel="1" x14ac:dyDescent="0.25">
      <c r="A15" s="61">
        <v>44255</v>
      </c>
      <c r="B15" s="61"/>
      <c r="C15" s="62"/>
      <c r="D15" s="56"/>
      <c r="E15" s="63"/>
      <c r="F15" s="122"/>
      <c r="G15" s="56"/>
      <c r="H15" s="56"/>
      <c r="I15" s="56"/>
      <c r="J15" s="63"/>
      <c r="K15" s="63"/>
      <c r="L15" s="63"/>
      <c r="M15" s="58"/>
      <c r="N15" s="64"/>
    </row>
    <row r="16" spans="1:17" hidden="1" outlineLevel="1" x14ac:dyDescent="0.25">
      <c r="A16" s="61">
        <v>44286</v>
      </c>
      <c r="B16" s="61"/>
      <c r="C16" s="62"/>
      <c r="D16" s="56"/>
      <c r="E16" s="63"/>
      <c r="F16" s="122"/>
      <c r="G16" s="56"/>
      <c r="H16" s="56"/>
      <c r="I16" s="56"/>
      <c r="J16" s="63"/>
      <c r="K16" s="63"/>
      <c r="L16" s="63"/>
      <c r="M16" s="58"/>
      <c r="N16" s="64"/>
    </row>
    <row r="17" spans="1:14" hidden="1" outlineLevel="1" x14ac:dyDescent="0.25">
      <c r="A17" s="61">
        <v>44316</v>
      </c>
      <c r="B17" s="61"/>
      <c r="C17" s="62"/>
      <c r="D17" s="56"/>
      <c r="E17" s="63"/>
      <c r="F17" s="122"/>
      <c r="G17" s="56"/>
      <c r="H17" s="56"/>
      <c r="I17" s="56"/>
      <c r="J17" s="63"/>
      <c r="K17" s="63"/>
      <c r="L17" s="63"/>
      <c r="M17" s="58"/>
      <c r="N17" s="64"/>
    </row>
    <row r="18" spans="1:14" hidden="1" outlineLevel="1" x14ac:dyDescent="0.25">
      <c r="A18" s="61">
        <v>44347</v>
      </c>
      <c r="B18" s="61"/>
      <c r="C18" s="62"/>
      <c r="D18" s="56"/>
      <c r="E18" s="63"/>
      <c r="F18" s="122"/>
      <c r="G18" s="56"/>
      <c r="H18" s="56"/>
      <c r="I18" s="56"/>
      <c r="J18" s="63"/>
      <c r="K18" s="63"/>
      <c r="L18" s="63"/>
      <c r="M18" s="58"/>
      <c r="N18" s="64"/>
    </row>
    <row r="19" spans="1:14" hidden="1" outlineLevel="1" x14ac:dyDescent="0.25">
      <c r="A19" s="61">
        <v>44377</v>
      </c>
      <c r="B19" s="61"/>
      <c r="C19" s="62"/>
      <c r="D19" s="56"/>
      <c r="E19" s="63"/>
      <c r="F19" s="122"/>
      <c r="G19" s="56"/>
      <c r="H19" s="56"/>
      <c r="I19" s="56"/>
      <c r="J19" s="63"/>
      <c r="K19" s="63"/>
      <c r="L19" s="63"/>
      <c r="M19" s="58"/>
      <c r="N19" s="64"/>
    </row>
    <row r="20" spans="1:14" hidden="1" outlineLevel="1" x14ac:dyDescent="0.25">
      <c r="A20" s="61">
        <v>44408</v>
      </c>
      <c r="B20" s="61"/>
      <c r="C20" s="62"/>
      <c r="D20" s="56"/>
      <c r="E20" s="63"/>
      <c r="F20" s="122"/>
      <c r="G20" s="56"/>
      <c r="H20" s="56"/>
      <c r="I20" s="56"/>
      <c r="J20" s="63"/>
      <c r="K20" s="63"/>
      <c r="L20" s="63"/>
      <c r="M20" s="58"/>
      <c r="N20" s="64"/>
    </row>
    <row r="21" spans="1:14" hidden="1" outlineLevel="1" x14ac:dyDescent="0.25">
      <c r="A21" s="61">
        <v>44439</v>
      </c>
      <c r="B21" s="61"/>
      <c r="C21" s="62"/>
      <c r="D21" s="56"/>
      <c r="E21" s="63"/>
      <c r="F21" s="122"/>
      <c r="G21" s="56"/>
      <c r="H21" s="56"/>
      <c r="I21" s="56"/>
      <c r="J21" s="63"/>
      <c r="K21" s="63"/>
      <c r="L21" s="63"/>
      <c r="M21" s="58"/>
      <c r="N21" s="64"/>
    </row>
    <row r="22" spans="1:14" hidden="1" outlineLevel="1" x14ac:dyDescent="0.25">
      <c r="A22" s="61">
        <v>44469</v>
      </c>
      <c r="B22" s="61"/>
      <c r="C22" s="62"/>
      <c r="D22" s="56"/>
      <c r="E22" s="63"/>
      <c r="F22" s="122"/>
      <c r="G22" s="56"/>
      <c r="H22" s="56"/>
      <c r="I22" s="56"/>
      <c r="J22" s="63"/>
      <c r="K22" s="63"/>
      <c r="L22" s="63"/>
      <c r="M22" s="58"/>
      <c r="N22" s="64"/>
    </row>
    <row r="23" spans="1:14" hidden="1" outlineLevel="1" x14ac:dyDescent="0.25">
      <c r="A23" s="61">
        <v>44500</v>
      </c>
      <c r="B23" s="61"/>
      <c r="C23" s="62"/>
      <c r="D23" s="56"/>
      <c r="E23" s="63"/>
      <c r="F23" s="122"/>
      <c r="G23" s="56"/>
      <c r="H23" s="56"/>
      <c r="I23" s="56"/>
      <c r="J23" s="63"/>
      <c r="K23" s="63"/>
      <c r="L23" s="63"/>
      <c r="M23" s="58"/>
      <c r="N23" s="64"/>
    </row>
    <row r="24" spans="1:14" collapsed="1" x14ac:dyDescent="0.25">
      <c r="A24" s="61">
        <v>44530</v>
      </c>
      <c r="B24" s="61"/>
      <c r="C24" s="62"/>
      <c r="D24" s="63">
        <f>D11+C24</f>
        <v>0</v>
      </c>
      <c r="E24" s="63">
        <f t="shared" ref="E24:E25" si="0">(D12+D24+SUM(D13:D23)*2)/24</f>
        <v>0</v>
      </c>
      <c r="F24" s="122">
        <v>0</v>
      </c>
      <c r="G24" s="63">
        <v>0</v>
      </c>
      <c r="H24" s="63">
        <v>0</v>
      </c>
      <c r="I24" s="63">
        <v>0</v>
      </c>
      <c r="J24" s="63">
        <f t="shared" ref="J24:J87" si="1">(-C24*0.21)+(F24*0.21)</f>
        <v>0</v>
      </c>
      <c r="K24" s="63">
        <f t="shared" ref="K24:K87" si="2">K23+J24</f>
        <v>0</v>
      </c>
      <c r="L24" s="63">
        <v>0</v>
      </c>
      <c r="M24" s="63">
        <v>0</v>
      </c>
      <c r="N24" s="65">
        <v>0</v>
      </c>
    </row>
    <row r="25" spans="1:14" x14ac:dyDescent="0.25">
      <c r="A25" s="61">
        <v>44561</v>
      </c>
      <c r="B25" s="61"/>
      <c r="C25" s="62"/>
      <c r="D25" s="63">
        <f t="shared" ref="D25:D88" si="3">D24+C25</f>
        <v>0</v>
      </c>
      <c r="E25" s="63">
        <f t="shared" si="0"/>
        <v>0</v>
      </c>
      <c r="F25" s="122">
        <v>0</v>
      </c>
      <c r="G25" s="63">
        <v>0</v>
      </c>
      <c r="H25" s="63">
        <v>0</v>
      </c>
      <c r="I25" s="63">
        <v>0</v>
      </c>
      <c r="J25" s="63">
        <f t="shared" si="1"/>
        <v>0</v>
      </c>
      <c r="K25" s="63">
        <f t="shared" si="2"/>
        <v>0</v>
      </c>
      <c r="L25" s="63">
        <v>0</v>
      </c>
      <c r="M25" s="63">
        <v>0</v>
      </c>
      <c r="N25" s="65">
        <v>0</v>
      </c>
    </row>
    <row r="26" spans="1:14" x14ac:dyDescent="0.25">
      <c r="A26" s="61">
        <v>44592</v>
      </c>
      <c r="B26" s="61"/>
      <c r="C26" s="62">
        <f>'Plant Additions thr Oct 2026'!E13</f>
        <v>0</v>
      </c>
      <c r="D26" s="63">
        <f>D25+C26</f>
        <v>0</v>
      </c>
      <c r="E26" s="63">
        <f t="shared" ref="E26:E38" si="4">(D14+D26+SUM(D15:D25)*2)/24</f>
        <v>0</v>
      </c>
      <c r="F26" s="122"/>
      <c r="G26" s="63">
        <f>G25-F26</f>
        <v>0</v>
      </c>
      <c r="H26" s="63">
        <v>0</v>
      </c>
      <c r="I26" s="63">
        <v>0</v>
      </c>
      <c r="J26" s="63">
        <f t="shared" si="1"/>
        <v>0</v>
      </c>
      <c r="K26" s="63">
        <f>K25+J26</f>
        <v>0</v>
      </c>
      <c r="L26" s="63">
        <v>0</v>
      </c>
      <c r="M26" s="63">
        <v>0</v>
      </c>
      <c r="N26" s="65">
        <v>0</v>
      </c>
    </row>
    <row r="27" spans="1:14" x14ac:dyDescent="0.25">
      <c r="A27" s="61">
        <v>44620</v>
      </c>
      <c r="B27" s="61"/>
      <c r="C27" s="62">
        <f>'Plant Additions thr Oct 2026'!E14</f>
        <v>270932.72951333335</v>
      </c>
      <c r="D27" s="63">
        <f t="shared" si="3"/>
        <v>270932.72951333335</v>
      </c>
      <c r="E27" s="63">
        <f t="shared" si="4"/>
        <v>11288.863729722223</v>
      </c>
      <c r="F27" s="122"/>
      <c r="G27" s="63">
        <f t="shared" ref="G27:G90" si="5">G26-F27</f>
        <v>0</v>
      </c>
      <c r="H27" s="63">
        <f t="shared" ref="H27:H37" si="6">(G15+G27+SUM(G16:G26)*2)/24</f>
        <v>0</v>
      </c>
      <c r="I27" s="63">
        <f>H27</f>
        <v>0</v>
      </c>
      <c r="J27" s="63">
        <f t="shared" si="1"/>
        <v>-56895.8731978</v>
      </c>
      <c r="K27" s="63">
        <f t="shared" si="2"/>
        <v>-56895.8731978</v>
      </c>
      <c r="L27" s="63">
        <f t="shared" ref="L27:L90" si="7">(K15+K27+SUM(K16:K26)*2)/24</f>
        <v>-2370.6613832416665</v>
      </c>
      <c r="M27" s="63">
        <f>I27+L27</f>
        <v>-2370.6613832416665</v>
      </c>
      <c r="N27" s="65">
        <f t="shared" ref="N27:N90" si="8">+D27+G27+K27</f>
        <v>214036.85631553334</v>
      </c>
    </row>
    <row r="28" spans="1:14" x14ac:dyDescent="0.25">
      <c r="A28" s="61">
        <v>44651</v>
      </c>
      <c r="B28" s="61"/>
      <c r="C28" s="62">
        <f>'Plant Additions thr Oct 2026'!E15</f>
        <v>523580.40328349994</v>
      </c>
      <c r="D28" s="63">
        <f t="shared" si="3"/>
        <v>794513.13279683329</v>
      </c>
      <c r="E28" s="63">
        <f t="shared" si="4"/>
        <v>55682.441325979169</v>
      </c>
      <c r="F28" s="122"/>
      <c r="G28" s="63">
        <f t="shared" si="5"/>
        <v>0</v>
      </c>
      <c r="H28" s="63">
        <f t="shared" si="6"/>
        <v>0</v>
      </c>
      <c r="I28" s="63">
        <f t="shared" ref="I28:I37" si="9">H28</f>
        <v>0</v>
      </c>
      <c r="J28" s="63">
        <f t="shared" si="1"/>
        <v>-109951.88468953499</v>
      </c>
      <c r="K28" s="63">
        <f t="shared" si="2"/>
        <v>-166847.75788733497</v>
      </c>
      <c r="L28" s="63">
        <f t="shared" si="7"/>
        <v>-11693.312678455623</v>
      </c>
      <c r="M28" s="63">
        <f t="shared" ref="M28:M36" si="10">I28+L28</f>
        <v>-11693.312678455623</v>
      </c>
      <c r="N28" s="65">
        <f t="shared" si="8"/>
        <v>627665.37490949826</v>
      </c>
    </row>
    <row r="29" spans="1:14" x14ac:dyDescent="0.25">
      <c r="A29" s="61">
        <v>44681</v>
      </c>
      <c r="B29" s="61"/>
      <c r="C29" s="62">
        <f>'Plant Additions thr Oct 2026'!E16</f>
        <v>523852.83881937491</v>
      </c>
      <c r="D29" s="63">
        <f t="shared" si="3"/>
        <v>1318365.9716162081</v>
      </c>
      <c r="E29" s="63">
        <f t="shared" si="4"/>
        <v>143719.07067652256</v>
      </c>
      <c r="F29" s="122"/>
      <c r="G29" s="63">
        <f t="shared" si="5"/>
        <v>0</v>
      </c>
      <c r="H29" s="63">
        <f t="shared" si="6"/>
        <v>0</v>
      </c>
      <c r="I29" s="63">
        <f t="shared" si="9"/>
        <v>0</v>
      </c>
      <c r="J29" s="63">
        <f t="shared" si="1"/>
        <v>-110009.09615206873</v>
      </c>
      <c r="K29" s="63">
        <f t="shared" si="2"/>
        <v>-276856.85403940373</v>
      </c>
      <c r="L29" s="63">
        <f t="shared" si="7"/>
        <v>-30181.004842069739</v>
      </c>
      <c r="M29" s="63">
        <f t="shared" si="10"/>
        <v>-30181.004842069739</v>
      </c>
      <c r="N29" s="65">
        <f t="shared" si="8"/>
        <v>1041509.1175768044</v>
      </c>
    </row>
    <row r="30" spans="1:14" x14ac:dyDescent="0.25">
      <c r="A30" s="61">
        <v>44712</v>
      </c>
      <c r="B30" s="61"/>
      <c r="C30" s="62">
        <f>'Plant Additions thr Oct 2026'!E17</f>
        <v>524057.44885795837</v>
      </c>
      <c r="D30" s="63">
        <f t="shared" si="3"/>
        <v>1842423.4204741665</v>
      </c>
      <c r="E30" s="63">
        <f t="shared" si="4"/>
        <v>275418.62868028815</v>
      </c>
      <c r="F30" s="122"/>
      <c r="G30" s="63">
        <f t="shared" si="5"/>
        <v>0</v>
      </c>
      <c r="H30" s="63">
        <f t="shared" si="6"/>
        <v>0</v>
      </c>
      <c r="I30" s="63">
        <f t="shared" si="9"/>
        <v>0</v>
      </c>
      <c r="J30" s="63">
        <f t="shared" si="1"/>
        <v>-110052.06426017126</v>
      </c>
      <c r="K30" s="63">
        <f t="shared" si="2"/>
        <v>-386908.91829957499</v>
      </c>
      <c r="L30" s="63">
        <f t="shared" si="7"/>
        <v>-57837.912022860517</v>
      </c>
      <c r="M30" s="63">
        <f t="shared" si="10"/>
        <v>-57837.912022860517</v>
      </c>
      <c r="N30" s="65">
        <f t="shared" si="8"/>
        <v>1455514.5021745916</v>
      </c>
    </row>
    <row r="31" spans="1:14" x14ac:dyDescent="0.25">
      <c r="A31" s="61">
        <v>44742</v>
      </c>
      <c r="B31" s="61"/>
      <c r="C31" s="62">
        <f>'Plant Additions thr Oct 2026'!E18</f>
        <v>524246.68028308335</v>
      </c>
      <c r="D31" s="63">
        <f t="shared" si="3"/>
        <v>2366670.1007572496</v>
      </c>
      <c r="E31" s="63">
        <f t="shared" si="4"/>
        <v>450797.52539826388</v>
      </c>
      <c r="F31" s="122"/>
      <c r="G31" s="63">
        <f t="shared" si="5"/>
        <v>0</v>
      </c>
      <c r="H31" s="63">
        <f t="shared" si="6"/>
        <v>0</v>
      </c>
      <c r="I31" s="63">
        <f t="shared" si="9"/>
        <v>0</v>
      </c>
      <c r="J31" s="63">
        <f t="shared" si="1"/>
        <v>-110091.8028594475</v>
      </c>
      <c r="K31" s="63">
        <f t="shared" si="2"/>
        <v>-497000.72115902248</v>
      </c>
      <c r="L31" s="63">
        <f t="shared" si="7"/>
        <v>-94667.480333635409</v>
      </c>
      <c r="M31" s="63">
        <f t="shared" si="10"/>
        <v>-94667.480333635409</v>
      </c>
      <c r="N31" s="65">
        <f t="shared" si="8"/>
        <v>1869669.3795982271</v>
      </c>
    </row>
    <row r="32" spans="1:14" x14ac:dyDescent="0.25">
      <c r="A32" s="61">
        <v>44773</v>
      </c>
      <c r="C32" s="62">
        <f>'Plant Additions thr Oct 2026'!E19</f>
        <v>524365.07417308341</v>
      </c>
      <c r="D32" s="63">
        <f t="shared" si="3"/>
        <v>2891035.1749303332</v>
      </c>
      <c r="E32" s="63">
        <f t="shared" si="4"/>
        <v>669868.57855191315</v>
      </c>
      <c r="F32" s="122"/>
      <c r="G32" s="63">
        <f t="shared" si="5"/>
        <v>0</v>
      </c>
      <c r="H32" s="63">
        <f t="shared" si="6"/>
        <v>0</v>
      </c>
      <c r="I32" s="63">
        <f t="shared" si="9"/>
        <v>0</v>
      </c>
      <c r="J32" s="63">
        <f t="shared" si="1"/>
        <v>-110116.66557634751</v>
      </c>
      <c r="K32" s="63">
        <f t="shared" si="2"/>
        <v>-607117.38673537003</v>
      </c>
      <c r="L32" s="63">
        <f t="shared" si="7"/>
        <v>-140672.40149590178</v>
      </c>
      <c r="M32" s="63">
        <f t="shared" si="10"/>
        <v>-140672.40149590178</v>
      </c>
      <c r="N32" s="65">
        <f t="shared" si="8"/>
        <v>2283917.7881949632</v>
      </c>
    </row>
    <row r="33" spans="1:15" x14ac:dyDescent="0.25">
      <c r="A33" s="61">
        <v>44804</v>
      </c>
      <c r="C33" s="62">
        <f>'Plant Additions thr Oct 2026'!E20</f>
        <v>524501.69168520835</v>
      </c>
      <c r="D33" s="63">
        <f t="shared" si="3"/>
        <v>3415536.8666155413</v>
      </c>
      <c r="E33" s="63">
        <f t="shared" si="4"/>
        <v>932642.41361632466</v>
      </c>
      <c r="F33" s="122"/>
      <c r="G33" s="63">
        <f t="shared" si="5"/>
        <v>0</v>
      </c>
      <c r="H33" s="63">
        <f t="shared" si="6"/>
        <v>0</v>
      </c>
      <c r="I33" s="63">
        <f t="shared" si="9"/>
        <v>0</v>
      </c>
      <c r="J33" s="63">
        <f t="shared" si="1"/>
        <v>-110145.35525389375</v>
      </c>
      <c r="K33" s="63">
        <f t="shared" si="2"/>
        <v>-717262.7419892638</v>
      </c>
      <c r="L33" s="63">
        <f t="shared" si="7"/>
        <v>-195854.90685942816</v>
      </c>
      <c r="M33" s="63">
        <f t="shared" si="10"/>
        <v>-195854.90685942816</v>
      </c>
      <c r="N33" s="65">
        <f t="shared" si="8"/>
        <v>2698274.1246262775</v>
      </c>
    </row>
    <row r="34" spans="1:15" x14ac:dyDescent="0.25">
      <c r="A34" s="61">
        <v>44834</v>
      </c>
      <c r="C34" s="62">
        <f>'Plant Additions thr Oct 2026'!E21</f>
        <v>524748.74707250006</v>
      </c>
      <c r="D34" s="63">
        <f t="shared" si="3"/>
        <v>3940285.6136880415</v>
      </c>
      <c r="E34" s="63">
        <f t="shared" si="4"/>
        <v>1239135.0169623073</v>
      </c>
      <c r="F34" s="122"/>
      <c r="G34" s="63">
        <f t="shared" si="5"/>
        <v>0</v>
      </c>
      <c r="H34" s="63">
        <f t="shared" si="6"/>
        <v>0</v>
      </c>
      <c r="I34" s="63">
        <f t="shared" si="9"/>
        <v>0</v>
      </c>
      <c r="J34" s="63">
        <f t="shared" si="1"/>
        <v>-110197.23688522501</v>
      </c>
      <c r="K34" s="63">
        <f t="shared" si="2"/>
        <v>-827459.97887448885</v>
      </c>
      <c r="L34" s="63">
        <f t="shared" si="7"/>
        <v>-260218.35356208452</v>
      </c>
      <c r="M34" s="63">
        <f t="shared" si="10"/>
        <v>-260218.35356208452</v>
      </c>
      <c r="N34" s="65">
        <f t="shared" si="8"/>
        <v>3112825.6348135527</v>
      </c>
    </row>
    <row r="35" spans="1:15" x14ac:dyDescent="0.25">
      <c r="A35" s="61">
        <v>44865</v>
      </c>
      <c r="C35" s="62">
        <f>'Plant Additions thr Oct 2026'!E22</f>
        <v>524974.30275483336</v>
      </c>
      <c r="D35" s="63">
        <f t="shared" si="3"/>
        <v>4465259.9164428748</v>
      </c>
      <c r="E35" s="63">
        <f t="shared" si="4"/>
        <v>1589366.0807177622</v>
      </c>
      <c r="F35" s="122"/>
      <c r="G35" s="63">
        <f t="shared" si="5"/>
        <v>0</v>
      </c>
      <c r="H35" s="63">
        <f t="shared" si="6"/>
        <v>0</v>
      </c>
      <c r="I35" s="63">
        <f t="shared" si="9"/>
        <v>0</v>
      </c>
      <c r="J35" s="63">
        <f t="shared" si="1"/>
        <v>-110244.603578515</v>
      </c>
      <c r="K35" s="63">
        <f t="shared" si="2"/>
        <v>-937704.58245300385</v>
      </c>
      <c r="L35" s="63">
        <f t="shared" si="7"/>
        <v>-333766.87695073005</v>
      </c>
      <c r="M35" s="63">
        <f t="shared" si="10"/>
        <v>-333766.87695073005</v>
      </c>
      <c r="N35" s="65">
        <f t="shared" si="8"/>
        <v>3527555.3339898707</v>
      </c>
    </row>
    <row r="36" spans="1:15" x14ac:dyDescent="0.25">
      <c r="A36" s="61">
        <v>44895</v>
      </c>
      <c r="C36" s="62">
        <f>'Plant Additions thr Oct 2026'!E23</f>
        <v>525102.2152886251</v>
      </c>
      <c r="D36" s="63">
        <f t="shared" si="3"/>
        <v>4990362.1317314999</v>
      </c>
      <c r="E36" s="63">
        <f t="shared" si="4"/>
        <v>1983350.3327250278</v>
      </c>
      <c r="F36" s="122"/>
      <c r="G36" s="63">
        <f t="shared" si="5"/>
        <v>0</v>
      </c>
      <c r="H36" s="63">
        <f t="shared" si="6"/>
        <v>0</v>
      </c>
      <c r="I36" s="63">
        <f t="shared" si="9"/>
        <v>0</v>
      </c>
      <c r="J36" s="63">
        <f t="shared" si="1"/>
        <v>-110271.46521061126</v>
      </c>
      <c r="K36" s="63">
        <f t="shared" si="2"/>
        <v>-1047976.0476636151</v>
      </c>
      <c r="L36" s="63">
        <f t="shared" si="7"/>
        <v>-416503.5698722559</v>
      </c>
      <c r="M36" s="63">
        <f t="shared" si="10"/>
        <v>-416503.5698722559</v>
      </c>
      <c r="N36" s="65">
        <f t="shared" si="8"/>
        <v>3942386.0840678848</v>
      </c>
    </row>
    <row r="37" spans="1:15" x14ac:dyDescent="0.25">
      <c r="A37" s="61">
        <v>44926</v>
      </c>
      <c r="C37" s="62">
        <f>'Plant Additions thr Oct 2026'!E24</f>
        <v>525282.01068087504</v>
      </c>
      <c r="D37" s="63">
        <f t="shared" si="3"/>
        <v>5515644.1424123747</v>
      </c>
      <c r="E37" s="63">
        <f t="shared" si="4"/>
        <v>2421100.5941476892</v>
      </c>
      <c r="F37" s="122"/>
      <c r="G37" s="63">
        <f t="shared" si="5"/>
        <v>0</v>
      </c>
      <c r="H37" s="63">
        <f t="shared" si="6"/>
        <v>0</v>
      </c>
      <c r="I37" s="63">
        <f t="shared" si="9"/>
        <v>0</v>
      </c>
      <c r="J37" s="63">
        <f t="shared" si="1"/>
        <v>-110309.22224298376</v>
      </c>
      <c r="K37" s="63">
        <f t="shared" si="2"/>
        <v>-1158285.2699065988</v>
      </c>
      <c r="L37" s="63">
        <f t="shared" si="7"/>
        <v>-508431.12477101479</v>
      </c>
      <c r="M37" s="63">
        <f t="shared" ref="M37:M100" si="11">L37+I37</f>
        <v>-508431.12477101479</v>
      </c>
      <c r="N37" s="64">
        <f t="shared" si="8"/>
        <v>4357358.8725057757</v>
      </c>
    </row>
    <row r="38" spans="1:15" x14ac:dyDescent="0.25">
      <c r="A38" s="61">
        <v>44957</v>
      </c>
      <c r="B38" s="61"/>
      <c r="C38" s="62">
        <f>'Plant Additions thr Oct 2026'!E25</f>
        <v>525376.52400758339</v>
      </c>
      <c r="D38" s="63">
        <f t="shared" si="3"/>
        <v>6041020.6664199578</v>
      </c>
      <c r="E38" s="63">
        <f t="shared" si="4"/>
        <v>2902628.2945157029</v>
      </c>
      <c r="F38" s="122"/>
      <c r="G38" s="63">
        <f t="shared" si="5"/>
        <v>0</v>
      </c>
      <c r="H38" s="63">
        <f t="shared" ref="H38:H97" si="12">(G26+G38+SUM(G27:G37)*2)/24</f>
        <v>0</v>
      </c>
      <c r="I38" s="63">
        <f t="shared" ref="I38:I101" si="13">E38+H38</f>
        <v>2902628.2945157029</v>
      </c>
      <c r="J38" s="63">
        <f t="shared" si="1"/>
        <v>-110329.07004159251</v>
      </c>
      <c r="K38" s="68">
        <f t="shared" si="2"/>
        <v>-1268614.3399481913</v>
      </c>
      <c r="L38" s="63">
        <f t="shared" si="7"/>
        <v>-609551.94184829772</v>
      </c>
      <c r="M38" s="69">
        <f t="shared" si="11"/>
        <v>2293076.3526674053</v>
      </c>
      <c r="N38" s="64">
        <f t="shared" si="8"/>
        <v>4772406.3264717665</v>
      </c>
    </row>
    <row r="39" spans="1:15" x14ac:dyDescent="0.25">
      <c r="A39" s="61">
        <v>44985</v>
      </c>
      <c r="B39" s="61"/>
      <c r="C39" s="62">
        <f>'Plant Additions thr Oct 2026'!E26</f>
        <v>525389.54664079181</v>
      </c>
      <c r="D39" s="63">
        <f t="shared" si="3"/>
        <v>6566410.2130607497</v>
      </c>
      <c r="E39" s="63">
        <f t="shared" ref="E39:E97" si="14">(D27+D39+SUM(D28:D38)*2)/24</f>
        <v>3416649.0507643432</v>
      </c>
      <c r="F39" s="122"/>
      <c r="G39" s="63">
        <f t="shared" si="5"/>
        <v>0</v>
      </c>
      <c r="H39" s="63">
        <f t="shared" si="12"/>
        <v>0</v>
      </c>
      <c r="I39" s="63">
        <f t="shared" si="13"/>
        <v>3416649.0507643432</v>
      </c>
      <c r="J39" s="63">
        <f t="shared" si="1"/>
        <v>-110331.80479456628</v>
      </c>
      <c r="K39" s="68">
        <f t="shared" si="2"/>
        <v>-1378946.1447427575</v>
      </c>
      <c r="L39" s="63">
        <f t="shared" si="7"/>
        <v>-717496.30066051229</v>
      </c>
      <c r="M39" s="69">
        <f t="shared" si="11"/>
        <v>2699152.7501038308</v>
      </c>
      <c r="N39" s="64">
        <f t="shared" si="8"/>
        <v>5187464.0683179926</v>
      </c>
    </row>
    <row r="40" spans="1:15" x14ac:dyDescent="0.25">
      <c r="A40" s="61">
        <v>45016</v>
      </c>
      <c r="B40" s="61"/>
      <c r="C40" s="62">
        <f>'Plant Additions thr Oct 2026'!E27</f>
        <v>525424.75129912503</v>
      </c>
      <c r="D40" s="63">
        <f t="shared" si="3"/>
        <v>7091834.9643598748</v>
      </c>
      <c r="E40" s="63">
        <f t="shared" si="14"/>
        <v>3941349.0222272794</v>
      </c>
      <c r="F40" s="122"/>
      <c r="G40" s="63">
        <f t="shared" si="5"/>
        <v>0</v>
      </c>
      <c r="H40" s="63">
        <f t="shared" si="12"/>
        <v>0</v>
      </c>
      <c r="I40" s="63">
        <f t="shared" si="13"/>
        <v>3941349.0222272794</v>
      </c>
      <c r="J40" s="63">
        <f t="shared" si="1"/>
        <v>-110339.19777281625</v>
      </c>
      <c r="K40" s="68">
        <f t="shared" si="2"/>
        <v>-1489285.3425155738</v>
      </c>
      <c r="L40" s="63">
        <f t="shared" si="7"/>
        <v>-827683.29466772883</v>
      </c>
      <c r="M40" s="69">
        <f t="shared" si="11"/>
        <v>3113665.7275595507</v>
      </c>
      <c r="N40" s="64">
        <f t="shared" si="8"/>
        <v>5602549.621844301</v>
      </c>
    </row>
    <row r="41" spans="1:15" x14ac:dyDescent="0.25">
      <c r="A41" s="61">
        <v>45046</v>
      </c>
      <c r="B41" s="61"/>
      <c r="C41" s="62">
        <f>'Plant Additions thr Oct 2026'!E28</f>
        <v>525461.83574787504</v>
      </c>
      <c r="D41" s="63">
        <f t="shared" si="3"/>
        <v>7617296.8001077501</v>
      </c>
      <c r="E41" s="63">
        <f t="shared" si="14"/>
        <v>4466192.883062887</v>
      </c>
      <c r="F41" s="122"/>
      <c r="G41" s="63">
        <f t="shared" si="5"/>
        <v>0</v>
      </c>
      <c r="H41" s="63">
        <f t="shared" si="12"/>
        <v>0</v>
      </c>
      <c r="I41" s="63">
        <f t="shared" si="13"/>
        <v>4466192.883062887</v>
      </c>
      <c r="J41" s="63">
        <f t="shared" si="1"/>
        <v>-110346.98550705376</v>
      </c>
      <c r="K41" s="68">
        <f t="shared" si="2"/>
        <v>-1599632.3280226276</v>
      </c>
      <c r="L41" s="63">
        <f t="shared" si="7"/>
        <v>-937900.50544320641</v>
      </c>
      <c r="M41" s="69">
        <f t="shared" si="11"/>
        <v>3528292.3776196805</v>
      </c>
      <c r="N41" s="64">
        <f t="shared" si="8"/>
        <v>6017664.472085122</v>
      </c>
    </row>
    <row r="42" spans="1:15" x14ac:dyDescent="0.25">
      <c r="A42" s="61">
        <v>45077</v>
      </c>
      <c r="B42" s="61"/>
      <c r="C42" s="62">
        <f>'Plant Additions thr Oct 2026'!E29</f>
        <v>526017.26458379161</v>
      </c>
      <c r="D42" s="63">
        <f t="shared" si="3"/>
        <v>8143314.0646915417</v>
      </c>
      <c r="E42" s="63">
        <f t="shared" si="14"/>
        <v>4991185.444425758</v>
      </c>
      <c r="F42" s="122"/>
      <c r="G42" s="63">
        <f t="shared" si="5"/>
        <v>0</v>
      </c>
      <c r="H42" s="63">
        <f t="shared" si="12"/>
        <v>0</v>
      </c>
      <c r="I42" s="63">
        <f t="shared" si="13"/>
        <v>4991185.444425758</v>
      </c>
      <c r="J42" s="63">
        <f t="shared" si="1"/>
        <v>-110463.62556259624</v>
      </c>
      <c r="K42" s="68">
        <f t="shared" si="2"/>
        <v>-1710095.9535852238</v>
      </c>
      <c r="L42" s="63">
        <f t="shared" si="7"/>
        <v>-1048148.9433294093</v>
      </c>
      <c r="M42" s="69">
        <f t="shared" si="11"/>
        <v>3943036.5010963487</v>
      </c>
      <c r="N42" s="64">
        <f t="shared" si="8"/>
        <v>6433218.1111063175</v>
      </c>
    </row>
    <row r="43" spans="1:15" x14ac:dyDescent="0.25">
      <c r="A43" s="61">
        <v>45107</v>
      </c>
      <c r="B43" s="61"/>
      <c r="C43" s="62">
        <f>'Plant Additions thr Oct 2026'!E30</f>
        <v>526550.38037824992</v>
      </c>
      <c r="D43" s="63">
        <f t="shared" si="3"/>
        <v>8669864.4450697917</v>
      </c>
      <c r="E43" s="63">
        <f t="shared" si="14"/>
        <v>5516355.6522811716</v>
      </c>
      <c r="F43" s="122"/>
      <c r="G43" s="63">
        <f t="shared" si="5"/>
        <v>0</v>
      </c>
      <c r="H43" s="63">
        <f t="shared" si="12"/>
        <v>0</v>
      </c>
      <c r="I43" s="63">
        <f t="shared" si="13"/>
        <v>5516355.6522811716</v>
      </c>
      <c r="J43" s="63">
        <f t="shared" si="1"/>
        <v>-110575.57987943248</v>
      </c>
      <c r="K43" s="68">
        <f t="shared" si="2"/>
        <v>-1820671.5334646562</v>
      </c>
      <c r="L43" s="63">
        <f t="shared" si="7"/>
        <v>-1158434.6869790463</v>
      </c>
      <c r="M43" s="69">
        <f t="shared" si="11"/>
        <v>4357920.9653021256</v>
      </c>
      <c r="N43" s="64">
        <f t="shared" si="8"/>
        <v>6849192.9116051355</v>
      </c>
    </row>
    <row r="44" spans="1:15" x14ac:dyDescent="0.25">
      <c r="A44" s="61">
        <v>45138</v>
      </c>
      <c r="B44" s="61"/>
      <c r="C44" s="62">
        <f>'Plant Additions thr Oct 2026'!E31</f>
        <v>206432.23603858333</v>
      </c>
      <c r="D44" s="63">
        <f t="shared" si="3"/>
        <v>8876296.6811083741</v>
      </c>
      <c r="E44" s="63">
        <f t="shared" si="14"/>
        <v>6028374.6460516118</v>
      </c>
      <c r="F44" s="122"/>
      <c r="G44" s="63">
        <f t="shared" si="5"/>
        <v>0</v>
      </c>
      <c r="H44" s="63">
        <f t="shared" si="12"/>
        <v>0</v>
      </c>
      <c r="I44" s="63">
        <f t="shared" si="13"/>
        <v>6028374.6460516118</v>
      </c>
      <c r="J44" s="63">
        <f t="shared" si="1"/>
        <v>-43350.7695681025</v>
      </c>
      <c r="K44" s="68">
        <f t="shared" si="2"/>
        <v>-1864022.3030327586</v>
      </c>
      <c r="L44" s="63">
        <f t="shared" si="7"/>
        <v>-1265958.6756708387</v>
      </c>
      <c r="M44" s="69">
        <f t="shared" si="11"/>
        <v>4762415.9703807728</v>
      </c>
      <c r="N44" s="64">
        <f t="shared" si="8"/>
        <v>7012274.3780756155</v>
      </c>
    </row>
    <row r="45" spans="1:15" x14ac:dyDescent="0.25">
      <c r="A45" s="61">
        <v>45169</v>
      </c>
      <c r="B45" s="61"/>
      <c r="C45" s="62">
        <f>'Plant Additions thr Oct 2026'!E32</f>
        <v>507301.85986962501</v>
      </c>
      <c r="D45" s="63">
        <f t="shared" si="3"/>
        <v>9383598.5409779996</v>
      </c>
      <c r="E45" s="63">
        <f t="shared" si="14"/>
        <v>6526429.7785741324</v>
      </c>
      <c r="F45" s="122"/>
      <c r="G45" s="63">
        <f t="shared" si="5"/>
        <v>0</v>
      </c>
      <c r="H45" s="63">
        <f t="shared" si="12"/>
        <v>0</v>
      </c>
      <c r="I45" s="63">
        <f t="shared" si="13"/>
        <v>6526429.7785741324</v>
      </c>
      <c r="J45" s="63">
        <f t="shared" si="1"/>
        <v>-106533.39057262125</v>
      </c>
      <c r="K45" s="68">
        <f t="shared" si="2"/>
        <v>-1970555.6936053799</v>
      </c>
      <c r="L45" s="63">
        <f t="shared" si="7"/>
        <v>-1370550.2535005682</v>
      </c>
      <c r="M45" s="69">
        <f t="shared" si="11"/>
        <v>5155879.5250735637</v>
      </c>
      <c r="N45" s="64">
        <f t="shared" si="8"/>
        <v>7413042.8473726194</v>
      </c>
    </row>
    <row r="46" spans="1:15" x14ac:dyDescent="0.25">
      <c r="A46" s="61">
        <v>45199</v>
      </c>
      <c r="B46" s="61"/>
      <c r="C46" s="62">
        <f>'Plant Additions thr Oct 2026'!E33</f>
        <v>507319.25361525</v>
      </c>
      <c r="D46" s="63">
        <f t="shared" si="3"/>
        <v>9890917.7945932504</v>
      </c>
      <c r="E46" s="63">
        <f t="shared" si="14"/>
        <v>7023042.0225436194</v>
      </c>
      <c r="F46" s="122"/>
      <c r="G46" s="63">
        <f t="shared" si="5"/>
        <v>0</v>
      </c>
      <c r="H46" s="63">
        <f t="shared" si="12"/>
        <v>0</v>
      </c>
      <c r="I46" s="63">
        <f t="shared" si="13"/>
        <v>7023042.0225436194</v>
      </c>
      <c r="J46" s="63">
        <f t="shared" si="1"/>
        <v>-106537.04325920249</v>
      </c>
      <c r="K46" s="68">
        <f t="shared" si="2"/>
        <v>-2077092.7368645824</v>
      </c>
      <c r="L46" s="63">
        <f t="shared" si="7"/>
        <v>-1474838.82473416</v>
      </c>
      <c r="M46" s="69">
        <f t="shared" si="11"/>
        <v>5548203.1978094596</v>
      </c>
      <c r="N46" s="64">
        <f t="shared" si="8"/>
        <v>7813825.0577286677</v>
      </c>
    </row>
    <row r="47" spans="1:15" ht="13.8" thickBot="1" x14ac:dyDescent="0.3">
      <c r="A47" s="61">
        <v>45230</v>
      </c>
      <c r="B47" s="61"/>
      <c r="C47" s="62">
        <f>'Plant Additions thr Oct 2026'!E34</f>
        <v>507486.01405762497</v>
      </c>
      <c r="D47" s="63">
        <f t="shared" si="3"/>
        <v>10398403.808650875</v>
      </c>
      <c r="E47" s="63">
        <f t="shared" si="14"/>
        <v>7518199.3589233356</v>
      </c>
      <c r="F47" s="122"/>
      <c r="G47" s="63">
        <f t="shared" si="5"/>
        <v>0</v>
      </c>
      <c r="H47" s="63">
        <f t="shared" si="12"/>
        <v>0</v>
      </c>
      <c r="I47" s="63">
        <f t="shared" si="13"/>
        <v>7518199.3589233356</v>
      </c>
      <c r="J47" s="63">
        <f t="shared" si="1"/>
        <v>-106572.06295210125</v>
      </c>
      <c r="K47" s="68">
        <f t="shared" si="2"/>
        <v>-2183664.7998166839</v>
      </c>
      <c r="L47" s="63">
        <f t="shared" si="7"/>
        <v>-1578821.8653739011</v>
      </c>
      <c r="M47" s="69">
        <f t="shared" si="11"/>
        <v>5939377.4935494345</v>
      </c>
      <c r="N47" s="64">
        <f t="shared" si="8"/>
        <v>8214739.0088341916</v>
      </c>
    </row>
    <row r="48" spans="1:15" x14ac:dyDescent="0.25">
      <c r="A48" s="134">
        <v>45260</v>
      </c>
      <c r="B48" s="134" t="s">
        <v>144</v>
      </c>
      <c r="C48" s="333">
        <f>'Plant Additions thr Oct 2026'!E35</f>
        <v>507406.18510233331</v>
      </c>
      <c r="D48" s="136">
        <f t="shared" si="3"/>
        <v>10905809.99375321</v>
      </c>
      <c r="E48" s="136">
        <f t="shared" si="14"/>
        <v>8011890.6820162414</v>
      </c>
      <c r="F48" s="148"/>
      <c r="G48" s="136">
        <f t="shared" si="5"/>
        <v>0</v>
      </c>
      <c r="H48" s="136">
        <f t="shared" si="12"/>
        <v>0</v>
      </c>
      <c r="I48" s="136">
        <f t="shared" si="13"/>
        <v>8011890.6820162414</v>
      </c>
      <c r="J48" s="136">
        <f t="shared" si="1"/>
        <v>-106555.29887149</v>
      </c>
      <c r="K48" s="138">
        <f t="shared" si="2"/>
        <v>-2290220.098688174</v>
      </c>
      <c r="L48" s="136">
        <f t="shared" si="7"/>
        <v>-1682497.0432234108</v>
      </c>
      <c r="M48" s="139">
        <f t="shared" si="11"/>
        <v>6329393.6387928305</v>
      </c>
      <c r="N48" s="140">
        <f t="shared" si="8"/>
        <v>8615589.8950650357</v>
      </c>
      <c r="O48" s="128"/>
    </row>
    <row r="49" spans="1:15" x14ac:dyDescent="0.25">
      <c r="A49" s="61">
        <v>45291</v>
      </c>
      <c r="B49" s="61" t="s">
        <v>144</v>
      </c>
      <c r="C49" s="332">
        <f>'Plant Additions thr Oct 2026'!E36</f>
        <v>515220.96</v>
      </c>
      <c r="D49" s="63">
        <f t="shared" si="3"/>
        <v>11421030.953753211</v>
      </c>
      <c r="E49" s="63">
        <f t="shared" si="14"/>
        <v>8504425.4600730147</v>
      </c>
      <c r="F49" s="122"/>
      <c r="G49" s="63">
        <f t="shared" si="5"/>
        <v>0</v>
      </c>
      <c r="H49" s="63">
        <f t="shared" si="12"/>
        <v>0</v>
      </c>
      <c r="I49" s="63">
        <f t="shared" si="13"/>
        <v>8504425.4600730147</v>
      </c>
      <c r="J49" s="63">
        <f t="shared" si="1"/>
        <v>-108196.4016</v>
      </c>
      <c r="K49" s="68">
        <f t="shared" si="2"/>
        <v>-2398416.500288174</v>
      </c>
      <c r="L49" s="63">
        <f t="shared" si="7"/>
        <v>-1785929.3466153331</v>
      </c>
      <c r="M49" s="69">
        <f t="shared" si="11"/>
        <v>6718496.1134576816</v>
      </c>
      <c r="N49" s="64">
        <f t="shared" si="8"/>
        <v>9022614.453465037</v>
      </c>
      <c r="O49" s="128"/>
    </row>
    <row r="50" spans="1:15" x14ac:dyDescent="0.25">
      <c r="A50" s="61">
        <v>45322</v>
      </c>
      <c r="B50" s="61" t="s">
        <v>144</v>
      </c>
      <c r="C50" s="332">
        <f>'Plant Additions thr Oct 2026'!E37</f>
        <v>523231.84739041666</v>
      </c>
      <c r="D50" s="63">
        <f t="shared" si="3"/>
        <v>11944262.801143628</v>
      </c>
      <c r="E50" s="63">
        <f t="shared" si="14"/>
        <v>8996451.6661590338</v>
      </c>
      <c r="F50" s="122"/>
      <c r="G50" s="63">
        <f t="shared" si="5"/>
        <v>0</v>
      </c>
      <c r="H50" s="63">
        <f t="shared" si="12"/>
        <v>0</v>
      </c>
      <c r="I50" s="63">
        <f t="shared" si="13"/>
        <v>8996451.6661590338</v>
      </c>
      <c r="J50" s="63">
        <f t="shared" si="1"/>
        <v>-109878.68795198749</v>
      </c>
      <c r="K50" s="68">
        <f t="shared" si="2"/>
        <v>-2508295.1882401616</v>
      </c>
      <c r="L50" s="63">
        <f t="shared" si="7"/>
        <v>-1889254.8498933974</v>
      </c>
      <c r="M50" s="69">
        <f t="shared" si="11"/>
        <v>7107196.8162656361</v>
      </c>
      <c r="N50" s="64">
        <f t="shared" si="8"/>
        <v>9435967.6129034664</v>
      </c>
      <c r="O50" s="128"/>
    </row>
    <row r="51" spans="1:15" x14ac:dyDescent="0.25">
      <c r="A51" s="61">
        <v>45351</v>
      </c>
      <c r="B51" s="61" t="s">
        <v>144</v>
      </c>
      <c r="C51" s="332">
        <f>'Plant Additions thr Oct 2026'!E38</f>
        <v>523207.36</v>
      </c>
      <c r="D51" s="63">
        <f t="shared" si="3"/>
        <v>12467470.161143627</v>
      </c>
      <c r="E51" s="63">
        <f t="shared" si="14"/>
        <v>9488297.5862759743</v>
      </c>
      <c r="F51" s="122"/>
      <c r="G51" s="63">
        <f t="shared" si="5"/>
        <v>0</v>
      </c>
      <c r="H51" s="63">
        <f t="shared" si="12"/>
        <v>0</v>
      </c>
      <c r="I51" s="63">
        <f t="shared" si="13"/>
        <v>9488297.5862759743</v>
      </c>
      <c r="J51" s="63">
        <f t="shared" si="1"/>
        <v>-109873.5456</v>
      </c>
      <c r="K51" s="68">
        <f t="shared" si="2"/>
        <v>-2618168.7338401615</v>
      </c>
      <c r="L51" s="63">
        <f t="shared" si="7"/>
        <v>-1992542.4931179546</v>
      </c>
      <c r="M51" s="69">
        <f t="shared" si="11"/>
        <v>7495755.0931580197</v>
      </c>
      <c r="N51" s="64">
        <f t="shared" si="8"/>
        <v>9849301.4273034651</v>
      </c>
      <c r="O51" s="128"/>
    </row>
    <row r="52" spans="1:15" x14ac:dyDescent="0.25">
      <c r="A52" s="61">
        <v>45382</v>
      </c>
      <c r="B52" s="61" t="s">
        <v>144</v>
      </c>
      <c r="C52" s="332">
        <f>'Plant Additions thr Oct 2026'!E39</f>
        <v>523144.34055983322</v>
      </c>
      <c r="D52" s="63">
        <f t="shared" si="3"/>
        <v>12990614.50170346</v>
      </c>
      <c r="E52" s="63">
        <f t="shared" si="14"/>
        <v>9979957.5648354124</v>
      </c>
      <c r="F52" s="122"/>
      <c r="G52" s="63">
        <f t="shared" si="5"/>
        <v>0</v>
      </c>
      <c r="H52" s="63">
        <f t="shared" si="12"/>
        <v>0</v>
      </c>
      <c r="I52" s="63">
        <f t="shared" si="13"/>
        <v>9979957.5648354124</v>
      </c>
      <c r="J52" s="63">
        <f t="shared" si="1"/>
        <v>-109860.31151756497</v>
      </c>
      <c r="K52" s="68">
        <f t="shared" si="2"/>
        <v>-2728029.0453577265</v>
      </c>
      <c r="L52" s="63">
        <f t="shared" si="7"/>
        <v>-2095791.0886154361</v>
      </c>
      <c r="M52" s="69">
        <f t="shared" si="11"/>
        <v>7884166.4762199763</v>
      </c>
      <c r="N52" s="64">
        <f t="shared" si="8"/>
        <v>10262585.456345733</v>
      </c>
      <c r="O52" s="128"/>
    </row>
    <row r="53" spans="1:15" x14ac:dyDescent="0.25">
      <c r="A53" s="61">
        <v>45412</v>
      </c>
      <c r="B53" s="61" t="s">
        <v>144</v>
      </c>
      <c r="C53" s="332">
        <f>'Plant Additions thr Oct 2026'!E40</f>
        <v>523077.52</v>
      </c>
      <c r="D53" s="63">
        <f t="shared" si="3"/>
        <v>13513692.021703459</v>
      </c>
      <c r="E53" s="63">
        <f t="shared" si="14"/>
        <v>10471423.179791214</v>
      </c>
      <c r="F53" s="122"/>
      <c r="G53" s="63">
        <f t="shared" si="5"/>
        <v>0</v>
      </c>
      <c r="H53" s="63">
        <f t="shared" si="12"/>
        <v>0</v>
      </c>
      <c r="I53" s="63">
        <f t="shared" si="13"/>
        <v>10471423.179791214</v>
      </c>
      <c r="J53" s="63">
        <f t="shared" si="1"/>
        <v>-109846.2792</v>
      </c>
      <c r="K53" s="68">
        <f t="shared" si="2"/>
        <v>-2837875.3245577267</v>
      </c>
      <c r="L53" s="63">
        <f t="shared" si="7"/>
        <v>-2198998.8677561549</v>
      </c>
      <c r="M53" s="69">
        <f t="shared" si="11"/>
        <v>8272424.3120350596</v>
      </c>
      <c r="N53" s="64">
        <f t="shared" si="8"/>
        <v>10675816.697145732</v>
      </c>
      <c r="O53" s="128"/>
    </row>
    <row r="54" spans="1:15" x14ac:dyDescent="0.25">
      <c r="A54" s="61">
        <v>45443</v>
      </c>
      <c r="B54" s="61" t="s">
        <v>144</v>
      </c>
      <c r="C54" s="332">
        <f>-'One-time deferral transfer'!B34</f>
        <v>-2767661.4841691628</v>
      </c>
      <c r="D54" s="63">
        <f t="shared" si="3"/>
        <v>10746030.537534297</v>
      </c>
      <c r="E54" s="63">
        <f t="shared" si="14"/>
        <v>10825552.833726151</v>
      </c>
      <c r="F54" s="122">
        <v>223875.64</v>
      </c>
      <c r="G54" s="63">
        <f t="shared" si="5"/>
        <v>-223875.64</v>
      </c>
      <c r="H54" s="63">
        <f t="shared" si="12"/>
        <v>-9328.1516666666666</v>
      </c>
      <c r="I54" s="63">
        <f t="shared" si="13"/>
        <v>10816224.682059484</v>
      </c>
      <c r="J54" s="63">
        <f t="shared" si="1"/>
        <v>628222.79607552418</v>
      </c>
      <c r="K54" s="68">
        <f t="shared" si="2"/>
        <v>-2209652.5284822024</v>
      </c>
      <c r="L54" s="63">
        <f t="shared" si="7"/>
        <v>-2271407.1832324914</v>
      </c>
      <c r="M54" s="69">
        <f t="shared" si="11"/>
        <v>8544817.4988269918</v>
      </c>
      <c r="N54" s="64">
        <f t="shared" si="8"/>
        <v>8312502.3690520935</v>
      </c>
      <c r="O54" s="128"/>
    </row>
    <row r="55" spans="1:15" x14ac:dyDescent="0.25">
      <c r="A55" s="61">
        <v>45473</v>
      </c>
      <c r="B55" s="61" t="s">
        <v>144</v>
      </c>
      <c r="C55" s="63"/>
      <c r="D55" s="63">
        <f t="shared" si="3"/>
        <v>10746030.537534297</v>
      </c>
      <c r="E55" s="63">
        <f t="shared" si="14"/>
        <v>11020506.273947285</v>
      </c>
      <c r="F55" s="122">
        <f>F54</f>
        <v>223875.64</v>
      </c>
      <c r="G55" s="63">
        <f t="shared" si="5"/>
        <v>-447751.28</v>
      </c>
      <c r="H55" s="63">
        <f t="shared" si="12"/>
        <v>-37312.606666666667</v>
      </c>
      <c r="I55" s="63">
        <f t="shared" si="13"/>
        <v>10983193.667280618</v>
      </c>
      <c r="J55" s="63">
        <f t="shared" si="1"/>
        <v>47013.884400000003</v>
      </c>
      <c r="K55" s="68">
        <f t="shared" si="2"/>
        <v>-2162638.6440822026</v>
      </c>
      <c r="L55" s="63">
        <f t="shared" si="7"/>
        <v>-2306470.6701289299</v>
      </c>
      <c r="M55" s="69">
        <f t="shared" si="11"/>
        <v>8676722.9971516877</v>
      </c>
      <c r="N55" s="64">
        <f t="shared" si="8"/>
        <v>8135640.6134520946</v>
      </c>
      <c r="O55" s="128"/>
    </row>
    <row r="56" spans="1:15" x14ac:dyDescent="0.25">
      <c r="A56" s="61">
        <v>45504</v>
      </c>
      <c r="B56" s="61" t="s">
        <v>144</v>
      </c>
      <c r="C56" s="63"/>
      <c r="D56" s="63">
        <f t="shared" si="3"/>
        <v>10746030.537534297</v>
      </c>
      <c r="E56" s="63">
        <f t="shared" si="14"/>
        <v>11184918.77181772</v>
      </c>
      <c r="F56" s="122">
        <f t="shared" ref="F56:F101" si="15">F55</f>
        <v>223875.64</v>
      </c>
      <c r="G56" s="63">
        <f t="shared" si="5"/>
        <v>-671626.92</v>
      </c>
      <c r="H56" s="63">
        <f t="shared" si="12"/>
        <v>-83953.365000000005</v>
      </c>
      <c r="I56" s="63">
        <f t="shared" si="13"/>
        <v>11100965.406817719</v>
      </c>
      <c r="J56" s="63">
        <f t="shared" si="1"/>
        <v>47013.884400000003</v>
      </c>
      <c r="K56" s="68">
        <f t="shared" si="2"/>
        <v>-2115624.7596822027</v>
      </c>
      <c r="L56" s="63">
        <f t="shared" si="7"/>
        <v>-2331202.7354317214</v>
      </c>
      <c r="M56" s="69">
        <f t="shared" si="11"/>
        <v>8769762.6713859979</v>
      </c>
      <c r="N56" s="64">
        <f t="shared" si="8"/>
        <v>7958778.8578520939</v>
      </c>
      <c r="O56" s="128"/>
    </row>
    <row r="57" spans="1:15" x14ac:dyDescent="0.25">
      <c r="A57" s="61">
        <v>45535</v>
      </c>
      <c r="B57" s="61" t="s">
        <v>144</v>
      </c>
      <c r="C57" s="63"/>
      <c r="D57" s="63">
        <f t="shared" si="3"/>
        <v>10746030.537534297</v>
      </c>
      <c r="E57" s="63">
        <f t="shared" si="14"/>
        <v>11319592.349025315</v>
      </c>
      <c r="F57" s="122">
        <f t="shared" si="15"/>
        <v>223875.64</v>
      </c>
      <c r="G57" s="63">
        <f t="shared" si="5"/>
        <v>-895502.56</v>
      </c>
      <c r="H57" s="63">
        <f t="shared" si="12"/>
        <v>-149250.42666666667</v>
      </c>
      <c r="I57" s="63">
        <f t="shared" si="13"/>
        <v>11170341.922358649</v>
      </c>
      <c r="J57" s="63">
        <f t="shared" si="1"/>
        <v>47013.884400000003</v>
      </c>
      <c r="K57" s="68">
        <f t="shared" si="2"/>
        <v>-2068610.8752822026</v>
      </c>
      <c r="L57" s="63">
        <f t="shared" si="7"/>
        <v>-2345771.803695316</v>
      </c>
      <c r="M57" s="69">
        <f t="shared" si="11"/>
        <v>8824570.1186633334</v>
      </c>
      <c r="N57" s="64">
        <f t="shared" si="8"/>
        <v>7781917.1022520931</v>
      </c>
      <c r="O57" s="128"/>
    </row>
    <row r="58" spans="1:15" x14ac:dyDescent="0.25">
      <c r="A58" s="61">
        <v>45565</v>
      </c>
      <c r="B58" s="61" t="s">
        <v>144</v>
      </c>
      <c r="C58" s="63"/>
      <c r="D58" s="63">
        <f t="shared" si="3"/>
        <v>10746030.537534297</v>
      </c>
      <c r="E58" s="63">
        <f t="shared" si="14"/>
        <v>11411990.046504371</v>
      </c>
      <c r="F58" s="122">
        <f t="shared" si="15"/>
        <v>223875.64</v>
      </c>
      <c r="G58" s="63">
        <f t="shared" si="5"/>
        <v>-1119378.2000000002</v>
      </c>
      <c r="H58" s="63">
        <f t="shared" si="12"/>
        <v>-233203.79166666672</v>
      </c>
      <c r="I58" s="63">
        <f t="shared" si="13"/>
        <v>11178786.254837705</v>
      </c>
      <c r="J58" s="63">
        <f t="shared" si="1"/>
        <v>47013.884400000003</v>
      </c>
      <c r="K58" s="68">
        <f t="shared" si="2"/>
        <v>-2021596.9908822025</v>
      </c>
      <c r="L58" s="63">
        <f t="shared" si="7"/>
        <v>-2347545.1135159177</v>
      </c>
      <c r="M58" s="69">
        <f t="shared" si="11"/>
        <v>8831241.1413217876</v>
      </c>
      <c r="N58" s="64">
        <f t="shared" si="8"/>
        <v>7605055.3466520943</v>
      </c>
      <c r="O58" s="128"/>
    </row>
    <row r="59" spans="1:15" ht="13.8" thickBot="1" x14ac:dyDescent="0.3">
      <c r="A59" s="61">
        <v>45596</v>
      </c>
      <c r="B59" s="61" t="s">
        <v>144</v>
      </c>
      <c r="C59" s="63"/>
      <c r="D59" s="63">
        <f t="shared" si="3"/>
        <v>10746030.537534297</v>
      </c>
      <c r="E59" s="199">
        <f t="shared" si="14"/>
        <v>11462104.191163721</v>
      </c>
      <c r="F59" s="122">
        <f t="shared" si="15"/>
        <v>223875.64</v>
      </c>
      <c r="G59" s="63">
        <f t="shared" si="5"/>
        <v>-1343253.8400000003</v>
      </c>
      <c r="H59" s="199">
        <f>(G47+G59+SUM(G48:G58)*2)/24</f>
        <v>-335813.46</v>
      </c>
      <c r="I59" s="63">
        <f t="shared" si="13"/>
        <v>11126290.73116372</v>
      </c>
      <c r="J59" s="63">
        <f t="shared" si="1"/>
        <v>47013.884400000003</v>
      </c>
      <c r="K59" s="68">
        <f t="shared" si="2"/>
        <v>-1974583.1064822024</v>
      </c>
      <c r="L59" s="63">
        <f t="shared" si="7"/>
        <v>-2336521.0535443816</v>
      </c>
      <c r="M59" s="217">
        <f t="shared" si="11"/>
        <v>8789769.677619338</v>
      </c>
      <c r="N59" s="64">
        <f t="shared" si="8"/>
        <v>7428193.5910520945</v>
      </c>
      <c r="O59" s="128"/>
    </row>
    <row r="60" spans="1:15" x14ac:dyDescent="0.25">
      <c r="A60" s="134">
        <v>45626</v>
      </c>
      <c r="B60" s="141" t="s">
        <v>145</v>
      </c>
      <c r="C60" s="136"/>
      <c r="D60" s="136">
        <f t="shared" si="3"/>
        <v>10746030.537534297</v>
      </c>
      <c r="E60" s="136">
        <f t="shared" si="14"/>
        <v>11469931.160858074</v>
      </c>
      <c r="F60" s="148">
        <f t="shared" si="15"/>
        <v>223875.64</v>
      </c>
      <c r="G60" s="136">
        <f t="shared" si="5"/>
        <v>-1567129.4800000004</v>
      </c>
      <c r="H60" s="136">
        <f t="shared" si="12"/>
        <v>-457079.43166666682</v>
      </c>
      <c r="I60" s="136">
        <f t="shared" si="13"/>
        <v>11012851.729191408</v>
      </c>
      <c r="J60" s="136">
        <f t="shared" si="1"/>
        <v>47013.884400000003</v>
      </c>
      <c r="K60" s="138">
        <f t="shared" si="2"/>
        <v>-1927569.2220822023</v>
      </c>
      <c r="L60" s="136">
        <f t="shared" si="7"/>
        <v>-2312698.863130196</v>
      </c>
      <c r="M60" s="139">
        <f t="shared" si="11"/>
        <v>8700152.8660612106</v>
      </c>
      <c r="N60" s="140">
        <f t="shared" si="8"/>
        <v>7251331.8354520937</v>
      </c>
      <c r="O60" s="128"/>
    </row>
    <row r="61" spans="1:15" x14ac:dyDescent="0.25">
      <c r="A61" s="61">
        <v>45657</v>
      </c>
      <c r="B61" s="30" t="s">
        <v>145</v>
      </c>
      <c r="C61" s="63"/>
      <c r="D61" s="63">
        <f t="shared" si="3"/>
        <v>10746030.537534297</v>
      </c>
      <c r="E61" s="63">
        <f t="shared" si="14"/>
        <v>11435148.666173168</v>
      </c>
      <c r="F61" s="122">
        <f t="shared" si="15"/>
        <v>223875.64</v>
      </c>
      <c r="G61" s="63">
        <f t="shared" si="5"/>
        <v>-1791005.1200000006</v>
      </c>
      <c r="H61" s="63">
        <f t="shared" si="12"/>
        <v>-597001.7066666669</v>
      </c>
      <c r="I61" s="63">
        <f t="shared" si="13"/>
        <v>10838146.959506501</v>
      </c>
      <c r="J61" s="63">
        <f t="shared" si="1"/>
        <v>47013.884400000003</v>
      </c>
      <c r="K61" s="68">
        <f t="shared" si="2"/>
        <v>-1880555.3376822022</v>
      </c>
      <c r="L61" s="63">
        <f t="shared" si="7"/>
        <v>-2276010.8614963652</v>
      </c>
      <c r="M61" s="69">
        <f t="shared" si="11"/>
        <v>8562136.0980101358</v>
      </c>
      <c r="N61" s="64">
        <f t="shared" si="8"/>
        <v>7074470.079852093</v>
      </c>
      <c r="O61" s="128"/>
    </row>
    <row r="62" spans="1:15" x14ac:dyDescent="0.25">
      <c r="A62" s="61">
        <v>45688</v>
      </c>
      <c r="B62" s="30" t="s">
        <v>145</v>
      </c>
      <c r="C62" s="63"/>
      <c r="D62" s="63">
        <f t="shared" si="3"/>
        <v>10746030.537534297</v>
      </c>
      <c r="E62" s="63">
        <f t="shared" si="14"/>
        <v>11357097.304513657</v>
      </c>
      <c r="F62" s="122">
        <f t="shared" si="15"/>
        <v>223875.64</v>
      </c>
      <c r="G62" s="63">
        <f t="shared" si="5"/>
        <v>-2014880.7600000007</v>
      </c>
      <c r="H62" s="63">
        <f t="shared" si="12"/>
        <v>-755580.28500000027</v>
      </c>
      <c r="I62" s="63">
        <f t="shared" si="13"/>
        <v>10601517.019513657</v>
      </c>
      <c r="J62" s="63">
        <f t="shared" si="1"/>
        <v>47013.884400000003</v>
      </c>
      <c r="K62" s="68">
        <f t="shared" si="2"/>
        <v>-1833541.4532822021</v>
      </c>
      <c r="L62" s="63">
        <f t="shared" si="7"/>
        <v>-2226318.5740978681</v>
      </c>
      <c r="M62" s="69">
        <f t="shared" si="11"/>
        <v>8375198.4454157893</v>
      </c>
      <c r="N62" s="64">
        <f t="shared" si="8"/>
        <v>6897608.3242520932</v>
      </c>
    </row>
    <row r="63" spans="1:15" x14ac:dyDescent="0.25">
      <c r="A63" s="61">
        <v>45716</v>
      </c>
      <c r="B63" s="30" t="s">
        <v>145</v>
      </c>
      <c r="C63" s="63"/>
      <c r="D63" s="63">
        <f t="shared" si="3"/>
        <v>10746030.537534297</v>
      </c>
      <c r="E63" s="63">
        <f t="shared" si="14"/>
        <v>11235444.309212878</v>
      </c>
      <c r="F63" s="122">
        <f t="shared" si="15"/>
        <v>223875.64</v>
      </c>
      <c r="G63" s="63">
        <f t="shared" si="5"/>
        <v>-2238756.4000000008</v>
      </c>
      <c r="H63" s="63">
        <f t="shared" si="12"/>
        <v>-932815.16666666709</v>
      </c>
      <c r="I63" s="63">
        <f t="shared" si="13"/>
        <v>10302629.14254621</v>
      </c>
      <c r="J63" s="63">
        <f t="shared" si="1"/>
        <v>47013.884400000003</v>
      </c>
      <c r="K63" s="68">
        <f t="shared" si="2"/>
        <v>-1786527.568882202</v>
      </c>
      <c r="L63" s="63">
        <f t="shared" si="7"/>
        <v>-2163552.1199347046</v>
      </c>
      <c r="M63" s="69">
        <f t="shared" si="11"/>
        <v>8139077.0226115063</v>
      </c>
      <c r="N63" s="64">
        <f t="shared" si="8"/>
        <v>6720746.5686520943</v>
      </c>
    </row>
    <row r="64" spans="1:15" x14ac:dyDescent="0.25">
      <c r="A64" s="61">
        <v>45747</v>
      </c>
      <c r="B64" s="30" t="s">
        <v>145</v>
      </c>
      <c r="C64" s="63"/>
      <c r="D64" s="63">
        <f t="shared" si="3"/>
        <v>10746030.537534297</v>
      </c>
      <c r="E64" s="63">
        <f t="shared" si="14"/>
        <v>11070193.326388774</v>
      </c>
      <c r="F64" s="122">
        <f t="shared" si="15"/>
        <v>223875.64</v>
      </c>
      <c r="G64" s="63">
        <f t="shared" si="5"/>
        <v>-2462632.040000001</v>
      </c>
      <c r="H64" s="63">
        <f t="shared" si="12"/>
        <v>-1128706.3516666673</v>
      </c>
      <c r="I64" s="63">
        <f t="shared" si="13"/>
        <v>9941486.9747221079</v>
      </c>
      <c r="J64" s="63">
        <f t="shared" si="1"/>
        <v>47013.884400000003</v>
      </c>
      <c r="K64" s="68">
        <f t="shared" si="2"/>
        <v>-1739513.6844822019</v>
      </c>
      <c r="L64" s="63">
        <f t="shared" si="7"/>
        <v>-2087712.2646916432</v>
      </c>
      <c r="M64" s="69">
        <f t="shared" si="11"/>
        <v>7853774.7100304645</v>
      </c>
      <c r="N64" s="64">
        <f t="shared" si="8"/>
        <v>6543884.8130520936</v>
      </c>
    </row>
    <row r="65" spans="1:14" x14ac:dyDescent="0.25">
      <c r="A65" s="61">
        <v>45777</v>
      </c>
      <c r="B65" s="30" t="s">
        <v>145</v>
      </c>
      <c r="C65" s="63"/>
      <c r="D65" s="63">
        <f t="shared" si="3"/>
        <v>10746030.537534297</v>
      </c>
      <c r="E65" s="63">
        <f t="shared" si="14"/>
        <v>10861349.766041344</v>
      </c>
      <c r="F65" s="122">
        <f t="shared" si="15"/>
        <v>223875.64</v>
      </c>
      <c r="G65" s="63">
        <f t="shared" si="5"/>
        <v>-2686507.6800000011</v>
      </c>
      <c r="H65" s="63">
        <f t="shared" si="12"/>
        <v>-1343253.8400000005</v>
      </c>
      <c r="I65" s="63">
        <f t="shared" si="13"/>
        <v>9518095.9260413442</v>
      </c>
      <c r="J65" s="63">
        <f t="shared" si="1"/>
        <v>47013.884400000003</v>
      </c>
      <c r="K65" s="68">
        <f t="shared" si="2"/>
        <v>-1692499.8000822018</v>
      </c>
      <c r="L65" s="63">
        <f t="shared" si="7"/>
        <v>-1998800.1444686826</v>
      </c>
      <c r="M65" s="69">
        <f t="shared" si="11"/>
        <v>7519295.7815726614</v>
      </c>
      <c r="N65" s="64">
        <f t="shared" si="8"/>
        <v>6367023.0574520929</v>
      </c>
    </row>
    <row r="66" spans="1:14" x14ac:dyDescent="0.25">
      <c r="A66" s="61">
        <v>45808</v>
      </c>
      <c r="B66" s="30" t="s">
        <v>145</v>
      </c>
      <c r="C66" s="63"/>
      <c r="D66" s="63">
        <f t="shared" si="3"/>
        <v>10746030.537534297</v>
      </c>
      <c r="E66" s="63">
        <f t="shared" si="14"/>
        <v>10746030.537534297</v>
      </c>
      <c r="F66" s="122">
        <f t="shared" si="15"/>
        <v>223875.64</v>
      </c>
      <c r="G66" s="63">
        <f t="shared" si="5"/>
        <v>-2910383.3200000012</v>
      </c>
      <c r="H66" s="63">
        <f t="shared" si="12"/>
        <v>-1567129.4800000004</v>
      </c>
      <c r="I66" s="63">
        <f t="shared" si="13"/>
        <v>9178901.0575342961</v>
      </c>
      <c r="J66" s="63">
        <f t="shared" si="1"/>
        <v>47013.884400000003</v>
      </c>
      <c r="K66" s="68">
        <f t="shared" si="2"/>
        <v>-1645485.9156822017</v>
      </c>
      <c r="L66" s="63">
        <f t="shared" si="7"/>
        <v>-1927569.2220822023</v>
      </c>
      <c r="M66" s="69">
        <f t="shared" si="11"/>
        <v>7251331.8354520937</v>
      </c>
      <c r="N66" s="64">
        <f t="shared" si="8"/>
        <v>6190161.301852094</v>
      </c>
    </row>
    <row r="67" spans="1:14" x14ac:dyDescent="0.25">
      <c r="A67" s="61">
        <v>45838</v>
      </c>
      <c r="B67" s="30" t="s">
        <v>145</v>
      </c>
      <c r="C67" s="63"/>
      <c r="D67" s="63">
        <f t="shared" si="3"/>
        <v>10746030.537534297</v>
      </c>
      <c r="E67" s="63">
        <f t="shared" si="14"/>
        <v>10746030.537534297</v>
      </c>
      <c r="F67" s="122">
        <f t="shared" si="15"/>
        <v>223875.64</v>
      </c>
      <c r="G67" s="63">
        <f t="shared" si="5"/>
        <v>-3134258.9600000014</v>
      </c>
      <c r="H67" s="63">
        <f t="shared" si="12"/>
        <v>-1791005.1200000003</v>
      </c>
      <c r="I67" s="63">
        <f t="shared" si="13"/>
        <v>8955025.4175342955</v>
      </c>
      <c r="J67" s="63">
        <f t="shared" si="1"/>
        <v>47013.884400000003</v>
      </c>
      <c r="K67" s="68">
        <f t="shared" si="2"/>
        <v>-1598472.0312822016</v>
      </c>
      <c r="L67" s="63">
        <f t="shared" si="7"/>
        <v>-1880555.3376822022</v>
      </c>
      <c r="M67" s="69">
        <f t="shared" si="11"/>
        <v>7074470.079852093</v>
      </c>
      <c r="N67" s="64">
        <f t="shared" si="8"/>
        <v>6013299.5462520942</v>
      </c>
    </row>
    <row r="68" spans="1:14" x14ac:dyDescent="0.25">
      <c r="A68" s="61">
        <v>45869</v>
      </c>
      <c r="B68" s="30" t="s">
        <v>145</v>
      </c>
      <c r="C68" s="63"/>
      <c r="D68" s="63">
        <f t="shared" si="3"/>
        <v>10746030.537534297</v>
      </c>
      <c r="E68" s="63">
        <f t="shared" si="14"/>
        <v>10746030.537534297</v>
      </c>
      <c r="F68" s="122">
        <f t="shared" si="15"/>
        <v>223875.64</v>
      </c>
      <c r="G68" s="63">
        <f t="shared" si="5"/>
        <v>-3358134.6000000015</v>
      </c>
      <c r="H68" s="63">
        <f t="shared" si="12"/>
        <v>-2014880.7600000007</v>
      </c>
      <c r="I68" s="63">
        <f t="shared" si="13"/>
        <v>8731149.7775342949</v>
      </c>
      <c r="J68" s="63">
        <f t="shared" si="1"/>
        <v>47013.884400000003</v>
      </c>
      <c r="K68" s="68">
        <f t="shared" si="2"/>
        <v>-1551458.1468822015</v>
      </c>
      <c r="L68" s="63">
        <f t="shared" si="7"/>
        <v>-1833541.4532822019</v>
      </c>
      <c r="M68" s="69">
        <f t="shared" si="11"/>
        <v>6897608.3242520932</v>
      </c>
      <c r="N68" s="64">
        <f t="shared" si="8"/>
        <v>5836437.7906520935</v>
      </c>
    </row>
    <row r="69" spans="1:14" x14ac:dyDescent="0.25">
      <c r="A69" s="61">
        <v>45900</v>
      </c>
      <c r="B69" s="30" t="s">
        <v>145</v>
      </c>
      <c r="C69" s="63"/>
      <c r="D69" s="63">
        <f t="shared" si="3"/>
        <v>10746030.537534297</v>
      </c>
      <c r="E69" s="63">
        <f t="shared" si="14"/>
        <v>10746030.537534297</v>
      </c>
      <c r="F69" s="122">
        <f t="shared" si="15"/>
        <v>223875.64</v>
      </c>
      <c r="G69" s="63">
        <f t="shared" si="5"/>
        <v>-3582010.2400000016</v>
      </c>
      <c r="H69" s="63">
        <f t="shared" si="12"/>
        <v>-2238756.4000000008</v>
      </c>
      <c r="I69" s="63">
        <f t="shared" si="13"/>
        <v>8507274.1375342961</v>
      </c>
      <c r="J69" s="63">
        <f t="shared" si="1"/>
        <v>47013.884400000003</v>
      </c>
      <c r="K69" s="68">
        <f t="shared" si="2"/>
        <v>-1504444.2624822014</v>
      </c>
      <c r="L69" s="63">
        <f t="shared" si="7"/>
        <v>-1786527.568882202</v>
      </c>
      <c r="M69" s="69">
        <f t="shared" si="11"/>
        <v>6720746.5686520943</v>
      </c>
      <c r="N69" s="64">
        <f t="shared" si="8"/>
        <v>5659576.0350520927</v>
      </c>
    </row>
    <row r="70" spans="1:14" x14ac:dyDescent="0.25">
      <c r="A70" s="61">
        <v>45930</v>
      </c>
      <c r="B70" s="30" t="s">
        <v>145</v>
      </c>
      <c r="C70" s="63"/>
      <c r="D70" s="63">
        <f t="shared" si="3"/>
        <v>10746030.537534297</v>
      </c>
      <c r="E70" s="63">
        <f t="shared" si="14"/>
        <v>10746030.537534297</v>
      </c>
      <c r="F70" s="122">
        <f t="shared" si="15"/>
        <v>223875.64</v>
      </c>
      <c r="G70" s="63">
        <f t="shared" si="5"/>
        <v>-3805885.8800000018</v>
      </c>
      <c r="H70" s="63">
        <f t="shared" si="12"/>
        <v>-2462632.040000001</v>
      </c>
      <c r="I70" s="63">
        <f t="shared" si="13"/>
        <v>8283398.4975342955</v>
      </c>
      <c r="J70" s="63">
        <f t="shared" si="1"/>
        <v>47013.884400000003</v>
      </c>
      <c r="K70" s="68">
        <f t="shared" si="2"/>
        <v>-1457430.3780822014</v>
      </c>
      <c r="L70" s="63">
        <f t="shared" si="7"/>
        <v>-1739513.6844822019</v>
      </c>
      <c r="M70" s="69">
        <f t="shared" si="11"/>
        <v>6543884.8130520936</v>
      </c>
      <c r="N70" s="64">
        <f t="shared" si="8"/>
        <v>5482714.2794520929</v>
      </c>
    </row>
    <row r="71" spans="1:14" ht="13.8" thickBot="1" x14ac:dyDescent="0.3">
      <c r="A71" s="61">
        <v>45961</v>
      </c>
      <c r="B71" s="30" t="s">
        <v>145</v>
      </c>
      <c r="C71" s="63"/>
      <c r="D71" s="63">
        <f t="shared" si="3"/>
        <v>10746030.537534297</v>
      </c>
      <c r="E71" s="63">
        <f t="shared" si="14"/>
        <v>10746030.537534297</v>
      </c>
      <c r="F71" s="122">
        <f t="shared" si="15"/>
        <v>223875.64</v>
      </c>
      <c r="G71" s="63">
        <f t="shared" si="5"/>
        <v>-4029761.5200000019</v>
      </c>
      <c r="H71" s="63">
        <f t="shared" si="12"/>
        <v>-2686507.6800000011</v>
      </c>
      <c r="I71" s="63">
        <f t="shared" si="13"/>
        <v>8059522.8575342949</v>
      </c>
      <c r="J71" s="63">
        <f t="shared" si="1"/>
        <v>47013.884400000003</v>
      </c>
      <c r="K71" s="68">
        <f t="shared" si="2"/>
        <v>-1410416.4936822013</v>
      </c>
      <c r="L71" s="63">
        <f t="shared" si="7"/>
        <v>-1692499.8000822018</v>
      </c>
      <c r="M71" s="69">
        <f t="shared" si="11"/>
        <v>6367023.0574520929</v>
      </c>
      <c r="N71" s="64">
        <f t="shared" si="8"/>
        <v>5305852.5238520941</v>
      </c>
    </row>
    <row r="72" spans="1:14" x14ac:dyDescent="0.25">
      <c r="A72" s="134">
        <v>45991</v>
      </c>
      <c r="B72" s="141" t="s">
        <v>146</v>
      </c>
      <c r="C72" s="136"/>
      <c r="D72" s="136">
        <f t="shared" si="3"/>
        <v>10746030.537534297</v>
      </c>
      <c r="E72" s="136">
        <f t="shared" si="14"/>
        <v>10746030.537534297</v>
      </c>
      <c r="F72" s="148">
        <f t="shared" si="15"/>
        <v>223875.64</v>
      </c>
      <c r="G72" s="136">
        <f t="shared" si="5"/>
        <v>-4253637.160000002</v>
      </c>
      <c r="H72" s="136">
        <f t="shared" si="12"/>
        <v>-2910383.3200000017</v>
      </c>
      <c r="I72" s="136">
        <f t="shared" si="13"/>
        <v>7835647.2175342944</v>
      </c>
      <c r="J72" s="136">
        <f t="shared" si="1"/>
        <v>47013.884400000003</v>
      </c>
      <c r="K72" s="138">
        <f t="shared" si="2"/>
        <v>-1363402.6092822012</v>
      </c>
      <c r="L72" s="136">
        <f t="shared" si="7"/>
        <v>-1645485.9156822015</v>
      </c>
      <c r="M72" s="139">
        <f t="shared" si="11"/>
        <v>6190161.3018520931</v>
      </c>
      <c r="N72" s="140">
        <f t="shared" si="8"/>
        <v>5128990.7682520933</v>
      </c>
    </row>
    <row r="73" spans="1:14" x14ac:dyDescent="0.25">
      <c r="A73" s="61">
        <v>46022</v>
      </c>
      <c r="B73" s="30" t="s">
        <v>146</v>
      </c>
      <c r="C73" s="63"/>
      <c r="D73" s="63">
        <f t="shared" si="3"/>
        <v>10746030.537534297</v>
      </c>
      <c r="E73" s="63">
        <f t="shared" si="14"/>
        <v>10746030.537534297</v>
      </c>
      <c r="F73" s="122">
        <f t="shared" si="15"/>
        <v>223875.64</v>
      </c>
      <c r="G73" s="63">
        <f t="shared" si="5"/>
        <v>-4477512.8000000017</v>
      </c>
      <c r="H73" s="63">
        <f t="shared" si="12"/>
        <v>-3134258.9600000014</v>
      </c>
      <c r="I73" s="63">
        <f t="shared" si="13"/>
        <v>7611771.5775342956</v>
      </c>
      <c r="J73" s="63">
        <f t="shared" si="1"/>
        <v>47013.884400000003</v>
      </c>
      <c r="K73" s="68">
        <f t="shared" si="2"/>
        <v>-1316388.7248822011</v>
      </c>
      <c r="L73" s="63">
        <f t="shared" si="7"/>
        <v>-1598472.0312822016</v>
      </c>
      <c r="M73" s="69">
        <f t="shared" si="11"/>
        <v>6013299.5462520942</v>
      </c>
      <c r="N73" s="64">
        <f t="shared" si="8"/>
        <v>4952129.0126520935</v>
      </c>
    </row>
    <row r="74" spans="1:14" x14ac:dyDescent="0.25">
      <c r="A74" s="61">
        <v>46053</v>
      </c>
      <c r="B74" s="30" t="s">
        <v>146</v>
      </c>
      <c r="C74" s="30"/>
      <c r="D74" s="63">
        <f t="shared" si="3"/>
        <v>10746030.537534297</v>
      </c>
      <c r="E74" s="63">
        <f t="shared" si="14"/>
        <v>10746030.537534297</v>
      </c>
      <c r="F74" s="122">
        <f t="shared" si="15"/>
        <v>223875.64</v>
      </c>
      <c r="G74" s="63">
        <f t="shared" si="5"/>
        <v>-4701388.4400000013</v>
      </c>
      <c r="H74" s="63">
        <f t="shared" si="12"/>
        <v>-3358134.600000002</v>
      </c>
      <c r="I74" s="63">
        <f t="shared" si="13"/>
        <v>7387895.937534295</v>
      </c>
      <c r="J74" s="63">
        <f t="shared" si="1"/>
        <v>47013.884400000003</v>
      </c>
      <c r="K74" s="68">
        <f t="shared" si="2"/>
        <v>-1269374.840482201</v>
      </c>
      <c r="L74" s="63">
        <f t="shared" si="7"/>
        <v>-1551458.1468822015</v>
      </c>
      <c r="M74" s="69">
        <f t="shared" si="11"/>
        <v>5836437.7906520935</v>
      </c>
      <c r="N74" s="64">
        <f t="shared" si="8"/>
        <v>4775267.2570520937</v>
      </c>
    </row>
    <row r="75" spans="1:14" x14ac:dyDescent="0.25">
      <c r="A75" s="61">
        <v>46081</v>
      </c>
      <c r="B75" s="30" t="s">
        <v>146</v>
      </c>
      <c r="C75" s="30"/>
      <c r="D75" s="63">
        <f t="shared" si="3"/>
        <v>10746030.537534297</v>
      </c>
      <c r="E75" s="63">
        <f t="shared" si="14"/>
        <v>10746030.537534297</v>
      </c>
      <c r="F75" s="122">
        <f t="shared" si="15"/>
        <v>223875.64</v>
      </c>
      <c r="G75" s="63">
        <f t="shared" si="5"/>
        <v>-4925264.080000001</v>
      </c>
      <c r="H75" s="63">
        <f t="shared" si="12"/>
        <v>-3582010.2400000016</v>
      </c>
      <c r="I75" s="63">
        <f t="shared" si="13"/>
        <v>7164020.2975342944</v>
      </c>
      <c r="J75" s="63">
        <f t="shared" si="1"/>
        <v>47013.884400000003</v>
      </c>
      <c r="K75" s="68">
        <f t="shared" si="2"/>
        <v>-1222360.9560822009</v>
      </c>
      <c r="L75" s="63">
        <f t="shared" si="7"/>
        <v>-1504444.2624822014</v>
      </c>
      <c r="M75" s="69">
        <f t="shared" si="11"/>
        <v>5659576.0350520927</v>
      </c>
      <c r="N75" s="64">
        <f t="shared" si="8"/>
        <v>4598405.5014520949</v>
      </c>
    </row>
    <row r="76" spans="1:14" x14ac:dyDescent="0.25">
      <c r="A76" s="61">
        <v>46112</v>
      </c>
      <c r="B76" s="30" t="s">
        <v>146</v>
      </c>
      <c r="C76" s="30"/>
      <c r="D76" s="63">
        <f t="shared" si="3"/>
        <v>10746030.537534297</v>
      </c>
      <c r="E76" s="63">
        <f t="shared" si="14"/>
        <v>10746030.537534297</v>
      </c>
      <c r="F76" s="122">
        <f t="shared" si="15"/>
        <v>223875.64</v>
      </c>
      <c r="G76" s="63">
        <f t="shared" si="5"/>
        <v>-5149139.7200000007</v>
      </c>
      <c r="H76" s="63">
        <f t="shared" si="12"/>
        <v>-3805885.8800000013</v>
      </c>
      <c r="I76" s="63">
        <f t="shared" si="13"/>
        <v>6940144.6575342957</v>
      </c>
      <c r="J76" s="63">
        <f t="shared" si="1"/>
        <v>47013.884400000003</v>
      </c>
      <c r="K76" s="68">
        <f t="shared" si="2"/>
        <v>-1175347.0716822008</v>
      </c>
      <c r="L76" s="63">
        <f t="shared" si="7"/>
        <v>-1457430.3780822016</v>
      </c>
      <c r="M76" s="69">
        <f t="shared" si="11"/>
        <v>5482714.2794520939</v>
      </c>
      <c r="N76" s="64">
        <f t="shared" si="8"/>
        <v>4421543.7458520951</v>
      </c>
    </row>
    <row r="77" spans="1:14" x14ac:dyDescent="0.25">
      <c r="A77" s="61">
        <v>46142</v>
      </c>
      <c r="B77" s="30" t="s">
        <v>146</v>
      </c>
      <c r="C77" s="30"/>
      <c r="D77" s="63">
        <f t="shared" si="3"/>
        <v>10746030.537534297</v>
      </c>
      <c r="E77" s="63">
        <f t="shared" si="14"/>
        <v>10746030.537534297</v>
      </c>
      <c r="F77" s="122">
        <f t="shared" si="15"/>
        <v>223875.64</v>
      </c>
      <c r="G77" s="63">
        <f t="shared" si="5"/>
        <v>-5373015.3600000003</v>
      </c>
      <c r="H77" s="63">
        <f t="shared" si="12"/>
        <v>-4029761.5200000014</v>
      </c>
      <c r="I77" s="63">
        <f t="shared" si="13"/>
        <v>6716269.0175342951</v>
      </c>
      <c r="J77" s="63">
        <f t="shared" si="1"/>
        <v>47013.884400000003</v>
      </c>
      <c r="K77" s="68">
        <f t="shared" si="2"/>
        <v>-1128333.1872822007</v>
      </c>
      <c r="L77" s="63">
        <f t="shared" si="7"/>
        <v>-1410416.4936822013</v>
      </c>
      <c r="M77" s="69">
        <f t="shared" si="11"/>
        <v>5305852.5238520941</v>
      </c>
      <c r="N77" s="64">
        <f t="shared" si="8"/>
        <v>4244681.9902520953</v>
      </c>
    </row>
    <row r="78" spans="1:14" x14ac:dyDescent="0.25">
      <c r="A78" s="61">
        <v>46173</v>
      </c>
      <c r="B78" s="30" t="s">
        <v>146</v>
      </c>
      <c r="C78" s="30"/>
      <c r="D78" s="63">
        <f t="shared" si="3"/>
        <v>10746030.537534297</v>
      </c>
      <c r="E78" s="63">
        <f t="shared" si="14"/>
        <v>10746030.537534297</v>
      </c>
      <c r="F78" s="122">
        <f t="shared" si="15"/>
        <v>223875.64</v>
      </c>
      <c r="G78" s="63">
        <f t="shared" si="5"/>
        <v>-5596891</v>
      </c>
      <c r="H78" s="63">
        <f t="shared" si="12"/>
        <v>-4253637.1600000011</v>
      </c>
      <c r="I78" s="63">
        <f t="shared" si="13"/>
        <v>6492393.3775342954</v>
      </c>
      <c r="J78" s="63">
        <f t="shared" si="1"/>
        <v>47013.884400000003</v>
      </c>
      <c r="K78" s="68">
        <f t="shared" si="2"/>
        <v>-1081319.3028822006</v>
      </c>
      <c r="L78" s="63">
        <f t="shared" si="7"/>
        <v>-1363402.6092822014</v>
      </c>
      <c r="M78" s="69">
        <f t="shared" si="11"/>
        <v>5128990.7682520943</v>
      </c>
      <c r="N78" s="64">
        <f t="shared" si="8"/>
        <v>4067820.2346520959</v>
      </c>
    </row>
    <row r="79" spans="1:14" x14ac:dyDescent="0.25">
      <c r="A79" s="61">
        <v>46203</v>
      </c>
      <c r="B79" s="30" t="s">
        <v>146</v>
      </c>
      <c r="D79" s="63">
        <f t="shared" si="3"/>
        <v>10746030.537534297</v>
      </c>
      <c r="E79" s="63">
        <f t="shared" si="14"/>
        <v>10746030.537534297</v>
      </c>
      <c r="F79" s="122">
        <f t="shared" si="15"/>
        <v>223875.64</v>
      </c>
      <c r="G79" s="63">
        <f t="shared" si="5"/>
        <v>-5820766.6399999997</v>
      </c>
      <c r="H79" s="63">
        <f t="shared" si="12"/>
        <v>-4477512.8000000007</v>
      </c>
      <c r="I79" s="63">
        <f t="shared" si="13"/>
        <v>6268517.7375342958</v>
      </c>
      <c r="J79" s="63">
        <f t="shared" si="1"/>
        <v>47013.884400000003</v>
      </c>
      <c r="K79" s="68">
        <f t="shared" si="2"/>
        <v>-1034305.4184822006</v>
      </c>
      <c r="L79" s="63">
        <f t="shared" si="7"/>
        <v>-1316388.7248822011</v>
      </c>
      <c r="M79" s="63">
        <f t="shared" si="11"/>
        <v>4952129.0126520945</v>
      </c>
      <c r="N79" s="64">
        <f t="shared" si="8"/>
        <v>3890958.4790520961</v>
      </c>
    </row>
    <row r="80" spans="1:14" x14ac:dyDescent="0.25">
      <c r="A80" s="61">
        <v>46234</v>
      </c>
      <c r="B80" s="30" t="s">
        <v>146</v>
      </c>
      <c r="D80" s="63">
        <f t="shared" si="3"/>
        <v>10746030.537534297</v>
      </c>
      <c r="E80" s="63">
        <f t="shared" si="14"/>
        <v>10746030.537534297</v>
      </c>
      <c r="F80" s="122">
        <f t="shared" si="15"/>
        <v>223875.64</v>
      </c>
      <c r="G80" s="63">
        <f t="shared" si="5"/>
        <v>-6044642.2799999993</v>
      </c>
      <c r="H80" s="63">
        <f t="shared" si="12"/>
        <v>-4701388.4400000004</v>
      </c>
      <c r="I80" s="63">
        <f t="shared" si="13"/>
        <v>6044642.0975342961</v>
      </c>
      <c r="J80" s="63">
        <f t="shared" si="1"/>
        <v>47013.884400000003</v>
      </c>
      <c r="K80" s="68">
        <f t="shared" si="2"/>
        <v>-987291.53408220061</v>
      </c>
      <c r="L80" s="63">
        <f t="shared" si="7"/>
        <v>-1269374.8404822012</v>
      </c>
      <c r="M80" s="63">
        <f t="shared" si="11"/>
        <v>4775267.2570520947</v>
      </c>
      <c r="N80" s="64">
        <f t="shared" si="8"/>
        <v>3714096.7234520968</v>
      </c>
    </row>
    <row r="81" spans="1:14" x14ac:dyDescent="0.25">
      <c r="A81" s="61">
        <v>46265</v>
      </c>
      <c r="B81" s="30" t="s">
        <v>146</v>
      </c>
      <c r="D81" s="63">
        <f t="shared" si="3"/>
        <v>10746030.537534297</v>
      </c>
      <c r="E81" s="63">
        <f t="shared" si="14"/>
        <v>10746030.537534297</v>
      </c>
      <c r="F81" s="122">
        <f t="shared" si="15"/>
        <v>223875.64</v>
      </c>
      <c r="G81" s="63">
        <f t="shared" si="5"/>
        <v>-6268517.919999999</v>
      </c>
      <c r="H81" s="63">
        <f t="shared" si="12"/>
        <v>-4925264.080000001</v>
      </c>
      <c r="I81" s="63">
        <f t="shared" si="13"/>
        <v>5820766.4575342955</v>
      </c>
      <c r="J81" s="63">
        <f t="shared" si="1"/>
        <v>47013.884400000003</v>
      </c>
      <c r="K81" s="68">
        <f t="shared" si="2"/>
        <v>-940277.64968220063</v>
      </c>
      <c r="L81" s="63">
        <f t="shared" si="7"/>
        <v>-1222360.9560822009</v>
      </c>
      <c r="M81" s="63">
        <f t="shared" si="11"/>
        <v>4598405.5014520949</v>
      </c>
      <c r="N81" s="64">
        <f t="shared" si="8"/>
        <v>3537234.967852097</v>
      </c>
    </row>
    <row r="82" spans="1:14" x14ac:dyDescent="0.25">
      <c r="A82" s="61">
        <v>46295</v>
      </c>
      <c r="B82" s="30" t="s">
        <v>146</v>
      </c>
      <c r="D82" s="63">
        <f t="shared" si="3"/>
        <v>10746030.537534297</v>
      </c>
      <c r="E82" s="63">
        <f t="shared" si="14"/>
        <v>10746030.537534297</v>
      </c>
      <c r="F82" s="122">
        <f t="shared" si="15"/>
        <v>223875.64</v>
      </c>
      <c r="G82" s="63">
        <f t="shared" si="5"/>
        <v>-6492393.5599999987</v>
      </c>
      <c r="H82" s="63">
        <f t="shared" si="12"/>
        <v>-5149139.7200000007</v>
      </c>
      <c r="I82" s="63">
        <f t="shared" si="13"/>
        <v>5596890.8175342958</v>
      </c>
      <c r="J82" s="63">
        <f t="shared" si="1"/>
        <v>47013.884400000003</v>
      </c>
      <c r="K82" s="68">
        <f t="shared" si="2"/>
        <v>-893263.76528220065</v>
      </c>
      <c r="L82" s="63">
        <f t="shared" si="7"/>
        <v>-1175347.071682201</v>
      </c>
      <c r="M82" s="63">
        <f t="shared" si="11"/>
        <v>4421543.7458520951</v>
      </c>
      <c r="N82" s="64">
        <f t="shared" si="8"/>
        <v>3360373.2122520972</v>
      </c>
    </row>
    <row r="83" spans="1:14" ht="13.8" thickBot="1" x14ac:dyDescent="0.3">
      <c r="A83" s="61">
        <v>46326</v>
      </c>
      <c r="B83" s="30" t="s">
        <v>146</v>
      </c>
      <c r="D83" s="63">
        <f t="shared" si="3"/>
        <v>10746030.537534297</v>
      </c>
      <c r="E83" s="63">
        <f t="shared" si="14"/>
        <v>10746030.537534297</v>
      </c>
      <c r="F83" s="122">
        <f t="shared" si="15"/>
        <v>223875.64</v>
      </c>
      <c r="G83" s="63">
        <f t="shared" si="5"/>
        <v>-6716269.1999999983</v>
      </c>
      <c r="H83" s="63">
        <f t="shared" si="12"/>
        <v>-5373015.3600000003</v>
      </c>
      <c r="I83" s="63">
        <f t="shared" si="13"/>
        <v>5373015.1775342962</v>
      </c>
      <c r="J83" s="63">
        <f t="shared" si="1"/>
        <v>47013.884400000003</v>
      </c>
      <c r="K83" s="68">
        <f t="shared" si="2"/>
        <v>-846249.88088220067</v>
      </c>
      <c r="L83" s="63">
        <f t="shared" si="7"/>
        <v>-1128333.1872822009</v>
      </c>
      <c r="M83" s="63">
        <f t="shared" si="11"/>
        <v>4244681.9902520953</v>
      </c>
      <c r="N83" s="64">
        <f t="shared" si="8"/>
        <v>3183511.4566520974</v>
      </c>
    </row>
    <row r="84" spans="1:14" x14ac:dyDescent="0.25">
      <c r="A84" s="134">
        <v>46356</v>
      </c>
      <c r="B84" s="141" t="s">
        <v>147</v>
      </c>
      <c r="C84" s="141"/>
      <c r="D84" s="136">
        <f t="shared" si="3"/>
        <v>10746030.537534297</v>
      </c>
      <c r="E84" s="136">
        <f t="shared" si="14"/>
        <v>10746030.537534297</v>
      </c>
      <c r="F84" s="148">
        <f t="shared" si="15"/>
        <v>223875.64</v>
      </c>
      <c r="G84" s="136">
        <f t="shared" si="5"/>
        <v>-6940144.839999998</v>
      </c>
      <c r="H84" s="136">
        <f t="shared" si="12"/>
        <v>-5596891</v>
      </c>
      <c r="I84" s="136">
        <f t="shared" si="13"/>
        <v>5149139.5375342965</v>
      </c>
      <c r="J84" s="136">
        <f t="shared" si="1"/>
        <v>47013.884400000003</v>
      </c>
      <c r="K84" s="138">
        <f t="shared" si="2"/>
        <v>-799235.99648220069</v>
      </c>
      <c r="L84" s="136">
        <f t="shared" si="7"/>
        <v>-1081319.3028822008</v>
      </c>
      <c r="M84" s="136">
        <f t="shared" si="11"/>
        <v>4067820.2346520955</v>
      </c>
      <c r="N84" s="140">
        <f t="shared" si="8"/>
        <v>3006649.7010520976</v>
      </c>
    </row>
    <row r="85" spans="1:14" x14ac:dyDescent="0.25">
      <c r="A85" s="61">
        <v>46387</v>
      </c>
      <c r="B85" s="66" t="s">
        <v>147</v>
      </c>
      <c r="D85" s="63">
        <f t="shared" si="3"/>
        <v>10746030.537534297</v>
      </c>
      <c r="E85" s="63">
        <f t="shared" si="14"/>
        <v>10746030.537534297</v>
      </c>
      <c r="F85" s="122">
        <f t="shared" si="15"/>
        <v>223875.64</v>
      </c>
      <c r="G85" s="63">
        <f t="shared" si="5"/>
        <v>-7164020.4799999977</v>
      </c>
      <c r="H85" s="63">
        <f t="shared" si="12"/>
        <v>-5820766.6399999997</v>
      </c>
      <c r="I85" s="63">
        <f t="shared" si="13"/>
        <v>4925263.8975342968</v>
      </c>
      <c r="J85" s="63">
        <f t="shared" si="1"/>
        <v>47013.884400000003</v>
      </c>
      <c r="K85" s="68">
        <f t="shared" si="2"/>
        <v>-752222.11208220071</v>
      </c>
      <c r="L85" s="63">
        <f t="shared" si="7"/>
        <v>-1034305.4184822007</v>
      </c>
      <c r="M85" s="63">
        <f t="shared" si="11"/>
        <v>3890958.4790520961</v>
      </c>
      <c r="N85" s="64">
        <f t="shared" si="8"/>
        <v>2829787.9454520983</v>
      </c>
    </row>
    <row r="86" spans="1:14" s="328" customFormat="1" x14ac:dyDescent="0.25">
      <c r="A86" s="323">
        <v>46418</v>
      </c>
      <c r="B86" s="324" t="s">
        <v>147</v>
      </c>
      <c r="C86" s="324"/>
      <c r="D86" s="199">
        <f t="shared" si="3"/>
        <v>10746030.537534297</v>
      </c>
      <c r="E86" s="199">
        <f t="shared" si="14"/>
        <v>10746030.537534297</v>
      </c>
      <c r="F86" s="325">
        <f t="shared" si="15"/>
        <v>223875.64</v>
      </c>
      <c r="G86" s="199">
        <f t="shared" si="5"/>
        <v>-7387896.1199999973</v>
      </c>
      <c r="H86" s="199">
        <f t="shared" si="12"/>
        <v>-6044642.2799999984</v>
      </c>
      <c r="I86" s="199">
        <f t="shared" si="13"/>
        <v>4701388.2575342981</v>
      </c>
      <c r="J86" s="199">
        <f t="shared" si="1"/>
        <v>47013.884400000003</v>
      </c>
      <c r="K86" s="326">
        <f t="shared" si="2"/>
        <v>-705208.22768220073</v>
      </c>
      <c r="L86" s="199">
        <f t="shared" si="7"/>
        <v>-987291.53408220049</v>
      </c>
      <c r="M86" s="199">
        <f t="shared" si="11"/>
        <v>3714096.7234520977</v>
      </c>
      <c r="N86" s="327">
        <f t="shared" si="8"/>
        <v>2652926.1898520985</v>
      </c>
    </row>
    <row r="87" spans="1:14" x14ac:dyDescent="0.25">
      <c r="A87" s="61">
        <v>46446</v>
      </c>
      <c r="B87" s="66" t="s">
        <v>147</v>
      </c>
      <c r="D87" s="63">
        <f t="shared" si="3"/>
        <v>10746030.537534297</v>
      </c>
      <c r="E87" s="63">
        <f t="shared" si="14"/>
        <v>10746030.537534297</v>
      </c>
      <c r="F87" s="122">
        <f t="shared" si="15"/>
        <v>223875.64</v>
      </c>
      <c r="G87" s="63">
        <f t="shared" si="5"/>
        <v>-7611771.759999997</v>
      </c>
      <c r="H87" s="63">
        <f t="shared" si="12"/>
        <v>-6268517.919999999</v>
      </c>
      <c r="I87" s="63">
        <f t="shared" si="13"/>
        <v>4477512.6175342975</v>
      </c>
      <c r="J87" s="63">
        <f t="shared" si="1"/>
        <v>47013.884400000003</v>
      </c>
      <c r="K87" s="68">
        <f t="shared" si="2"/>
        <v>-658194.34328220075</v>
      </c>
      <c r="L87" s="63">
        <f t="shared" si="7"/>
        <v>-940277.64968220063</v>
      </c>
      <c r="M87" s="63">
        <f t="shared" si="11"/>
        <v>3537234.967852097</v>
      </c>
      <c r="N87" s="64">
        <f t="shared" si="8"/>
        <v>2476064.4342520987</v>
      </c>
    </row>
    <row r="88" spans="1:14" x14ac:dyDescent="0.25">
      <c r="A88" s="61">
        <v>46477</v>
      </c>
      <c r="B88" s="66" t="s">
        <v>147</v>
      </c>
      <c r="D88" s="63">
        <f t="shared" si="3"/>
        <v>10746030.537534297</v>
      </c>
      <c r="E88" s="63">
        <f t="shared" si="14"/>
        <v>10746030.537534297</v>
      </c>
      <c r="F88" s="122">
        <f t="shared" si="15"/>
        <v>223875.64</v>
      </c>
      <c r="G88" s="63">
        <f t="shared" si="5"/>
        <v>-7835647.3999999966</v>
      </c>
      <c r="H88" s="63">
        <f t="shared" si="12"/>
        <v>-6492393.5599999987</v>
      </c>
      <c r="I88" s="63">
        <f t="shared" si="13"/>
        <v>4253636.9775342979</v>
      </c>
      <c r="J88" s="63">
        <f t="shared" ref="J88:J107" si="16">(-C88*0.21)+(F88*0.21)</f>
        <v>47013.884400000003</v>
      </c>
      <c r="K88" s="68">
        <f t="shared" ref="K88:K107" si="17">K87+J88</f>
        <v>-611180.45888220076</v>
      </c>
      <c r="L88" s="63">
        <f t="shared" si="7"/>
        <v>-893263.76528220065</v>
      </c>
      <c r="M88" s="63">
        <f t="shared" si="11"/>
        <v>3360373.2122520972</v>
      </c>
      <c r="N88" s="64">
        <f t="shared" si="8"/>
        <v>2299202.6786520993</v>
      </c>
    </row>
    <row r="89" spans="1:14" x14ac:dyDescent="0.25">
      <c r="A89" s="61">
        <v>46507</v>
      </c>
      <c r="B89" s="66" t="s">
        <v>147</v>
      </c>
      <c r="D89" s="63">
        <f t="shared" ref="D89:D107" si="18">D88+C89</f>
        <v>10746030.537534297</v>
      </c>
      <c r="E89" s="63">
        <f t="shared" si="14"/>
        <v>10746030.537534297</v>
      </c>
      <c r="F89" s="122">
        <f t="shared" si="15"/>
        <v>223875.64</v>
      </c>
      <c r="G89" s="63">
        <f t="shared" si="5"/>
        <v>-8059523.0399999963</v>
      </c>
      <c r="H89" s="63">
        <f t="shared" si="12"/>
        <v>-6716269.1999999983</v>
      </c>
      <c r="I89" s="63">
        <f t="shared" si="13"/>
        <v>4029761.3375342982</v>
      </c>
      <c r="J89" s="63">
        <f t="shared" si="16"/>
        <v>47013.884400000003</v>
      </c>
      <c r="K89" s="68">
        <f t="shared" si="17"/>
        <v>-564166.57448220078</v>
      </c>
      <c r="L89" s="63">
        <f t="shared" si="7"/>
        <v>-846249.88088220078</v>
      </c>
      <c r="M89" s="63">
        <f t="shared" si="11"/>
        <v>3183511.4566520974</v>
      </c>
      <c r="N89" s="64">
        <f t="shared" si="8"/>
        <v>2122340.9230520995</v>
      </c>
    </row>
    <row r="90" spans="1:14" x14ac:dyDescent="0.25">
      <c r="A90" s="61">
        <v>46538</v>
      </c>
      <c r="B90" s="66" t="s">
        <v>147</v>
      </c>
      <c r="D90" s="63">
        <f t="shared" si="18"/>
        <v>10746030.537534297</v>
      </c>
      <c r="E90" s="63">
        <f t="shared" si="14"/>
        <v>10746030.537534297</v>
      </c>
      <c r="F90" s="122">
        <f t="shared" si="15"/>
        <v>223875.64</v>
      </c>
      <c r="G90" s="63">
        <f t="shared" si="5"/>
        <v>-8283398.679999996</v>
      </c>
      <c r="H90" s="63">
        <f t="shared" si="12"/>
        <v>-6940144.8399999971</v>
      </c>
      <c r="I90" s="63">
        <f t="shared" si="13"/>
        <v>3805885.6975342995</v>
      </c>
      <c r="J90" s="63">
        <f t="shared" si="16"/>
        <v>47013.884400000003</v>
      </c>
      <c r="K90" s="68">
        <f t="shared" si="17"/>
        <v>-517152.6900822008</v>
      </c>
      <c r="L90" s="63">
        <f t="shared" si="7"/>
        <v>-799235.9964822008</v>
      </c>
      <c r="M90" s="63">
        <f t="shared" si="11"/>
        <v>3006649.7010520985</v>
      </c>
      <c r="N90" s="64">
        <f t="shared" si="8"/>
        <v>1945479.1674520997</v>
      </c>
    </row>
    <row r="91" spans="1:14" x14ac:dyDescent="0.25">
      <c r="A91" s="61">
        <v>46568</v>
      </c>
      <c r="B91" s="66" t="s">
        <v>147</v>
      </c>
      <c r="D91" s="63">
        <f t="shared" si="18"/>
        <v>10746030.537534297</v>
      </c>
      <c r="E91" s="63">
        <f t="shared" si="14"/>
        <v>10746030.537534297</v>
      </c>
      <c r="F91" s="122">
        <f t="shared" si="15"/>
        <v>223875.64</v>
      </c>
      <c r="G91" s="63">
        <f t="shared" ref="G91:G107" si="19">G90-F91</f>
        <v>-8507274.3199999966</v>
      </c>
      <c r="H91" s="63">
        <f t="shared" si="12"/>
        <v>-7164020.4799999977</v>
      </c>
      <c r="I91" s="63">
        <f t="shared" si="13"/>
        <v>3582010.0575342989</v>
      </c>
      <c r="J91" s="63">
        <f t="shared" si="16"/>
        <v>47013.884400000003</v>
      </c>
      <c r="K91" s="68">
        <f t="shared" si="17"/>
        <v>-470138.80568220082</v>
      </c>
      <c r="L91" s="63">
        <f t="shared" ref="L91:L97" si="20">(K79+K91+SUM(K80:K90)*2)/24</f>
        <v>-752222.11208220059</v>
      </c>
      <c r="M91" s="63">
        <f t="shared" si="11"/>
        <v>2829787.9454520983</v>
      </c>
      <c r="N91" s="64">
        <f t="shared" ref="N91:N107" si="21">+D91+G91+K91</f>
        <v>1768617.411852099</v>
      </c>
    </row>
    <row r="92" spans="1:14" x14ac:dyDescent="0.25">
      <c r="A92" s="61">
        <v>46599</v>
      </c>
      <c r="B92" s="66" t="s">
        <v>147</v>
      </c>
      <c r="D92" s="63">
        <f t="shared" si="18"/>
        <v>10746030.537534297</v>
      </c>
      <c r="E92" s="63">
        <f t="shared" si="14"/>
        <v>10746030.537534297</v>
      </c>
      <c r="F92" s="122">
        <f t="shared" si="15"/>
        <v>223875.64</v>
      </c>
      <c r="G92" s="63">
        <f t="shared" si="19"/>
        <v>-8731149.9599999972</v>
      </c>
      <c r="H92" s="63">
        <f t="shared" si="12"/>
        <v>-7387896.1199999982</v>
      </c>
      <c r="I92" s="63">
        <f t="shared" si="13"/>
        <v>3358134.4175342983</v>
      </c>
      <c r="J92" s="63">
        <f t="shared" si="16"/>
        <v>47013.884400000003</v>
      </c>
      <c r="K92" s="68">
        <f t="shared" si="17"/>
        <v>-423124.92128220084</v>
      </c>
      <c r="L92" s="63">
        <f t="shared" si="20"/>
        <v>-705208.22768220073</v>
      </c>
      <c r="M92" s="63">
        <f t="shared" si="11"/>
        <v>2652926.1898520975</v>
      </c>
      <c r="N92" s="64">
        <f t="shared" si="21"/>
        <v>1591755.6562520985</v>
      </c>
    </row>
    <row r="93" spans="1:14" x14ac:dyDescent="0.25">
      <c r="A93" s="61">
        <v>46630</v>
      </c>
      <c r="B93" s="66" t="s">
        <v>147</v>
      </c>
      <c r="D93" s="63">
        <f t="shared" si="18"/>
        <v>10746030.537534297</v>
      </c>
      <c r="E93" s="63">
        <f t="shared" si="14"/>
        <v>10746030.537534297</v>
      </c>
      <c r="F93" s="122">
        <f t="shared" si="15"/>
        <v>223875.64</v>
      </c>
      <c r="G93" s="63">
        <f t="shared" si="19"/>
        <v>-8955025.5999999978</v>
      </c>
      <c r="H93" s="63">
        <f t="shared" si="12"/>
        <v>-7611771.7599999979</v>
      </c>
      <c r="I93" s="63">
        <f t="shared" si="13"/>
        <v>3134258.7775342986</v>
      </c>
      <c r="J93" s="63">
        <f t="shared" si="16"/>
        <v>47013.884400000003</v>
      </c>
      <c r="K93" s="68">
        <f t="shared" si="17"/>
        <v>-376111.03688220086</v>
      </c>
      <c r="L93" s="63">
        <f t="shared" si="20"/>
        <v>-658194.34328220075</v>
      </c>
      <c r="M93" s="63">
        <f t="shared" si="11"/>
        <v>2476064.4342520977</v>
      </c>
      <c r="N93" s="64">
        <f t="shared" si="21"/>
        <v>1414893.900652098</v>
      </c>
    </row>
    <row r="94" spans="1:14" x14ac:dyDescent="0.25">
      <c r="A94" s="61">
        <v>46660</v>
      </c>
      <c r="B94" s="66" t="s">
        <v>147</v>
      </c>
      <c r="D94" s="63">
        <f t="shared" si="18"/>
        <v>10746030.537534297</v>
      </c>
      <c r="E94" s="63">
        <f t="shared" si="14"/>
        <v>10746030.537534297</v>
      </c>
      <c r="F94" s="122">
        <f t="shared" si="15"/>
        <v>223875.64</v>
      </c>
      <c r="G94" s="63">
        <f t="shared" si="19"/>
        <v>-9178901.2399999984</v>
      </c>
      <c r="H94" s="63">
        <f t="shared" si="12"/>
        <v>-7835647.3999999957</v>
      </c>
      <c r="I94" s="63">
        <f t="shared" si="13"/>
        <v>2910383.1375343008</v>
      </c>
      <c r="J94" s="63">
        <f t="shared" si="16"/>
        <v>47013.884400000003</v>
      </c>
      <c r="K94" s="68">
        <f t="shared" si="17"/>
        <v>-329097.15248220088</v>
      </c>
      <c r="L94" s="63">
        <f t="shared" si="20"/>
        <v>-611180.45888220076</v>
      </c>
      <c r="M94" s="63">
        <f t="shared" si="11"/>
        <v>2299202.6786521003</v>
      </c>
      <c r="N94" s="64">
        <f t="shared" si="21"/>
        <v>1238032.1450520973</v>
      </c>
    </row>
    <row r="95" spans="1:14" ht="13.8" thickBot="1" x14ac:dyDescent="0.3">
      <c r="A95" s="61">
        <v>46691</v>
      </c>
      <c r="B95" s="30" t="s">
        <v>147</v>
      </c>
      <c r="D95" s="63">
        <f t="shared" si="18"/>
        <v>10746030.537534297</v>
      </c>
      <c r="E95" s="63">
        <f t="shared" si="14"/>
        <v>10746030.537534297</v>
      </c>
      <c r="F95" s="122">
        <f t="shared" si="15"/>
        <v>223875.64</v>
      </c>
      <c r="G95" s="63">
        <f t="shared" si="19"/>
        <v>-9402776.879999999</v>
      </c>
      <c r="H95" s="63">
        <f t="shared" si="12"/>
        <v>-8059523.0399999963</v>
      </c>
      <c r="I95" s="63">
        <f t="shared" si="13"/>
        <v>2686507.4975343002</v>
      </c>
      <c r="J95" s="63">
        <f t="shared" si="16"/>
        <v>47013.884400000003</v>
      </c>
      <c r="K95" s="68">
        <f t="shared" si="17"/>
        <v>-282083.2680822009</v>
      </c>
      <c r="L95" s="63">
        <f t="shared" si="20"/>
        <v>-564166.57448220078</v>
      </c>
      <c r="M95" s="63">
        <f t="shared" si="11"/>
        <v>2122340.9230520995</v>
      </c>
      <c r="N95" s="64">
        <f t="shared" si="21"/>
        <v>1061170.3894520965</v>
      </c>
    </row>
    <row r="96" spans="1:14" x14ac:dyDescent="0.25">
      <c r="A96" s="134">
        <v>46721</v>
      </c>
      <c r="B96" s="141" t="s">
        <v>148</v>
      </c>
      <c r="C96" s="141"/>
      <c r="D96" s="136">
        <f t="shared" si="18"/>
        <v>10746030.537534297</v>
      </c>
      <c r="E96" s="136">
        <f t="shared" si="14"/>
        <v>10746030.537534297</v>
      </c>
      <c r="F96" s="148">
        <f t="shared" si="15"/>
        <v>223875.64</v>
      </c>
      <c r="G96" s="136">
        <f t="shared" si="19"/>
        <v>-9626652.5199999996</v>
      </c>
      <c r="H96" s="136">
        <f t="shared" si="12"/>
        <v>-8283398.679999996</v>
      </c>
      <c r="I96" s="136">
        <f t="shared" si="13"/>
        <v>2462631.8575343005</v>
      </c>
      <c r="J96" s="136">
        <f t="shared" si="16"/>
        <v>47013.884400000003</v>
      </c>
      <c r="K96" s="138">
        <f t="shared" si="17"/>
        <v>-235069.38368220089</v>
      </c>
      <c r="L96" s="136">
        <f t="shared" si="20"/>
        <v>-517152.6900822008</v>
      </c>
      <c r="M96" s="136">
        <f t="shared" si="11"/>
        <v>1945479.1674520997</v>
      </c>
      <c r="N96" s="140">
        <f t="shared" si="21"/>
        <v>884308.63385209604</v>
      </c>
    </row>
    <row r="97" spans="1:14" x14ac:dyDescent="0.25">
      <c r="A97" s="61">
        <v>46752</v>
      </c>
      <c r="B97" s="66" t="s">
        <v>148</v>
      </c>
      <c r="D97" s="63">
        <f t="shared" si="18"/>
        <v>10746030.537534297</v>
      </c>
      <c r="E97" s="63">
        <f t="shared" si="14"/>
        <v>10746030.537534297</v>
      </c>
      <c r="F97" s="122">
        <f t="shared" si="15"/>
        <v>223875.64</v>
      </c>
      <c r="G97" s="63">
        <f t="shared" si="19"/>
        <v>-9850528.1600000001</v>
      </c>
      <c r="H97" s="63">
        <f t="shared" si="12"/>
        <v>-8507274.3199999947</v>
      </c>
      <c r="I97" s="63">
        <f t="shared" si="13"/>
        <v>2238756.2175343018</v>
      </c>
      <c r="J97" s="63">
        <f t="shared" si="16"/>
        <v>47013.884400000003</v>
      </c>
      <c r="K97" s="68">
        <f t="shared" si="17"/>
        <v>-188055.49928220088</v>
      </c>
      <c r="L97" s="63">
        <f t="shared" si="20"/>
        <v>-470138.80568220088</v>
      </c>
      <c r="M97" s="63">
        <f t="shared" si="11"/>
        <v>1768617.4118521009</v>
      </c>
      <c r="N97" s="64">
        <f t="shared" si="21"/>
        <v>707446.87825209554</v>
      </c>
    </row>
    <row r="98" spans="1:14" x14ac:dyDescent="0.25">
      <c r="A98" s="61">
        <v>46783</v>
      </c>
      <c r="B98" s="66" t="s">
        <v>148</v>
      </c>
      <c r="D98" s="63">
        <f t="shared" si="18"/>
        <v>10746030.537534297</v>
      </c>
      <c r="E98" s="63">
        <f t="shared" ref="E98:E102" si="22">(D86+D98+SUM(D87:D97)*2)/24</f>
        <v>10746030.537534297</v>
      </c>
      <c r="F98" s="122">
        <f t="shared" si="15"/>
        <v>223875.64</v>
      </c>
      <c r="G98" s="63">
        <f t="shared" si="19"/>
        <v>-10074403.800000001</v>
      </c>
      <c r="H98" s="63">
        <f t="shared" ref="H98:H102" si="23">(G86+G98+SUM(G87:G97)*2)/24</f>
        <v>-8731149.9599999953</v>
      </c>
      <c r="I98" s="63">
        <f t="shared" si="13"/>
        <v>2014880.5775343012</v>
      </c>
      <c r="J98" s="63">
        <f t="shared" si="16"/>
        <v>47013.884400000003</v>
      </c>
      <c r="K98" s="68">
        <f t="shared" si="17"/>
        <v>-141041.61488220087</v>
      </c>
      <c r="L98" s="63">
        <f t="shared" ref="L98:L107" si="24">(K86+K98+SUM(K87:K97)*2)/24</f>
        <v>-423124.92128220078</v>
      </c>
      <c r="M98" s="63">
        <f t="shared" si="11"/>
        <v>1591755.6562521004</v>
      </c>
      <c r="N98" s="64">
        <f t="shared" si="21"/>
        <v>530585.12265209493</v>
      </c>
    </row>
    <row r="99" spans="1:14" x14ac:dyDescent="0.25">
      <c r="A99" s="61">
        <v>46812</v>
      </c>
      <c r="B99" s="66" t="s">
        <v>148</v>
      </c>
      <c r="D99" s="63">
        <f t="shared" si="18"/>
        <v>10746030.537534297</v>
      </c>
      <c r="E99" s="63">
        <f t="shared" si="22"/>
        <v>10746030.537534297</v>
      </c>
      <c r="F99" s="122">
        <f t="shared" si="15"/>
        <v>223875.64</v>
      </c>
      <c r="G99" s="63">
        <f t="shared" si="19"/>
        <v>-10298279.440000001</v>
      </c>
      <c r="H99" s="63">
        <f t="shared" si="23"/>
        <v>-8955025.5999999959</v>
      </c>
      <c r="I99" s="63">
        <f t="shared" si="13"/>
        <v>1791004.9375343006</v>
      </c>
      <c r="J99" s="63">
        <f t="shared" si="16"/>
        <v>47013.884400000003</v>
      </c>
      <c r="K99" s="68">
        <f t="shared" si="17"/>
        <v>-94027.730482200859</v>
      </c>
      <c r="L99" s="63">
        <f t="shared" si="24"/>
        <v>-376111.0368822008</v>
      </c>
      <c r="M99" s="63">
        <f t="shared" si="11"/>
        <v>1414893.9006520999</v>
      </c>
      <c r="N99" s="64">
        <f t="shared" si="21"/>
        <v>353723.36705209431</v>
      </c>
    </row>
    <row r="100" spans="1:14" x14ac:dyDescent="0.25">
      <c r="A100" s="61">
        <v>46843</v>
      </c>
      <c r="B100" s="66" t="s">
        <v>148</v>
      </c>
      <c r="D100" s="63">
        <f t="shared" si="18"/>
        <v>10746030.537534297</v>
      </c>
      <c r="E100" s="63">
        <f t="shared" si="22"/>
        <v>10746030.537534297</v>
      </c>
      <c r="F100" s="122">
        <f t="shared" si="15"/>
        <v>223875.64</v>
      </c>
      <c r="G100" s="63">
        <f t="shared" si="19"/>
        <v>-10522155.080000002</v>
      </c>
      <c r="H100" s="63">
        <f t="shared" si="23"/>
        <v>-9178901.2399999965</v>
      </c>
      <c r="I100" s="63">
        <f t="shared" si="13"/>
        <v>1567129.2975343</v>
      </c>
      <c r="J100" s="63">
        <f t="shared" si="16"/>
        <v>47013.884400000003</v>
      </c>
      <c r="K100" s="68">
        <f t="shared" si="17"/>
        <v>-47013.846082200856</v>
      </c>
      <c r="L100" s="63">
        <f t="shared" si="24"/>
        <v>-329097.15248220082</v>
      </c>
      <c r="M100" s="63">
        <f t="shared" si="11"/>
        <v>1238032.1450520991</v>
      </c>
      <c r="N100" s="64">
        <f t="shared" si="21"/>
        <v>176861.61145209373</v>
      </c>
    </row>
    <row r="101" spans="1:14" x14ac:dyDescent="0.25">
      <c r="A101" s="61">
        <v>46873</v>
      </c>
      <c r="B101" s="66" t="s">
        <v>148</v>
      </c>
      <c r="D101" s="63">
        <f t="shared" si="18"/>
        <v>10746030.537534297</v>
      </c>
      <c r="E101" s="63">
        <f t="shared" si="22"/>
        <v>10746030.537534297</v>
      </c>
      <c r="F101" s="122">
        <f t="shared" si="15"/>
        <v>223875.64</v>
      </c>
      <c r="G101" s="63">
        <f t="shared" si="19"/>
        <v>-10746030.720000003</v>
      </c>
      <c r="H101" s="63">
        <f t="shared" si="23"/>
        <v>-9402776.8799999971</v>
      </c>
      <c r="I101" s="63">
        <f t="shared" si="13"/>
        <v>1343253.6575342994</v>
      </c>
      <c r="J101" s="63">
        <f t="shared" si="16"/>
        <v>47013.884400000003</v>
      </c>
      <c r="K101" s="68">
        <f t="shared" si="17"/>
        <v>3.8317799146170728E-2</v>
      </c>
      <c r="L101" s="63">
        <f t="shared" si="24"/>
        <v>-282083.26808220084</v>
      </c>
      <c r="M101" s="63">
        <f t="shared" ref="M101:M107" si="25">L101+I101</f>
        <v>1061170.3894520986</v>
      </c>
      <c r="N101" s="64">
        <f t="shared" si="21"/>
        <v>-0.14414790687442292</v>
      </c>
    </row>
    <row r="102" spans="1:14" x14ac:dyDescent="0.25">
      <c r="A102" s="61">
        <v>46904</v>
      </c>
      <c r="B102" s="66" t="s">
        <v>148</v>
      </c>
      <c r="D102" s="63">
        <f t="shared" si="18"/>
        <v>10746030.537534297</v>
      </c>
      <c r="E102" s="63">
        <f t="shared" si="22"/>
        <v>10746030.537534297</v>
      </c>
      <c r="F102" s="122"/>
      <c r="G102" s="63">
        <f t="shared" si="19"/>
        <v>-10746030.720000003</v>
      </c>
      <c r="H102" s="63">
        <f t="shared" si="23"/>
        <v>-9617324.3683333304</v>
      </c>
      <c r="I102" s="63">
        <f t="shared" ref="I102:I107" si="26">E102+H102</f>
        <v>1128706.1692009661</v>
      </c>
      <c r="J102" s="63">
        <f t="shared" si="16"/>
        <v>0</v>
      </c>
      <c r="K102" s="68">
        <f t="shared" si="17"/>
        <v>3.8317799146170728E-2</v>
      </c>
      <c r="L102" s="63">
        <f t="shared" si="24"/>
        <v>-237028.29553220083</v>
      </c>
      <c r="M102" s="63">
        <f t="shared" si="25"/>
        <v>891677.8736687653</v>
      </c>
      <c r="N102" s="64">
        <f t="shared" si="21"/>
        <v>-0.14414790687442292</v>
      </c>
    </row>
    <row r="103" spans="1:14" x14ac:dyDescent="0.25">
      <c r="A103" s="61">
        <v>46934</v>
      </c>
      <c r="B103" s="66" t="s">
        <v>148</v>
      </c>
      <c r="D103" s="63">
        <f t="shared" si="18"/>
        <v>10746030.537534297</v>
      </c>
      <c r="E103" s="63">
        <f t="shared" ref="E103:E107" si="27">(D91+D103+SUM(D92:D102)*2)/24</f>
        <v>10746030.537534297</v>
      </c>
      <c r="F103" s="122"/>
      <c r="G103" s="63">
        <f t="shared" si="19"/>
        <v>-10746030.720000003</v>
      </c>
      <c r="H103" s="63">
        <f t="shared" ref="H103:H107" si="28">(G91+G103+SUM(G92:G102)*2)/24</f>
        <v>-9813215.5533333309</v>
      </c>
      <c r="I103" s="63">
        <f t="shared" si="26"/>
        <v>932814.98420096561</v>
      </c>
      <c r="J103" s="63">
        <f t="shared" si="16"/>
        <v>0</v>
      </c>
      <c r="K103" s="68">
        <f t="shared" si="17"/>
        <v>3.8317799146170728E-2</v>
      </c>
      <c r="L103" s="63">
        <f t="shared" si="24"/>
        <v>-195891.14668220087</v>
      </c>
      <c r="M103" s="63">
        <f t="shared" si="25"/>
        <v>736923.83751876478</v>
      </c>
      <c r="N103" s="64">
        <f t="shared" si="21"/>
        <v>-0.14414790687442292</v>
      </c>
    </row>
    <row r="104" spans="1:14" x14ac:dyDescent="0.25">
      <c r="A104" s="61">
        <v>46965</v>
      </c>
      <c r="B104" s="66" t="s">
        <v>148</v>
      </c>
      <c r="D104" s="63">
        <f t="shared" si="18"/>
        <v>10746030.537534297</v>
      </c>
      <c r="E104" s="63">
        <f t="shared" si="27"/>
        <v>10746030.537534297</v>
      </c>
      <c r="F104" s="122"/>
      <c r="G104" s="63">
        <f t="shared" si="19"/>
        <v>-10746030.720000003</v>
      </c>
      <c r="H104" s="63">
        <f t="shared" si="28"/>
        <v>-9990450.4349999987</v>
      </c>
      <c r="I104" s="63">
        <f t="shared" si="26"/>
        <v>755580.10253429785</v>
      </c>
      <c r="J104" s="63">
        <f t="shared" si="16"/>
        <v>0</v>
      </c>
      <c r="K104" s="68">
        <f t="shared" si="17"/>
        <v>3.8317799146170728E-2</v>
      </c>
      <c r="L104" s="63">
        <f t="shared" si="24"/>
        <v>-158671.82153220088</v>
      </c>
      <c r="M104" s="63">
        <f t="shared" si="25"/>
        <v>596908.28100209695</v>
      </c>
      <c r="N104" s="64">
        <f t="shared" si="21"/>
        <v>-0.14414790687442292</v>
      </c>
    </row>
    <row r="105" spans="1:14" x14ac:dyDescent="0.25">
      <c r="A105" s="61">
        <v>46996</v>
      </c>
      <c r="B105" s="66" t="s">
        <v>148</v>
      </c>
      <c r="D105" s="63">
        <f t="shared" si="18"/>
        <v>10746030.537534297</v>
      </c>
      <c r="E105" s="63">
        <f t="shared" si="27"/>
        <v>10746030.537534297</v>
      </c>
      <c r="F105" s="122"/>
      <c r="G105" s="63">
        <f t="shared" si="19"/>
        <v>-10746030.720000003</v>
      </c>
      <c r="H105" s="63">
        <f t="shared" si="28"/>
        <v>-10149029.013333332</v>
      </c>
      <c r="I105" s="63">
        <f t="shared" si="26"/>
        <v>597001.52420096472</v>
      </c>
      <c r="J105" s="63">
        <f t="shared" si="16"/>
        <v>0</v>
      </c>
      <c r="K105" s="68">
        <f t="shared" si="17"/>
        <v>3.8317799146170728E-2</v>
      </c>
      <c r="L105" s="63">
        <f t="shared" si="24"/>
        <v>-125370.32008220088</v>
      </c>
      <c r="M105" s="63">
        <f t="shared" si="25"/>
        <v>471631.20411876385</v>
      </c>
      <c r="N105" s="64">
        <f t="shared" si="21"/>
        <v>-0.14414790687442292</v>
      </c>
    </row>
    <row r="106" spans="1:14" x14ac:dyDescent="0.25">
      <c r="A106" s="61">
        <v>47026</v>
      </c>
      <c r="B106" s="66" t="s">
        <v>148</v>
      </c>
      <c r="D106" s="63">
        <f t="shared" si="18"/>
        <v>10746030.537534297</v>
      </c>
      <c r="E106" s="63">
        <f t="shared" si="27"/>
        <v>10746030.537534297</v>
      </c>
      <c r="F106" s="122"/>
      <c r="G106" s="63">
        <f t="shared" si="19"/>
        <v>-10746030.720000003</v>
      </c>
      <c r="H106" s="63">
        <f t="shared" si="28"/>
        <v>-10288951.288333332</v>
      </c>
      <c r="I106" s="63">
        <f t="shared" si="26"/>
        <v>457079.24920096435</v>
      </c>
      <c r="J106" s="63">
        <f t="shared" si="16"/>
        <v>0</v>
      </c>
      <c r="K106" s="68">
        <f t="shared" si="17"/>
        <v>3.8317799146170728E-2</v>
      </c>
      <c r="L106" s="63">
        <f t="shared" si="24"/>
        <v>-95986.642332200892</v>
      </c>
      <c r="M106" s="63">
        <f t="shared" si="25"/>
        <v>361092.60686876345</v>
      </c>
      <c r="N106" s="64">
        <f t="shared" si="21"/>
        <v>-0.14414790687442292</v>
      </c>
    </row>
    <row r="107" spans="1:14" x14ac:dyDescent="0.25">
      <c r="A107" s="70">
        <v>47057</v>
      </c>
      <c r="B107" s="71" t="s">
        <v>148</v>
      </c>
      <c r="C107" s="71"/>
      <c r="D107" s="72">
        <f t="shared" si="18"/>
        <v>10746030.537534297</v>
      </c>
      <c r="E107" s="72">
        <f t="shared" si="27"/>
        <v>10746030.537534297</v>
      </c>
      <c r="F107" s="123"/>
      <c r="G107" s="72">
        <f t="shared" si="19"/>
        <v>-10746030.720000003</v>
      </c>
      <c r="H107" s="72">
        <f t="shared" si="28"/>
        <v>-10410217.26</v>
      </c>
      <c r="I107" s="72">
        <f t="shared" si="26"/>
        <v>335813.27753429674</v>
      </c>
      <c r="J107" s="72">
        <f t="shared" si="16"/>
        <v>0</v>
      </c>
      <c r="K107" s="73">
        <f t="shared" si="17"/>
        <v>3.8317799146170728E-2</v>
      </c>
      <c r="L107" s="72">
        <f t="shared" si="24"/>
        <v>-70520.788282200883</v>
      </c>
      <c r="M107" s="72">
        <f t="shared" si="25"/>
        <v>265292.48925209587</v>
      </c>
      <c r="N107" s="74">
        <f t="shared" si="21"/>
        <v>-0.14414790687442292</v>
      </c>
    </row>
    <row r="108" spans="1:14" x14ac:dyDescent="0.25">
      <c r="A108" s="150"/>
      <c r="B108" s="151"/>
      <c r="C108" s="151"/>
      <c r="D108" s="152"/>
      <c r="E108" s="152"/>
      <c r="F108" s="153"/>
      <c r="G108" s="152"/>
      <c r="H108" s="152"/>
      <c r="I108" s="152"/>
      <c r="J108" s="152"/>
      <c r="K108" s="154"/>
      <c r="L108" s="152"/>
      <c r="M108" s="152"/>
      <c r="N108" s="155"/>
    </row>
    <row r="109" spans="1:14" x14ac:dyDescent="0.25">
      <c r="A109" s="30" t="s">
        <v>298</v>
      </c>
      <c r="F109" s="130">
        <f>SUM(F72:F83)</f>
        <v>2686507.6800000011</v>
      </c>
    </row>
    <row r="120" spans="8:8" x14ac:dyDescent="0.25">
      <c r="H120" s="66" t="s">
        <v>190</v>
      </c>
    </row>
  </sheetData>
  <printOptions horizontalCentered="1"/>
  <pageMargins left="0.2" right="0.2" top="0.25" bottom="0.5" header="0.3" footer="0.3"/>
  <pageSetup scale="76" firstPageNumber="6" fitToHeight="0" orientation="landscape" useFirstPageNumber="1" r:id="rId1"/>
  <headerFooter>
    <oddFooter>&amp;R&amp;"Times New Roman,Regular"Exh. SEF-3 page &amp;P of 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T111"/>
  <sheetViews>
    <sheetView zoomScale="95" zoomScaleNormal="95" workbookViewId="0">
      <pane xSplit="1" ySplit="9" topLeftCell="B44" activePane="bottomRight" state="frozen"/>
      <selection activeCell="C50" sqref="C50"/>
      <selection pane="topRight" activeCell="C50" sqref="C50"/>
      <selection pane="bottomLeft" activeCell="C50" sqref="C50"/>
      <selection pane="bottomRight" activeCell="C54" sqref="C54"/>
    </sheetView>
  </sheetViews>
  <sheetFormatPr defaultColWidth="9.109375" defaultRowHeight="13.2" outlineLevelRow="1" x14ac:dyDescent="0.25"/>
  <cols>
    <col min="1" max="1" width="17.33203125" style="30" customWidth="1"/>
    <col min="2" max="2" width="8.88671875" style="66" bestFit="1" customWidth="1"/>
    <col min="3" max="3" width="14.6640625" style="66" bestFit="1" customWidth="1"/>
    <col min="4" max="5" width="16.109375" style="66" bestFit="1" customWidth="1"/>
    <col min="6" max="6" width="13.33203125" style="66" bestFit="1" customWidth="1"/>
    <col min="7" max="7" width="17" style="66" bestFit="1" customWidth="1"/>
    <col min="8" max="8" width="12.6640625" style="66" bestFit="1" customWidth="1"/>
    <col min="9" max="9" width="12" style="66" bestFit="1" customWidth="1"/>
    <col min="10" max="10" width="15.6640625" style="66" bestFit="1" customWidth="1"/>
    <col min="11" max="11" width="17.5546875" style="66" bestFit="1" customWidth="1"/>
    <col min="12" max="12" width="11.88671875" style="66" bestFit="1" customWidth="1"/>
    <col min="13" max="13" width="12" style="66" bestFit="1" customWidth="1"/>
    <col min="14" max="14" width="11.88671875" style="66" bestFit="1" customWidth="1"/>
    <col min="15" max="15" width="10.88671875" style="30" bestFit="1" customWidth="1"/>
    <col min="16" max="16" width="9.6640625" style="30" bestFit="1" customWidth="1"/>
    <col min="17" max="19" width="9.109375" style="30"/>
    <col min="20" max="20" width="11.5546875" style="30" bestFit="1" customWidth="1"/>
    <col min="21" max="16384" width="9.109375" style="30"/>
  </cols>
  <sheetData>
    <row r="1" spans="1:14" x14ac:dyDescent="0.25">
      <c r="A1" s="27" t="s">
        <v>43</v>
      </c>
      <c r="B1" s="28"/>
      <c r="C1" s="247"/>
      <c r="D1" s="247"/>
      <c r="E1" s="247"/>
      <c r="F1" s="28"/>
      <c r="G1" s="486"/>
      <c r="H1" s="28"/>
      <c r="I1" s="28"/>
      <c r="J1" s="29"/>
      <c r="K1" s="29"/>
      <c r="L1" s="29"/>
      <c r="M1" s="29"/>
      <c r="N1" s="30"/>
    </row>
    <row r="2" spans="1:14" x14ac:dyDescent="0.25">
      <c r="A2" s="27" t="s">
        <v>78</v>
      </c>
      <c r="B2" s="28"/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30"/>
    </row>
    <row r="3" spans="1:14" s="318" customFormat="1" x14ac:dyDescent="0.25">
      <c r="A3" s="315"/>
      <c r="B3" s="316"/>
      <c r="C3" s="316"/>
      <c r="D3" s="316"/>
      <c r="E3" s="316"/>
      <c r="F3" s="316"/>
      <c r="G3" s="316"/>
      <c r="H3" s="316"/>
      <c r="I3" s="316"/>
      <c r="J3" s="317"/>
      <c r="K3" s="317"/>
      <c r="L3" s="317"/>
      <c r="M3" s="317"/>
    </row>
    <row r="4" spans="1:14" x14ac:dyDescent="0.25">
      <c r="A4" s="28" t="s">
        <v>233</v>
      </c>
      <c r="B4" s="28"/>
      <c r="C4" s="31"/>
      <c r="D4" s="32"/>
      <c r="E4" s="33"/>
      <c r="F4" s="34"/>
      <c r="G4" s="34"/>
      <c r="H4" s="34"/>
      <c r="I4" s="34"/>
      <c r="J4" s="35"/>
      <c r="K4" s="36"/>
      <c r="L4" s="35"/>
      <c r="M4" s="35"/>
      <c r="N4" s="30"/>
    </row>
    <row r="5" spans="1:14" x14ac:dyDescent="0.25">
      <c r="A5" s="29"/>
      <c r="B5" s="29"/>
      <c r="C5" s="37" t="s">
        <v>46</v>
      </c>
      <c r="D5" s="38"/>
      <c r="E5" s="35"/>
      <c r="F5" s="39"/>
      <c r="G5" s="39"/>
      <c r="H5" s="39"/>
      <c r="I5" s="39"/>
      <c r="J5" s="40"/>
      <c r="K5" s="39"/>
      <c r="L5" s="39"/>
      <c r="M5" s="39"/>
      <c r="N5" s="30"/>
    </row>
    <row r="6" spans="1:14" x14ac:dyDescent="0.25">
      <c r="A6" s="41"/>
      <c r="B6" s="41"/>
      <c r="C6" s="42" t="s">
        <v>47</v>
      </c>
      <c r="D6" s="42" t="s">
        <v>48</v>
      </c>
      <c r="E6" s="42" t="s">
        <v>49</v>
      </c>
      <c r="F6" s="42" t="s">
        <v>50</v>
      </c>
      <c r="G6" s="42" t="s">
        <v>51</v>
      </c>
      <c r="H6" s="42" t="s">
        <v>52</v>
      </c>
      <c r="I6" s="42" t="s">
        <v>41</v>
      </c>
      <c r="J6" s="42" t="s">
        <v>50</v>
      </c>
      <c r="K6" s="42" t="s">
        <v>51</v>
      </c>
      <c r="L6" s="42" t="s">
        <v>53</v>
      </c>
      <c r="M6" s="43" t="s">
        <v>54</v>
      </c>
      <c r="N6" s="44" t="s">
        <v>48</v>
      </c>
    </row>
    <row r="7" spans="1:14" x14ac:dyDescent="0.25">
      <c r="A7" s="39" t="s">
        <v>55</v>
      </c>
      <c r="B7" s="45"/>
      <c r="C7" s="39" t="s">
        <v>56</v>
      </c>
      <c r="D7" s="39"/>
      <c r="E7" s="39" t="s">
        <v>48</v>
      </c>
      <c r="F7" s="39" t="s">
        <v>57</v>
      </c>
      <c r="G7" s="39" t="s">
        <v>57</v>
      </c>
      <c r="H7" s="39" t="s">
        <v>57</v>
      </c>
      <c r="I7" s="39" t="s">
        <v>58</v>
      </c>
      <c r="J7" s="39" t="s">
        <v>59</v>
      </c>
      <c r="K7" s="39" t="s">
        <v>59</v>
      </c>
      <c r="L7" s="39" t="s">
        <v>41</v>
      </c>
      <c r="M7" s="46" t="s">
        <v>53</v>
      </c>
      <c r="N7" s="47" t="s">
        <v>60</v>
      </c>
    </row>
    <row r="8" spans="1:14" x14ac:dyDescent="0.25">
      <c r="A8" s="39" t="s">
        <v>61</v>
      </c>
      <c r="B8" s="45"/>
      <c r="C8" s="39" t="s">
        <v>62</v>
      </c>
      <c r="D8" s="39" t="s">
        <v>63</v>
      </c>
      <c r="E8" s="39" t="s">
        <v>64</v>
      </c>
      <c r="F8" s="39" t="s">
        <v>65</v>
      </c>
      <c r="G8" s="48" t="s">
        <v>66</v>
      </c>
      <c r="H8" s="39" t="s">
        <v>67</v>
      </c>
      <c r="I8" s="39" t="s">
        <v>68</v>
      </c>
      <c r="J8" s="39" t="s">
        <v>69</v>
      </c>
      <c r="K8" s="39" t="s">
        <v>70</v>
      </c>
      <c r="L8" s="39" t="s">
        <v>71</v>
      </c>
      <c r="M8" s="46" t="s">
        <v>72</v>
      </c>
      <c r="N8" s="47" t="s">
        <v>73</v>
      </c>
    </row>
    <row r="9" spans="1:14" x14ac:dyDescent="0.25">
      <c r="A9" s="49"/>
      <c r="B9" s="49"/>
      <c r="C9" s="50"/>
      <c r="D9" s="50"/>
      <c r="E9" s="50"/>
      <c r="F9" s="51" t="s">
        <v>74</v>
      </c>
      <c r="G9" s="50"/>
      <c r="H9" s="50"/>
      <c r="I9" s="50"/>
      <c r="J9" s="50" t="s">
        <v>75</v>
      </c>
      <c r="K9" s="52"/>
      <c r="L9" s="50"/>
      <c r="M9" s="53"/>
      <c r="N9" s="54"/>
    </row>
    <row r="10" spans="1:14" x14ac:dyDescent="0.25">
      <c r="A10" s="55"/>
      <c r="B10" s="29"/>
      <c r="C10" s="39"/>
      <c r="D10" s="56"/>
      <c r="E10" s="57"/>
      <c r="F10" s="39"/>
      <c r="G10" s="39"/>
      <c r="H10" s="56"/>
      <c r="I10" s="56"/>
      <c r="J10" s="58"/>
      <c r="K10" s="58"/>
      <c r="L10" s="58"/>
      <c r="M10" s="59"/>
      <c r="N10" s="60"/>
    </row>
    <row r="11" spans="1:14" x14ac:dyDescent="0.25">
      <c r="A11" s="61" t="s">
        <v>76</v>
      </c>
      <c r="B11" s="61"/>
      <c r="C11" s="62"/>
      <c r="D11" s="56"/>
      <c r="E11" s="63"/>
      <c r="F11" s="56"/>
      <c r="G11" s="56"/>
      <c r="H11" s="56"/>
      <c r="I11" s="56"/>
      <c r="J11" s="63"/>
      <c r="K11" s="63"/>
      <c r="L11" s="63"/>
      <c r="M11" s="59"/>
      <c r="N11" s="64"/>
    </row>
    <row r="12" spans="1:14" hidden="1" outlineLevel="1" x14ac:dyDescent="0.25">
      <c r="A12" s="61">
        <v>44165</v>
      </c>
      <c r="B12" s="61"/>
      <c r="C12" s="62"/>
      <c r="D12" s="56"/>
      <c r="E12" s="63"/>
      <c r="F12" s="56"/>
      <c r="G12" s="56"/>
      <c r="H12" s="56"/>
      <c r="I12" s="56"/>
      <c r="J12" s="63"/>
      <c r="K12" s="63"/>
      <c r="L12" s="63"/>
      <c r="M12" s="58"/>
      <c r="N12" s="64"/>
    </row>
    <row r="13" spans="1:14" hidden="1" outlineLevel="1" x14ac:dyDescent="0.25">
      <c r="A13" s="61">
        <v>44196</v>
      </c>
      <c r="B13" s="61"/>
      <c r="C13" s="62"/>
      <c r="D13" s="56"/>
      <c r="E13" s="63"/>
      <c r="F13" s="56"/>
      <c r="G13" s="56"/>
      <c r="H13" s="56"/>
      <c r="I13" s="56"/>
      <c r="J13" s="63"/>
      <c r="K13" s="63"/>
      <c r="L13" s="63"/>
      <c r="M13" s="58"/>
      <c r="N13" s="64"/>
    </row>
    <row r="14" spans="1:14" hidden="1" outlineLevel="1" x14ac:dyDescent="0.25">
      <c r="A14" s="61">
        <v>44227</v>
      </c>
      <c r="B14" s="61"/>
      <c r="C14" s="62"/>
      <c r="D14" s="56"/>
      <c r="E14" s="63"/>
      <c r="F14" s="56"/>
      <c r="G14" s="56"/>
      <c r="H14" s="56"/>
      <c r="I14" s="56"/>
      <c r="J14" s="63"/>
      <c r="K14" s="63"/>
      <c r="L14" s="63"/>
      <c r="M14" s="58"/>
      <c r="N14" s="64"/>
    </row>
    <row r="15" spans="1:14" hidden="1" outlineLevel="1" x14ac:dyDescent="0.25">
      <c r="A15" s="61">
        <v>44255</v>
      </c>
      <c r="B15" s="61"/>
      <c r="C15" s="62"/>
      <c r="D15" s="56"/>
      <c r="E15" s="63"/>
      <c r="F15" s="56"/>
      <c r="G15" s="56"/>
      <c r="H15" s="56"/>
      <c r="I15" s="56"/>
      <c r="J15" s="63"/>
      <c r="K15" s="63"/>
      <c r="L15" s="63"/>
      <c r="M15" s="58"/>
      <c r="N15" s="64"/>
    </row>
    <row r="16" spans="1:14" hidden="1" outlineLevel="1" x14ac:dyDescent="0.25">
      <c r="A16" s="61">
        <v>44286</v>
      </c>
      <c r="B16" s="61"/>
      <c r="C16" s="62"/>
      <c r="D16" s="56"/>
      <c r="E16" s="63"/>
      <c r="F16" s="56"/>
      <c r="G16" s="56"/>
      <c r="H16" s="56"/>
      <c r="I16" s="56"/>
      <c r="J16" s="63"/>
      <c r="K16" s="63"/>
      <c r="L16" s="63"/>
      <c r="M16" s="58"/>
      <c r="N16" s="64"/>
    </row>
    <row r="17" spans="1:14" hidden="1" outlineLevel="1" x14ac:dyDescent="0.25">
      <c r="A17" s="61">
        <v>44316</v>
      </c>
      <c r="B17" s="61"/>
      <c r="C17" s="62"/>
      <c r="D17" s="56"/>
      <c r="E17" s="63"/>
      <c r="F17" s="56"/>
      <c r="G17" s="56"/>
      <c r="H17" s="56"/>
      <c r="I17" s="56"/>
      <c r="J17" s="63"/>
      <c r="K17" s="63"/>
      <c r="L17" s="63"/>
      <c r="M17" s="58"/>
      <c r="N17" s="64"/>
    </row>
    <row r="18" spans="1:14" hidden="1" outlineLevel="1" x14ac:dyDescent="0.25">
      <c r="A18" s="61">
        <v>44347</v>
      </c>
      <c r="B18" s="61"/>
      <c r="C18" s="62"/>
      <c r="D18" s="56"/>
      <c r="E18" s="63"/>
      <c r="F18" s="56"/>
      <c r="G18" s="56"/>
      <c r="H18" s="56"/>
      <c r="I18" s="56"/>
      <c r="J18" s="63"/>
      <c r="K18" s="63"/>
      <c r="L18" s="63"/>
      <c r="M18" s="58"/>
      <c r="N18" s="64"/>
    </row>
    <row r="19" spans="1:14" hidden="1" outlineLevel="1" x14ac:dyDescent="0.25">
      <c r="A19" s="61">
        <v>44377</v>
      </c>
      <c r="B19" s="61"/>
      <c r="C19" s="62"/>
      <c r="D19" s="56"/>
      <c r="E19" s="63"/>
      <c r="F19" s="56"/>
      <c r="G19" s="56"/>
      <c r="H19" s="56"/>
      <c r="I19" s="56"/>
      <c r="J19" s="63"/>
      <c r="K19" s="63"/>
      <c r="L19" s="63"/>
      <c r="M19" s="58"/>
      <c r="N19" s="64"/>
    </row>
    <row r="20" spans="1:14" hidden="1" outlineLevel="1" x14ac:dyDescent="0.25">
      <c r="A20" s="61">
        <v>44408</v>
      </c>
      <c r="B20" s="61"/>
      <c r="C20" s="62"/>
      <c r="D20" s="56"/>
      <c r="E20" s="63"/>
      <c r="F20" s="56"/>
      <c r="G20" s="56"/>
      <c r="H20" s="56"/>
      <c r="I20" s="56"/>
      <c r="J20" s="63"/>
      <c r="K20" s="63"/>
      <c r="L20" s="63"/>
      <c r="M20" s="58"/>
      <c r="N20" s="64"/>
    </row>
    <row r="21" spans="1:14" hidden="1" outlineLevel="1" x14ac:dyDescent="0.25">
      <c r="A21" s="61">
        <v>44439</v>
      </c>
      <c r="B21" s="61"/>
      <c r="C21" s="62"/>
      <c r="D21" s="56"/>
      <c r="E21" s="63"/>
      <c r="F21" s="56"/>
      <c r="G21" s="56"/>
      <c r="H21" s="56"/>
      <c r="I21" s="56"/>
      <c r="J21" s="63"/>
      <c r="K21" s="63"/>
      <c r="L21" s="63"/>
      <c r="M21" s="58"/>
      <c r="N21" s="64"/>
    </row>
    <row r="22" spans="1:14" hidden="1" outlineLevel="1" x14ac:dyDescent="0.25">
      <c r="A22" s="61">
        <v>44469</v>
      </c>
      <c r="B22" s="61"/>
      <c r="C22" s="62"/>
      <c r="D22" s="56"/>
      <c r="E22" s="63"/>
      <c r="F22" s="56"/>
      <c r="G22" s="56"/>
      <c r="H22" s="56"/>
      <c r="I22" s="56"/>
      <c r="J22" s="63"/>
      <c r="K22" s="63"/>
      <c r="L22" s="63"/>
      <c r="M22" s="58"/>
      <c r="N22" s="64"/>
    </row>
    <row r="23" spans="1:14" hidden="1" outlineLevel="1" x14ac:dyDescent="0.25">
      <c r="A23" s="61">
        <v>44500</v>
      </c>
      <c r="B23" s="61"/>
      <c r="C23" s="62"/>
      <c r="D23" s="56"/>
      <c r="E23" s="63"/>
      <c r="F23" s="56"/>
      <c r="G23" s="56"/>
      <c r="H23" s="56"/>
      <c r="I23" s="56"/>
      <c r="J23" s="63"/>
      <c r="K23" s="63"/>
      <c r="L23" s="63"/>
      <c r="M23" s="58"/>
      <c r="N23" s="64"/>
    </row>
    <row r="24" spans="1:14" collapsed="1" x14ac:dyDescent="0.25">
      <c r="A24" s="61">
        <v>44530</v>
      </c>
      <c r="B24" s="61"/>
      <c r="C24" s="62"/>
      <c r="D24" s="63">
        <f>D11+C24</f>
        <v>0</v>
      </c>
      <c r="E24" s="63">
        <f t="shared" ref="E24:E37" si="0">(D12+D24+SUM(D13:D23)*2)/24</f>
        <v>0</v>
      </c>
      <c r="F24" s="63">
        <v>0</v>
      </c>
      <c r="G24" s="63">
        <v>0</v>
      </c>
      <c r="H24" s="63">
        <v>0</v>
      </c>
      <c r="I24" s="63">
        <v>0</v>
      </c>
      <c r="J24" s="63">
        <f t="shared" ref="J24:J87" si="1">(-C24*0.21)+(F24*0.21)</f>
        <v>0</v>
      </c>
      <c r="K24" s="63">
        <f t="shared" ref="K24:K87" si="2">K23+J24</f>
        <v>0</v>
      </c>
      <c r="L24" s="63">
        <v>0</v>
      </c>
      <c r="M24" s="63">
        <v>0</v>
      </c>
      <c r="N24" s="65">
        <v>0</v>
      </c>
    </row>
    <row r="25" spans="1:14" x14ac:dyDescent="0.25">
      <c r="A25" s="61">
        <v>44561</v>
      </c>
      <c r="B25" s="61"/>
      <c r="C25" s="62"/>
      <c r="D25" s="63">
        <f t="shared" ref="D25:D88" si="3">D24+C25</f>
        <v>0</v>
      </c>
      <c r="E25" s="63">
        <f t="shared" si="0"/>
        <v>0</v>
      </c>
      <c r="F25" s="63">
        <v>0</v>
      </c>
      <c r="G25" s="63">
        <v>0</v>
      </c>
      <c r="H25" s="63">
        <v>0</v>
      </c>
      <c r="I25" s="63">
        <v>0</v>
      </c>
      <c r="J25" s="63">
        <f t="shared" si="1"/>
        <v>0</v>
      </c>
      <c r="K25" s="63">
        <f t="shared" si="2"/>
        <v>0</v>
      </c>
      <c r="L25" s="63">
        <v>0</v>
      </c>
      <c r="M25" s="63">
        <v>0</v>
      </c>
      <c r="N25" s="65">
        <v>0</v>
      </c>
    </row>
    <row r="26" spans="1:14" x14ac:dyDescent="0.25">
      <c r="A26" s="61">
        <v>44592</v>
      </c>
      <c r="B26" s="61"/>
      <c r="C26" s="62"/>
      <c r="D26" s="63">
        <f t="shared" si="3"/>
        <v>0</v>
      </c>
      <c r="E26" s="63">
        <f t="shared" si="0"/>
        <v>0</v>
      </c>
      <c r="F26" s="122"/>
      <c r="G26" s="63">
        <f t="shared" ref="G26:G89" si="4">G25-F26</f>
        <v>0</v>
      </c>
      <c r="H26" s="63">
        <f t="shared" ref="H26:H37" si="5">(G14+G26+SUM(G15:G25)*2)/24</f>
        <v>0</v>
      </c>
      <c r="I26" s="63">
        <f>E26+H26</f>
        <v>0</v>
      </c>
      <c r="J26" s="63">
        <f t="shared" si="1"/>
        <v>0</v>
      </c>
      <c r="K26" s="63">
        <f t="shared" si="2"/>
        <v>0</v>
      </c>
      <c r="L26" s="63">
        <f t="shared" ref="L26:L36" si="6">(K14+K26+SUM(K15:K25)*2)/24</f>
        <v>0</v>
      </c>
      <c r="M26" s="63">
        <f>I26+L26</f>
        <v>0</v>
      </c>
      <c r="N26" s="65">
        <f t="shared" ref="N26:N89" si="7">+D26+G26+K26</f>
        <v>0</v>
      </c>
    </row>
    <row r="27" spans="1:14" x14ac:dyDescent="0.25">
      <c r="A27" s="61">
        <v>44620</v>
      </c>
      <c r="B27" s="61"/>
      <c r="C27" s="62">
        <v>1441533.12</v>
      </c>
      <c r="D27" s="63">
        <f t="shared" si="3"/>
        <v>1441533.12</v>
      </c>
      <c r="E27" s="63">
        <f t="shared" si="0"/>
        <v>60063.880000000005</v>
      </c>
      <c r="F27" s="122"/>
      <c r="G27" s="63">
        <f t="shared" si="4"/>
        <v>0</v>
      </c>
      <c r="H27" s="63">
        <f t="shared" si="5"/>
        <v>0</v>
      </c>
      <c r="I27" s="63">
        <f t="shared" ref="I27:I90" si="8">E27+H27</f>
        <v>60063.880000000005</v>
      </c>
      <c r="J27" s="63">
        <f t="shared" si="1"/>
        <v>-302721.95520000003</v>
      </c>
      <c r="K27" s="63">
        <f t="shared" si="2"/>
        <v>-302721.95520000003</v>
      </c>
      <c r="L27" s="63">
        <f t="shared" si="6"/>
        <v>-12613.4148</v>
      </c>
      <c r="M27" s="63">
        <f t="shared" ref="M27:M36" si="9">I27+L27</f>
        <v>47450.465200000006</v>
      </c>
      <c r="N27" s="65">
        <f t="shared" si="7"/>
        <v>1138811.1648000001</v>
      </c>
    </row>
    <row r="28" spans="1:14" x14ac:dyDescent="0.25">
      <c r="A28" s="61">
        <v>44651</v>
      </c>
      <c r="B28" s="61"/>
      <c r="C28" s="62">
        <v>1440249.79</v>
      </c>
      <c r="D28" s="63">
        <f t="shared" si="3"/>
        <v>2881782.91</v>
      </c>
      <c r="E28" s="63">
        <f t="shared" si="0"/>
        <v>240202.04791666669</v>
      </c>
      <c r="F28" s="122"/>
      <c r="G28" s="63">
        <f t="shared" si="4"/>
        <v>0</v>
      </c>
      <c r="H28" s="63">
        <f t="shared" si="5"/>
        <v>0</v>
      </c>
      <c r="I28" s="63">
        <f t="shared" si="8"/>
        <v>240202.04791666669</v>
      </c>
      <c r="J28" s="63">
        <f t="shared" si="1"/>
        <v>-302452.4559</v>
      </c>
      <c r="K28" s="63">
        <f t="shared" si="2"/>
        <v>-605174.41110000003</v>
      </c>
      <c r="L28" s="63">
        <f t="shared" si="6"/>
        <v>-50442.430062500003</v>
      </c>
      <c r="M28" s="63">
        <f t="shared" si="9"/>
        <v>189759.61785416669</v>
      </c>
      <c r="N28" s="65">
        <f t="shared" si="7"/>
        <v>2276608.4989</v>
      </c>
    </row>
    <row r="29" spans="1:14" x14ac:dyDescent="0.25">
      <c r="A29" s="61">
        <v>44681</v>
      </c>
      <c r="B29" s="61"/>
      <c r="C29" s="62">
        <v>1439374.95</v>
      </c>
      <c r="D29" s="63">
        <f t="shared" si="3"/>
        <v>4321157.8600000003</v>
      </c>
      <c r="E29" s="63">
        <f t="shared" si="0"/>
        <v>540324.58000000007</v>
      </c>
      <c r="F29" s="122"/>
      <c r="G29" s="63">
        <f t="shared" si="4"/>
        <v>0</v>
      </c>
      <c r="H29" s="63">
        <f t="shared" si="5"/>
        <v>0</v>
      </c>
      <c r="I29" s="63">
        <f t="shared" si="8"/>
        <v>540324.58000000007</v>
      </c>
      <c r="J29" s="63">
        <f t="shared" si="1"/>
        <v>-302268.73949999997</v>
      </c>
      <c r="K29" s="63">
        <f t="shared" si="2"/>
        <v>-907443.15060000005</v>
      </c>
      <c r="L29" s="63">
        <f t="shared" si="6"/>
        <v>-113468.1618</v>
      </c>
      <c r="M29" s="63">
        <f t="shared" si="9"/>
        <v>426856.41820000007</v>
      </c>
      <c r="N29" s="65">
        <f t="shared" si="7"/>
        <v>3413714.7094000001</v>
      </c>
    </row>
    <row r="30" spans="1:14" x14ac:dyDescent="0.25">
      <c r="A30" s="61">
        <v>44712</v>
      </c>
      <c r="B30" s="61"/>
      <c r="C30" s="62">
        <v>2606291.4500000002</v>
      </c>
      <c r="D30" s="63">
        <f t="shared" si="3"/>
        <v>6927449.3100000005</v>
      </c>
      <c r="E30" s="63">
        <f t="shared" si="0"/>
        <v>1009016.5454166668</v>
      </c>
      <c r="F30" s="122"/>
      <c r="G30" s="63">
        <f t="shared" si="4"/>
        <v>0</v>
      </c>
      <c r="H30" s="63">
        <f t="shared" si="5"/>
        <v>0</v>
      </c>
      <c r="I30" s="63">
        <f t="shared" si="8"/>
        <v>1009016.5454166668</v>
      </c>
      <c r="J30" s="63">
        <f t="shared" si="1"/>
        <v>-547321.20449999999</v>
      </c>
      <c r="K30" s="63">
        <f t="shared" si="2"/>
        <v>-1454764.3551</v>
      </c>
      <c r="L30" s="63">
        <f t="shared" si="6"/>
        <v>-211893.47453750003</v>
      </c>
      <c r="M30" s="63">
        <f t="shared" si="9"/>
        <v>797123.07087916671</v>
      </c>
      <c r="N30" s="65">
        <f t="shared" si="7"/>
        <v>5472684.9549000002</v>
      </c>
    </row>
    <row r="31" spans="1:14" x14ac:dyDescent="0.25">
      <c r="A31" s="61">
        <v>44742</v>
      </c>
      <c r="B31" s="61"/>
      <c r="C31" s="62">
        <v>1729078.5</v>
      </c>
      <c r="D31" s="63">
        <f t="shared" si="3"/>
        <v>8656527.8100000005</v>
      </c>
      <c r="E31" s="63">
        <f t="shared" si="0"/>
        <v>1658348.9254166668</v>
      </c>
      <c r="F31" s="122"/>
      <c r="G31" s="63">
        <f t="shared" si="4"/>
        <v>0</v>
      </c>
      <c r="H31" s="63">
        <f t="shared" si="5"/>
        <v>0</v>
      </c>
      <c r="I31" s="63">
        <f t="shared" si="8"/>
        <v>1658348.9254166668</v>
      </c>
      <c r="J31" s="63">
        <f t="shared" si="1"/>
        <v>-363106.48499999999</v>
      </c>
      <c r="K31" s="63">
        <f t="shared" si="2"/>
        <v>-1817870.8401000001</v>
      </c>
      <c r="L31" s="63">
        <f t="shared" si="6"/>
        <v>-348253.27433750004</v>
      </c>
      <c r="M31" s="63">
        <f t="shared" si="9"/>
        <v>1310095.6510791667</v>
      </c>
      <c r="N31" s="65">
        <f t="shared" si="7"/>
        <v>6838656.9699000008</v>
      </c>
    </row>
    <row r="32" spans="1:14" x14ac:dyDescent="0.25">
      <c r="A32" s="61">
        <v>44773</v>
      </c>
      <c r="C32" s="62">
        <v>1729072.73</v>
      </c>
      <c r="D32" s="63">
        <f t="shared" si="3"/>
        <v>10385600.540000001</v>
      </c>
      <c r="E32" s="63">
        <f t="shared" si="0"/>
        <v>2451770.94</v>
      </c>
      <c r="F32" s="122"/>
      <c r="G32" s="63">
        <f t="shared" si="4"/>
        <v>0</v>
      </c>
      <c r="H32" s="63">
        <f t="shared" si="5"/>
        <v>0</v>
      </c>
      <c r="I32" s="63">
        <f t="shared" si="8"/>
        <v>2451770.94</v>
      </c>
      <c r="J32" s="63">
        <f t="shared" si="1"/>
        <v>-363105.2733</v>
      </c>
      <c r="K32" s="63">
        <f t="shared" si="2"/>
        <v>-2180976.1134000001</v>
      </c>
      <c r="L32" s="63">
        <f t="shared" si="6"/>
        <v>-514871.89740000013</v>
      </c>
      <c r="M32" s="63">
        <f t="shared" si="9"/>
        <v>1936899.0425999998</v>
      </c>
      <c r="N32" s="65">
        <f t="shared" si="7"/>
        <v>8204624.4266000008</v>
      </c>
    </row>
    <row r="33" spans="1:15" x14ac:dyDescent="0.25">
      <c r="A33" s="61">
        <v>44804</v>
      </c>
      <c r="C33" s="62">
        <v>1728500.5</v>
      </c>
      <c r="D33" s="63">
        <f t="shared" si="3"/>
        <v>12114101.040000001</v>
      </c>
      <c r="E33" s="63">
        <f t="shared" si="0"/>
        <v>3389258.5058333338</v>
      </c>
      <c r="F33" s="122"/>
      <c r="G33" s="63">
        <f t="shared" si="4"/>
        <v>0</v>
      </c>
      <c r="H33" s="63">
        <f t="shared" si="5"/>
        <v>0</v>
      </c>
      <c r="I33" s="63">
        <f t="shared" si="8"/>
        <v>3389258.5058333338</v>
      </c>
      <c r="J33" s="63">
        <f t="shared" si="1"/>
        <v>-362985.10499999998</v>
      </c>
      <c r="K33" s="63">
        <f t="shared" si="2"/>
        <v>-2543961.2184000001</v>
      </c>
      <c r="L33" s="63">
        <f t="shared" si="6"/>
        <v>-711744.28622500005</v>
      </c>
      <c r="M33" s="63">
        <f t="shared" si="9"/>
        <v>2677514.2196083339</v>
      </c>
      <c r="N33" s="65">
        <f t="shared" si="7"/>
        <v>9570139.8216000013</v>
      </c>
    </row>
    <row r="34" spans="1:15" x14ac:dyDescent="0.25">
      <c r="A34" s="61">
        <v>44834</v>
      </c>
      <c r="C34" s="62">
        <v>1728804.72</v>
      </c>
      <c r="D34" s="63">
        <f t="shared" si="3"/>
        <v>13842905.760000002</v>
      </c>
      <c r="E34" s="63">
        <f t="shared" si="0"/>
        <v>4470800.4558333335</v>
      </c>
      <c r="F34" s="122"/>
      <c r="G34" s="63">
        <f t="shared" si="4"/>
        <v>0</v>
      </c>
      <c r="H34" s="63">
        <f t="shared" si="5"/>
        <v>0</v>
      </c>
      <c r="I34" s="63">
        <f t="shared" si="8"/>
        <v>4470800.4558333335</v>
      </c>
      <c r="J34" s="63">
        <f t="shared" si="1"/>
        <v>-363048.99119999999</v>
      </c>
      <c r="K34" s="63">
        <f t="shared" si="2"/>
        <v>-2907010.2096000002</v>
      </c>
      <c r="L34" s="63">
        <f t="shared" si="6"/>
        <v>-938868.09572500025</v>
      </c>
      <c r="M34" s="63">
        <f t="shared" si="9"/>
        <v>3531932.3601083332</v>
      </c>
      <c r="N34" s="65">
        <f t="shared" si="7"/>
        <v>10935895.550400002</v>
      </c>
    </row>
    <row r="35" spans="1:15" x14ac:dyDescent="0.25">
      <c r="A35" s="61">
        <v>44865</v>
      </c>
      <c r="C35" s="62">
        <v>1736301.15</v>
      </c>
      <c r="D35" s="63">
        <f t="shared" si="3"/>
        <v>15579206.910000002</v>
      </c>
      <c r="E35" s="63">
        <f t="shared" si="0"/>
        <v>5696721.8170833336</v>
      </c>
      <c r="F35" s="122"/>
      <c r="G35" s="63">
        <f t="shared" si="4"/>
        <v>0</v>
      </c>
      <c r="H35" s="63">
        <f t="shared" si="5"/>
        <v>0</v>
      </c>
      <c r="I35" s="63">
        <f t="shared" si="8"/>
        <v>5696721.8170833336</v>
      </c>
      <c r="J35" s="63">
        <f t="shared" si="1"/>
        <v>-364623.24149999995</v>
      </c>
      <c r="K35" s="63">
        <f t="shared" si="2"/>
        <v>-3271633.4511000002</v>
      </c>
      <c r="L35" s="63">
        <f t="shared" si="6"/>
        <v>-1196311.5815875002</v>
      </c>
      <c r="M35" s="63">
        <f t="shared" si="9"/>
        <v>4500410.2354958337</v>
      </c>
      <c r="N35" s="65">
        <f t="shared" si="7"/>
        <v>12307573.458900001</v>
      </c>
    </row>
    <row r="36" spans="1:15" x14ac:dyDescent="0.25">
      <c r="A36" s="61">
        <v>44895</v>
      </c>
      <c r="C36" s="62">
        <v>1736322.33</v>
      </c>
      <c r="D36" s="63">
        <f t="shared" si="3"/>
        <v>17315529.240000002</v>
      </c>
      <c r="E36" s="63">
        <f t="shared" si="0"/>
        <v>7067335.8233333342</v>
      </c>
      <c r="F36" s="122"/>
      <c r="G36" s="63">
        <f t="shared" si="4"/>
        <v>0</v>
      </c>
      <c r="H36" s="63">
        <f t="shared" si="5"/>
        <v>0</v>
      </c>
      <c r="I36" s="63">
        <f t="shared" si="8"/>
        <v>7067335.8233333342</v>
      </c>
      <c r="J36" s="63">
        <f t="shared" si="1"/>
        <v>-364627.68930000003</v>
      </c>
      <c r="K36" s="63">
        <f t="shared" si="2"/>
        <v>-3636261.1404000004</v>
      </c>
      <c r="L36" s="63">
        <f t="shared" si="6"/>
        <v>-1484140.5229000002</v>
      </c>
      <c r="M36" s="63">
        <f t="shared" si="9"/>
        <v>5583195.300433334</v>
      </c>
      <c r="N36" s="65">
        <f t="shared" si="7"/>
        <v>13679268.099600002</v>
      </c>
    </row>
    <row r="37" spans="1:15" x14ac:dyDescent="0.25">
      <c r="A37" s="61">
        <v>44926</v>
      </c>
      <c r="C37" s="62">
        <f>1698010-143130.65</f>
        <v>1554879.35</v>
      </c>
      <c r="D37" s="63">
        <f t="shared" si="3"/>
        <v>18870408.590000004</v>
      </c>
      <c r="E37" s="63">
        <f t="shared" si="0"/>
        <v>8575083.2329166662</v>
      </c>
      <c r="F37" s="122"/>
      <c r="G37" s="63">
        <f t="shared" si="4"/>
        <v>0</v>
      </c>
      <c r="H37" s="63">
        <f t="shared" si="5"/>
        <v>0</v>
      </c>
      <c r="I37" s="63">
        <f t="shared" si="8"/>
        <v>8575083.2329166662</v>
      </c>
      <c r="J37" s="63">
        <f t="shared" si="1"/>
        <v>-326524.66350000002</v>
      </c>
      <c r="K37" s="63">
        <f t="shared" si="2"/>
        <v>-3962785.8039000006</v>
      </c>
      <c r="L37" s="63">
        <f t="shared" ref="L37:L96" si="10">(K25+K37+SUM(K26:K36)*2)/24</f>
        <v>-1800767.4789125004</v>
      </c>
      <c r="M37" s="63">
        <f t="shared" ref="M37:M100" si="11">L37+I37</f>
        <v>6774315.7540041655</v>
      </c>
      <c r="N37" s="64">
        <f t="shared" si="7"/>
        <v>14907622.786100004</v>
      </c>
    </row>
    <row r="38" spans="1:15" x14ac:dyDescent="0.25">
      <c r="A38" s="61">
        <v>44957</v>
      </c>
      <c r="B38" s="61"/>
      <c r="C38" s="62">
        <v>1658331.0333887211</v>
      </c>
      <c r="D38" s="63">
        <f t="shared" si="3"/>
        <v>20528739.623388726</v>
      </c>
      <c r="E38" s="63">
        <f>(D26+D38+SUM(D27:D37)*2)/24</f>
        <v>10216714.408474531</v>
      </c>
      <c r="F38" s="122"/>
      <c r="G38" s="63">
        <f t="shared" si="4"/>
        <v>0</v>
      </c>
      <c r="H38" s="63">
        <f t="shared" ref="H38:H96" si="12">(G26+G38+SUM(G27:G37)*2)/24</f>
        <v>0</v>
      </c>
      <c r="I38" s="63">
        <f t="shared" si="8"/>
        <v>10216714.408474531</v>
      </c>
      <c r="J38" s="63">
        <f t="shared" si="1"/>
        <v>-348249.5170116314</v>
      </c>
      <c r="K38" s="68">
        <f t="shared" si="2"/>
        <v>-4311035.3209116319</v>
      </c>
      <c r="L38" s="63">
        <f t="shared" si="10"/>
        <v>-2145510.0257796515</v>
      </c>
      <c r="M38" s="69">
        <f t="shared" si="11"/>
        <v>8071204.3826948795</v>
      </c>
      <c r="N38" s="64">
        <f t="shared" si="7"/>
        <v>16217704.302477095</v>
      </c>
    </row>
    <row r="39" spans="1:15" x14ac:dyDescent="0.25">
      <c r="A39" s="61">
        <v>44985</v>
      </c>
      <c r="B39" s="61"/>
      <c r="C39" s="62">
        <v>1645181.6462852815</v>
      </c>
      <c r="D39" s="63">
        <f t="shared" si="3"/>
        <v>22173921.269674007</v>
      </c>
      <c r="E39" s="63">
        <f t="shared" ref="E39:E96" si="13">(D27+D39+SUM(D28:D38)*2)/24</f>
        <v>11935928.065685475</v>
      </c>
      <c r="F39" s="122"/>
      <c r="G39" s="63">
        <f t="shared" si="4"/>
        <v>0</v>
      </c>
      <c r="H39" s="63">
        <f t="shared" si="12"/>
        <v>0</v>
      </c>
      <c r="I39" s="63">
        <f t="shared" si="8"/>
        <v>11935928.065685475</v>
      </c>
      <c r="J39" s="63">
        <f t="shared" si="1"/>
        <v>-345488.14571990911</v>
      </c>
      <c r="K39" s="68">
        <f t="shared" si="2"/>
        <v>-4656523.466631541</v>
      </c>
      <c r="L39" s="63">
        <f t="shared" si="10"/>
        <v>-2506544.8937939503</v>
      </c>
      <c r="M39" s="69">
        <f t="shared" si="11"/>
        <v>9429383.1718915254</v>
      </c>
      <c r="N39" s="64">
        <f t="shared" si="7"/>
        <v>17517397.803042464</v>
      </c>
    </row>
    <row r="40" spans="1:15" x14ac:dyDescent="0.25">
      <c r="A40" s="61">
        <v>45016</v>
      </c>
      <c r="B40" s="61"/>
      <c r="C40" s="62">
        <v>1640175.3164569223</v>
      </c>
      <c r="D40" s="63">
        <f t="shared" si="3"/>
        <v>23814096.586130928</v>
      </c>
      <c r="E40" s="63">
        <f t="shared" si="13"/>
        <v>13671957.308427351</v>
      </c>
      <c r="F40" s="122"/>
      <c r="G40" s="63">
        <f t="shared" si="4"/>
        <v>0</v>
      </c>
      <c r="H40" s="63">
        <f t="shared" si="12"/>
        <v>0</v>
      </c>
      <c r="I40" s="63">
        <f t="shared" si="8"/>
        <v>13671957.308427351</v>
      </c>
      <c r="J40" s="63">
        <f t="shared" si="1"/>
        <v>-344436.8164559537</v>
      </c>
      <c r="K40" s="68">
        <f t="shared" si="2"/>
        <v>-5000960.2830874948</v>
      </c>
      <c r="L40" s="63">
        <f t="shared" si="10"/>
        <v>-2871111.0347697432</v>
      </c>
      <c r="M40" s="69">
        <f t="shared" si="11"/>
        <v>10800846.273657607</v>
      </c>
      <c r="N40" s="64">
        <f t="shared" si="7"/>
        <v>18813136.303043433</v>
      </c>
    </row>
    <row r="41" spans="1:15" x14ac:dyDescent="0.25">
      <c r="A41" s="61">
        <v>45046</v>
      </c>
      <c r="B41" s="61"/>
      <c r="C41" s="62">
        <v>1635292</v>
      </c>
      <c r="D41" s="63">
        <f t="shared" si="3"/>
        <v>25449388.586130928</v>
      </c>
      <c r="E41" s="63">
        <f t="shared" si="13"/>
        <v>15424479.991854928</v>
      </c>
      <c r="F41" s="122"/>
      <c r="G41" s="63">
        <f t="shared" si="4"/>
        <v>0</v>
      </c>
      <c r="H41" s="63">
        <f t="shared" si="12"/>
        <v>0</v>
      </c>
      <c r="I41" s="63">
        <f t="shared" si="8"/>
        <v>15424479.991854928</v>
      </c>
      <c r="J41" s="63">
        <f t="shared" si="1"/>
        <v>-343411.32</v>
      </c>
      <c r="K41" s="68">
        <f t="shared" si="2"/>
        <v>-5344371.6030874951</v>
      </c>
      <c r="L41" s="63">
        <f t="shared" si="10"/>
        <v>-3239140.7982895342</v>
      </c>
      <c r="M41" s="69">
        <f t="shared" si="11"/>
        <v>12185339.193565395</v>
      </c>
      <c r="N41" s="64">
        <f t="shared" si="7"/>
        <v>20105016.983043432</v>
      </c>
    </row>
    <row r="42" spans="1:15" x14ac:dyDescent="0.25">
      <c r="A42" s="61">
        <v>45077</v>
      </c>
      <c r="B42" s="61"/>
      <c r="C42" s="62">
        <v>1633388</v>
      </c>
      <c r="D42" s="63">
        <f t="shared" si="3"/>
        <v>27082776.586130928</v>
      </c>
      <c r="E42" s="63">
        <f t="shared" si="13"/>
        <v>17144628.241949171</v>
      </c>
      <c r="F42" s="122"/>
      <c r="G42" s="63">
        <f t="shared" si="4"/>
        <v>0</v>
      </c>
      <c r="H42" s="63">
        <f t="shared" si="12"/>
        <v>0</v>
      </c>
      <c r="I42" s="63">
        <f t="shared" si="8"/>
        <v>17144628.241949171</v>
      </c>
      <c r="J42" s="63">
        <f t="shared" si="1"/>
        <v>-343011.48</v>
      </c>
      <c r="K42" s="68">
        <f t="shared" si="2"/>
        <v>-5687383.0830874946</v>
      </c>
      <c r="L42" s="63">
        <f t="shared" si="10"/>
        <v>-3600371.9308093251</v>
      </c>
      <c r="M42" s="69">
        <f t="shared" si="11"/>
        <v>13544256.311139846</v>
      </c>
      <c r="N42" s="64">
        <f t="shared" si="7"/>
        <v>21395393.503043436</v>
      </c>
    </row>
    <row r="43" spans="1:15" x14ac:dyDescent="0.25">
      <c r="A43" s="61">
        <v>45107</v>
      </c>
      <c r="B43" s="61"/>
      <c r="C43" s="62">
        <v>1628344</v>
      </c>
      <c r="D43" s="63">
        <f t="shared" si="3"/>
        <v>28711120.586130928</v>
      </c>
      <c r="E43" s="63">
        <f t="shared" si="13"/>
        <v>18820041.57746008</v>
      </c>
      <c r="F43" s="122"/>
      <c r="G43" s="63">
        <f t="shared" si="4"/>
        <v>0</v>
      </c>
      <c r="H43" s="63">
        <f t="shared" si="12"/>
        <v>0</v>
      </c>
      <c r="I43" s="63">
        <f t="shared" si="8"/>
        <v>18820041.57746008</v>
      </c>
      <c r="J43" s="63">
        <f t="shared" si="1"/>
        <v>-341952.24</v>
      </c>
      <c r="K43" s="68">
        <f t="shared" si="2"/>
        <v>-6029335.3230874948</v>
      </c>
      <c r="L43" s="63">
        <f t="shared" si="10"/>
        <v>-3952208.7312666173</v>
      </c>
      <c r="M43" s="69">
        <f t="shared" si="11"/>
        <v>14867832.846193463</v>
      </c>
      <c r="N43" s="64">
        <f t="shared" si="7"/>
        <v>22681785.263043433</v>
      </c>
      <c r="O43" s="63"/>
    </row>
    <row r="44" spans="1:15" x14ac:dyDescent="0.25">
      <c r="A44" s="61">
        <v>45138</v>
      </c>
      <c r="B44" s="61"/>
      <c r="C44" s="62">
        <v>1625092</v>
      </c>
      <c r="D44" s="63">
        <f t="shared" si="3"/>
        <v>30336212.586130928</v>
      </c>
      <c r="E44" s="63">
        <f t="shared" si="13"/>
        <v>20486925.11172099</v>
      </c>
      <c r="F44" s="122"/>
      <c r="G44" s="63">
        <f t="shared" si="4"/>
        <v>0</v>
      </c>
      <c r="H44" s="63">
        <f t="shared" si="12"/>
        <v>0</v>
      </c>
      <c r="I44" s="63">
        <f t="shared" si="8"/>
        <v>20486925.11172099</v>
      </c>
      <c r="J44" s="63">
        <f t="shared" si="1"/>
        <v>-341269.32</v>
      </c>
      <c r="K44" s="68">
        <f t="shared" si="2"/>
        <v>-6370604.6430874951</v>
      </c>
      <c r="L44" s="63">
        <f t="shared" si="10"/>
        <v>-4302254.2734614089</v>
      </c>
      <c r="M44" s="69">
        <f t="shared" si="11"/>
        <v>16184670.838259581</v>
      </c>
      <c r="N44" s="64">
        <f t="shared" si="7"/>
        <v>23965607.943043433</v>
      </c>
      <c r="O44" s="63"/>
    </row>
    <row r="45" spans="1:15" x14ac:dyDescent="0.25">
      <c r="A45" s="61">
        <v>45169</v>
      </c>
      <c r="B45" s="61"/>
      <c r="C45" s="62">
        <v>1620162</v>
      </c>
      <c r="D45" s="63">
        <f t="shared" si="3"/>
        <v>31956374.586130928</v>
      </c>
      <c r="E45" s="63">
        <f t="shared" si="13"/>
        <v>22144962.011398569</v>
      </c>
      <c r="F45" s="122"/>
      <c r="G45" s="63">
        <f t="shared" si="4"/>
        <v>0</v>
      </c>
      <c r="H45" s="63">
        <f t="shared" si="12"/>
        <v>0</v>
      </c>
      <c r="I45" s="63">
        <f t="shared" si="8"/>
        <v>22144962.011398569</v>
      </c>
      <c r="J45" s="63">
        <f t="shared" si="1"/>
        <v>-340234.01999999996</v>
      </c>
      <c r="K45" s="68">
        <f t="shared" si="2"/>
        <v>-6710838.6630874947</v>
      </c>
      <c r="L45" s="63">
        <f t="shared" si="10"/>
        <v>-4650442.0223936997</v>
      </c>
      <c r="M45" s="69">
        <f t="shared" si="11"/>
        <v>17494519.989004869</v>
      </c>
      <c r="N45" s="64">
        <f t="shared" si="7"/>
        <v>25245535.923043434</v>
      </c>
      <c r="O45" s="63"/>
    </row>
    <row r="46" spans="1:15" x14ac:dyDescent="0.25">
      <c r="A46" s="61">
        <v>45199</v>
      </c>
      <c r="B46" s="61"/>
      <c r="C46" s="62">
        <v>1615589</v>
      </c>
      <c r="D46" s="63">
        <f t="shared" si="3"/>
        <v>33571963.586130932</v>
      </c>
      <c r="E46" s="63">
        <f t="shared" si="13"/>
        <v>23793767.48524281</v>
      </c>
      <c r="F46" s="122"/>
      <c r="G46" s="63">
        <f t="shared" si="4"/>
        <v>0</v>
      </c>
      <c r="H46" s="63">
        <f t="shared" si="12"/>
        <v>0</v>
      </c>
      <c r="I46" s="63">
        <f t="shared" si="8"/>
        <v>23793767.48524281</v>
      </c>
      <c r="J46" s="63">
        <f t="shared" si="1"/>
        <v>-339273.69</v>
      </c>
      <c r="K46" s="68">
        <f t="shared" si="2"/>
        <v>-7050112.3530874951</v>
      </c>
      <c r="L46" s="63">
        <f t="shared" si="10"/>
        <v>-4996691.1719009914</v>
      </c>
      <c r="M46" s="69">
        <f t="shared" si="11"/>
        <v>18797076.313341819</v>
      </c>
      <c r="N46" s="64">
        <f t="shared" si="7"/>
        <v>26521851.233043436</v>
      </c>
      <c r="O46" s="63"/>
    </row>
    <row r="47" spans="1:15" ht="13.8" thickBot="1" x14ac:dyDescent="0.3">
      <c r="A47" s="61">
        <v>45230</v>
      </c>
      <c r="B47" s="61"/>
      <c r="C47" s="62">
        <v>1611669</v>
      </c>
      <c r="D47" s="63">
        <f t="shared" si="3"/>
        <v>35183632.586130932</v>
      </c>
      <c r="E47" s="63">
        <f t="shared" si="13"/>
        <v>25432662.631170392</v>
      </c>
      <c r="F47" s="122"/>
      <c r="G47" s="63">
        <f t="shared" si="4"/>
        <v>0</v>
      </c>
      <c r="H47" s="63">
        <f t="shared" si="12"/>
        <v>0</v>
      </c>
      <c r="I47" s="63">
        <f t="shared" si="8"/>
        <v>25432662.631170392</v>
      </c>
      <c r="J47" s="63">
        <f t="shared" si="1"/>
        <v>-338450.49</v>
      </c>
      <c r="K47" s="68">
        <f t="shared" si="2"/>
        <v>-7388562.8430874953</v>
      </c>
      <c r="L47" s="63">
        <f t="shared" si="10"/>
        <v>-5340859.1525457818</v>
      </c>
      <c r="M47" s="69">
        <f t="shared" si="11"/>
        <v>20091803.478624612</v>
      </c>
      <c r="N47" s="64">
        <f t="shared" si="7"/>
        <v>27795069.743043438</v>
      </c>
      <c r="O47" s="63"/>
    </row>
    <row r="48" spans="1:15" x14ac:dyDescent="0.25">
      <c r="A48" s="134">
        <v>45260</v>
      </c>
      <c r="B48" s="134" t="s">
        <v>144</v>
      </c>
      <c r="C48" s="331">
        <v>1606797</v>
      </c>
      <c r="D48" s="136">
        <f t="shared" si="3"/>
        <v>36790429.586130932</v>
      </c>
      <c r="E48" s="136">
        <f t="shared" si="13"/>
        <v>27060967.882097971</v>
      </c>
      <c r="F48" s="148"/>
      <c r="G48" s="136">
        <f t="shared" si="4"/>
        <v>0</v>
      </c>
      <c r="H48" s="136">
        <f t="shared" si="12"/>
        <v>0</v>
      </c>
      <c r="I48" s="136">
        <f t="shared" si="8"/>
        <v>27060967.882097971</v>
      </c>
      <c r="J48" s="136">
        <f t="shared" si="1"/>
        <v>-337427.37</v>
      </c>
      <c r="K48" s="138">
        <f t="shared" si="2"/>
        <v>-7725990.2130874954</v>
      </c>
      <c r="L48" s="136">
        <f t="shared" si="10"/>
        <v>-5682803.2552405735</v>
      </c>
      <c r="M48" s="139">
        <f t="shared" si="11"/>
        <v>21378164.626857396</v>
      </c>
      <c r="N48" s="140">
        <f t="shared" si="7"/>
        <v>29064439.373043437</v>
      </c>
      <c r="O48" s="63"/>
    </row>
    <row r="49" spans="1:20" x14ac:dyDescent="0.25">
      <c r="A49" s="61">
        <v>45291</v>
      </c>
      <c r="B49" s="61" t="s">
        <v>144</v>
      </c>
      <c r="C49" s="332">
        <f>1601806-3552077</f>
        <v>-1950271</v>
      </c>
      <c r="D49" s="63">
        <f t="shared" si="3"/>
        <v>34840158.586130932</v>
      </c>
      <c r="E49" s="63">
        <f t="shared" si="13"/>
        <v>28537828.313025538</v>
      </c>
      <c r="F49" s="122"/>
      <c r="G49" s="63">
        <f t="shared" si="4"/>
        <v>0</v>
      </c>
      <c r="H49" s="63">
        <f t="shared" si="12"/>
        <v>0</v>
      </c>
      <c r="I49" s="63">
        <f t="shared" si="8"/>
        <v>28537828.313025538</v>
      </c>
      <c r="J49" s="63">
        <f t="shared" si="1"/>
        <v>409556.91</v>
      </c>
      <c r="K49" s="68">
        <f t="shared" si="2"/>
        <v>-7316433.3030874953</v>
      </c>
      <c r="L49" s="63">
        <f t="shared" si="10"/>
        <v>-5992943.9457353652</v>
      </c>
      <c r="M49" s="69">
        <f t="shared" si="11"/>
        <v>22544884.367290173</v>
      </c>
      <c r="N49" s="64">
        <f t="shared" si="7"/>
        <v>27523725.283043437</v>
      </c>
      <c r="O49" s="63"/>
    </row>
    <row r="50" spans="1:20" x14ac:dyDescent="0.25">
      <c r="A50" s="61">
        <v>45322</v>
      </c>
      <c r="B50" s="61" t="s">
        <v>144</v>
      </c>
      <c r="C50" s="332">
        <v>1596598</v>
      </c>
      <c r="D50" s="63">
        <f t="shared" si="3"/>
        <v>36436756.586130932</v>
      </c>
      <c r="E50" s="63">
        <f t="shared" si="13"/>
        <v>29866068.602978587</v>
      </c>
      <c r="F50" s="122"/>
      <c r="G50" s="63">
        <f t="shared" si="4"/>
        <v>0</v>
      </c>
      <c r="H50" s="63">
        <f t="shared" si="12"/>
        <v>0</v>
      </c>
      <c r="I50" s="63">
        <f t="shared" si="8"/>
        <v>29866068.602978587</v>
      </c>
      <c r="J50" s="63">
        <f t="shared" si="1"/>
        <v>-335285.58</v>
      </c>
      <c r="K50" s="68">
        <f t="shared" si="2"/>
        <v>-7651718.8830874953</v>
      </c>
      <c r="L50" s="63">
        <f t="shared" si="10"/>
        <v>-6271874.4066255055</v>
      </c>
      <c r="M50" s="69">
        <f t="shared" si="11"/>
        <v>23594194.196353082</v>
      </c>
      <c r="N50" s="64">
        <f t="shared" si="7"/>
        <v>28785037.703043438</v>
      </c>
      <c r="O50" s="63"/>
    </row>
    <row r="51" spans="1:20" x14ac:dyDescent="0.25">
      <c r="A51" s="61">
        <v>45351</v>
      </c>
      <c r="B51" s="61" t="s">
        <v>144</v>
      </c>
      <c r="C51" s="332">
        <v>1591432</v>
      </c>
      <c r="D51" s="63">
        <f t="shared" si="3"/>
        <v>38028188.586130932</v>
      </c>
      <c r="E51" s="63">
        <f t="shared" si="13"/>
        <v>31189497.114611883</v>
      </c>
      <c r="F51" s="122"/>
      <c r="G51" s="63">
        <f t="shared" si="4"/>
        <v>0</v>
      </c>
      <c r="H51" s="63">
        <f t="shared" si="12"/>
        <v>0</v>
      </c>
      <c r="I51" s="63">
        <f t="shared" si="8"/>
        <v>31189497.114611883</v>
      </c>
      <c r="J51" s="63">
        <f t="shared" si="1"/>
        <v>-334200.71999999997</v>
      </c>
      <c r="K51" s="68">
        <f t="shared" si="2"/>
        <v>-7985919.6030874951</v>
      </c>
      <c r="L51" s="63">
        <f t="shared" si="10"/>
        <v>-6549794.3940684972</v>
      </c>
      <c r="M51" s="69">
        <f t="shared" si="11"/>
        <v>24639702.720543385</v>
      </c>
      <c r="N51" s="64">
        <f t="shared" si="7"/>
        <v>30042268.983043436</v>
      </c>
    </row>
    <row r="52" spans="1:20" x14ac:dyDescent="0.25">
      <c r="A52" s="61">
        <v>45382</v>
      </c>
      <c r="B52" s="61" t="s">
        <v>144</v>
      </c>
      <c r="C52" s="332">
        <v>1585985</v>
      </c>
      <c r="D52" s="63">
        <f t="shared" si="3"/>
        <v>39614173.586130932</v>
      </c>
      <c r="E52" s="63">
        <f t="shared" si="13"/>
        <v>32508428.127797589</v>
      </c>
      <c r="F52" s="122"/>
      <c r="G52" s="63">
        <f t="shared" si="4"/>
        <v>0</v>
      </c>
      <c r="H52" s="63">
        <f t="shared" si="12"/>
        <v>0</v>
      </c>
      <c r="I52" s="63">
        <f t="shared" si="8"/>
        <v>32508428.127797589</v>
      </c>
      <c r="J52" s="63">
        <f t="shared" si="1"/>
        <v>-333056.84999999998</v>
      </c>
      <c r="K52" s="68">
        <f t="shared" si="2"/>
        <v>-8318976.4530874947</v>
      </c>
      <c r="L52" s="63">
        <f t="shared" si="10"/>
        <v>-6826769.906837496</v>
      </c>
      <c r="M52" s="69">
        <f t="shared" si="11"/>
        <v>25681658.220960092</v>
      </c>
      <c r="N52" s="64">
        <f t="shared" si="7"/>
        <v>31295197.133043438</v>
      </c>
    </row>
    <row r="53" spans="1:20" x14ac:dyDescent="0.25">
      <c r="A53" s="61">
        <v>45412</v>
      </c>
      <c r="B53" s="61" t="s">
        <v>144</v>
      </c>
      <c r="C53" s="332">
        <v>-13736376.5</v>
      </c>
      <c r="D53" s="63">
        <f t="shared" si="3"/>
        <v>25877797.086130932</v>
      </c>
      <c r="E53" s="63">
        <f t="shared" si="13"/>
        <v>33184615.023630921</v>
      </c>
      <c r="F53" s="122"/>
      <c r="G53" s="63">
        <f t="shared" si="4"/>
        <v>0</v>
      </c>
      <c r="H53" s="63">
        <f t="shared" si="12"/>
        <v>0</v>
      </c>
      <c r="I53" s="63">
        <f t="shared" si="8"/>
        <v>33184615.023630921</v>
      </c>
      <c r="J53" s="63">
        <f t="shared" si="1"/>
        <v>2884639.0649999999</v>
      </c>
      <c r="K53" s="68">
        <f t="shared" si="2"/>
        <v>-5434337.3880874943</v>
      </c>
      <c r="L53" s="63">
        <f t="shared" si="10"/>
        <v>-6968769.1549624959</v>
      </c>
      <c r="M53" s="69">
        <f t="shared" si="11"/>
        <v>26215845.868668426</v>
      </c>
      <c r="N53" s="64">
        <f t="shared" si="7"/>
        <v>20443459.698043436</v>
      </c>
    </row>
    <row r="54" spans="1:20" x14ac:dyDescent="0.25">
      <c r="A54" s="61">
        <v>45443</v>
      </c>
      <c r="B54" s="61" t="s">
        <v>144</v>
      </c>
      <c r="C54" s="332">
        <f>-'One-time deferral transfer'!B40-31442</f>
        <v>-9594856</v>
      </c>
      <c r="D54" s="63">
        <f t="shared" si="3"/>
        <v>16282941.086130932</v>
      </c>
      <c r="E54" s="63">
        <f t="shared" si="13"/>
        <v>32752472.231964257</v>
      </c>
      <c r="F54" s="122">
        <v>339227.93</v>
      </c>
      <c r="G54" s="63">
        <f t="shared" si="4"/>
        <v>-339227.93</v>
      </c>
      <c r="H54" s="63">
        <f t="shared" si="12"/>
        <v>-14134.497083333334</v>
      </c>
      <c r="I54" s="63">
        <f t="shared" si="8"/>
        <v>32738337.734880924</v>
      </c>
      <c r="J54" s="63">
        <f t="shared" si="1"/>
        <v>2086157.6253</v>
      </c>
      <c r="K54" s="68">
        <f t="shared" si="2"/>
        <v>-3348179.7627874943</v>
      </c>
      <c r="L54" s="63">
        <f t="shared" si="10"/>
        <v>-6875050.9243249958</v>
      </c>
      <c r="M54" s="69">
        <f t="shared" si="11"/>
        <v>25863286.810555927</v>
      </c>
      <c r="N54" s="64">
        <f t="shared" si="7"/>
        <v>12595533.393343437</v>
      </c>
      <c r="T54" s="128"/>
    </row>
    <row r="55" spans="1:20" x14ac:dyDescent="0.25">
      <c r="A55" s="61">
        <v>45473</v>
      </c>
      <c r="B55" s="61" t="s">
        <v>144</v>
      </c>
      <c r="C55" s="63"/>
      <c r="D55" s="63">
        <f t="shared" si="3"/>
        <v>16282941.086130932</v>
      </c>
      <c r="E55" s="63">
        <f t="shared" si="13"/>
        <v>31784638.273630921</v>
      </c>
      <c r="F55" s="122">
        <f>F54</f>
        <v>339227.93</v>
      </c>
      <c r="G55" s="63">
        <f t="shared" si="4"/>
        <v>-678455.86</v>
      </c>
      <c r="H55" s="63">
        <f t="shared" si="12"/>
        <v>-56537.988333333335</v>
      </c>
      <c r="I55" s="63">
        <f t="shared" si="8"/>
        <v>31728100.285297588</v>
      </c>
      <c r="J55" s="63">
        <f t="shared" si="1"/>
        <v>71237.86529999999</v>
      </c>
      <c r="K55" s="68">
        <f t="shared" si="2"/>
        <v>-3276941.8974874942</v>
      </c>
      <c r="L55" s="63">
        <f t="shared" si="10"/>
        <v>-6662901.0599124925</v>
      </c>
      <c r="M55" s="69">
        <f t="shared" si="11"/>
        <v>25065199.225385096</v>
      </c>
      <c r="N55" s="64">
        <f t="shared" si="7"/>
        <v>12327543.328643437</v>
      </c>
    </row>
    <row r="56" spans="1:20" x14ac:dyDescent="0.25">
      <c r="A56" s="61">
        <v>45504</v>
      </c>
      <c r="B56" s="61" t="s">
        <v>144</v>
      </c>
      <c r="C56" s="63"/>
      <c r="D56" s="63">
        <f t="shared" si="3"/>
        <v>16282941.086130932</v>
      </c>
      <c r="E56" s="63">
        <f t="shared" si="13"/>
        <v>30681244.481964257</v>
      </c>
      <c r="F56" s="122">
        <f t="shared" ref="F56:F100" si="14">F55</f>
        <v>339227.93</v>
      </c>
      <c r="G56" s="63">
        <f t="shared" si="4"/>
        <v>-1017683.79</v>
      </c>
      <c r="H56" s="63">
        <f t="shared" si="12"/>
        <v>-127210.47375</v>
      </c>
      <c r="I56" s="63">
        <f t="shared" si="8"/>
        <v>30554034.008214258</v>
      </c>
      <c r="J56" s="63">
        <f t="shared" si="1"/>
        <v>71237.86529999999</v>
      </c>
      <c r="K56" s="68">
        <f t="shared" si="2"/>
        <v>-3205704.032187494</v>
      </c>
      <c r="L56" s="63">
        <f t="shared" si="10"/>
        <v>-6416347.1417249953</v>
      </c>
      <c r="M56" s="69">
        <f t="shared" si="11"/>
        <v>24137686.866489261</v>
      </c>
      <c r="N56" s="64">
        <f t="shared" si="7"/>
        <v>12059553.263943439</v>
      </c>
    </row>
    <row r="57" spans="1:20" x14ac:dyDescent="0.25">
      <c r="A57" s="61">
        <v>45535</v>
      </c>
      <c r="B57" s="61" t="s">
        <v>144</v>
      </c>
      <c r="C57" s="63"/>
      <c r="D57" s="63">
        <f t="shared" si="3"/>
        <v>16282941.086130932</v>
      </c>
      <c r="E57" s="63">
        <f t="shared" si="13"/>
        <v>29442631.773630921</v>
      </c>
      <c r="F57" s="122">
        <f t="shared" si="14"/>
        <v>339227.93</v>
      </c>
      <c r="G57" s="63">
        <f t="shared" si="4"/>
        <v>-1356911.72</v>
      </c>
      <c r="H57" s="63">
        <f t="shared" si="12"/>
        <v>-226151.95333333334</v>
      </c>
      <c r="I57" s="63">
        <f t="shared" si="8"/>
        <v>29216479.820297588</v>
      </c>
      <c r="J57" s="63">
        <f t="shared" si="1"/>
        <v>71237.86529999999</v>
      </c>
      <c r="K57" s="68">
        <f t="shared" si="2"/>
        <v>-3134466.1668874938</v>
      </c>
      <c r="L57" s="63">
        <f t="shared" si="10"/>
        <v>-6135460.7622624934</v>
      </c>
      <c r="M57" s="69">
        <f t="shared" si="11"/>
        <v>23081019.058035094</v>
      </c>
      <c r="N57" s="64">
        <f t="shared" si="7"/>
        <v>11791563.199243437</v>
      </c>
    </row>
    <row r="58" spans="1:20" x14ac:dyDescent="0.25">
      <c r="A58" s="61">
        <v>45565</v>
      </c>
      <c r="B58" s="61" t="s">
        <v>144</v>
      </c>
      <c r="C58" s="63"/>
      <c r="D58" s="63">
        <f t="shared" si="3"/>
        <v>16282941.086130932</v>
      </c>
      <c r="E58" s="63">
        <f t="shared" si="13"/>
        <v>28069196.106964257</v>
      </c>
      <c r="F58" s="122">
        <f t="shared" si="14"/>
        <v>339227.93</v>
      </c>
      <c r="G58" s="63">
        <f t="shared" si="4"/>
        <v>-1696139.65</v>
      </c>
      <c r="H58" s="63">
        <f t="shared" si="12"/>
        <v>-353362.42708333331</v>
      </c>
      <c r="I58" s="63">
        <f t="shared" si="8"/>
        <v>27715833.679880925</v>
      </c>
      <c r="J58" s="63">
        <f t="shared" si="1"/>
        <v>71237.86529999999</v>
      </c>
      <c r="K58" s="68">
        <f t="shared" si="2"/>
        <v>-3063228.3015874936</v>
      </c>
      <c r="L58" s="63">
        <f t="shared" si="10"/>
        <v>-5820325.0727749942</v>
      </c>
      <c r="M58" s="69">
        <f t="shared" si="11"/>
        <v>21895508.607105929</v>
      </c>
      <c r="N58" s="64">
        <f t="shared" si="7"/>
        <v>11523573.134543438</v>
      </c>
    </row>
    <row r="59" spans="1:20" ht="13.8" thickBot="1" x14ac:dyDescent="0.3">
      <c r="A59" s="61">
        <v>45596</v>
      </c>
      <c r="B59" s="61" t="s">
        <v>144</v>
      </c>
      <c r="C59" s="63"/>
      <c r="D59" s="63">
        <f t="shared" si="3"/>
        <v>16282941.086130932</v>
      </c>
      <c r="E59" s="63">
        <f t="shared" si="13"/>
        <v>26561291.356964257</v>
      </c>
      <c r="F59" s="122">
        <f t="shared" si="14"/>
        <v>339227.93</v>
      </c>
      <c r="G59" s="63">
        <f t="shared" si="4"/>
        <v>-2035367.5799999998</v>
      </c>
      <c r="H59" s="63">
        <f t="shared" si="12"/>
        <v>-508841.89499999996</v>
      </c>
      <c r="I59" s="63">
        <f t="shared" si="8"/>
        <v>26052449.461964257</v>
      </c>
      <c r="J59" s="63">
        <f t="shared" si="1"/>
        <v>71237.86529999999</v>
      </c>
      <c r="K59" s="68">
        <f t="shared" si="2"/>
        <v>-2991990.4362874934</v>
      </c>
      <c r="L59" s="63">
        <f t="shared" si="10"/>
        <v>-5471014.3870124938</v>
      </c>
      <c r="M59" s="69">
        <f t="shared" si="11"/>
        <v>20581435.074951764</v>
      </c>
      <c r="N59" s="64">
        <f t="shared" si="7"/>
        <v>11255583.069843438</v>
      </c>
    </row>
    <row r="60" spans="1:20" x14ac:dyDescent="0.25">
      <c r="A60" s="134">
        <v>45626</v>
      </c>
      <c r="B60" s="141" t="s">
        <v>145</v>
      </c>
      <c r="C60" s="136"/>
      <c r="D60" s="136">
        <f t="shared" si="3"/>
        <v>16282941.086130932</v>
      </c>
      <c r="E60" s="136">
        <f t="shared" si="13"/>
        <v>24919283.856964257</v>
      </c>
      <c r="F60" s="122">
        <f t="shared" si="14"/>
        <v>339227.93</v>
      </c>
      <c r="G60" s="136">
        <f t="shared" si="4"/>
        <v>-2374595.5099999998</v>
      </c>
      <c r="H60" s="136">
        <f t="shared" si="12"/>
        <v>-692590.35708333331</v>
      </c>
      <c r="I60" s="136">
        <f t="shared" si="8"/>
        <v>24226693.499880925</v>
      </c>
      <c r="J60" s="136">
        <f t="shared" si="1"/>
        <v>71237.86529999999</v>
      </c>
      <c r="K60" s="138">
        <f t="shared" si="2"/>
        <v>-2920752.5709874933</v>
      </c>
      <c r="L60" s="136">
        <f t="shared" si="10"/>
        <v>-5087605.6349749928</v>
      </c>
      <c r="M60" s="139">
        <f t="shared" si="11"/>
        <v>19139087.864905931</v>
      </c>
      <c r="N60" s="140">
        <f t="shared" si="7"/>
        <v>10987593.005143439</v>
      </c>
    </row>
    <row r="61" spans="1:20" x14ac:dyDescent="0.25">
      <c r="A61" s="61">
        <v>45657</v>
      </c>
      <c r="B61" s="30" t="s">
        <v>145</v>
      </c>
      <c r="C61" s="63"/>
      <c r="D61" s="63">
        <f t="shared" si="3"/>
        <v>16282941.086130932</v>
      </c>
      <c r="E61" s="63">
        <f t="shared" si="13"/>
        <v>23291587.773630921</v>
      </c>
      <c r="F61" s="122">
        <f t="shared" si="14"/>
        <v>339227.93</v>
      </c>
      <c r="G61" s="63">
        <f t="shared" si="4"/>
        <v>-2713823.44</v>
      </c>
      <c r="H61" s="63">
        <f t="shared" si="12"/>
        <v>-904607.81333333335</v>
      </c>
      <c r="I61" s="63">
        <f t="shared" si="8"/>
        <v>22386979.960297588</v>
      </c>
      <c r="J61" s="63">
        <f t="shared" si="1"/>
        <v>71237.86529999999</v>
      </c>
      <c r="K61" s="68">
        <f t="shared" si="2"/>
        <v>-2849514.7056874931</v>
      </c>
      <c r="L61" s="63">
        <f t="shared" si="10"/>
        <v>-4701265.7916624928</v>
      </c>
      <c r="M61" s="69">
        <f t="shared" si="11"/>
        <v>17685714.168635096</v>
      </c>
      <c r="N61" s="64">
        <f t="shared" si="7"/>
        <v>10719602.940443439</v>
      </c>
    </row>
    <row r="62" spans="1:20" x14ac:dyDescent="0.25">
      <c r="A62" s="61">
        <v>45688</v>
      </c>
      <c r="B62" s="30" t="s">
        <v>145</v>
      </c>
      <c r="C62" s="63"/>
      <c r="D62" s="63">
        <f t="shared" si="3"/>
        <v>16282941.086130932</v>
      </c>
      <c r="E62" s="63">
        <f t="shared" si="13"/>
        <v>21678628.065297589</v>
      </c>
      <c r="F62" s="122">
        <f t="shared" si="14"/>
        <v>339227.93</v>
      </c>
      <c r="G62" s="63">
        <f t="shared" si="4"/>
        <v>-3053051.37</v>
      </c>
      <c r="H62" s="63">
        <f t="shared" si="12"/>
        <v>-1144894.2637499999</v>
      </c>
      <c r="I62" s="63">
        <f t="shared" si="8"/>
        <v>20533733.801547587</v>
      </c>
      <c r="J62" s="63">
        <f t="shared" si="1"/>
        <v>71237.86529999999</v>
      </c>
      <c r="K62" s="68">
        <f t="shared" si="2"/>
        <v>-2778276.8403874929</v>
      </c>
      <c r="L62" s="63">
        <f t="shared" si="10"/>
        <v>-4312084.0983249946</v>
      </c>
      <c r="M62" s="69">
        <f t="shared" si="11"/>
        <v>16221649.703222591</v>
      </c>
      <c r="N62" s="64">
        <f t="shared" si="7"/>
        <v>10451612.875743438</v>
      </c>
    </row>
    <row r="63" spans="1:20" x14ac:dyDescent="0.25">
      <c r="A63" s="61">
        <v>45716</v>
      </c>
      <c r="B63" s="30" t="s">
        <v>145</v>
      </c>
      <c r="C63" s="63"/>
      <c r="D63" s="63">
        <f t="shared" si="3"/>
        <v>16282941.086130932</v>
      </c>
      <c r="E63" s="63">
        <f t="shared" si="13"/>
        <v>19932833.773630928</v>
      </c>
      <c r="F63" s="122">
        <f t="shared" si="14"/>
        <v>339227.93</v>
      </c>
      <c r="G63" s="63">
        <f t="shared" si="4"/>
        <v>-3392279.3000000003</v>
      </c>
      <c r="H63" s="63">
        <f t="shared" si="12"/>
        <v>-1413449.708333333</v>
      </c>
      <c r="I63" s="63">
        <f t="shared" si="8"/>
        <v>18519384.065297596</v>
      </c>
      <c r="J63" s="63">
        <f t="shared" si="1"/>
        <v>71237.86529999999</v>
      </c>
      <c r="K63" s="68">
        <f t="shared" si="2"/>
        <v>-2707038.9750874927</v>
      </c>
      <c r="L63" s="63">
        <f t="shared" si="10"/>
        <v>-3889070.6537124943</v>
      </c>
      <c r="M63" s="69">
        <f t="shared" si="11"/>
        <v>14630313.411585102</v>
      </c>
      <c r="N63" s="64">
        <f t="shared" si="7"/>
        <v>10183622.811043438</v>
      </c>
    </row>
    <row r="64" spans="1:20" x14ac:dyDescent="0.25">
      <c r="A64" s="61">
        <v>45747</v>
      </c>
      <c r="B64" s="30" t="s">
        <v>145</v>
      </c>
      <c r="C64" s="63"/>
      <c r="D64" s="63">
        <f t="shared" si="3"/>
        <v>16282941.086130932</v>
      </c>
      <c r="E64" s="63">
        <f t="shared" si="13"/>
        <v>18054647.10696426</v>
      </c>
      <c r="F64" s="122">
        <f t="shared" si="14"/>
        <v>339227.93</v>
      </c>
      <c r="G64" s="63">
        <f t="shared" si="4"/>
        <v>-3731507.2300000004</v>
      </c>
      <c r="H64" s="63">
        <f t="shared" si="12"/>
        <v>-1710274.1470833335</v>
      </c>
      <c r="I64" s="63">
        <f t="shared" si="8"/>
        <v>16344372.959880928</v>
      </c>
      <c r="J64" s="63">
        <f t="shared" si="1"/>
        <v>71237.86529999999</v>
      </c>
      <c r="K64" s="68">
        <f t="shared" si="2"/>
        <v>-2635801.1097874925</v>
      </c>
      <c r="L64" s="63">
        <f t="shared" si="10"/>
        <v>-3432318.3215749934</v>
      </c>
      <c r="M64" s="69">
        <f t="shared" si="11"/>
        <v>12912054.638305934</v>
      </c>
      <c r="N64" s="64">
        <f t="shared" si="7"/>
        <v>9915632.7463434394</v>
      </c>
    </row>
    <row r="65" spans="1:14" x14ac:dyDescent="0.25">
      <c r="A65" s="61">
        <v>45777</v>
      </c>
      <c r="B65" s="30" t="s">
        <v>145</v>
      </c>
      <c r="C65" s="63"/>
      <c r="D65" s="63">
        <f t="shared" si="3"/>
        <v>16282941.086130932</v>
      </c>
      <c r="E65" s="63">
        <f t="shared" si="13"/>
        <v>16682726.752797594</v>
      </c>
      <c r="F65" s="122">
        <f t="shared" si="14"/>
        <v>339227.93</v>
      </c>
      <c r="G65" s="63">
        <f t="shared" si="4"/>
        <v>-4070735.1600000006</v>
      </c>
      <c r="H65" s="63">
        <f t="shared" si="12"/>
        <v>-2035367.58</v>
      </c>
      <c r="I65" s="63">
        <f t="shared" si="8"/>
        <v>14647359.172797594</v>
      </c>
      <c r="J65" s="63">
        <f t="shared" si="1"/>
        <v>71237.86529999999</v>
      </c>
      <c r="K65" s="68">
        <f t="shared" si="2"/>
        <v>-2564563.2444874924</v>
      </c>
      <c r="L65" s="63">
        <f t="shared" si="10"/>
        <v>-3075945.4262874932</v>
      </c>
      <c r="M65" s="69">
        <f t="shared" si="11"/>
        <v>11571413.746510101</v>
      </c>
      <c r="N65" s="64">
        <f t="shared" si="7"/>
        <v>9647642.6816434395</v>
      </c>
    </row>
    <row r="66" spans="1:14" x14ac:dyDescent="0.25">
      <c r="A66" s="61">
        <v>45808</v>
      </c>
      <c r="B66" s="30" t="s">
        <v>145</v>
      </c>
      <c r="C66" s="63"/>
      <c r="D66" s="63">
        <f t="shared" si="3"/>
        <v>16282941.086130932</v>
      </c>
      <c r="E66" s="63">
        <f t="shared" si="13"/>
        <v>16282941.086130926</v>
      </c>
      <c r="F66" s="122">
        <f t="shared" si="14"/>
        <v>339227.93</v>
      </c>
      <c r="G66" s="63">
        <f t="shared" si="4"/>
        <v>-4409963.0900000008</v>
      </c>
      <c r="H66" s="63">
        <f t="shared" si="12"/>
        <v>-2374595.5100000002</v>
      </c>
      <c r="I66" s="63">
        <f t="shared" si="8"/>
        <v>13908345.576130927</v>
      </c>
      <c r="J66" s="63">
        <f t="shared" si="1"/>
        <v>71237.86529999999</v>
      </c>
      <c r="K66" s="68">
        <f t="shared" si="2"/>
        <v>-2493325.3791874922</v>
      </c>
      <c r="L66" s="63">
        <f t="shared" si="10"/>
        <v>-2920752.5709874933</v>
      </c>
      <c r="M66" s="69">
        <f t="shared" si="11"/>
        <v>10987593.005143434</v>
      </c>
      <c r="N66" s="64">
        <f t="shared" si="7"/>
        <v>9379652.6169434395</v>
      </c>
    </row>
    <row r="67" spans="1:14" x14ac:dyDescent="0.25">
      <c r="A67" s="61">
        <v>45838</v>
      </c>
      <c r="B67" s="30" t="s">
        <v>145</v>
      </c>
      <c r="C67" s="63"/>
      <c r="D67" s="63">
        <f t="shared" si="3"/>
        <v>16282941.086130932</v>
      </c>
      <c r="E67" s="63">
        <f t="shared" si="13"/>
        <v>16282941.086130926</v>
      </c>
      <c r="F67" s="122">
        <f t="shared" si="14"/>
        <v>339227.93</v>
      </c>
      <c r="G67" s="63">
        <f t="shared" si="4"/>
        <v>-4749191.0200000005</v>
      </c>
      <c r="H67" s="63">
        <f t="shared" si="12"/>
        <v>-2713823.44</v>
      </c>
      <c r="I67" s="63">
        <f t="shared" si="8"/>
        <v>13569117.646130927</v>
      </c>
      <c r="J67" s="63">
        <f t="shared" si="1"/>
        <v>71237.86529999999</v>
      </c>
      <c r="K67" s="68">
        <f t="shared" si="2"/>
        <v>-2422087.513887492</v>
      </c>
      <c r="L67" s="63">
        <f t="shared" si="10"/>
        <v>-2849514.7056874931</v>
      </c>
      <c r="M67" s="69">
        <f t="shared" si="11"/>
        <v>10719602.940443434</v>
      </c>
      <c r="N67" s="64">
        <f t="shared" si="7"/>
        <v>9111662.5522434413</v>
      </c>
    </row>
    <row r="68" spans="1:14" x14ac:dyDescent="0.25">
      <c r="A68" s="61">
        <v>45869</v>
      </c>
      <c r="B68" s="30" t="s">
        <v>145</v>
      </c>
      <c r="C68" s="63"/>
      <c r="D68" s="63">
        <f t="shared" si="3"/>
        <v>16282941.086130932</v>
      </c>
      <c r="E68" s="63">
        <f t="shared" si="13"/>
        <v>16282941.086130926</v>
      </c>
      <c r="F68" s="122">
        <f t="shared" si="14"/>
        <v>339227.93</v>
      </c>
      <c r="G68" s="63">
        <f t="shared" si="4"/>
        <v>-5088418.95</v>
      </c>
      <c r="H68" s="63">
        <f t="shared" si="12"/>
        <v>-3053051.3699999996</v>
      </c>
      <c r="I68" s="63">
        <f t="shared" si="8"/>
        <v>13229889.716130927</v>
      </c>
      <c r="J68" s="63">
        <f t="shared" si="1"/>
        <v>71237.86529999999</v>
      </c>
      <c r="K68" s="68">
        <f t="shared" si="2"/>
        <v>-2350849.6485874918</v>
      </c>
      <c r="L68" s="63">
        <f t="shared" si="10"/>
        <v>-2778276.8403874929</v>
      </c>
      <c r="M68" s="69">
        <f t="shared" si="11"/>
        <v>10451612.875743434</v>
      </c>
      <c r="N68" s="64">
        <f t="shared" si="7"/>
        <v>8843672.4875434414</v>
      </c>
    </row>
    <row r="69" spans="1:14" x14ac:dyDescent="0.25">
      <c r="A69" s="61">
        <v>45900</v>
      </c>
      <c r="B69" s="30" t="s">
        <v>145</v>
      </c>
      <c r="C69" s="63"/>
      <c r="D69" s="63">
        <f t="shared" si="3"/>
        <v>16282941.086130932</v>
      </c>
      <c r="E69" s="63">
        <f t="shared" si="13"/>
        <v>16282941.086130926</v>
      </c>
      <c r="F69" s="122">
        <f t="shared" si="14"/>
        <v>339227.93</v>
      </c>
      <c r="G69" s="63">
        <f t="shared" si="4"/>
        <v>-5427646.8799999999</v>
      </c>
      <c r="H69" s="63">
        <f t="shared" si="12"/>
        <v>-3392279.3000000003</v>
      </c>
      <c r="I69" s="63">
        <f t="shared" si="8"/>
        <v>12890661.786130926</v>
      </c>
      <c r="J69" s="63">
        <f t="shared" si="1"/>
        <v>71237.86529999999</v>
      </c>
      <c r="K69" s="68">
        <f t="shared" si="2"/>
        <v>-2279611.7832874916</v>
      </c>
      <c r="L69" s="63">
        <f t="shared" si="10"/>
        <v>-2707038.9750874927</v>
      </c>
      <c r="M69" s="69">
        <f t="shared" si="11"/>
        <v>10183622.811043434</v>
      </c>
      <c r="N69" s="64">
        <f t="shared" si="7"/>
        <v>8575682.4228434414</v>
      </c>
    </row>
    <row r="70" spans="1:14" x14ac:dyDescent="0.25">
      <c r="A70" s="61">
        <v>45930</v>
      </c>
      <c r="B70" s="30" t="s">
        <v>145</v>
      </c>
      <c r="C70" s="63"/>
      <c r="D70" s="63">
        <f t="shared" si="3"/>
        <v>16282941.086130932</v>
      </c>
      <c r="E70" s="63">
        <f t="shared" si="13"/>
        <v>16282941.086130926</v>
      </c>
      <c r="F70" s="122">
        <f t="shared" si="14"/>
        <v>339227.93</v>
      </c>
      <c r="G70" s="63">
        <f t="shared" si="4"/>
        <v>-5766874.8099999996</v>
      </c>
      <c r="H70" s="63">
        <f t="shared" si="12"/>
        <v>-3731507.23</v>
      </c>
      <c r="I70" s="63">
        <f t="shared" si="8"/>
        <v>12551433.856130926</v>
      </c>
      <c r="J70" s="63">
        <f t="shared" si="1"/>
        <v>71237.86529999999</v>
      </c>
      <c r="K70" s="68">
        <f t="shared" si="2"/>
        <v>-2208373.9179874915</v>
      </c>
      <c r="L70" s="63">
        <f t="shared" si="10"/>
        <v>-2635801.1097874925</v>
      </c>
      <c r="M70" s="69">
        <f t="shared" si="11"/>
        <v>9915632.7463434339</v>
      </c>
      <c r="N70" s="64">
        <f t="shared" si="7"/>
        <v>8307692.3581434414</v>
      </c>
    </row>
    <row r="71" spans="1:14" ht="13.8" thickBot="1" x14ac:dyDescent="0.3">
      <c r="A71" s="61">
        <v>45961</v>
      </c>
      <c r="B71" s="30" t="s">
        <v>145</v>
      </c>
      <c r="C71" s="63"/>
      <c r="D71" s="63">
        <f t="shared" si="3"/>
        <v>16282941.086130932</v>
      </c>
      <c r="E71" s="63">
        <f t="shared" si="13"/>
        <v>16282941.086130926</v>
      </c>
      <c r="F71" s="122">
        <f t="shared" si="14"/>
        <v>339227.93</v>
      </c>
      <c r="G71" s="63">
        <f t="shared" si="4"/>
        <v>-6106102.7399999993</v>
      </c>
      <c r="H71" s="63">
        <f t="shared" si="12"/>
        <v>-4070735.16</v>
      </c>
      <c r="I71" s="63">
        <f t="shared" si="8"/>
        <v>12212205.926130926</v>
      </c>
      <c r="J71" s="63">
        <f t="shared" si="1"/>
        <v>71237.86529999999</v>
      </c>
      <c r="K71" s="68">
        <f t="shared" si="2"/>
        <v>-2137136.0526874913</v>
      </c>
      <c r="L71" s="63">
        <f t="shared" si="10"/>
        <v>-2564563.2444874924</v>
      </c>
      <c r="M71" s="69">
        <f t="shared" si="11"/>
        <v>9647642.6816434339</v>
      </c>
      <c r="N71" s="64">
        <f t="shared" si="7"/>
        <v>8039702.2934434423</v>
      </c>
    </row>
    <row r="72" spans="1:14" x14ac:dyDescent="0.25">
      <c r="A72" s="134">
        <v>45991</v>
      </c>
      <c r="B72" s="141" t="s">
        <v>146</v>
      </c>
      <c r="C72" s="136"/>
      <c r="D72" s="136">
        <f t="shared" si="3"/>
        <v>16282941.086130932</v>
      </c>
      <c r="E72" s="136">
        <f t="shared" si="13"/>
        <v>16282941.086130926</v>
      </c>
      <c r="F72" s="122">
        <f t="shared" si="14"/>
        <v>339227.93</v>
      </c>
      <c r="G72" s="136">
        <f t="shared" si="4"/>
        <v>-6445330.669999999</v>
      </c>
      <c r="H72" s="136">
        <f t="shared" si="12"/>
        <v>-4409963.0900000008</v>
      </c>
      <c r="I72" s="136">
        <f t="shared" si="8"/>
        <v>11872977.996130925</v>
      </c>
      <c r="J72" s="136">
        <f t="shared" si="1"/>
        <v>71237.86529999999</v>
      </c>
      <c r="K72" s="138">
        <f t="shared" si="2"/>
        <v>-2065898.1873874913</v>
      </c>
      <c r="L72" s="136">
        <f t="shared" si="10"/>
        <v>-2493325.3791874922</v>
      </c>
      <c r="M72" s="139">
        <f t="shared" si="11"/>
        <v>9379652.616943432</v>
      </c>
      <c r="N72" s="140">
        <f t="shared" si="7"/>
        <v>7771712.2287434423</v>
      </c>
    </row>
    <row r="73" spans="1:14" x14ac:dyDescent="0.25">
      <c r="A73" s="61">
        <v>46022</v>
      </c>
      <c r="B73" s="30" t="s">
        <v>146</v>
      </c>
      <c r="C73" s="63"/>
      <c r="D73" s="63">
        <f t="shared" si="3"/>
        <v>16282941.086130932</v>
      </c>
      <c r="E73" s="63">
        <f t="shared" si="13"/>
        <v>16282941.086130926</v>
      </c>
      <c r="F73" s="122">
        <f t="shared" si="14"/>
        <v>339227.93</v>
      </c>
      <c r="G73" s="63">
        <f t="shared" si="4"/>
        <v>-6784558.5999999987</v>
      </c>
      <c r="H73" s="63">
        <f t="shared" si="12"/>
        <v>-4749191.0200000005</v>
      </c>
      <c r="I73" s="63">
        <f t="shared" si="8"/>
        <v>11533750.066130925</v>
      </c>
      <c r="J73" s="63">
        <f t="shared" si="1"/>
        <v>71237.86529999999</v>
      </c>
      <c r="K73" s="68">
        <f t="shared" si="2"/>
        <v>-1994660.3220874914</v>
      </c>
      <c r="L73" s="63">
        <f t="shared" si="10"/>
        <v>-2422087.513887492</v>
      </c>
      <c r="M73" s="69">
        <f t="shared" si="11"/>
        <v>9111662.5522434339</v>
      </c>
      <c r="N73" s="64">
        <f t="shared" si="7"/>
        <v>7503722.1640434433</v>
      </c>
    </row>
    <row r="74" spans="1:14" x14ac:dyDescent="0.25">
      <c r="A74" s="61">
        <v>46053</v>
      </c>
      <c r="B74" s="30" t="s">
        <v>146</v>
      </c>
      <c r="C74" s="30"/>
      <c r="D74" s="63">
        <f t="shared" si="3"/>
        <v>16282941.086130932</v>
      </c>
      <c r="E74" s="63">
        <f t="shared" si="13"/>
        <v>16282941.086130926</v>
      </c>
      <c r="F74" s="122">
        <f t="shared" si="14"/>
        <v>339227.93</v>
      </c>
      <c r="G74" s="63">
        <f t="shared" si="4"/>
        <v>-7123786.5299999984</v>
      </c>
      <c r="H74" s="63">
        <f t="shared" si="12"/>
        <v>-5088418.95</v>
      </c>
      <c r="I74" s="63">
        <f t="shared" si="8"/>
        <v>11194522.136130925</v>
      </c>
      <c r="J74" s="63">
        <f t="shared" si="1"/>
        <v>71237.86529999999</v>
      </c>
      <c r="K74" s="68">
        <f t="shared" si="2"/>
        <v>-1923422.4567874915</v>
      </c>
      <c r="L74" s="63">
        <f t="shared" si="10"/>
        <v>-2350849.6485874923</v>
      </c>
      <c r="M74" s="69">
        <f t="shared" si="11"/>
        <v>8843672.4875434339</v>
      </c>
      <c r="N74" s="64">
        <f t="shared" si="7"/>
        <v>7235732.0993434433</v>
      </c>
    </row>
    <row r="75" spans="1:14" x14ac:dyDescent="0.25">
      <c r="A75" s="61">
        <v>46081</v>
      </c>
      <c r="B75" s="30" t="s">
        <v>146</v>
      </c>
      <c r="C75" s="30"/>
      <c r="D75" s="63">
        <f t="shared" si="3"/>
        <v>16282941.086130932</v>
      </c>
      <c r="E75" s="63">
        <f t="shared" si="13"/>
        <v>16282941.086130926</v>
      </c>
      <c r="F75" s="122">
        <f t="shared" si="14"/>
        <v>339227.93</v>
      </c>
      <c r="G75" s="63">
        <f t="shared" si="4"/>
        <v>-7463014.4599999981</v>
      </c>
      <c r="H75" s="63">
        <f t="shared" si="12"/>
        <v>-5427646.8799999999</v>
      </c>
      <c r="I75" s="63">
        <f t="shared" si="8"/>
        <v>10855294.206130926</v>
      </c>
      <c r="J75" s="63">
        <f t="shared" si="1"/>
        <v>71237.86529999999</v>
      </c>
      <c r="K75" s="68">
        <f t="shared" si="2"/>
        <v>-1852184.5914874915</v>
      </c>
      <c r="L75" s="63">
        <f t="shared" si="10"/>
        <v>-2279611.7832874921</v>
      </c>
      <c r="M75" s="69">
        <f t="shared" si="11"/>
        <v>8575682.4228434339</v>
      </c>
      <c r="N75" s="64">
        <f t="shared" si="7"/>
        <v>6967742.0346434433</v>
      </c>
    </row>
    <row r="76" spans="1:14" x14ac:dyDescent="0.25">
      <c r="A76" s="61">
        <v>46112</v>
      </c>
      <c r="B76" s="30" t="s">
        <v>146</v>
      </c>
      <c r="C76" s="30"/>
      <c r="D76" s="63">
        <f t="shared" si="3"/>
        <v>16282941.086130932</v>
      </c>
      <c r="E76" s="63">
        <f t="shared" si="13"/>
        <v>16282941.086130926</v>
      </c>
      <c r="F76" s="122">
        <f t="shared" si="14"/>
        <v>339227.93</v>
      </c>
      <c r="G76" s="63">
        <f t="shared" si="4"/>
        <v>-7802242.3899999978</v>
      </c>
      <c r="H76" s="63">
        <f t="shared" si="12"/>
        <v>-5766874.8099999996</v>
      </c>
      <c r="I76" s="63">
        <f t="shared" si="8"/>
        <v>10516066.276130926</v>
      </c>
      <c r="J76" s="63">
        <f t="shared" si="1"/>
        <v>71237.86529999999</v>
      </c>
      <c r="K76" s="68">
        <f t="shared" si="2"/>
        <v>-1780946.7261874916</v>
      </c>
      <c r="L76" s="63">
        <f t="shared" si="10"/>
        <v>-2208373.9179874924</v>
      </c>
      <c r="M76" s="69">
        <f t="shared" si="11"/>
        <v>8307692.3581434339</v>
      </c>
      <c r="N76" s="64">
        <f t="shared" si="7"/>
        <v>6699751.9699434433</v>
      </c>
    </row>
    <row r="77" spans="1:14" x14ac:dyDescent="0.25">
      <c r="A77" s="61">
        <v>46142</v>
      </c>
      <c r="B77" s="30" t="s">
        <v>146</v>
      </c>
      <c r="C77" s="30"/>
      <c r="D77" s="63">
        <f t="shared" si="3"/>
        <v>16282941.086130932</v>
      </c>
      <c r="E77" s="63">
        <f t="shared" si="13"/>
        <v>16282941.086130926</v>
      </c>
      <c r="F77" s="122">
        <f t="shared" si="14"/>
        <v>339227.93</v>
      </c>
      <c r="G77" s="63">
        <f t="shared" si="4"/>
        <v>-8141470.3199999975</v>
      </c>
      <c r="H77" s="63">
        <f t="shared" si="12"/>
        <v>-6106102.7399999993</v>
      </c>
      <c r="I77" s="63">
        <f t="shared" si="8"/>
        <v>10176838.346130926</v>
      </c>
      <c r="J77" s="63">
        <f t="shared" si="1"/>
        <v>71237.86529999999</v>
      </c>
      <c r="K77" s="68">
        <f t="shared" si="2"/>
        <v>-1709708.8608874916</v>
      </c>
      <c r="L77" s="63">
        <f t="shared" si="10"/>
        <v>-2137136.0526874913</v>
      </c>
      <c r="M77" s="69">
        <f t="shared" si="11"/>
        <v>8039702.2934434349</v>
      </c>
      <c r="N77" s="64">
        <f t="shared" si="7"/>
        <v>6431761.9052434433</v>
      </c>
    </row>
    <row r="78" spans="1:14" x14ac:dyDescent="0.25">
      <c r="A78" s="61">
        <v>46173</v>
      </c>
      <c r="B78" s="30" t="s">
        <v>146</v>
      </c>
      <c r="C78" s="30"/>
      <c r="D78" s="63">
        <f t="shared" si="3"/>
        <v>16282941.086130932</v>
      </c>
      <c r="E78" s="63">
        <f t="shared" si="13"/>
        <v>16282941.086130926</v>
      </c>
      <c r="F78" s="122">
        <f t="shared" si="14"/>
        <v>339227.93</v>
      </c>
      <c r="G78" s="63">
        <f t="shared" si="4"/>
        <v>-8480698.2499999981</v>
      </c>
      <c r="H78" s="63">
        <f t="shared" si="12"/>
        <v>-6445330.6700000009</v>
      </c>
      <c r="I78" s="63">
        <f t="shared" si="8"/>
        <v>9837610.4161309265</v>
      </c>
      <c r="J78" s="63">
        <f t="shared" si="1"/>
        <v>71237.86529999999</v>
      </c>
      <c r="K78" s="68">
        <f t="shared" si="2"/>
        <v>-1638470.9955874917</v>
      </c>
      <c r="L78" s="63">
        <f t="shared" si="10"/>
        <v>-2065898.1873874916</v>
      </c>
      <c r="M78" s="69">
        <f t="shared" si="11"/>
        <v>7771712.2287434349</v>
      </c>
      <c r="N78" s="64">
        <f t="shared" si="7"/>
        <v>6163771.8405434424</v>
      </c>
    </row>
    <row r="79" spans="1:14" x14ac:dyDescent="0.25">
      <c r="A79" s="61">
        <v>46203</v>
      </c>
      <c r="B79" s="30" t="s">
        <v>146</v>
      </c>
      <c r="D79" s="63">
        <f t="shared" si="3"/>
        <v>16282941.086130932</v>
      </c>
      <c r="E79" s="63">
        <f t="shared" si="13"/>
        <v>16282941.086130926</v>
      </c>
      <c r="F79" s="122">
        <f t="shared" si="14"/>
        <v>339227.93</v>
      </c>
      <c r="G79" s="63">
        <f t="shared" si="4"/>
        <v>-8819926.1799999978</v>
      </c>
      <c r="H79" s="63">
        <f t="shared" si="12"/>
        <v>-6784558.5999999987</v>
      </c>
      <c r="I79" s="63">
        <f t="shared" si="8"/>
        <v>9498382.4861309268</v>
      </c>
      <c r="J79" s="63">
        <f t="shared" si="1"/>
        <v>71237.86529999999</v>
      </c>
      <c r="K79" s="68">
        <f t="shared" si="2"/>
        <v>-1567233.1302874917</v>
      </c>
      <c r="L79" s="63">
        <f t="shared" si="10"/>
        <v>-1994660.3220874912</v>
      </c>
      <c r="M79" s="63">
        <f t="shared" si="11"/>
        <v>7503722.1640434358</v>
      </c>
      <c r="N79" s="64">
        <f t="shared" si="7"/>
        <v>5895781.7758434424</v>
      </c>
    </row>
    <row r="80" spans="1:14" x14ac:dyDescent="0.25">
      <c r="A80" s="61">
        <v>46234</v>
      </c>
      <c r="B80" s="30" t="s">
        <v>146</v>
      </c>
      <c r="D80" s="63">
        <f t="shared" si="3"/>
        <v>16282941.086130932</v>
      </c>
      <c r="E80" s="63">
        <f t="shared" si="13"/>
        <v>16282941.086130926</v>
      </c>
      <c r="F80" s="122">
        <f t="shared" si="14"/>
        <v>339227.93</v>
      </c>
      <c r="G80" s="63">
        <f t="shared" si="4"/>
        <v>-9159154.1099999975</v>
      </c>
      <c r="H80" s="63">
        <f t="shared" si="12"/>
        <v>-7123786.5299999984</v>
      </c>
      <c r="I80" s="63">
        <f t="shared" si="8"/>
        <v>9159154.5561309271</v>
      </c>
      <c r="J80" s="63">
        <f t="shared" si="1"/>
        <v>71237.86529999999</v>
      </c>
      <c r="K80" s="68">
        <f t="shared" si="2"/>
        <v>-1495995.2649874918</v>
      </c>
      <c r="L80" s="63">
        <f t="shared" si="10"/>
        <v>-1923422.4567874915</v>
      </c>
      <c r="M80" s="63">
        <f t="shared" si="11"/>
        <v>7235732.0993434358</v>
      </c>
      <c r="N80" s="64">
        <f t="shared" si="7"/>
        <v>5627791.7111434424</v>
      </c>
    </row>
    <row r="81" spans="1:14" x14ac:dyDescent="0.25">
      <c r="A81" s="61">
        <v>46265</v>
      </c>
      <c r="B81" s="30" t="s">
        <v>146</v>
      </c>
      <c r="D81" s="63">
        <f t="shared" si="3"/>
        <v>16282941.086130932</v>
      </c>
      <c r="E81" s="63">
        <f t="shared" si="13"/>
        <v>16282941.086130926</v>
      </c>
      <c r="F81" s="122">
        <f t="shared" si="14"/>
        <v>339227.93</v>
      </c>
      <c r="G81" s="63">
        <f t="shared" si="4"/>
        <v>-9498382.0399999972</v>
      </c>
      <c r="H81" s="63">
        <f t="shared" si="12"/>
        <v>-7463014.4599999981</v>
      </c>
      <c r="I81" s="63">
        <f t="shared" si="8"/>
        <v>8819926.6261309274</v>
      </c>
      <c r="J81" s="63">
        <f t="shared" si="1"/>
        <v>71237.86529999999</v>
      </c>
      <c r="K81" s="68">
        <f t="shared" si="2"/>
        <v>-1424757.3996874918</v>
      </c>
      <c r="L81" s="63">
        <f t="shared" si="10"/>
        <v>-1852184.5914874915</v>
      </c>
      <c r="M81" s="63">
        <f t="shared" si="11"/>
        <v>6967742.0346434359</v>
      </c>
      <c r="N81" s="64">
        <f t="shared" si="7"/>
        <v>5359801.6464434434</v>
      </c>
    </row>
    <row r="82" spans="1:14" x14ac:dyDescent="0.25">
      <c r="A82" s="61">
        <v>46295</v>
      </c>
      <c r="B82" s="30" t="s">
        <v>146</v>
      </c>
      <c r="D82" s="63">
        <f t="shared" si="3"/>
        <v>16282941.086130932</v>
      </c>
      <c r="E82" s="63">
        <f t="shared" si="13"/>
        <v>16282941.086130926</v>
      </c>
      <c r="F82" s="122">
        <f t="shared" si="14"/>
        <v>339227.93</v>
      </c>
      <c r="G82" s="63">
        <f t="shared" si="4"/>
        <v>-9837609.9699999969</v>
      </c>
      <c r="H82" s="63">
        <f t="shared" si="12"/>
        <v>-7802242.3899999978</v>
      </c>
      <c r="I82" s="63">
        <f t="shared" si="8"/>
        <v>8480698.6961309277</v>
      </c>
      <c r="J82" s="63">
        <f t="shared" si="1"/>
        <v>71237.86529999999</v>
      </c>
      <c r="K82" s="68">
        <f t="shared" si="2"/>
        <v>-1353519.5343874919</v>
      </c>
      <c r="L82" s="63">
        <f t="shared" si="10"/>
        <v>-1780946.7261874918</v>
      </c>
      <c r="M82" s="63">
        <f t="shared" si="11"/>
        <v>6699751.9699434359</v>
      </c>
      <c r="N82" s="64">
        <f t="shared" si="7"/>
        <v>5091811.5817434434</v>
      </c>
    </row>
    <row r="83" spans="1:14" ht="13.8" thickBot="1" x14ac:dyDescent="0.3">
      <c r="A83" s="61">
        <v>46326</v>
      </c>
      <c r="B83" s="30" t="s">
        <v>146</v>
      </c>
      <c r="D83" s="63">
        <f t="shared" si="3"/>
        <v>16282941.086130932</v>
      </c>
      <c r="E83" s="63">
        <f t="shared" si="13"/>
        <v>16282941.086130926</v>
      </c>
      <c r="F83" s="122">
        <f t="shared" si="14"/>
        <v>339227.93</v>
      </c>
      <c r="G83" s="63">
        <f t="shared" si="4"/>
        <v>-10176837.899999997</v>
      </c>
      <c r="H83" s="63">
        <f t="shared" si="12"/>
        <v>-8141470.3199999975</v>
      </c>
      <c r="I83" s="63">
        <f t="shared" si="8"/>
        <v>8141470.7661309289</v>
      </c>
      <c r="J83" s="63">
        <f t="shared" si="1"/>
        <v>71237.86529999999</v>
      </c>
      <c r="K83" s="68">
        <f t="shared" si="2"/>
        <v>-1282281.6690874919</v>
      </c>
      <c r="L83" s="63">
        <f t="shared" si="10"/>
        <v>-1709708.8608874914</v>
      </c>
      <c r="M83" s="63">
        <f t="shared" si="11"/>
        <v>6431761.9052434377</v>
      </c>
      <c r="N83" s="64">
        <f t="shared" si="7"/>
        <v>4823821.5170434434</v>
      </c>
    </row>
    <row r="84" spans="1:14" x14ac:dyDescent="0.25">
      <c r="A84" s="134">
        <v>46356</v>
      </c>
      <c r="B84" s="141" t="s">
        <v>147</v>
      </c>
      <c r="C84" s="141"/>
      <c r="D84" s="136">
        <f t="shared" si="3"/>
        <v>16282941.086130932</v>
      </c>
      <c r="E84" s="136">
        <f t="shared" si="13"/>
        <v>16282941.086130926</v>
      </c>
      <c r="F84" s="122">
        <f t="shared" si="14"/>
        <v>339227.93</v>
      </c>
      <c r="G84" s="136">
        <f t="shared" si="4"/>
        <v>-10516065.829999996</v>
      </c>
      <c r="H84" s="136">
        <f t="shared" si="12"/>
        <v>-8480698.2499999981</v>
      </c>
      <c r="I84" s="136">
        <f t="shared" si="8"/>
        <v>7802242.8361309282</v>
      </c>
      <c r="J84" s="136">
        <f t="shared" si="1"/>
        <v>71237.86529999999</v>
      </c>
      <c r="K84" s="138">
        <f t="shared" si="2"/>
        <v>-1211043.803787492</v>
      </c>
      <c r="L84" s="136">
        <f t="shared" si="10"/>
        <v>-1638470.9955874914</v>
      </c>
      <c r="M84" s="136">
        <f t="shared" si="11"/>
        <v>6163771.8405434368</v>
      </c>
      <c r="N84" s="140">
        <f t="shared" si="7"/>
        <v>4555831.4523434434</v>
      </c>
    </row>
    <row r="85" spans="1:14" x14ac:dyDescent="0.25">
      <c r="A85" s="61">
        <v>46387</v>
      </c>
      <c r="B85" s="66" t="s">
        <v>147</v>
      </c>
      <c r="D85" s="63">
        <f t="shared" si="3"/>
        <v>16282941.086130932</v>
      </c>
      <c r="E85" s="63">
        <f t="shared" si="13"/>
        <v>16282941.086130926</v>
      </c>
      <c r="F85" s="122">
        <f t="shared" si="14"/>
        <v>339227.93</v>
      </c>
      <c r="G85" s="63">
        <f t="shared" si="4"/>
        <v>-10855293.759999996</v>
      </c>
      <c r="H85" s="63">
        <f t="shared" si="12"/>
        <v>-8819926.1799999978</v>
      </c>
      <c r="I85" s="63">
        <f t="shared" si="8"/>
        <v>7463014.9061309285</v>
      </c>
      <c r="J85" s="63">
        <f t="shared" si="1"/>
        <v>71237.86529999999</v>
      </c>
      <c r="K85" s="68">
        <f t="shared" si="2"/>
        <v>-1139805.938487492</v>
      </c>
      <c r="L85" s="63">
        <f t="shared" si="10"/>
        <v>-1567233.1302874917</v>
      </c>
      <c r="M85" s="63">
        <f t="shared" si="11"/>
        <v>5895781.7758434368</v>
      </c>
      <c r="N85" s="64">
        <f t="shared" si="7"/>
        <v>4287841.3876434434</v>
      </c>
    </row>
    <row r="86" spans="1:14" s="328" customFormat="1" x14ac:dyDescent="0.25">
      <c r="A86" s="323">
        <v>46418</v>
      </c>
      <c r="B86" s="324" t="s">
        <v>147</v>
      </c>
      <c r="C86" s="324"/>
      <c r="D86" s="199">
        <f t="shared" si="3"/>
        <v>16282941.086130932</v>
      </c>
      <c r="E86" s="199">
        <f t="shared" si="13"/>
        <v>16282941.086130926</v>
      </c>
      <c r="F86" s="325">
        <f t="shared" si="14"/>
        <v>339227.93</v>
      </c>
      <c r="G86" s="199">
        <f t="shared" si="4"/>
        <v>-11194521.689999996</v>
      </c>
      <c r="H86" s="199">
        <f t="shared" si="12"/>
        <v>-9159154.1099999975</v>
      </c>
      <c r="I86" s="199">
        <f t="shared" si="8"/>
        <v>7123786.9761309288</v>
      </c>
      <c r="J86" s="199">
        <f t="shared" si="1"/>
        <v>71237.86529999999</v>
      </c>
      <c r="K86" s="326">
        <f t="shared" si="2"/>
        <v>-1068568.0731874921</v>
      </c>
      <c r="L86" s="199">
        <f t="shared" si="10"/>
        <v>-1495995.2649874918</v>
      </c>
      <c r="M86" s="199">
        <f t="shared" si="11"/>
        <v>5627791.7111434368</v>
      </c>
      <c r="N86" s="327">
        <f t="shared" si="7"/>
        <v>4019851.3229434444</v>
      </c>
    </row>
    <row r="87" spans="1:14" x14ac:dyDescent="0.25">
      <c r="A87" s="61">
        <v>46446</v>
      </c>
      <c r="B87" s="66" t="s">
        <v>147</v>
      </c>
      <c r="D87" s="63">
        <f t="shared" si="3"/>
        <v>16282941.086130932</v>
      </c>
      <c r="E87" s="63">
        <f t="shared" si="13"/>
        <v>16282941.086130926</v>
      </c>
      <c r="F87" s="122">
        <f t="shared" si="14"/>
        <v>339227.93</v>
      </c>
      <c r="G87" s="63">
        <f t="shared" si="4"/>
        <v>-11533749.619999995</v>
      </c>
      <c r="H87" s="63">
        <f t="shared" si="12"/>
        <v>-9498382.0399999972</v>
      </c>
      <c r="I87" s="63">
        <f t="shared" si="8"/>
        <v>6784559.0461309291</v>
      </c>
      <c r="J87" s="63">
        <f t="shared" si="1"/>
        <v>71237.86529999999</v>
      </c>
      <c r="K87" s="68">
        <f t="shared" si="2"/>
        <v>-997330.20788749214</v>
      </c>
      <c r="L87" s="63">
        <f t="shared" si="10"/>
        <v>-1424757.3996874921</v>
      </c>
      <c r="M87" s="63">
        <f t="shared" si="11"/>
        <v>5359801.6464434369</v>
      </c>
      <c r="N87" s="64">
        <f t="shared" si="7"/>
        <v>3751861.2582434444</v>
      </c>
    </row>
    <row r="88" spans="1:14" x14ac:dyDescent="0.25">
      <c r="A88" s="61">
        <v>46477</v>
      </c>
      <c r="B88" s="66" t="s">
        <v>147</v>
      </c>
      <c r="D88" s="63">
        <f t="shared" si="3"/>
        <v>16282941.086130932</v>
      </c>
      <c r="E88" s="63">
        <f t="shared" si="13"/>
        <v>16282941.086130926</v>
      </c>
      <c r="F88" s="122">
        <f t="shared" si="14"/>
        <v>339227.93</v>
      </c>
      <c r="G88" s="63">
        <f t="shared" si="4"/>
        <v>-11872977.549999995</v>
      </c>
      <c r="H88" s="63">
        <f t="shared" si="12"/>
        <v>-9837609.9699999969</v>
      </c>
      <c r="I88" s="63">
        <f t="shared" si="8"/>
        <v>6445331.1161309294</v>
      </c>
      <c r="J88" s="63">
        <f t="shared" ref="J88:J107" si="15">(-C88*0.21)+(F88*0.21)</f>
        <v>71237.86529999999</v>
      </c>
      <c r="K88" s="68">
        <f t="shared" ref="K88:K107" si="16">K87+J88</f>
        <v>-926092.3425874922</v>
      </c>
      <c r="L88" s="63">
        <f t="shared" si="10"/>
        <v>-1353519.5343874919</v>
      </c>
      <c r="M88" s="63">
        <f t="shared" si="11"/>
        <v>5091811.5817434378</v>
      </c>
      <c r="N88" s="64">
        <f t="shared" si="7"/>
        <v>3483871.1935434444</v>
      </c>
    </row>
    <row r="89" spans="1:14" x14ac:dyDescent="0.25">
      <c r="A89" s="61">
        <v>46507</v>
      </c>
      <c r="B89" s="66" t="s">
        <v>147</v>
      </c>
      <c r="D89" s="63">
        <f t="shared" ref="D89:D107" si="17">D88+C89</f>
        <v>16282941.086130932</v>
      </c>
      <c r="E89" s="63">
        <f t="shared" si="13"/>
        <v>16282941.086130926</v>
      </c>
      <c r="F89" s="122">
        <f t="shared" si="14"/>
        <v>339227.93</v>
      </c>
      <c r="G89" s="63">
        <f t="shared" si="4"/>
        <v>-12212205.479999995</v>
      </c>
      <c r="H89" s="63">
        <f t="shared" si="12"/>
        <v>-10176837.899999997</v>
      </c>
      <c r="I89" s="63">
        <f t="shared" si="8"/>
        <v>6106103.1861309297</v>
      </c>
      <c r="J89" s="63">
        <f t="shared" si="15"/>
        <v>71237.86529999999</v>
      </c>
      <c r="K89" s="68">
        <f t="shared" si="16"/>
        <v>-854854.47728749225</v>
      </c>
      <c r="L89" s="63">
        <f t="shared" si="10"/>
        <v>-1282281.6690874922</v>
      </c>
      <c r="M89" s="63">
        <f t="shared" si="11"/>
        <v>4823821.5170434378</v>
      </c>
      <c r="N89" s="64">
        <f t="shared" si="7"/>
        <v>3215881.1288434449</v>
      </c>
    </row>
    <row r="90" spans="1:14" x14ac:dyDescent="0.25">
      <c r="A90" s="61">
        <v>46538</v>
      </c>
      <c r="B90" s="66" t="s">
        <v>147</v>
      </c>
      <c r="D90" s="63">
        <f t="shared" si="17"/>
        <v>16282941.086130932</v>
      </c>
      <c r="E90" s="63">
        <f t="shared" si="13"/>
        <v>16282941.086130926</v>
      </c>
      <c r="F90" s="122">
        <f t="shared" si="14"/>
        <v>339227.93</v>
      </c>
      <c r="G90" s="63">
        <f t="shared" ref="G90:G107" si="18">G89-F90</f>
        <v>-12551433.409999995</v>
      </c>
      <c r="H90" s="63">
        <f t="shared" si="12"/>
        <v>-10516065.829999996</v>
      </c>
      <c r="I90" s="63">
        <f t="shared" si="8"/>
        <v>5766875.25613093</v>
      </c>
      <c r="J90" s="63">
        <f t="shared" si="15"/>
        <v>71237.86529999999</v>
      </c>
      <c r="K90" s="68">
        <f t="shared" si="16"/>
        <v>-783616.6119874923</v>
      </c>
      <c r="L90" s="63">
        <f t="shared" si="10"/>
        <v>-1211043.803787492</v>
      </c>
      <c r="M90" s="63">
        <f t="shared" si="11"/>
        <v>4555831.4523434378</v>
      </c>
      <c r="N90" s="64">
        <f t="shared" ref="N90:N107" si="19">+D90+G90+K90</f>
        <v>2947891.0641434453</v>
      </c>
    </row>
    <row r="91" spans="1:14" x14ac:dyDescent="0.25">
      <c r="A91" s="61">
        <v>46568</v>
      </c>
      <c r="B91" s="66" t="s">
        <v>147</v>
      </c>
      <c r="D91" s="63">
        <f t="shared" si="17"/>
        <v>16282941.086130932</v>
      </c>
      <c r="E91" s="63">
        <f t="shared" si="13"/>
        <v>16282941.086130926</v>
      </c>
      <c r="F91" s="122">
        <f t="shared" si="14"/>
        <v>339227.93</v>
      </c>
      <c r="G91" s="63">
        <f t="shared" si="18"/>
        <v>-12890661.339999994</v>
      </c>
      <c r="H91" s="63">
        <f t="shared" si="12"/>
        <v>-10855293.759999996</v>
      </c>
      <c r="I91" s="63">
        <f t="shared" ref="I91:I107" si="20">E91+H91</f>
        <v>5427647.3261309303</v>
      </c>
      <c r="J91" s="63">
        <f t="shared" si="15"/>
        <v>71237.86529999999</v>
      </c>
      <c r="K91" s="68">
        <f t="shared" si="16"/>
        <v>-712378.74668749236</v>
      </c>
      <c r="L91" s="63">
        <f t="shared" si="10"/>
        <v>-1139805.938487492</v>
      </c>
      <c r="M91" s="63">
        <f t="shared" si="11"/>
        <v>4287841.3876434378</v>
      </c>
      <c r="N91" s="64">
        <f t="shared" si="19"/>
        <v>2679900.9994434454</v>
      </c>
    </row>
    <row r="92" spans="1:14" x14ac:dyDescent="0.25">
      <c r="A92" s="61">
        <v>46599</v>
      </c>
      <c r="B92" s="66" t="s">
        <v>147</v>
      </c>
      <c r="D92" s="63">
        <f t="shared" si="17"/>
        <v>16282941.086130932</v>
      </c>
      <c r="E92" s="63">
        <f t="shared" si="13"/>
        <v>16282941.086130926</v>
      </c>
      <c r="F92" s="122">
        <f t="shared" si="14"/>
        <v>339227.93</v>
      </c>
      <c r="G92" s="63">
        <f t="shared" si="18"/>
        <v>-13229889.269999994</v>
      </c>
      <c r="H92" s="63">
        <f t="shared" si="12"/>
        <v>-11194521.689999996</v>
      </c>
      <c r="I92" s="63">
        <f t="shared" si="20"/>
        <v>5088419.3961309306</v>
      </c>
      <c r="J92" s="63">
        <f t="shared" si="15"/>
        <v>71237.86529999999</v>
      </c>
      <c r="K92" s="68">
        <f t="shared" si="16"/>
        <v>-641140.88138749241</v>
      </c>
      <c r="L92" s="63">
        <f t="shared" si="10"/>
        <v>-1068568.0731874921</v>
      </c>
      <c r="M92" s="63">
        <f t="shared" si="11"/>
        <v>4019851.3229434388</v>
      </c>
      <c r="N92" s="64">
        <f t="shared" si="19"/>
        <v>2411910.9347434454</v>
      </c>
    </row>
    <row r="93" spans="1:14" x14ac:dyDescent="0.25">
      <c r="A93" s="61">
        <v>46630</v>
      </c>
      <c r="B93" s="66" t="s">
        <v>147</v>
      </c>
      <c r="D93" s="63">
        <f t="shared" si="17"/>
        <v>16282941.086130932</v>
      </c>
      <c r="E93" s="63">
        <f t="shared" si="13"/>
        <v>16282941.086130926</v>
      </c>
      <c r="F93" s="122">
        <f t="shared" si="14"/>
        <v>339227.93</v>
      </c>
      <c r="G93" s="63">
        <f t="shared" si="18"/>
        <v>-13569117.199999994</v>
      </c>
      <c r="H93" s="63">
        <f t="shared" si="12"/>
        <v>-11533749.619999995</v>
      </c>
      <c r="I93" s="63">
        <f t="shared" si="20"/>
        <v>4749191.4661309309</v>
      </c>
      <c r="J93" s="63">
        <f t="shared" si="15"/>
        <v>71237.86529999999</v>
      </c>
      <c r="K93" s="68">
        <f t="shared" si="16"/>
        <v>-569903.01608749246</v>
      </c>
      <c r="L93" s="63">
        <f t="shared" si="10"/>
        <v>-997330.20788749214</v>
      </c>
      <c r="M93" s="63">
        <f t="shared" si="11"/>
        <v>3751861.2582434388</v>
      </c>
      <c r="N93" s="64">
        <f t="shared" si="19"/>
        <v>2143920.8700434458</v>
      </c>
    </row>
    <row r="94" spans="1:14" x14ac:dyDescent="0.25">
      <c r="A94" s="61">
        <v>46660</v>
      </c>
      <c r="B94" s="66" t="s">
        <v>147</v>
      </c>
      <c r="D94" s="63">
        <f t="shared" si="17"/>
        <v>16282941.086130932</v>
      </c>
      <c r="E94" s="63">
        <f t="shared" si="13"/>
        <v>16282941.086130926</v>
      </c>
      <c r="F94" s="122">
        <f t="shared" si="14"/>
        <v>339227.93</v>
      </c>
      <c r="G94" s="63">
        <f t="shared" si="18"/>
        <v>-13908345.129999993</v>
      </c>
      <c r="H94" s="63">
        <f t="shared" si="12"/>
        <v>-11872977.549999995</v>
      </c>
      <c r="I94" s="63">
        <f t="shared" si="20"/>
        <v>4409963.5361309312</v>
      </c>
      <c r="J94" s="63">
        <f t="shared" si="15"/>
        <v>71237.86529999999</v>
      </c>
      <c r="K94" s="68">
        <f t="shared" si="16"/>
        <v>-498665.15078749246</v>
      </c>
      <c r="L94" s="63">
        <f t="shared" si="10"/>
        <v>-926092.34258749231</v>
      </c>
      <c r="M94" s="63">
        <f t="shared" si="11"/>
        <v>3483871.1935434388</v>
      </c>
      <c r="N94" s="64">
        <f t="shared" si="19"/>
        <v>1875930.8053434461</v>
      </c>
    </row>
    <row r="95" spans="1:14" ht="13.8" thickBot="1" x14ac:dyDescent="0.3">
      <c r="A95" s="61">
        <v>46691</v>
      </c>
      <c r="B95" s="66" t="s">
        <v>147</v>
      </c>
      <c r="D95" s="63">
        <f t="shared" si="17"/>
        <v>16282941.086130932</v>
      </c>
      <c r="E95" s="63">
        <f t="shared" si="13"/>
        <v>16282941.086130926</v>
      </c>
      <c r="F95" s="122">
        <f t="shared" si="14"/>
        <v>339227.93</v>
      </c>
      <c r="G95" s="63">
        <f t="shared" si="18"/>
        <v>-14247573.059999993</v>
      </c>
      <c r="H95" s="63">
        <f t="shared" si="12"/>
        <v>-12212205.479999995</v>
      </c>
      <c r="I95" s="63">
        <f t="shared" si="20"/>
        <v>4070735.6061309315</v>
      </c>
      <c r="J95" s="63">
        <f t="shared" si="15"/>
        <v>71237.86529999999</v>
      </c>
      <c r="K95" s="68">
        <f t="shared" si="16"/>
        <v>-427427.28548749245</v>
      </c>
      <c r="L95" s="63">
        <f t="shared" si="10"/>
        <v>-854854.47728749225</v>
      </c>
      <c r="M95" s="63">
        <f t="shared" si="11"/>
        <v>3215881.1288434393</v>
      </c>
      <c r="N95" s="64">
        <f t="shared" si="19"/>
        <v>1607940.7406434463</v>
      </c>
    </row>
    <row r="96" spans="1:14" x14ac:dyDescent="0.25">
      <c r="A96" s="134">
        <v>46721</v>
      </c>
      <c r="B96" s="141" t="s">
        <v>148</v>
      </c>
      <c r="C96" s="141"/>
      <c r="D96" s="136">
        <f t="shared" si="17"/>
        <v>16282941.086130932</v>
      </c>
      <c r="E96" s="136">
        <f t="shared" si="13"/>
        <v>16282941.086130926</v>
      </c>
      <c r="F96" s="122">
        <f t="shared" si="14"/>
        <v>339227.93</v>
      </c>
      <c r="G96" s="136">
        <f t="shared" si="18"/>
        <v>-14586800.989999993</v>
      </c>
      <c r="H96" s="136">
        <f t="shared" si="12"/>
        <v>-12551433.409999995</v>
      </c>
      <c r="I96" s="136">
        <f t="shared" si="20"/>
        <v>3731507.6761309318</v>
      </c>
      <c r="J96" s="136">
        <f t="shared" si="15"/>
        <v>71237.86529999999</v>
      </c>
      <c r="K96" s="138">
        <f t="shared" si="16"/>
        <v>-356189.42018749245</v>
      </c>
      <c r="L96" s="136">
        <f t="shared" si="10"/>
        <v>-783616.61198749242</v>
      </c>
      <c r="M96" s="136">
        <f t="shared" si="11"/>
        <v>2947891.0641434393</v>
      </c>
      <c r="N96" s="140">
        <f t="shared" si="19"/>
        <v>1339950.6759434468</v>
      </c>
    </row>
    <row r="97" spans="1:14" x14ac:dyDescent="0.25">
      <c r="A97" s="61">
        <v>46752</v>
      </c>
      <c r="B97" s="66" t="s">
        <v>148</v>
      </c>
      <c r="D97" s="63">
        <f t="shared" si="17"/>
        <v>16282941.086130932</v>
      </c>
      <c r="E97" s="63">
        <f t="shared" ref="E97:E106" si="21">(D85+D97+SUM(D86:D96)*2)/24</f>
        <v>16282941.086130926</v>
      </c>
      <c r="F97" s="122">
        <f t="shared" si="14"/>
        <v>339227.93</v>
      </c>
      <c r="G97" s="63">
        <f t="shared" si="18"/>
        <v>-14926028.919999992</v>
      </c>
      <c r="H97" s="63">
        <f t="shared" ref="H97:H106" si="22">(G85+G97+SUM(G86:G96)*2)/24</f>
        <v>-12890661.339999994</v>
      </c>
      <c r="I97" s="63">
        <f t="shared" si="20"/>
        <v>3392279.7461309321</v>
      </c>
      <c r="J97" s="63">
        <f t="shared" si="15"/>
        <v>71237.86529999999</v>
      </c>
      <c r="K97" s="68">
        <f t="shared" si="16"/>
        <v>-284951.55488749244</v>
      </c>
      <c r="L97" s="63">
        <f t="shared" ref="L97:L107" si="23">(K85+K97+SUM(K86:K96)*2)/24</f>
        <v>-712378.74668749236</v>
      </c>
      <c r="M97" s="63">
        <f t="shared" si="11"/>
        <v>2679900.9994434398</v>
      </c>
      <c r="N97" s="64">
        <f t="shared" si="19"/>
        <v>1071960.6112434471</v>
      </c>
    </row>
    <row r="98" spans="1:14" x14ac:dyDescent="0.25">
      <c r="A98" s="61">
        <v>46783</v>
      </c>
      <c r="B98" s="66" t="s">
        <v>148</v>
      </c>
      <c r="D98" s="63">
        <f t="shared" si="17"/>
        <v>16282941.086130932</v>
      </c>
      <c r="E98" s="63">
        <f t="shared" si="21"/>
        <v>16282941.086130926</v>
      </c>
      <c r="F98" s="122">
        <f t="shared" si="14"/>
        <v>339227.93</v>
      </c>
      <c r="G98" s="63">
        <f t="shared" si="18"/>
        <v>-15265256.849999992</v>
      </c>
      <c r="H98" s="63">
        <f t="shared" si="22"/>
        <v>-13229889.269999994</v>
      </c>
      <c r="I98" s="63">
        <f t="shared" si="20"/>
        <v>3053051.8161309324</v>
      </c>
      <c r="J98" s="63">
        <f t="shared" si="15"/>
        <v>71237.86529999999</v>
      </c>
      <c r="K98" s="68">
        <f t="shared" si="16"/>
        <v>-213713.68958749244</v>
      </c>
      <c r="L98" s="63">
        <f t="shared" si="23"/>
        <v>-641140.88138749241</v>
      </c>
      <c r="M98" s="63">
        <f t="shared" si="11"/>
        <v>2411910.9347434398</v>
      </c>
      <c r="N98" s="64">
        <f t="shared" si="19"/>
        <v>803970.5465434473</v>
      </c>
    </row>
    <row r="99" spans="1:14" x14ac:dyDescent="0.25">
      <c r="A99" s="61">
        <v>46812</v>
      </c>
      <c r="B99" s="66" t="s">
        <v>148</v>
      </c>
      <c r="D99" s="63">
        <f t="shared" si="17"/>
        <v>16282941.086130932</v>
      </c>
      <c r="E99" s="63">
        <f t="shared" si="21"/>
        <v>16282941.086130926</v>
      </c>
      <c r="F99" s="122">
        <f t="shared" si="14"/>
        <v>339227.93</v>
      </c>
      <c r="G99" s="63">
        <f t="shared" si="18"/>
        <v>-15604484.779999992</v>
      </c>
      <c r="H99" s="63">
        <f t="shared" si="22"/>
        <v>-13569117.199999994</v>
      </c>
      <c r="I99" s="63">
        <f t="shared" si="20"/>
        <v>2713823.8861309327</v>
      </c>
      <c r="J99" s="63">
        <f t="shared" si="15"/>
        <v>71237.86529999999</v>
      </c>
      <c r="K99" s="68">
        <f t="shared" si="16"/>
        <v>-142475.82428749243</v>
      </c>
      <c r="L99" s="63">
        <f t="shared" si="23"/>
        <v>-569903.01608749235</v>
      </c>
      <c r="M99" s="63">
        <f t="shared" si="11"/>
        <v>2143920.8700434403</v>
      </c>
      <c r="N99" s="64">
        <f t="shared" si="19"/>
        <v>535980.48184344766</v>
      </c>
    </row>
    <row r="100" spans="1:14" x14ac:dyDescent="0.25">
      <c r="A100" s="61">
        <v>46843</v>
      </c>
      <c r="B100" s="66" t="s">
        <v>148</v>
      </c>
      <c r="D100" s="63">
        <f t="shared" si="17"/>
        <v>16282941.086130932</v>
      </c>
      <c r="E100" s="63">
        <f t="shared" si="21"/>
        <v>16282941.086130926</v>
      </c>
      <c r="F100" s="122">
        <f t="shared" si="14"/>
        <v>339227.93</v>
      </c>
      <c r="G100" s="63">
        <f t="shared" si="18"/>
        <v>-15943712.709999992</v>
      </c>
      <c r="H100" s="63">
        <f t="shared" si="22"/>
        <v>-13908345.129999993</v>
      </c>
      <c r="I100" s="63">
        <f t="shared" si="20"/>
        <v>2374595.956130933</v>
      </c>
      <c r="J100" s="63">
        <f t="shared" si="15"/>
        <v>71237.86529999999</v>
      </c>
      <c r="K100" s="68">
        <f t="shared" si="16"/>
        <v>-71237.958987492442</v>
      </c>
      <c r="L100" s="63">
        <f t="shared" si="23"/>
        <v>-498665.15078749246</v>
      </c>
      <c r="M100" s="63">
        <f t="shared" si="11"/>
        <v>1875930.8053434405</v>
      </c>
      <c r="N100" s="64">
        <f t="shared" si="19"/>
        <v>267990.41714344796</v>
      </c>
    </row>
    <row r="101" spans="1:14" x14ac:dyDescent="0.25">
      <c r="A101" s="61">
        <v>46873</v>
      </c>
      <c r="B101" s="66" t="s">
        <v>148</v>
      </c>
      <c r="D101" s="63">
        <f t="shared" si="17"/>
        <v>16282941.086130932</v>
      </c>
      <c r="E101" s="63">
        <f t="shared" si="21"/>
        <v>16282941.086130926</v>
      </c>
      <c r="F101" s="122">
        <f>F100</f>
        <v>339227.93</v>
      </c>
      <c r="G101" s="63">
        <f t="shared" si="18"/>
        <v>-16282940.639999991</v>
      </c>
      <c r="H101" s="63">
        <f t="shared" si="22"/>
        <v>-14247573.059999993</v>
      </c>
      <c r="I101" s="63">
        <f t="shared" si="20"/>
        <v>2035368.0261309333</v>
      </c>
      <c r="J101" s="63">
        <f t="shared" si="15"/>
        <v>71237.86529999999</v>
      </c>
      <c r="K101" s="68">
        <f t="shared" si="16"/>
        <v>-9.3687492451863363E-2</v>
      </c>
      <c r="L101" s="63">
        <f t="shared" si="23"/>
        <v>-427427.28548749239</v>
      </c>
      <c r="M101" s="63">
        <f t="shared" ref="M101:M107" si="24">L101+I101</f>
        <v>1607940.740643441</v>
      </c>
      <c r="N101" s="64">
        <f t="shared" si="19"/>
        <v>0.35244344823877327</v>
      </c>
    </row>
    <row r="102" spans="1:14" x14ac:dyDescent="0.25">
      <c r="A102" s="61">
        <v>46904</v>
      </c>
      <c r="B102" s="66" t="s">
        <v>148</v>
      </c>
      <c r="D102" s="63">
        <f t="shared" si="17"/>
        <v>16282941.086130932</v>
      </c>
      <c r="E102" s="63">
        <f t="shared" si="21"/>
        <v>16282941.086130926</v>
      </c>
      <c r="F102" s="122"/>
      <c r="G102" s="63">
        <f t="shared" si="18"/>
        <v>-16282940.639999991</v>
      </c>
      <c r="H102" s="63">
        <f t="shared" si="22"/>
        <v>-14572666.492916659</v>
      </c>
      <c r="I102" s="63">
        <f t="shared" si="20"/>
        <v>1710274.5932142679</v>
      </c>
      <c r="J102" s="63">
        <f t="shared" si="15"/>
        <v>0</v>
      </c>
      <c r="K102" s="68">
        <f t="shared" si="16"/>
        <v>-9.3687492451863363E-2</v>
      </c>
      <c r="L102" s="63">
        <f t="shared" si="23"/>
        <v>-359157.66457499244</v>
      </c>
      <c r="M102" s="63">
        <f t="shared" si="24"/>
        <v>1351116.9286392755</v>
      </c>
      <c r="N102" s="64">
        <f t="shared" si="19"/>
        <v>0.35244344823877327</v>
      </c>
    </row>
    <row r="103" spans="1:14" x14ac:dyDescent="0.25">
      <c r="A103" s="61">
        <v>46934</v>
      </c>
      <c r="B103" s="66" t="s">
        <v>148</v>
      </c>
      <c r="D103" s="63">
        <f t="shared" si="17"/>
        <v>16282941.086130932</v>
      </c>
      <c r="E103" s="63">
        <f t="shared" si="21"/>
        <v>16282941.086130926</v>
      </c>
      <c r="F103" s="67"/>
      <c r="G103" s="63">
        <f t="shared" si="18"/>
        <v>-16282940.639999991</v>
      </c>
      <c r="H103" s="63">
        <f t="shared" si="22"/>
        <v>-14869490.931666657</v>
      </c>
      <c r="I103" s="63">
        <f t="shared" si="20"/>
        <v>1413450.1544642691</v>
      </c>
      <c r="J103" s="63">
        <f t="shared" si="15"/>
        <v>0</v>
      </c>
      <c r="K103" s="68">
        <f t="shared" si="16"/>
        <v>-9.3687492451863363E-2</v>
      </c>
      <c r="L103" s="63">
        <f t="shared" si="23"/>
        <v>-296824.53243749245</v>
      </c>
      <c r="M103" s="63">
        <f t="shared" si="24"/>
        <v>1116625.6220267767</v>
      </c>
      <c r="N103" s="64">
        <f t="shared" si="19"/>
        <v>0.35244344823877327</v>
      </c>
    </row>
    <row r="104" spans="1:14" x14ac:dyDescent="0.25">
      <c r="A104" s="61">
        <v>46965</v>
      </c>
      <c r="B104" s="66" t="s">
        <v>148</v>
      </c>
      <c r="D104" s="63">
        <f t="shared" si="17"/>
        <v>16282941.086130932</v>
      </c>
      <c r="E104" s="63">
        <f t="shared" si="21"/>
        <v>16282941.086130926</v>
      </c>
      <c r="F104" s="67"/>
      <c r="G104" s="63">
        <f t="shared" si="18"/>
        <v>-16282940.639999991</v>
      </c>
      <c r="H104" s="63">
        <f t="shared" si="22"/>
        <v>-15138046.376249991</v>
      </c>
      <c r="I104" s="63">
        <f t="shared" si="20"/>
        <v>1144894.709880935</v>
      </c>
      <c r="J104" s="63">
        <f t="shared" si="15"/>
        <v>0</v>
      </c>
      <c r="K104" s="68">
        <f t="shared" si="16"/>
        <v>-9.3687492451863363E-2</v>
      </c>
      <c r="L104" s="63">
        <f t="shared" si="23"/>
        <v>-240427.88907499242</v>
      </c>
      <c r="M104" s="63">
        <f t="shared" si="24"/>
        <v>904466.82080594264</v>
      </c>
      <c r="N104" s="64">
        <f t="shared" si="19"/>
        <v>0.35244344823877327</v>
      </c>
    </row>
    <row r="105" spans="1:14" x14ac:dyDescent="0.25">
      <c r="A105" s="61">
        <v>46996</v>
      </c>
      <c r="B105" s="66" t="s">
        <v>148</v>
      </c>
      <c r="D105" s="63">
        <f t="shared" si="17"/>
        <v>16282941.086130932</v>
      </c>
      <c r="E105" s="63">
        <f t="shared" si="21"/>
        <v>16282941.086130926</v>
      </c>
      <c r="F105" s="67"/>
      <c r="G105" s="63">
        <f t="shared" si="18"/>
        <v>-16282940.639999991</v>
      </c>
      <c r="H105" s="63">
        <f t="shared" si="22"/>
        <v>-15378332.826666655</v>
      </c>
      <c r="I105" s="63">
        <f t="shared" si="20"/>
        <v>904608.25946427137</v>
      </c>
      <c r="J105" s="63">
        <f t="shared" si="15"/>
        <v>0</v>
      </c>
      <c r="K105" s="68">
        <f t="shared" si="16"/>
        <v>-9.3687492451863363E-2</v>
      </c>
      <c r="L105" s="63">
        <f t="shared" si="23"/>
        <v>-189967.73448749245</v>
      </c>
      <c r="M105" s="63">
        <f t="shared" si="24"/>
        <v>714640.52497677889</v>
      </c>
      <c r="N105" s="64">
        <f t="shared" si="19"/>
        <v>0.35244344823877327</v>
      </c>
    </row>
    <row r="106" spans="1:14" x14ac:dyDescent="0.25">
      <c r="A106" s="61">
        <v>47026</v>
      </c>
      <c r="B106" s="66" t="s">
        <v>148</v>
      </c>
      <c r="D106" s="63">
        <f t="shared" si="17"/>
        <v>16282941.086130932</v>
      </c>
      <c r="E106" s="63">
        <f t="shared" si="21"/>
        <v>16282941.086130926</v>
      </c>
      <c r="F106" s="67"/>
      <c r="G106" s="63">
        <f t="shared" si="18"/>
        <v>-16282940.639999991</v>
      </c>
      <c r="H106" s="63">
        <f t="shared" si="22"/>
        <v>-15590350.282916658</v>
      </c>
      <c r="I106" s="63">
        <f t="shared" si="20"/>
        <v>692590.80321426876</v>
      </c>
      <c r="J106" s="63">
        <f t="shared" si="15"/>
        <v>0</v>
      </c>
      <c r="K106" s="68">
        <f t="shared" si="16"/>
        <v>-9.3687492451863363E-2</v>
      </c>
      <c r="L106" s="63">
        <f t="shared" si="23"/>
        <v>-145444.06867499245</v>
      </c>
      <c r="M106" s="63">
        <f t="shared" si="24"/>
        <v>547146.73453927634</v>
      </c>
      <c r="N106" s="64">
        <f t="shared" si="19"/>
        <v>0.35244344823877327</v>
      </c>
    </row>
    <row r="107" spans="1:14" x14ac:dyDescent="0.25">
      <c r="A107" s="70">
        <v>47057</v>
      </c>
      <c r="B107" s="71" t="s">
        <v>148</v>
      </c>
      <c r="C107" s="71"/>
      <c r="D107" s="72">
        <f t="shared" si="17"/>
        <v>16282941.086130932</v>
      </c>
      <c r="E107" s="72">
        <f t="shared" ref="E107" si="25">(D95+D107+SUM(D96:D106)*2)/24</f>
        <v>16282941.086130926</v>
      </c>
      <c r="F107" s="75"/>
      <c r="G107" s="72">
        <f t="shared" si="18"/>
        <v>-16282940.639999991</v>
      </c>
      <c r="H107" s="72">
        <f t="shared" ref="H107" si="26">(G95+G107+SUM(G96:G106)*2)/24</f>
        <v>-15774098.74499999</v>
      </c>
      <c r="I107" s="72">
        <f t="shared" si="20"/>
        <v>508842.34113093652</v>
      </c>
      <c r="J107" s="72">
        <f t="shared" si="15"/>
        <v>0</v>
      </c>
      <c r="K107" s="73">
        <f t="shared" si="16"/>
        <v>-9.3687492451863363E-2</v>
      </c>
      <c r="L107" s="72">
        <f t="shared" si="23"/>
        <v>-106856.89163749244</v>
      </c>
      <c r="M107" s="72">
        <f t="shared" si="24"/>
        <v>401985.44949344406</v>
      </c>
      <c r="N107" s="74">
        <f t="shared" si="19"/>
        <v>0.35244344823877327</v>
      </c>
    </row>
    <row r="108" spans="1:14" x14ac:dyDescent="0.25">
      <c r="A108" s="150"/>
      <c r="B108" s="151"/>
      <c r="C108" s="151"/>
      <c r="D108" s="152"/>
      <c r="E108" s="152"/>
      <c r="F108" s="168"/>
      <c r="G108" s="152"/>
      <c r="H108" s="152"/>
      <c r="I108" s="152"/>
      <c r="J108" s="152"/>
      <c r="K108" s="154"/>
      <c r="L108" s="152"/>
      <c r="M108" s="152"/>
      <c r="N108" s="155"/>
    </row>
    <row r="109" spans="1:14" x14ac:dyDescent="0.25">
      <c r="A109" s="61"/>
      <c r="D109" s="63"/>
      <c r="E109" s="63"/>
      <c r="F109" s="67"/>
      <c r="G109" s="63"/>
      <c r="H109" s="63"/>
      <c r="I109" s="63"/>
      <c r="J109" s="63"/>
      <c r="K109" s="68"/>
      <c r="L109" s="63"/>
      <c r="M109" s="63"/>
      <c r="N109" s="149"/>
    </row>
    <row r="110" spans="1:14" x14ac:dyDescent="0.25">
      <c r="A110" s="66"/>
    </row>
    <row r="111" spans="1:14" x14ac:dyDescent="0.25">
      <c r="A111" s="30" t="s">
        <v>299</v>
      </c>
      <c r="F111" s="130">
        <f>SUM(F72:F83)</f>
        <v>4070735.1600000006</v>
      </c>
      <c r="G111" s="130"/>
      <c r="H111" s="130"/>
    </row>
  </sheetData>
  <printOptions horizontalCentered="1"/>
  <pageMargins left="0.2" right="0.2" top="0.5" bottom="0.5" header="0.3" footer="0.3"/>
  <pageSetup scale="69" firstPageNumber="8" fitToHeight="0" orientation="landscape" useFirstPageNumber="1" r:id="rId1"/>
  <headerFooter>
    <oddFooter>&amp;R&amp;"Times New Roman,Regular"Exh. SEF-3 page &amp;P of 16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A3F1D-ADF3-431F-918A-6F17C1136DDD}">
  <sheetPr>
    <tabColor rgb="FF92D050"/>
  </sheetPr>
  <dimension ref="A2:BB86"/>
  <sheetViews>
    <sheetView topLeftCell="A16" zoomScale="70" zoomScaleNormal="70" workbookViewId="0">
      <selection activeCell="B20" sqref="B20"/>
    </sheetView>
  </sheetViews>
  <sheetFormatPr defaultRowHeight="14.4" x14ac:dyDescent="0.3"/>
  <cols>
    <col min="1" max="1" width="83.109375" customWidth="1"/>
    <col min="2" max="2" width="20.33203125" bestFit="1" customWidth="1"/>
    <col min="3" max="3" width="21.109375" bestFit="1" customWidth="1"/>
    <col min="4" max="4" width="17.44140625" bestFit="1" customWidth="1"/>
    <col min="5" max="5" width="15.44140625" bestFit="1" customWidth="1"/>
    <col min="6" max="6" width="15.33203125" bestFit="1" customWidth="1"/>
    <col min="17" max="17" width="21" bestFit="1" customWidth="1"/>
    <col min="18" max="18" width="20.33203125" bestFit="1" customWidth="1"/>
    <col min="26" max="26" width="20.5546875" customWidth="1"/>
    <col min="38" max="38" width="18.109375" bestFit="1" customWidth="1"/>
    <col min="54" max="54" width="21.5546875" bestFit="1" customWidth="1"/>
  </cols>
  <sheetData>
    <row r="2" spans="1:44" x14ac:dyDescent="0.3">
      <c r="A2" t="s">
        <v>400</v>
      </c>
    </row>
    <row r="3" spans="1:44" x14ac:dyDescent="0.3">
      <c r="A3" t="s">
        <v>401</v>
      </c>
      <c r="B3" s="464" t="s">
        <v>402</v>
      </c>
      <c r="C3" s="1" t="s">
        <v>403</v>
      </c>
      <c r="D3" s="1" t="s">
        <v>404</v>
      </c>
      <c r="E3" s="1" t="s">
        <v>405</v>
      </c>
      <c r="F3" s="1" t="s">
        <v>406</v>
      </c>
      <c r="S3" s="5" t="s">
        <v>407</v>
      </c>
      <c r="Z3" s="5" t="s">
        <v>408</v>
      </c>
      <c r="AR3" s="5" t="s">
        <v>409</v>
      </c>
    </row>
    <row r="4" spans="1:44" x14ac:dyDescent="0.3">
      <c r="A4" s="465" t="s">
        <v>410</v>
      </c>
      <c r="B4" s="466" t="s">
        <v>411</v>
      </c>
      <c r="C4" s="466" t="s">
        <v>411</v>
      </c>
      <c r="D4" s="466" t="s">
        <v>412</v>
      </c>
      <c r="E4" s="466" t="s">
        <v>413</v>
      </c>
      <c r="F4" s="466" t="s">
        <v>414</v>
      </c>
    </row>
    <row r="5" spans="1:44" x14ac:dyDescent="0.3">
      <c r="A5" t="s">
        <v>415</v>
      </c>
      <c r="B5" s="248">
        <v>587705.71</v>
      </c>
      <c r="C5" s="467">
        <v>601645.56000000006</v>
      </c>
      <c r="D5" s="467">
        <f>B5+C5</f>
        <v>1189351.27</v>
      </c>
      <c r="E5" s="249">
        <f>$E$19*(D5/$D$19)</f>
        <v>1268881.0119745519</v>
      </c>
      <c r="F5" s="454">
        <f>E5/48</f>
        <v>26435.021082803167</v>
      </c>
      <c r="Z5" s="336"/>
    </row>
    <row r="6" spans="1:44" x14ac:dyDescent="0.3">
      <c r="A6" t="s">
        <v>416</v>
      </c>
      <c r="B6" s="248">
        <v>518333.79</v>
      </c>
      <c r="C6" s="467">
        <v>413079.56</v>
      </c>
      <c r="D6" s="467">
        <f t="shared" ref="D6:D18" si="0">B6+C6</f>
        <v>931413.35</v>
      </c>
      <c r="E6" s="249">
        <f t="shared" ref="E6:E18" si="1">$E$19*(D6/$D$19)</f>
        <v>993695.25549386907</v>
      </c>
      <c r="F6" s="454">
        <f t="shared" ref="F6:F18" si="2">E6/48</f>
        <v>20701.984489455604</v>
      </c>
    </row>
    <row r="7" spans="1:44" x14ac:dyDescent="0.3">
      <c r="A7" t="s">
        <v>417</v>
      </c>
      <c r="B7" s="248">
        <v>1050665.25</v>
      </c>
      <c r="C7" s="467">
        <v>1053790.52</v>
      </c>
      <c r="D7" s="467">
        <f t="shared" si="0"/>
        <v>2104455.77</v>
      </c>
      <c r="E7" s="249">
        <f t="shared" si="1"/>
        <v>2245176.8745269724</v>
      </c>
      <c r="F7" s="454">
        <f t="shared" si="2"/>
        <v>46774.518219311925</v>
      </c>
    </row>
    <row r="8" spans="1:44" x14ac:dyDescent="0.3">
      <c r="A8" t="s">
        <v>418</v>
      </c>
      <c r="B8" s="248">
        <v>964845.1</v>
      </c>
      <c r="C8" s="467">
        <v>790242.17</v>
      </c>
      <c r="D8" s="467">
        <f t="shared" si="0"/>
        <v>1755087.27</v>
      </c>
      <c r="E8" s="249">
        <f t="shared" si="1"/>
        <v>1872446.7425517223</v>
      </c>
      <c r="F8" s="454">
        <f t="shared" si="2"/>
        <v>39009.307136494215</v>
      </c>
    </row>
    <row r="9" spans="1:44" x14ac:dyDescent="0.3">
      <c r="A9" t="s">
        <v>419</v>
      </c>
      <c r="B9" s="248">
        <v>21282.45</v>
      </c>
      <c r="C9" s="467">
        <v>99964.26</v>
      </c>
      <c r="D9" s="467">
        <f t="shared" si="0"/>
        <v>121246.70999999999</v>
      </c>
      <c r="E9" s="249">
        <f t="shared" si="1"/>
        <v>129354.25552064617</v>
      </c>
      <c r="F9" s="454">
        <f t="shared" si="2"/>
        <v>2694.8803233467952</v>
      </c>
    </row>
    <row r="10" spans="1:44" x14ac:dyDescent="0.3">
      <c r="A10" t="s">
        <v>420</v>
      </c>
      <c r="B10" s="248">
        <v>2711.82</v>
      </c>
      <c r="C10" s="467">
        <v>2998.21</v>
      </c>
      <c r="D10" s="467">
        <f t="shared" si="0"/>
        <v>5710.0300000000007</v>
      </c>
      <c r="E10" s="249">
        <f t="shared" si="1"/>
        <v>6091.8492522440847</v>
      </c>
      <c r="F10" s="454">
        <f t="shared" si="2"/>
        <v>126.91352608841844</v>
      </c>
    </row>
    <row r="11" spans="1:44" x14ac:dyDescent="0.3">
      <c r="A11" t="s">
        <v>421</v>
      </c>
      <c r="B11" s="248">
        <v>234218.91</v>
      </c>
      <c r="C11" s="467">
        <v>278515.69</v>
      </c>
      <c r="D11" s="467">
        <f t="shared" si="0"/>
        <v>512734.6</v>
      </c>
      <c r="E11" s="249">
        <f t="shared" si="1"/>
        <v>547020.22399351129</v>
      </c>
      <c r="F11" s="454">
        <f t="shared" si="2"/>
        <v>11396.254666531486</v>
      </c>
    </row>
    <row r="12" spans="1:44" x14ac:dyDescent="0.3">
      <c r="A12" t="s">
        <v>422</v>
      </c>
      <c r="B12" s="248">
        <v>741172.1</v>
      </c>
      <c r="C12" s="467">
        <v>474796.43</v>
      </c>
      <c r="D12" s="467">
        <f t="shared" si="0"/>
        <v>1215968.53</v>
      </c>
      <c r="E12" s="249">
        <f t="shared" si="1"/>
        <v>1297278.119420185</v>
      </c>
      <c r="F12" s="454">
        <f t="shared" si="2"/>
        <v>27026.627487920519</v>
      </c>
    </row>
    <row r="13" spans="1:44" x14ac:dyDescent="0.3">
      <c r="A13" t="s">
        <v>423</v>
      </c>
      <c r="B13" s="248">
        <v>6325.57</v>
      </c>
      <c r="C13" s="467">
        <v>9613.2199999999993</v>
      </c>
      <c r="D13" s="467">
        <f t="shared" si="0"/>
        <v>15938.789999999999</v>
      </c>
      <c r="E13" s="249">
        <f t="shared" si="1"/>
        <v>17004.58770675031</v>
      </c>
      <c r="F13" s="454">
        <f t="shared" si="2"/>
        <v>354.26224389063145</v>
      </c>
    </row>
    <row r="14" spans="1:44" x14ac:dyDescent="0.3">
      <c r="A14" t="s">
        <v>424</v>
      </c>
      <c r="B14" s="248">
        <v>13061.36</v>
      </c>
      <c r="C14" s="467">
        <v>14403.08</v>
      </c>
      <c r="D14" s="467">
        <f t="shared" si="0"/>
        <v>27464.440000000002</v>
      </c>
      <c r="E14" s="249">
        <f t="shared" si="1"/>
        <v>29300.936821225547</v>
      </c>
      <c r="F14" s="454">
        <f t="shared" si="2"/>
        <v>610.43618377553219</v>
      </c>
    </row>
    <row r="15" spans="1:44" x14ac:dyDescent="0.3">
      <c r="A15" t="s">
        <v>425</v>
      </c>
      <c r="B15" s="248">
        <v>112805.21</v>
      </c>
      <c r="C15" s="467">
        <v>142102.74</v>
      </c>
      <c r="D15" s="467">
        <f t="shared" si="0"/>
        <v>254907.95</v>
      </c>
      <c r="E15" s="249">
        <f t="shared" si="1"/>
        <v>271953.17793401651</v>
      </c>
      <c r="F15" s="454">
        <f t="shared" si="2"/>
        <v>5665.691206958677</v>
      </c>
    </row>
    <row r="16" spans="1:44" x14ac:dyDescent="0.3">
      <c r="A16" t="s">
        <v>426</v>
      </c>
      <c r="B16" s="248">
        <v>440.79</v>
      </c>
      <c r="C16" s="467">
        <v>18730.16</v>
      </c>
      <c r="D16" s="467">
        <f t="shared" si="0"/>
        <v>19170.95</v>
      </c>
      <c r="E16" s="249">
        <f t="shared" si="1"/>
        <v>20452.876328549715</v>
      </c>
      <c r="F16" s="454">
        <f t="shared" si="2"/>
        <v>426.10159017811907</v>
      </c>
    </row>
    <row r="17" spans="1:54" x14ac:dyDescent="0.3">
      <c r="A17" t="s">
        <v>427</v>
      </c>
      <c r="B17" s="248">
        <v>41834.839999999997</v>
      </c>
      <c r="C17" s="467">
        <v>31594.34</v>
      </c>
      <c r="D17" s="467">
        <f t="shared" si="0"/>
        <v>73429.179999999993</v>
      </c>
      <c r="E17" s="249">
        <f t="shared" si="1"/>
        <v>78339.254833318948</v>
      </c>
      <c r="F17" s="454">
        <f t="shared" si="2"/>
        <v>1632.067809027478</v>
      </c>
    </row>
    <row r="18" spans="1:54" x14ac:dyDescent="0.3">
      <c r="A18" s="465" t="s">
        <v>428</v>
      </c>
      <c r="B18" s="468">
        <v>43990.71</v>
      </c>
      <c r="C18" s="469">
        <v>51708.54</v>
      </c>
      <c r="D18" s="469">
        <f t="shared" si="0"/>
        <v>95699.25</v>
      </c>
      <c r="E18" s="470">
        <f t="shared" si="1"/>
        <v>102098.48364243614</v>
      </c>
      <c r="F18" s="471">
        <f t="shared" si="2"/>
        <v>2127.0517425507528</v>
      </c>
      <c r="Q18" s="472">
        <v>4339393.6100000003</v>
      </c>
      <c r="AL18" s="472">
        <v>339227.92984616803</v>
      </c>
    </row>
    <row r="19" spans="1:54" x14ac:dyDescent="0.3">
      <c r="A19" t="s">
        <v>21</v>
      </c>
      <c r="B19" s="261">
        <f>Q18</f>
        <v>4339393.6100000003</v>
      </c>
      <c r="C19" s="467">
        <f>Q32</f>
        <v>3983184.48</v>
      </c>
      <c r="D19" s="467">
        <f>SUM(D5:D18)</f>
        <v>8322578.0900000008</v>
      </c>
      <c r="E19" s="248">
        <f>Z29</f>
        <v>8879093.6500000004</v>
      </c>
      <c r="F19" s="454">
        <f>SUM(F5:F18)</f>
        <v>184981.1177083333</v>
      </c>
    </row>
    <row r="20" spans="1:54" x14ac:dyDescent="0.3">
      <c r="A20" s="473" t="s">
        <v>156</v>
      </c>
      <c r="B20" s="413">
        <f t="shared" ref="B20:E20" si="3">SUM(B5:B18)-B19</f>
        <v>0</v>
      </c>
      <c r="C20" s="413">
        <f t="shared" si="3"/>
        <v>0</v>
      </c>
      <c r="D20" s="413">
        <f t="shared" si="3"/>
        <v>0</v>
      </c>
      <c r="E20" s="413">
        <f t="shared" si="3"/>
        <v>0</v>
      </c>
      <c r="F20" s="413">
        <f>SUM(F5:F18)-F19</f>
        <v>0</v>
      </c>
    </row>
    <row r="21" spans="1:54" x14ac:dyDescent="0.3">
      <c r="A21" s="457"/>
      <c r="B21" s="457"/>
      <c r="C21" s="457"/>
      <c r="D21" s="457"/>
      <c r="E21" s="474"/>
      <c r="F21" s="413">
        <f>Z28-F19</f>
        <v>2.2916666930541396E-3</v>
      </c>
    </row>
    <row r="22" spans="1:54" x14ac:dyDescent="0.3">
      <c r="A22" t="s">
        <v>429</v>
      </c>
      <c r="E22" s="249"/>
      <c r="F22" s="249"/>
    </row>
    <row r="23" spans="1:54" x14ac:dyDescent="0.3">
      <c r="A23" t="s">
        <v>430</v>
      </c>
      <c r="B23" s="475">
        <f>B33</f>
        <v>10746030.725830838</v>
      </c>
      <c r="C23" t="s">
        <v>431</v>
      </c>
      <c r="D23" s="476">
        <f>B23/48</f>
        <v>223875.64012147579</v>
      </c>
      <c r="E23" s="249"/>
      <c r="F23" s="249"/>
    </row>
    <row r="25" spans="1:54" x14ac:dyDescent="0.3">
      <c r="A25" t="s">
        <v>432</v>
      </c>
    </row>
    <row r="26" spans="1:54" x14ac:dyDescent="0.3">
      <c r="A26" t="s">
        <v>433</v>
      </c>
      <c r="B26" s="477">
        <f>Q43</f>
        <v>11338696.5</v>
      </c>
    </row>
    <row r="27" spans="1:54" x14ac:dyDescent="0.3">
      <c r="A27" s="465" t="s">
        <v>430</v>
      </c>
      <c r="B27" s="470">
        <f>R28</f>
        <v>8879093.6500000004</v>
      </c>
    </row>
    <row r="28" spans="1:54" x14ac:dyDescent="0.3">
      <c r="A28" t="s">
        <v>434</v>
      </c>
      <c r="B28" s="478">
        <f>B26-B27</f>
        <v>2459602.8499999996</v>
      </c>
      <c r="R28" s="472">
        <v>8879093.6500000004</v>
      </c>
      <c r="Z28" s="472">
        <v>184981.12</v>
      </c>
      <c r="BB28" s="472">
        <v>10746030.725830838</v>
      </c>
    </row>
    <row r="29" spans="1:54" x14ac:dyDescent="0.3">
      <c r="Z29" s="472">
        <v>8879093.6500000004</v>
      </c>
    </row>
    <row r="31" spans="1:54" x14ac:dyDescent="0.3">
      <c r="A31" t="s">
        <v>435</v>
      </c>
    </row>
    <row r="32" spans="1:54" x14ac:dyDescent="0.3">
      <c r="A32" t="s">
        <v>436</v>
      </c>
      <c r="B32" s="477">
        <f>Q66</f>
        <v>13513692.210000001</v>
      </c>
      <c r="Q32" s="472">
        <v>3983184.48</v>
      </c>
    </row>
    <row r="33" spans="1:17" x14ac:dyDescent="0.3">
      <c r="A33" s="465" t="s">
        <v>430</v>
      </c>
      <c r="B33" s="470">
        <f>BB28</f>
        <v>10746030.725830838</v>
      </c>
    </row>
    <row r="34" spans="1:17" x14ac:dyDescent="0.3">
      <c r="A34" t="s">
        <v>434</v>
      </c>
      <c r="B34" s="478">
        <f>B32-B33</f>
        <v>2767661.4841691628</v>
      </c>
    </row>
    <row r="36" spans="1:17" x14ac:dyDescent="0.3">
      <c r="A36" t="s">
        <v>437</v>
      </c>
    </row>
    <row r="37" spans="1:17" x14ac:dyDescent="0.3">
      <c r="A37" t="s">
        <v>438</v>
      </c>
      <c r="B37" s="477">
        <f>Q86</f>
        <v>25877797.09</v>
      </c>
    </row>
    <row r="38" spans="1:17" x14ac:dyDescent="0.3">
      <c r="A38" t="s">
        <v>430</v>
      </c>
      <c r="B38" s="249">
        <v>16282940.632616065</v>
      </c>
    </row>
    <row r="39" spans="1:17" x14ac:dyDescent="0.3">
      <c r="A39" s="465" t="s">
        <v>439</v>
      </c>
      <c r="B39" s="470">
        <v>31442.457383933932</v>
      </c>
      <c r="C39" s="249"/>
    </row>
    <row r="40" spans="1:17" x14ac:dyDescent="0.3">
      <c r="A40" t="s">
        <v>440</v>
      </c>
      <c r="B40" s="478">
        <f>B37-B38-B39</f>
        <v>9563414</v>
      </c>
      <c r="C40" s="413">
        <v>0</v>
      </c>
      <c r="D40" t="s">
        <v>441</v>
      </c>
    </row>
    <row r="41" spans="1:17" x14ac:dyDescent="0.3">
      <c r="B41" s="248"/>
    </row>
    <row r="42" spans="1:17" x14ac:dyDescent="0.3">
      <c r="A42" t="s">
        <v>442</v>
      </c>
      <c r="B42" s="479"/>
      <c r="C42" s="476">
        <f>B38/48</f>
        <v>339227.92984616803</v>
      </c>
      <c r="D42" s="413">
        <f>AL18-C42</f>
        <v>0</v>
      </c>
      <c r="E42" t="s">
        <v>443</v>
      </c>
    </row>
    <row r="43" spans="1:17" x14ac:dyDescent="0.3">
      <c r="Q43" s="472">
        <v>11338696.5</v>
      </c>
    </row>
    <row r="44" spans="1:17" x14ac:dyDescent="0.3">
      <c r="A44" t="s">
        <v>444</v>
      </c>
      <c r="D44" s="248"/>
    </row>
    <row r="45" spans="1:17" x14ac:dyDescent="0.3">
      <c r="A45" t="s">
        <v>445</v>
      </c>
      <c r="B45" s="480">
        <v>45231</v>
      </c>
      <c r="C45" s="248">
        <v>648710</v>
      </c>
      <c r="D45" s="248" t="s">
        <v>446</v>
      </c>
    </row>
    <row r="46" spans="1:17" x14ac:dyDescent="0.3">
      <c r="B46" s="480">
        <v>45283</v>
      </c>
      <c r="C46" s="248">
        <v>646695</v>
      </c>
      <c r="D46" s="248" t="s">
        <v>446</v>
      </c>
    </row>
    <row r="47" spans="1:17" x14ac:dyDescent="0.3">
      <c r="B47" s="480">
        <v>45292</v>
      </c>
      <c r="C47" s="248">
        <v>644592</v>
      </c>
      <c r="D47" s="248" t="s">
        <v>446</v>
      </c>
    </row>
    <row r="48" spans="1:17" x14ac:dyDescent="0.3">
      <c r="B48" s="480">
        <v>45323</v>
      </c>
      <c r="C48" s="248">
        <v>642506</v>
      </c>
      <c r="D48" s="248" t="s">
        <v>446</v>
      </c>
    </row>
    <row r="49" spans="1:5" x14ac:dyDescent="0.3">
      <c r="B49" s="480">
        <v>45352</v>
      </c>
      <c r="C49" s="248">
        <v>640308</v>
      </c>
      <c r="D49" s="248" t="s">
        <v>446</v>
      </c>
    </row>
    <row r="50" spans="1:5" x14ac:dyDescent="0.3">
      <c r="B50" s="480">
        <v>45383</v>
      </c>
      <c r="C50" s="468">
        <v>638212</v>
      </c>
      <c r="D50" s="248" t="s">
        <v>446</v>
      </c>
    </row>
    <row r="51" spans="1:5" x14ac:dyDescent="0.3">
      <c r="A51" t="s">
        <v>447</v>
      </c>
      <c r="B51" s="480"/>
      <c r="C51" s="476">
        <f>SUM(C44:C50)</f>
        <v>3861023</v>
      </c>
      <c r="D51" s="413">
        <v>0</v>
      </c>
      <c r="E51" t="s">
        <v>448</v>
      </c>
    </row>
    <row r="52" spans="1:5" x14ac:dyDescent="0.3">
      <c r="B52" s="480"/>
    </row>
    <row r="53" spans="1:5" x14ac:dyDescent="0.3">
      <c r="A53" t="s">
        <v>449</v>
      </c>
    </row>
    <row r="54" spans="1:5" x14ac:dyDescent="0.3">
      <c r="A54" t="s">
        <v>450</v>
      </c>
      <c r="B54" s="481">
        <v>-17248992.079999998</v>
      </c>
      <c r="C54" s="477"/>
    </row>
    <row r="55" spans="1:5" x14ac:dyDescent="0.3">
      <c r="A55" t="s">
        <v>451</v>
      </c>
      <c r="B55" s="249">
        <v>6815373.3200000003</v>
      </c>
      <c r="C55" s="249"/>
      <c r="D55" s="477"/>
    </row>
    <row r="56" spans="1:5" x14ac:dyDescent="0.3">
      <c r="A56" t="s">
        <v>452</v>
      </c>
      <c r="B56" s="468">
        <v>3861023</v>
      </c>
      <c r="C56" s="249"/>
    </row>
    <row r="57" spans="1:5" ht="15" thickBot="1" x14ac:dyDescent="0.35">
      <c r="A57" t="s">
        <v>453</v>
      </c>
      <c r="B57" s="482">
        <f>SUM(B54:B56)</f>
        <v>-6572595.7599999979</v>
      </c>
    </row>
    <row r="58" spans="1:5" x14ac:dyDescent="0.3">
      <c r="A58" t="s">
        <v>454</v>
      </c>
      <c r="B58" s="483">
        <f>B57/48</f>
        <v>-136929.07833333328</v>
      </c>
      <c r="E58" s="477"/>
    </row>
    <row r="59" spans="1:5" x14ac:dyDescent="0.3">
      <c r="B59" s="480"/>
    </row>
    <row r="60" spans="1:5" x14ac:dyDescent="0.3">
      <c r="A60" t="s">
        <v>455</v>
      </c>
      <c r="B60" s="479"/>
    </row>
    <row r="61" spans="1:5" x14ac:dyDescent="0.3">
      <c r="A61" t="s">
        <v>456</v>
      </c>
      <c r="B61" s="484">
        <f>B40-C51-0.0049</f>
        <v>5702390.9950999999</v>
      </c>
      <c r="C61" s="5"/>
    </row>
    <row r="62" spans="1:5" x14ac:dyDescent="0.3">
      <c r="A62" t="s">
        <v>457</v>
      </c>
      <c r="B62" s="485"/>
      <c r="C62" s="476">
        <f>-B61</f>
        <v>-5702390.9950999999</v>
      </c>
      <c r="D62" s="248"/>
      <c r="E62" s="249"/>
    </row>
    <row r="66" spans="17:17" x14ac:dyDescent="0.3">
      <c r="Q66" s="472">
        <v>13513692.210000001</v>
      </c>
    </row>
    <row r="86" spans="17:17" x14ac:dyDescent="0.3">
      <c r="Q86" s="475">
        <v>25877797.09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54C47-0D13-43B1-8C25-F7A29B3B61E7}">
  <sheetPr>
    <tabColor rgb="FF92D050"/>
    <pageSetUpPr fitToPage="1"/>
  </sheetPr>
  <dimension ref="A1:X29"/>
  <sheetViews>
    <sheetView topLeftCell="A3" zoomScale="145" zoomScaleNormal="145" zoomScaleSheetLayoutView="85" workbookViewId="0">
      <selection activeCell="O28" sqref="O28"/>
    </sheetView>
  </sheetViews>
  <sheetFormatPr defaultRowHeight="14.4" x14ac:dyDescent="0.3"/>
  <cols>
    <col min="1" max="1" width="44.6640625" bestFit="1" customWidth="1"/>
    <col min="2" max="2" width="5.33203125" style="1" bestFit="1" customWidth="1"/>
    <col min="3" max="3" width="5.33203125" style="1" customWidth="1"/>
    <col min="4" max="4" width="10.44140625" style="1" bestFit="1" customWidth="1"/>
    <col min="5" max="5" width="9.5546875" style="1" bestFit="1" customWidth="1"/>
    <col min="6" max="6" width="10.44140625" style="1" bestFit="1" customWidth="1"/>
    <col min="7" max="7" width="9.5546875" style="1" bestFit="1" customWidth="1"/>
    <col min="8" max="8" width="10.44140625" style="1" bestFit="1" customWidth="1"/>
    <col min="9" max="9" width="9.5546875" style="1" bestFit="1" customWidth="1"/>
    <col min="10" max="10" width="10.44140625" style="1" bestFit="1" customWidth="1"/>
    <col min="11" max="11" width="9.5546875" style="1" bestFit="1" customWidth="1"/>
    <col min="12" max="12" width="10.44140625" style="1" bestFit="1" customWidth="1"/>
    <col min="13" max="20" width="9.5546875" style="1" bestFit="1" customWidth="1"/>
    <col min="21" max="22" width="9.6640625" style="1" bestFit="1" customWidth="1"/>
    <col min="23" max="23" width="11" bestFit="1" customWidth="1"/>
    <col min="24" max="24" width="16.5546875" bestFit="1" customWidth="1"/>
  </cols>
  <sheetData>
    <row r="1" spans="1:24" x14ac:dyDescent="0.3">
      <c r="A1" s="490" t="s">
        <v>482</v>
      </c>
      <c r="B1" s="488"/>
      <c r="C1" s="488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8"/>
      <c r="V1" s="488"/>
    </row>
    <row r="2" spans="1:24" x14ac:dyDescent="0.3">
      <c r="A2" s="490"/>
      <c r="B2" s="488"/>
      <c r="C2" s="488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8"/>
      <c r="V2" s="488"/>
    </row>
    <row r="3" spans="1:24" ht="24.6" x14ac:dyDescent="0.3">
      <c r="A3" s="503" t="s">
        <v>481</v>
      </c>
      <c r="B3" s="515" t="s">
        <v>480</v>
      </c>
      <c r="C3" s="515"/>
      <c r="D3" s="514">
        <v>45413</v>
      </c>
      <c r="E3" s="514">
        <v>45444</v>
      </c>
      <c r="F3" s="514">
        <v>45474</v>
      </c>
      <c r="G3" s="514">
        <v>45505</v>
      </c>
      <c r="H3" s="514">
        <v>45536</v>
      </c>
      <c r="I3" s="514">
        <v>45566</v>
      </c>
      <c r="J3" s="514">
        <v>45597</v>
      </c>
      <c r="K3" s="514">
        <v>45627</v>
      </c>
      <c r="L3" s="514">
        <v>45658</v>
      </c>
      <c r="M3" s="514">
        <v>45689</v>
      </c>
      <c r="N3" s="514">
        <v>45717</v>
      </c>
      <c r="O3" s="514">
        <v>45748</v>
      </c>
      <c r="P3" s="514">
        <v>45778</v>
      </c>
      <c r="Q3" s="514">
        <v>45809</v>
      </c>
      <c r="R3" s="514">
        <v>45839</v>
      </c>
      <c r="S3" s="514">
        <v>45870</v>
      </c>
      <c r="T3" s="514">
        <v>45901</v>
      </c>
      <c r="U3" s="514">
        <v>45931</v>
      </c>
      <c r="V3" s="514">
        <v>45962</v>
      </c>
      <c r="W3" s="514">
        <v>45992</v>
      </c>
    </row>
    <row r="4" spans="1:24" x14ac:dyDescent="0.3">
      <c r="A4" s="502" t="s">
        <v>479</v>
      </c>
      <c r="B4" s="488"/>
      <c r="C4" s="488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89"/>
      <c r="T4" s="489"/>
      <c r="U4" s="488"/>
      <c r="V4" s="488"/>
    </row>
    <row r="5" spans="1:24" x14ac:dyDescent="0.3">
      <c r="A5" s="506" t="s">
        <v>478</v>
      </c>
      <c r="B5" s="504">
        <v>2.4299999999999999E-2</v>
      </c>
      <c r="C5" s="504"/>
      <c r="D5" s="512">
        <v>67552.3</v>
      </c>
      <c r="E5" s="512">
        <v>63981.35</v>
      </c>
      <c r="F5" s="512">
        <v>64003.15</v>
      </c>
      <c r="G5" s="512">
        <v>64016.340000000004</v>
      </c>
      <c r="H5" s="512">
        <v>64026.33</v>
      </c>
      <c r="I5" s="512">
        <v>64034.57</v>
      </c>
      <c r="J5" s="512">
        <v>64132.35</v>
      </c>
      <c r="K5" s="512">
        <v>64230.720000000001</v>
      </c>
      <c r="L5" s="512">
        <v>64236.160000000003</v>
      </c>
      <c r="M5" s="512">
        <v>64239.08</v>
      </c>
      <c r="N5" s="512">
        <v>64250.600000000006</v>
      </c>
      <c r="O5" s="512">
        <v>64263.32</v>
      </c>
      <c r="P5" s="512">
        <v>64269.48</v>
      </c>
      <c r="Q5" s="512">
        <v>64270.99</v>
      </c>
      <c r="R5" s="513"/>
      <c r="S5" s="512"/>
      <c r="T5" s="512"/>
      <c r="U5" s="512"/>
      <c r="V5" s="512"/>
      <c r="W5" s="511"/>
    </row>
    <row r="6" spans="1:24" x14ac:dyDescent="0.3">
      <c r="A6" s="490" t="s">
        <v>477</v>
      </c>
      <c r="B6" s="504">
        <v>2.4299999999999999E-2</v>
      </c>
      <c r="C6" s="504"/>
      <c r="D6" s="512">
        <v>193289.93</v>
      </c>
      <c r="E6" s="512">
        <v>192891.1</v>
      </c>
      <c r="F6" s="512">
        <v>192841.37</v>
      </c>
      <c r="G6" s="512">
        <v>192791.53</v>
      </c>
      <c r="H6" s="512">
        <v>192741.41</v>
      </c>
      <c r="I6" s="512">
        <v>192691.14</v>
      </c>
      <c r="J6" s="512">
        <v>192640.71000000002</v>
      </c>
      <c r="K6" s="512">
        <v>192590.1</v>
      </c>
      <c r="L6" s="512">
        <v>192716.06</v>
      </c>
      <c r="M6" s="512">
        <v>192841.76</v>
      </c>
      <c r="N6" s="512">
        <v>192790.59</v>
      </c>
      <c r="O6" s="512">
        <v>192739.21</v>
      </c>
      <c r="P6" s="512">
        <v>192687.69</v>
      </c>
      <c r="Q6" s="512">
        <v>192635.93</v>
      </c>
      <c r="R6" s="513"/>
      <c r="S6" s="512"/>
      <c r="T6" s="512"/>
      <c r="U6" s="512"/>
      <c r="V6" s="512"/>
      <c r="W6" s="511"/>
    </row>
    <row r="7" spans="1:24" x14ac:dyDescent="0.3">
      <c r="A7" s="490" t="s">
        <v>476</v>
      </c>
      <c r="B7" s="504">
        <v>2.76E-2</v>
      </c>
      <c r="C7" s="504"/>
      <c r="D7" s="512">
        <v>18221.13</v>
      </c>
      <c r="E7" s="512">
        <v>15267.76</v>
      </c>
      <c r="F7" s="512">
        <v>14643.98</v>
      </c>
      <c r="G7" s="512">
        <v>14644.54</v>
      </c>
      <c r="H7" s="512">
        <v>14644.96</v>
      </c>
      <c r="I7" s="512">
        <v>14645.32</v>
      </c>
      <c r="J7" s="512">
        <v>14645.75</v>
      </c>
      <c r="K7" s="512">
        <v>14646.210000000001</v>
      </c>
      <c r="L7" s="512">
        <v>14646.45</v>
      </c>
      <c r="M7" s="512">
        <v>14646.560000000001</v>
      </c>
      <c r="N7" s="512">
        <v>14647.06</v>
      </c>
      <c r="O7" s="512">
        <v>14647.6</v>
      </c>
      <c r="P7" s="512">
        <v>14647.87</v>
      </c>
      <c r="Q7" s="512">
        <v>14647.93</v>
      </c>
      <c r="R7" s="513"/>
      <c r="S7" s="512"/>
      <c r="T7" s="512"/>
      <c r="U7" s="512"/>
      <c r="V7" s="512"/>
      <c r="W7" s="511"/>
    </row>
    <row r="8" spans="1:24" x14ac:dyDescent="0.3">
      <c r="A8" s="490" t="s">
        <v>475</v>
      </c>
      <c r="B8" s="504">
        <v>3.0700000000000002E-2</v>
      </c>
      <c r="C8" s="504"/>
      <c r="D8" s="512">
        <v>20801.64</v>
      </c>
      <c r="E8" s="512">
        <v>22764.940000000002</v>
      </c>
      <c r="F8" s="512">
        <v>22765.16</v>
      </c>
      <c r="G8" s="512">
        <v>22765.300000000003</v>
      </c>
      <c r="H8" s="512">
        <v>22765.4</v>
      </c>
      <c r="I8" s="512">
        <v>22765.48</v>
      </c>
      <c r="J8" s="512">
        <v>22765.58</v>
      </c>
      <c r="K8" s="512">
        <v>22765.699999999997</v>
      </c>
      <c r="L8" s="512">
        <v>22765.75</v>
      </c>
      <c r="M8" s="512">
        <v>22765.78</v>
      </c>
      <c r="N8" s="512">
        <v>22765.9</v>
      </c>
      <c r="O8" s="512">
        <v>22766.03</v>
      </c>
      <c r="P8" s="512">
        <v>22766.09</v>
      </c>
      <c r="Q8" s="512">
        <v>22766.11</v>
      </c>
      <c r="R8" s="513"/>
      <c r="S8" s="512"/>
      <c r="T8" s="512"/>
      <c r="U8" s="512"/>
      <c r="V8" s="512"/>
      <c r="W8" s="511"/>
    </row>
    <row r="9" spans="1:24" x14ac:dyDescent="0.3">
      <c r="A9" s="490" t="s">
        <v>474</v>
      </c>
      <c r="B9" s="504">
        <v>2.76E-2</v>
      </c>
      <c r="C9" s="504"/>
      <c r="D9" s="512">
        <v>49901.72</v>
      </c>
      <c r="E9" s="512">
        <v>49888.73</v>
      </c>
      <c r="F9" s="512">
        <v>49888.740000000005</v>
      </c>
      <c r="G9" s="512">
        <v>49888.740000000005</v>
      </c>
      <c r="H9" s="512">
        <v>49888.740000000005</v>
      </c>
      <c r="I9" s="512">
        <v>49888.740000000005</v>
      </c>
      <c r="J9" s="512">
        <v>49888.740000000005</v>
      </c>
      <c r="K9" s="512">
        <v>49888.76</v>
      </c>
      <c r="L9" s="512">
        <v>49888.770000000004</v>
      </c>
      <c r="M9" s="512">
        <v>49888.770000000004</v>
      </c>
      <c r="N9" s="512">
        <v>49888.770000000004</v>
      </c>
      <c r="O9" s="512">
        <v>49888.770000000004</v>
      </c>
      <c r="P9" s="512">
        <v>49888.770000000004</v>
      </c>
      <c r="Q9" s="512">
        <v>49888.770000000004</v>
      </c>
      <c r="R9" s="513"/>
      <c r="S9" s="512"/>
      <c r="T9" s="512"/>
      <c r="U9" s="512"/>
      <c r="V9" s="512"/>
      <c r="W9" s="511"/>
    </row>
    <row r="10" spans="1:24" x14ac:dyDescent="0.3">
      <c r="A10" s="490" t="s">
        <v>473</v>
      </c>
      <c r="B10" s="504">
        <v>3.1100000000000003E-2</v>
      </c>
      <c r="C10" s="504"/>
      <c r="D10" s="512">
        <v>5361.84</v>
      </c>
      <c r="E10" s="512">
        <v>5370.14</v>
      </c>
      <c r="F10" s="512">
        <v>5371.54</v>
      </c>
      <c r="G10" s="512">
        <v>5372.38</v>
      </c>
      <c r="H10" s="512">
        <v>5373.0199999999995</v>
      </c>
      <c r="I10" s="512">
        <v>5373.54</v>
      </c>
      <c r="J10" s="512">
        <v>5374.1900000000005</v>
      </c>
      <c r="K10" s="512">
        <v>5374.87</v>
      </c>
      <c r="L10" s="512">
        <v>5375.2300000000005</v>
      </c>
      <c r="M10" s="512">
        <v>5375.4000000000005</v>
      </c>
      <c r="N10" s="512">
        <v>5376.14</v>
      </c>
      <c r="O10" s="512">
        <v>5376.95</v>
      </c>
      <c r="P10" s="512">
        <v>5377.3499999999995</v>
      </c>
      <c r="Q10" s="512">
        <v>5377.44</v>
      </c>
      <c r="R10" s="513"/>
      <c r="S10" s="512"/>
      <c r="T10" s="512"/>
      <c r="U10" s="512"/>
      <c r="V10" s="512"/>
      <c r="W10" s="511"/>
    </row>
    <row r="11" spans="1:24" x14ac:dyDescent="0.3">
      <c r="A11" s="490" t="s">
        <v>472</v>
      </c>
      <c r="B11" s="504">
        <v>2.8000000000000001E-2</v>
      </c>
      <c r="C11" s="504"/>
      <c r="D11" s="512">
        <v>74037.440000000002</v>
      </c>
      <c r="E11" s="512">
        <v>76041.88</v>
      </c>
      <c r="F11" s="512">
        <v>76071.05</v>
      </c>
      <c r="G11" s="512">
        <v>76088.7</v>
      </c>
      <c r="H11" s="512">
        <v>76102.080000000002</v>
      </c>
      <c r="I11" s="512">
        <v>76113.100000000006</v>
      </c>
      <c r="J11" s="512">
        <v>76126.69</v>
      </c>
      <c r="K11" s="512">
        <v>76141.099999999991</v>
      </c>
      <c r="L11" s="512">
        <v>76148.430000000008</v>
      </c>
      <c r="M11" s="512">
        <v>76152.34</v>
      </c>
      <c r="N11" s="512">
        <v>76167.77</v>
      </c>
      <c r="O11" s="512">
        <v>76184.800000000003</v>
      </c>
      <c r="P11" s="512">
        <v>76193.039999999994</v>
      </c>
      <c r="Q11" s="512">
        <v>76195.060000000012</v>
      </c>
      <c r="R11" s="513"/>
      <c r="S11" s="512"/>
      <c r="T11" s="512"/>
      <c r="U11" s="512"/>
      <c r="V11" s="512"/>
      <c r="W11" s="511"/>
    </row>
    <row r="12" spans="1:24" x14ac:dyDescent="0.3">
      <c r="A12" s="490" t="s">
        <v>471</v>
      </c>
      <c r="B12" s="504">
        <v>2.8000000000000001E-2</v>
      </c>
      <c r="C12" s="504"/>
      <c r="D12" s="512">
        <v>22496.22</v>
      </c>
      <c r="E12" s="512">
        <v>23127.29</v>
      </c>
      <c r="F12" s="512">
        <v>23127.39</v>
      </c>
      <c r="G12" s="512">
        <v>23127.45</v>
      </c>
      <c r="H12" s="512">
        <v>23127.5</v>
      </c>
      <c r="I12" s="512">
        <v>23127.54</v>
      </c>
      <c r="J12" s="512">
        <v>23127.579999999998</v>
      </c>
      <c r="K12" s="512">
        <v>23127.64</v>
      </c>
      <c r="L12" s="512">
        <v>23127.67</v>
      </c>
      <c r="M12" s="512">
        <v>23127.690000000002</v>
      </c>
      <c r="N12" s="512">
        <v>23127.74</v>
      </c>
      <c r="O12" s="512">
        <v>23127.79</v>
      </c>
      <c r="P12" s="512">
        <v>23127.82</v>
      </c>
      <c r="Q12" s="512">
        <v>23127.83</v>
      </c>
      <c r="R12" s="513"/>
      <c r="S12" s="512"/>
      <c r="T12" s="512"/>
      <c r="U12" s="512"/>
      <c r="V12" s="512"/>
      <c r="W12" s="511"/>
    </row>
    <row r="13" spans="1:24" x14ac:dyDescent="0.3">
      <c r="A13" s="490" t="s">
        <v>470</v>
      </c>
      <c r="B13" s="504">
        <v>2.8000000000000001E-2</v>
      </c>
      <c r="C13" s="504"/>
      <c r="D13" s="512">
        <v>53485.450000000004</v>
      </c>
      <c r="E13" s="512">
        <v>56212.17</v>
      </c>
      <c r="F13" s="512">
        <v>56232.14</v>
      </c>
      <c r="G13" s="512">
        <v>56244.22</v>
      </c>
      <c r="H13" s="512">
        <v>56253.380000000005</v>
      </c>
      <c r="I13" s="512">
        <v>56260.92</v>
      </c>
      <c r="J13" s="512">
        <v>56270.23</v>
      </c>
      <c r="K13" s="512">
        <v>56280.06</v>
      </c>
      <c r="L13" s="512">
        <v>56285.05</v>
      </c>
      <c r="M13" s="512">
        <v>56287.740000000005</v>
      </c>
      <c r="N13" s="512">
        <v>56298.3</v>
      </c>
      <c r="O13" s="512">
        <v>56309.95</v>
      </c>
      <c r="P13" s="512">
        <v>56315.590000000004</v>
      </c>
      <c r="Q13" s="512">
        <v>56316.98</v>
      </c>
      <c r="R13" s="513"/>
      <c r="S13" s="512"/>
      <c r="T13" s="512"/>
      <c r="U13" s="512"/>
      <c r="V13" s="512"/>
      <c r="W13" s="511"/>
    </row>
    <row r="14" spans="1:24" x14ac:dyDescent="0.3">
      <c r="A14" s="490" t="s">
        <v>469</v>
      </c>
      <c r="B14" s="504">
        <v>2.76E-2</v>
      </c>
      <c r="C14" s="504"/>
      <c r="D14" s="509">
        <v>201.73000000000002</v>
      </c>
      <c r="E14" s="509">
        <v>0</v>
      </c>
      <c r="F14" s="509">
        <v>0</v>
      </c>
      <c r="G14" s="509">
        <v>0</v>
      </c>
      <c r="H14" s="509">
        <v>0</v>
      </c>
      <c r="I14" s="509">
        <v>0</v>
      </c>
      <c r="J14" s="509"/>
      <c r="K14" s="509"/>
      <c r="L14" s="509">
        <v>0</v>
      </c>
      <c r="M14" s="509"/>
      <c r="N14" s="509">
        <v>0</v>
      </c>
      <c r="O14" s="509"/>
      <c r="P14" s="509">
        <v>0</v>
      </c>
      <c r="Q14" s="509"/>
      <c r="R14" s="510"/>
      <c r="S14" s="509"/>
      <c r="T14" s="509"/>
      <c r="U14" s="509"/>
      <c r="V14" s="509"/>
      <c r="W14" s="508"/>
    </row>
    <row r="15" spans="1:24" x14ac:dyDescent="0.3">
      <c r="A15" s="507"/>
      <c r="B15" s="488"/>
      <c r="C15" s="488"/>
      <c r="D15" s="494">
        <f t="shared" ref="D15:N15" si="0">SUM(D5:D14)</f>
        <v>505349.39999999997</v>
      </c>
      <c r="E15" s="494">
        <f t="shared" si="0"/>
        <v>505545.36</v>
      </c>
      <c r="F15" s="494">
        <f t="shared" si="0"/>
        <v>504944.51999999996</v>
      </c>
      <c r="G15" s="494">
        <f t="shared" si="0"/>
        <v>504939.19999999995</v>
      </c>
      <c r="H15" s="494">
        <f t="shared" si="0"/>
        <v>504922.82000000007</v>
      </c>
      <c r="I15" s="494">
        <f t="shared" si="0"/>
        <v>504900.35</v>
      </c>
      <c r="J15" s="494">
        <f t="shared" si="0"/>
        <v>504971.82000000007</v>
      </c>
      <c r="K15" s="494">
        <f t="shared" si="0"/>
        <v>505045.16000000003</v>
      </c>
      <c r="L15" s="494">
        <f t="shared" si="0"/>
        <v>505189.56999999995</v>
      </c>
      <c r="M15" s="494">
        <f t="shared" si="0"/>
        <v>505325.12000000005</v>
      </c>
      <c r="N15" s="494">
        <f t="shared" si="0"/>
        <v>505312.87000000005</v>
      </c>
      <c r="O15" s="494">
        <v>505304.42000000004</v>
      </c>
      <c r="P15" s="494">
        <v>505273.70000000007</v>
      </c>
      <c r="Q15" s="496">
        <f>SUM(Q5:Q14)</f>
        <v>505227.04</v>
      </c>
      <c r="R15" s="495"/>
      <c r="S15" s="494"/>
      <c r="T15" s="494"/>
      <c r="U15" s="493"/>
      <c r="V15" s="492"/>
      <c r="W15" s="491"/>
      <c r="X15" s="500" t="s">
        <v>468</v>
      </c>
    </row>
    <row r="16" spans="1:24" x14ac:dyDescent="0.3">
      <c r="A16" s="502" t="s">
        <v>467</v>
      </c>
      <c r="B16" s="488"/>
      <c r="C16" s="488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99"/>
      <c r="S16" s="489"/>
      <c r="T16" s="489"/>
      <c r="U16" s="488"/>
      <c r="V16" s="498"/>
    </row>
    <row r="17" spans="1:24" x14ac:dyDescent="0.3">
      <c r="A17" s="506" t="s">
        <v>466</v>
      </c>
      <c r="B17" s="501">
        <v>0.2</v>
      </c>
      <c r="C17" s="501"/>
      <c r="D17" s="494">
        <v>5591.9921666666669</v>
      </c>
      <c r="E17" s="494">
        <v>5591.9921666666669</v>
      </c>
      <c r="F17" s="494">
        <v>5591.9921666666669</v>
      </c>
      <c r="G17" s="494">
        <v>5591.9921666666669</v>
      </c>
      <c r="H17" s="494">
        <v>5591.9921666666669</v>
      </c>
      <c r="I17" s="494">
        <v>5591.9921666666669</v>
      </c>
      <c r="J17" s="494">
        <v>5591.9921666666669</v>
      </c>
      <c r="K17" s="494">
        <v>5591.9921666666669</v>
      </c>
      <c r="L17" s="494">
        <v>5591.9921666666669</v>
      </c>
      <c r="M17" s="494">
        <v>5591.9921666666669</v>
      </c>
      <c r="N17" s="494">
        <v>5591.9921666666669</v>
      </c>
      <c r="O17" s="494">
        <v>5591.9921666666669</v>
      </c>
      <c r="P17" s="494">
        <v>5591.9921666666669</v>
      </c>
      <c r="Q17" s="496">
        <v>5591.9921666666669</v>
      </c>
      <c r="R17" s="495"/>
      <c r="S17" s="494"/>
      <c r="T17" s="494"/>
      <c r="U17" s="493"/>
      <c r="V17" s="492"/>
      <c r="W17" s="249"/>
      <c r="X17" s="500" t="s">
        <v>463</v>
      </c>
    </row>
    <row r="18" spans="1:24" x14ac:dyDescent="0.3">
      <c r="A18" s="505"/>
      <c r="B18" s="488"/>
      <c r="C18" s="488"/>
      <c r="D18" s="489"/>
      <c r="E18" s="489"/>
      <c r="F18" s="489"/>
      <c r="G18" s="489"/>
      <c r="H18" s="489"/>
      <c r="I18" s="489"/>
      <c r="J18" s="489"/>
      <c r="K18" s="489"/>
      <c r="L18" s="489"/>
      <c r="M18" s="489"/>
      <c r="N18" s="489"/>
      <c r="O18" s="489"/>
      <c r="P18" s="489"/>
      <c r="Q18" s="489"/>
      <c r="R18" s="499"/>
      <c r="S18" s="489"/>
      <c r="T18" s="489"/>
      <c r="U18" s="488"/>
      <c r="V18" s="498"/>
      <c r="X18" s="490"/>
    </row>
    <row r="19" spans="1:24" x14ac:dyDescent="0.3">
      <c r="A19" s="502" t="s">
        <v>465</v>
      </c>
      <c r="B19" s="488"/>
      <c r="C19" s="488"/>
      <c r="D19" s="489"/>
      <c r="E19" s="489"/>
      <c r="F19" s="489"/>
      <c r="G19" s="489"/>
      <c r="H19" s="489"/>
      <c r="I19" s="489"/>
      <c r="J19" s="489"/>
      <c r="K19" s="489"/>
      <c r="L19" s="489"/>
      <c r="M19" s="489"/>
      <c r="N19" s="489"/>
      <c r="O19" s="489"/>
      <c r="P19" s="489"/>
      <c r="Q19" s="489"/>
      <c r="R19" s="499"/>
      <c r="S19" s="489"/>
      <c r="T19" s="489"/>
      <c r="U19" s="488"/>
      <c r="V19" s="498"/>
      <c r="X19" s="490"/>
    </row>
    <row r="20" spans="1:24" ht="13.95" customHeight="1" x14ac:dyDescent="0.3">
      <c r="A20" s="490" t="s">
        <v>464</v>
      </c>
      <c r="B20" s="504">
        <v>6.6699999999999995E-2</v>
      </c>
      <c r="C20" s="504"/>
      <c r="D20" s="494">
        <v>868.99839316666669</v>
      </c>
      <c r="E20" s="494">
        <v>868.99839316666669</v>
      </c>
      <c r="F20" s="494">
        <v>868.99839316666669</v>
      </c>
      <c r="G20" s="494">
        <v>868.99839316666669</v>
      </c>
      <c r="H20" s="494">
        <v>868.99839316666669</v>
      </c>
      <c r="I20" s="494">
        <v>868.99839316666669</v>
      </c>
      <c r="J20" s="494">
        <v>868.99839316666669</v>
      </c>
      <c r="K20" s="494">
        <v>868.99839316666669</v>
      </c>
      <c r="L20" s="494">
        <v>868.99839316666669</v>
      </c>
      <c r="M20" s="494">
        <v>868.99839316666669</v>
      </c>
      <c r="N20" s="494">
        <v>868.99839316666669</v>
      </c>
      <c r="O20" s="494">
        <v>868.99839316666669</v>
      </c>
      <c r="P20" s="494">
        <v>868.99839316666669</v>
      </c>
      <c r="Q20" s="496">
        <v>868.99839316666669</v>
      </c>
      <c r="R20" s="495"/>
      <c r="S20" s="494"/>
      <c r="T20" s="494"/>
      <c r="U20" s="493"/>
      <c r="V20" s="492"/>
      <c r="W20" s="249"/>
      <c r="X20" s="500" t="s">
        <v>463</v>
      </c>
    </row>
    <row r="21" spans="1:24" ht="9.6" hidden="1" customHeight="1" x14ac:dyDescent="0.3">
      <c r="A21" s="490"/>
      <c r="B21" s="488"/>
      <c r="C21" s="488"/>
      <c r="D21" s="489"/>
      <c r="E21" s="489"/>
      <c r="F21" s="489"/>
      <c r="G21" s="489"/>
      <c r="H21" s="489"/>
      <c r="I21" s="489"/>
      <c r="J21" s="489"/>
      <c r="K21" s="489"/>
      <c r="L21" s="489"/>
      <c r="M21" s="489"/>
      <c r="N21" s="489"/>
      <c r="O21" s="489"/>
      <c r="P21" s="489"/>
      <c r="Q21" s="489"/>
      <c r="R21" s="499"/>
      <c r="S21" s="489"/>
      <c r="T21" s="489"/>
      <c r="U21" s="488"/>
      <c r="V21" s="498"/>
    </row>
    <row r="22" spans="1:24" x14ac:dyDescent="0.3">
      <c r="A22" s="503" t="s">
        <v>462</v>
      </c>
      <c r="B22" s="488"/>
      <c r="C22" s="488"/>
      <c r="D22" s="489"/>
      <c r="E22" s="489"/>
      <c r="F22" s="489"/>
      <c r="G22" s="489"/>
      <c r="H22" s="489"/>
      <c r="I22" s="489"/>
      <c r="J22" s="489"/>
      <c r="K22" s="489"/>
      <c r="L22" s="489"/>
      <c r="M22" s="489"/>
      <c r="N22" s="489"/>
      <c r="O22" s="489"/>
      <c r="P22" s="489"/>
      <c r="Q22" s="489"/>
      <c r="R22" s="499"/>
      <c r="S22" s="489"/>
      <c r="T22" s="489"/>
      <c r="U22" s="488"/>
      <c r="V22" s="498"/>
    </row>
    <row r="23" spans="1:24" x14ac:dyDescent="0.3">
      <c r="A23" s="502" t="s">
        <v>461</v>
      </c>
      <c r="B23" s="488"/>
      <c r="C23" s="488"/>
      <c r="D23" s="489"/>
      <c r="E23" s="489"/>
      <c r="F23" s="489"/>
      <c r="G23" s="489"/>
      <c r="H23" s="489"/>
      <c r="I23" s="489"/>
      <c r="J23" s="489"/>
      <c r="K23" s="489"/>
      <c r="L23" s="489"/>
      <c r="M23" s="489"/>
      <c r="N23" s="489"/>
      <c r="O23" s="489"/>
      <c r="P23" s="489"/>
      <c r="Q23" s="489"/>
      <c r="R23" s="499"/>
      <c r="S23" s="489"/>
      <c r="T23" s="489"/>
      <c r="U23" s="488"/>
      <c r="V23" s="498"/>
    </row>
    <row r="24" spans="1:24" x14ac:dyDescent="0.3">
      <c r="A24" s="490" t="s">
        <v>460</v>
      </c>
      <c r="B24" s="501">
        <v>0.2</v>
      </c>
      <c r="C24" s="501"/>
      <c r="D24" s="494">
        <v>12045.800000000001</v>
      </c>
      <c r="E24" s="494">
        <v>12045.8</v>
      </c>
      <c r="F24" s="494">
        <v>12045.779999999999</v>
      </c>
      <c r="G24" s="494">
        <v>12045.800000000001</v>
      </c>
      <c r="H24" s="494">
        <v>12045.789999999999</v>
      </c>
      <c r="I24" s="494">
        <v>12045.8</v>
      </c>
      <c r="J24" s="494">
        <v>12045.79</v>
      </c>
      <c r="K24" s="494">
        <v>12045.8</v>
      </c>
      <c r="L24" s="494">
        <v>12045.78</v>
      </c>
      <c r="M24" s="494">
        <v>12045.8</v>
      </c>
      <c r="N24" s="494">
        <v>12045.8</v>
      </c>
      <c r="O24" s="494">
        <v>12045.8</v>
      </c>
      <c r="P24" s="494">
        <v>12045.78</v>
      </c>
      <c r="Q24" s="496">
        <v>12045.8</v>
      </c>
      <c r="R24" s="495"/>
      <c r="S24" s="494"/>
      <c r="T24" s="494"/>
      <c r="U24" s="493"/>
      <c r="V24" s="492"/>
      <c r="W24" s="249"/>
      <c r="X24" s="500" t="s">
        <v>459</v>
      </c>
    </row>
    <row r="25" spans="1:24" x14ac:dyDescent="0.3">
      <c r="A25" s="490"/>
      <c r="B25" s="488"/>
      <c r="C25" s="488"/>
      <c r="D25" s="489"/>
      <c r="E25" s="489"/>
      <c r="F25" s="489"/>
      <c r="G25" s="489"/>
      <c r="H25" s="489"/>
      <c r="I25" s="489"/>
      <c r="J25" s="489"/>
      <c r="K25" s="489"/>
      <c r="L25" s="489"/>
      <c r="M25" s="489"/>
      <c r="N25" s="489"/>
      <c r="O25" s="489"/>
      <c r="P25" s="489"/>
      <c r="Q25" s="489"/>
      <c r="R25" s="499"/>
      <c r="S25" s="489"/>
      <c r="T25" s="489"/>
      <c r="U25" s="488"/>
      <c r="V25" s="498"/>
    </row>
    <row r="26" spans="1:24" x14ac:dyDescent="0.3">
      <c r="A26" s="497" t="s">
        <v>458</v>
      </c>
      <c r="B26" s="488"/>
      <c r="C26" s="488"/>
      <c r="D26" s="494">
        <f t="shared" ref="D26:P26" si="1">SUM(D24+D20+D17+D15)</f>
        <v>523856.19055983331</v>
      </c>
      <c r="E26" s="494">
        <f t="shared" si="1"/>
        <v>524052.15055983333</v>
      </c>
      <c r="F26" s="494">
        <f t="shared" si="1"/>
        <v>523451.29055983329</v>
      </c>
      <c r="G26" s="494">
        <f t="shared" si="1"/>
        <v>523445.9905598333</v>
      </c>
      <c r="H26" s="494">
        <f t="shared" si="1"/>
        <v>523429.6005598334</v>
      </c>
      <c r="I26" s="494">
        <f t="shared" si="1"/>
        <v>523407.14055983332</v>
      </c>
      <c r="J26" s="494">
        <f t="shared" si="1"/>
        <v>523478.6005598334</v>
      </c>
      <c r="K26" s="494">
        <f t="shared" si="1"/>
        <v>523551.95055983338</v>
      </c>
      <c r="L26" s="494">
        <f t="shared" si="1"/>
        <v>523696.34055983328</v>
      </c>
      <c r="M26" s="494">
        <f t="shared" si="1"/>
        <v>523831.9105598334</v>
      </c>
      <c r="N26" s="494">
        <f t="shared" si="1"/>
        <v>523819.6605598334</v>
      </c>
      <c r="O26" s="494">
        <f t="shared" si="1"/>
        <v>523811.21055983339</v>
      </c>
      <c r="P26" s="494">
        <f t="shared" si="1"/>
        <v>523780.4705598334</v>
      </c>
      <c r="Q26" s="496">
        <f>Q15+Q17+Q20+Q24</f>
        <v>523733.83055983332</v>
      </c>
      <c r="R26" s="495"/>
      <c r="S26" s="494"/>
      <c r="T26" s="494"/>
      <c r="U26" s="493"/>
      <c r="V26" s="492"/>
      <c r="W26" s="491"/>
    </row>
    <row r="27" spans="1:24" x14ac:dyDescent="0.3">
      <c r="A27" s="490"/>
      <c r="B27" s="488"/>
      <c r="C27" s="488"/>
      <c r="D27" s="489"/>
      <c r="E27" s="489"/>
      <c r="F27" s="489"/>
      <c r="G27" s="489"/>
      <c r="H27" s="489"/>
      <c r="I27" s="489"/>
      <c r="J27" s="489"/>
      <c r="K27" s="489"/>
      <c r="L27" s="489"/>
      <c r="M27" s="489"/>
      <c r="N27" s="489"/>
      <c r="O27" s="489"/>
      <c r="P27" s="489"/>
      <c r="Q27" s="489"/>
      <c r="R27" s="489"/>
      <c r="S27" s="489"/>
      <c r="T27" s="489"/>
      <c r="U27" s="488"/>
      <c r="V27" s="488"/>
    </row>
    <row r="29" spans="1:24" x14ac:dyDescent="0.3">
      <c r="N29" s="487"/>
    </row>
  </sheetData>
  <pageMargins left="0.7" right="0.7" top="0.75" bottom="0.75" header="0.3" footer="0.3"/>
  <pageSetup scale="45" orientation="landscape" r:id="rId1"/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2:E25"/>
  <sheetViews>
    <sheetView topLeftCell="A5" zoomScale="110" zoomScaleNormal="110" workbookViewId="0">
      <selection activeCell="B57" sqref="B57"/>
    </sheetView>
  </sheetViews>
  <sheetFormatPr defaultColWidth="9.109375" defaultRowHeight="13.2" x14ac:dyDescent="0.25"/>
  <cols>
    <col min="1" max="1" width="5.44140625" style="338" customWidth="1"/>
    <col min="2" max="2" width="63.33203125" style="338" bestFit="1" customWidth="1"/>
    <col min="3" max="3" width="3.44140625" style="338" customWidth="1"/>
    <col min="4" max="4" width="10" style="338" bestFit="1" customWidth="1"/>
    <col min="5" max="5" width="18.109375" style="338" customWidth="1"/>
    <col min="6" max="16384" width="9.109375" style="338"/>
  </cols>
  <sheetData>
    <row r="2" spans="1:5" x14ac:dyDescent="0.25">
      <c r="A2" s="335"/>
      <c r="B2" s="336"/>
      <c r="C2" s="336"/>
      <c r="D2" s="336"/>
      <c r="E2" s="337"/>
    </row>
    <row r="3" spans="1:5" x14ac:dyDescent="0.25">
      <c r="A3" s="335"/>
      <c r="B3" s="335"/>
      <c r="C3" s="335"/>
      <c r="D3" s="335"/>
      <c r="E3" s="337"/>
    </row>
    <row r="4" spans="1:5" x14ac:dyDescent="0.25">
      <c r="A4" s="335"/>
      <c r="B4" s="335"/>
      <c r="C4" s="335"/>
      <c r="D4" s="335"/>
    </row>
    <row r="5" spans="1:5" ht="13.8" x14ac:dyDescent="0.25">
      <c r="A5" s="339" t="s">
        <v>245</v>
      </c>
      <c r="B5" s="340"/>
      <c r="C5" s="339"/>
      <c r="D5" s="339"/>
      <c r="E5" s="341"/>
    </row>
    <row r="6" spans="1:5" ht="13.8" x14ac:dyDescent="0.25">
      <c r="A6" s="342" t="s">
        <v>27</v>
      </c>
      <c r="B6" s="340"/>
      <c r="C6" s="342"/>
      <c r="D6" s="342"/>
      <c r="E6" s="334"/>
    </row>
    <row r="7" spans="1:5" ht="13.8" x14ac:dyDescent="0.25">
      <c r="A7" s="343" t="s">
        <v>293</v>
      </c>
      <c r="B7" s="342"/>
      <c r="C7" s="342"/>
      <c r="D7" s="342"/>
      <c r="E7" s="334"/>
    </row>
    <row r="8" spans="1:5" ht="13.8" x14ac:dyDescent="0.25">
      <c r="A8" s="343" t="s">
        <v>294</v>
      </c>
      <c r="B8" s="340"/>
      <c r="C8" s="342"/>
      <c r="D8" s="342"/>
      <c r="E8" s="334"/>
    </row>
    <row r="9" spans="1:5" x14ac:dyDescent="0.25">
      <c r="A9" s="335"/>
      <c r="B9" s="335"/>
      <c r="C9" s="335"/>
      <c r="D9" s="335"/>
      <c r="E9" s="335"/>
    </row>
    <row r="10" spans="1:5" x14ac:dyDescent="0.25">
      <c r="A10" s="344" t="s">
        <v>28</v>
      </c>
      <c r="B10" s="344"/>
      <c r="C10" s="344"/>
      <c r="D10" s="344"/>
      <c r="E10" s="344"/>
    </row>
    <row r="11" spans="1:5" x14ac:dyDescent="0.25">
      <c r="A11" s="345" t="s">
        <v>29</v>
      </c>
      <c r="B11" s="346" t="s">
        <v>30</v>
      </c>
      <c r="C11" s="345"/>
      <c r="D11" s="345" t="s">
        <v>246</v>
      </c>
      <c r="E11" s="345" t="s">
        <v>247</v>
      </c>
    </row>
    <row r="12" spans="1:5" x14ac:dyDescent="0.25">
      <c r="A12" s="336"/>
      <c r="B12" s="336"/>
      <c r="C12" s="336"/>
      <c r="D12" s="336"/>
      <c r="E12" s="347"/>
    </row>
    <row r="13" spans="1:5" x14ac:dyDescent="0.25">
      <c r="A13" s="347">
        <v>1</v>
      </c>
      <c r="B13" s="348" t="s">
        <v>31</v>
      </c>
      <c r="C13" s="336"/>
      <c r="D13" s="336"/>
      <c r="E13" s="349">
        <v>2.8909999999999999E-3</v>
      </c>
    </row>
    <row r="14" spans="1:5" x14ac:dyDescent="0.25">
      <c r="A14" s="347">
        <v>2</v>
      </c>
      <c r="B14" s="348" t="s">
        <v>32</v>
      </c>
      <c r="C14" s="336"/>
      <c r="D14" s="336"/>
      <c r="E14" s="349">
        <v>5.0000000000000001E-3</v>
      </c>
    </row>
    <row r="15" spans="1:5" x14ac:dyDescent="0.25">
      <c r="A15" s="347">
        <v>3</v>
      </c>
      <c r="B15" s="348" t="str">
        <f>"STATE UTILITY TAX - NET OF BAD DEBTS ( "&amp;D15*100&amp;"% - ( LINE 1 * "&amp;D15*100&amp;"%) )"</f>
        <v>STATE UTILITY TAX - NET OF BAD DEBTS ( 3.852% - ( LINE 1 * 3.852%) )</v>
      </c>
      <c r="C15" s="336"/>
      <c r="D15" s="350">
        <v>3.8519999999999999E-2</v>
      </c>
      <c r="E15" s="351">
        <f>ROUND(D15-(D15*E13),6)</f>
        <v>3.8408999999999999E-2</v>
      </c>
    </row>
    <row r="16" spans="1:5" x14ac:dyDescent="0.25">
      <c r="A16" s="347">
        <v>4</v>
      </c>
      <c r="B16" s="348"/>
      <c r="C16" s="336"/>
      <c r="D16" s="347"/>
      <c r="E16" s="349"/>
    </row>
    <row r="17" spans="1:5" x14ac:dyDescent="0.25">
      <c r="A17" s="347">
        <v>5</v>
      </c>
      <c r="B17" s="348" t="s">
        <v>34</v>
      </c>
      <c r="C17" s="336"/>
      <c r="D17" s="347"/>
      <c r="E17" s="349">
        <f>ROUND(SUM(E13:E15),6)</f>
        <v>4.6300000000000001E-2</v>
      </c>
    </row>
    <row r="18" spans="1:5" x14ac:dyDescent="0.25">
      <c r="A18" s="347">
        <v>6</v>
      </c>
      <c r="B18" s="336"/>
      <c r="C18" s="336"/>
      <c r="D18" s="347"/>
      <c r="E18" s="349"/>
    </row>
    <row r="19" spans="1:5" x14ac:dyDescent="0.25">
      <c r="A19" s="347">
        <v>7</v>
      </c>
      <c r="B19" s="336" t="s">
        <v>248</v>
      </c>
      <c r="C19" s="336"/>
      <c r="D19" s="347"/>
      <c r="E19" s="349">
        <f>ROUND(1-E17,6)</f>
        <v>0.95369999999999999</v>
      </c>
    </row>
    <row r="20" spans="1:5" x14ac:dyDescent="0.25">
      <c r="A20" s="347">
        <v>8</v>
      </c>
      <c r="B20" s="348" t="s">
        <v>249</v>
      </c>
      <c r="C20" s="336"/>
      <c r="D20" s="352">
        <v>0.21</v>
      </c>
      <c r="E20" s="349">
        <f>ROUND((E19)*D20,6)</f>
        <v>0.20027700000000001</v>
      </c>
    </row>
    <row r="21" spans="1:5" x14ac:dyDescent="0.25">
      <c r="A21" s="347">
        <v>9</v>
      </c>
      <c r="B21" s="348" t="s">
        <v>250</v>
      </c>
      <c r="C21" s="336"/>
      <c r="D21" s="336"/>
      <c r="E21" s="353">
        <f>ROUND(1-E20-E17,6)</f>
        <v>0.75342299999999995</v>
      </c>
    </row>
    <row r="22" spans="1:5" x14ac:dyDescent="0.25">
      <c r="A22" s="336"/>
      <c r="B22" s="336"/>
      <c r="C22" s="336"/>
      <c r="D22" s="336"/>
      <c r="E22" s="347"/>
    </row>
    <row r="25" spans="1:5" x14ac:dyDescent="0.25">
      <c r="E25" s="354"/>
    </row>
  </sheetData>
  <printOptions horizontalCentered="1"/>
  <pageMargins left="0.68" right="0.5600000000000000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2:F51"/>
  <sheetViews>
    <sheetView topLeftCell="A16" workbookViewId="0">
      <selection activeCell="A6" sqref="A6"/>
    </sheetView>
  </sheetViews>
  <sheetFormatPr defaultRowHeight="14.4" x14ac:dyDescent="0.3"/>
  <cols>
    <col min="1" max="1" width="72" customWidth="1"/>
    <col min="2" max="4" width="12.44140625" customWidth="1"/>
  </cols>
  <sheetData>
    <row r="2" spans="1:4" x14ac:dyDescent="0.3">
      <c r="A2" s="344" t="s">
        <v>24</v>
      </c>
      <c r="B2" s="344"/>
      <c r="C2" s="344"/>
      <c r="D2" s="1"/>
    </row>
    <row r="3" spans="1:4" x14ac:dyDescent="0.3">
      <c r="A3" s="344" t="s">
        <v>25</v>
      </c>
      <c r="B3" s="344"/>
      <c r="C3" s="344"/>
      <c r="D3" s="1"/>
    </row>
    <row r="4" spans="1:4" x14ac:dyDescent="0.3">
      <c r="A4" s="344" t="s">
        <v>294</v>
      </c>
      <c r="B4" s="344"/>
      <c r="C4" s="344"/>
      <c r="D4" s="344"/>
    </row>
    <row r="5" spans="1:4" x14ac:dyDescent="0.3">
      <c r="A5" s="344" t="s">
        <v>306</v>
      </c>
      <c r="B5" s="344"/>
      <c r="C5" s="344"/>
      <c r="D5" s="344"/>
    </row>
    <row r="6" spans="1:4" x14ac:dyDescent="0.3">
      <c r="A6" s="385" t="s">
        <v>262</v>
      </c>
      <c r="B6" s="385"/>
      <c r="C6" s="385"/>
      <c r="D6" s="344"/>
    </row>
    <row r="7" spans="1:4" x14ac:dyDescent="0.3">
      <c r="A7" s="344"/>
      <c r="B7" s="344"/>
      <c r="C7" s="344"/>
      <c r="D7" s="344"/>
    </row>
    <row r="8" spans="1:4" x14ac:dyDescent="0.3">
      <c r="A8" s="355"/>
      <c r="B8" s="355"/>
      <c r="C8" s="355"/>
      <c r="D8" s="355"/>
    </row>
    <row r="9" spans="1:4" x14ac:dyDescent="0.3">
      <c r="A9" s="356"/>
      <c r="B9" s="356"/>
      <c r="C9" s="356"/>
      <c r="D9" s="356"/>
    </row>
    <row r="10" spans="1:4" x14ac:dyDescent="0.3">
      <c r="A10" s="336"/>
      <c r="B10" s="336"/>
      <c r="C10" s="336"/>
      <c r="D10" s="336"/>
    </row>
    <row r="11" spans="1:4" x14ac:dyDescent="0.3">
      <c r="A11" s="344"/>
      <c r="B11" s="344" t="s">
        <v>251</v>
      </c>
      <c r="C11" s="336"/>
      <c r="D11" s="344" t="s">
        <v>252</v>
      </c>
    </row>
    <row r="12" spans="1:4" x14ac:dyDescent="0.3">
      <c r="A12" s="345" t="s">
        <v>30</v>
      </c>
      <c r="B12" s="345" t="s">
        <v>253</v>
      </c>
      <c r="C12" s="345" t="s">
        <v>254</v>
      </c>
      <c r="D12" s="345" t="s">
        <v>254</v>
      </c>
    </row>
    <row r="14" spans="1:4" x14ac:dyDescent="0.3">
      <c r="A14" s="357" t="s">
        <v>255</v>
      </c>
      <c r="B14" s="358"/>
      <c r="C14" s="358"/>
      <c r="D14" s="359"/>
    </row>
    <row r="15" spans="1:4" x14ac:dyDescent="0.3">
      <c r="A15" s="360" t="s">
        <v>256</v>
      </c>
      <c r="B15" s="361">
        <v>0.50929999999999997</v>
      </c>
      <c r="C15" s="361">
        <f>D15/B15</f>
        <v>5.1639505203220103E-2</v>
      </c>
      <c r="D15" s="362">
        <v>2.6299999999999997E-2</v>
      </c>
    </row>
    <row r="16" spans="1:4" x14ac:dyDescent="0.3">
      <c r="A16" s="360" t="s">
        <v>257</v>
      </c>
      <c r="B16" s="361">
        <v>0.49070000000000003</v>
      </c>
      <c r="C16" s="361">
        <v>9.4E-2</v>
      </c>
      <c r="D16" s="362">
        <f>ROUND(B16*C16,4)</f>
        <v>4.6100000000000002E-2</v>
      </c>
    </row>
    <row r="17" spans="1:6" x14ac:dyDescent="0.3">
      <c r="A17" s="360" t="s">
        <v>258</v>
      </c>
      <c r="B17" s="363">
        <f>SUM(B15:B16)</f>
        <v>1</v>
      </c>
      <c r="C17" s="358"/>
      <c r="D17" s="364">
        <f>SUM(D15:D16)</f>
        <v>7.2399999999999992E-2</v>
      </c>
    </row>
    <row r="18" spans="1:6" x14ac:dyDescent="0.3">
      <c r="A18" s="360"/>
      <c r="B18" s="336"/>
      <c r="C18" s="336"/>
      <c r="D18" s="365"/>
    </row>
    <row r="19" spans="1:6" x14ac:dyDescent="0.3">
      <c r="A19" s="360" t="s">
        <v>259</v>
      </c>
      <c r="B19" s="366">
        <f>+B15</f>
        <v>0.50929999999999997</v>
      </c>
      <c r="C19" s="361">
        <f>C15*0.79</f>
        <v>4.0795209110543885E-2</v>
      </c>
      <c r="D19" s="362">
        <f>ROUND(D15*0.79,4)</f>
        <v>2.0799999999999999E-2</v>
      </c>
    </row>
    <row r="20" spans="1:6" x14ac:dyDescent="0.3">
      <c r="A20" s="360" t="s">
        <v>257</v>
      </c>
      <c r="B20" s="361">
        <f>+B16</f>
        <v>0.49070000000000003</v>
      </c>
      <c r="C20" s="361">
        <f>+C16</f>
        <v>9.4E-2</v>
      </c>
      <c r="D20" s="362">
        <f>ROUND(B20*C20,4)</f>
        <v>4.6100000000000002E-2</v>
      </c>
    </row>
    <row r="21" spans="1:6" x14ac:dyDescent="0.3">
      <c r="A21" s="367" t="s">
        <v>260</v>
      </c>
      <c r="B21" s="368">
        <f>SUM(B19:B20)</f>
        <v>1</v>
      </c>
      <c r="C21" s="369"/>
      <c r="D21" s="370">
        <f>SUM(D19:D20)</f>
        <v>6.6900000000000001E-2</v>
      </c>
    </row>
    <row r="22" spans="1:6" ht="15" thickBot="1" x14ac:dyDescent="0.35">
      <c r="A22" s="371" t="s">
        <v>261</v>
      </c>
      <c r="B22" s="336"/>
      <c r="C22" s="336"/>
      <c r="D22" s="336"/>
    </row>
    <row r="23" spans="1:6" x14ac:dyDescent="0.3">
      <c r="A23" s="372">
        <v>2025</v>
      </c>
      <c r="B23" s="373"/>
      <c r="C23" s="373"/>
      <c r="D23" s="374"/>
    </row>
    <row r="24" spans="1:6" x14ac:dyDescent="0.3">
      <c r="A24" s="375" t="s">
        <v>256</v>
      </c>
      <c r="B24" s="361">
        <v>0.51</v>
      </c>
      <c r="C24" s="361">
        <v>5.3400000000000003E-2</v>
      </c>
      <c r="D24" s="376">
        <f>ROUND(B24*C24,4)</f>
        <v>2.7199999999999998E-2</v>
      </c>
    </row>
    <row r="25" spans="1:6" x14ac:dyDescent="0.3">
      <c r="A25" s="375" t="s">
        <v>257</v>
      </c>
      <c r="B25" s="361">
        <v>0.49</v>
      </c>
      <c r="C25" s="361">
        <v>9.8000000000000004E-2</v>
      </c>
      <c r="D25" s="376">
        <f>ROUND(B25*C25,4)</f>
        <v>4.8000000000000001E-2</v>
      </c>
    </row>
    <row r="26" spans="1:6" x14ac:dyDescent="0.3">
      <c r="A26" s="375" t="s">
        <v>258</v>
      </c>
      <c r="B26" s="377">
        <f>SUM(B24:B25)</f>
        <v>1</v>
      </c>
      <c r="C26" s="358"/>
      <c r="D26" s="378">
        <f>SUM(D24:D25)</f>
        <v>7.5200000000000003E-2</v>
      </c>
      <c r="F26" s="7"/>
    </row>
    <row r="27" spans="1:6" x14ac:dyDescent="0.3">
      <c r="A27" s="375"/>
      <c r="B27" s="336"/>
      <c r="C27" s="336"/>
      <c r="D27" s="379"/>
    </row>
    <row r="28" spans="1:6" x14ac:dyDescent="0.3">
      <c r="A28" s="375" t="s">
        <v>259</v>
      </c>
      <c r="B28" s="361">
        <f>+B24</f>
        <v>0.51</v>
      </c>
      <c r="C28" s="361">
        <f>C24*0.79</f>
        <v>4.2186000000000001E-2</v>
      </c>
      <c r="D28" s="376">
        <f>ROUND(D24*0.79,4)</f>
        <v>2.1499999999999998E-2</v>
      </c>
    </row>
    <row r="29" spans="1:6" x14ac:dyDescent="0.3">
      <c r="A29" s="375" t="s">
        <v>257</v>
      </c>
      <c r="B29" s="361">
        <f>+B25</f>
        <v>0.49</v>
      </c>
      <c r="C29" s="361">
        <f>+C25</f>
        <v>9.8000000000000004E-2</v>
      </c>
      <c r="D29" s="376">
        <f>ROUND(B29*C29,4)</f>
        <v>4.8000000000000001E-2</v>
      </c>
    </row>
    <row r="30" spans="1:6" ht="15" thickBot="1" x14ac:dyDescent="0.35">
      <c r="A30" s="380" t="s">
        <v>260</v>
      </c>
      <c r="B30" s="381">
        <f>SUM(B28:B29)</f>
        <v>1</v>
      </c>
      <c r="C30" s="382"/>
      <c r="D30" s="383">
        <f>SUM(D28:D29)</f>
        <v>6.9500000000000006E-2</v>
      </c>
    </row>
    <row r="31" spans="1:6" ht="15" thickBot="1" x14ac:dyDescent="0.35">
      <c r="A31" s="371" t="s">
        <v>261</v>
      </c>
      <c r="B31" s="336"/>
      <c r="C31" s="336"/>
      <c r="D31" s="336"/>
    </row>
    <row r="32" spans="1:6" x14ac:dyDescent="0.3">
      <c r="A32" s="372">
        <v>2026</v>
      </c>
      <c r="B32" s="373"/>
      <c r="C32" s="373"/>
      <c r="D32" s="374"/>
    </row>
    <row r="33" spans="1:4" x14ac:dyDescent="0.3">
      <c r="A33" s="375" t="s">
        <v>256</v>
      </c>
      <c r="B33" s="361">
        <v>0.5</v>
      </c>
      <c r="C33" s="361">
        <v>5.3699999999999998E-2</v>
      </c>
      <c r="D33" s="376">
        <f>ROUND(B33*C33,4)</f>
        <v>2.69E-2</v>
      </c>
    </row>
    <row r="34" spans="1:4" x14ac:dyDescent="0.3">
      <c r="A34" s="375" t="s">
        <v>257</v>
      </c>
      <c r="B34" s="361">
        <v>0.5</v>
      </c>
      <c r="C34" s="361">
        <v>9.9000000000000005E-2</v>
      </c>
      <c r="D34" s="376">
        <f>ROUND(B34*C34,4)</f>
        <v>4.9500000000000002E-2</v>
      </c>
    </row>
    <row r="35" spans="1:4" x14ac:dyDescent="0.3">
      <c r="A35" s="375" t="s">
        <v>258</v>
      </c>
      <c r="B35" s="384">
        <f>SUM(B33:B34)</f>
        <v>1</v>
      </c>
      <c r="C35" s="358"/>
      <c r="D35" s="378">
        <f>SUM(D33:D34)</f>
        <v>7.6399999999999996E-2</v>
      </c>
    </row>
    <row r="36" spans="1:4" x14ac:dyDescent="0.3">
      <c r="A36" s="375"/>
      <c r="B36" s="336"/>
      <c r="C36" s="336"/>
      <c r="D36" s="379"/>
    </row>
    <row r="37" spans="1:4" x14ac:dyDescent="0.3">
      <c r="A37" s="375" t="s">
        <v>259</v>
      </c>
      <c r="B37" s="361">
        <f>+B33</f>
        <v>0.5</v>
      </c>
      <c r="C37" s="361">
        <f>C33*0.79</f>
        <v>4.2423000000000002E-2</v>
      </c>
      <c r="D37" s="376">
        <f>ROUND(D33*0.79,4)</f>
        <v>2.1299999999999999E-2</v>
      </c>
    </row>
    <row r="38" spans="1:4" x14ac:dyDescent="0.3">
      <c r="A38" s="375" t="s">
        <v>257</v>
      </c>
      <c r="B38" s="361">
        <f>+B34</f>
        <v>0.5</v>
      </c>
      <c r="C38" s="361">
        <f>+C34</f>
        <v>9.9000000000000005E-2</v>
      </c>
      <c r="D38" s="376">
        <f>ROUND(B38*C38,4)</f>
        <v>4.9500000000000002E-2</v>
      </c>
    </row>
    <row r="39" spans="1:4" ht="15" thickBot="1" x14ac:dyDescent="0.35">
      <c r="A39" s="380" t="s">
        <v>260</v>
      </c>
      <c r="B39" s="381">
        <f>SUM(B37:B38)</f>
        <v>1</v>
      </c>
      <c r="C39" s="382"/>
      <c r="D39" s="383">
        <f>SUM(D37:D38)</f>
        <v>7.0800000000000002E-2</v>
      </c>
    </row>
    <row r="44" spans="1:4" x14ac:dyDescent="0.3">
      <c r="A44" t="s">
        <v>264</v>
      </c>
      <c r="D44" s="7">
        <f>D26/12*2</f>
        <v>1.2533333333333334E-2</v>
      </c>
    </row>
    <row r="45" spans="1:4" x14ac:dyDescent="0.3">
      <c r="A45" t="s">
        <v>303</v>
      </c>
      <c r="D45" s="7">
        <f>D35/12*10</f>
        <v>6.3666666666666663E-2</v>
      </c>
    </row>
    <row r="46" spans="1:4" x14ac:dyDescent="0.3">
      <c r="A46" t="s">
        <v>263</v>
      </c>
      <c r="D46" s="8">
        <f>SUM(D44:D45)</f>
        <v>7.619999999999999E-2</v>
      </c>
    </row>
    <row r="49" spans="1:4" x14ac:dyDescent="0.3">
      <c r="A49" t="s">
        <v>265</v>
      </c>
      <c r="D49" s="7">
        <f>D24/12*2</f>
        <v>4.5333333333333328E-3</v>
      </c>
    </row>
    <row r="50" spans="1:4" x14ac:dyDescent="0.3">
      <c r="A50" t="s">
        <v>304</v>
      </c>
      <c r="D50" s="7">
        <f>D33/12*10</f>
        <v>2.2416666666666665E-2</v>
      </c>
    </row>
    <row r="51" spans="1:4" x14ac:dyDescent="0.3">
      <c r="A51" t="s">
        <v>266</v>
      </c>
      <c r="D51" s="8">
        <f>SUM(D49:D50)</f>
        <v>2.6949999999999998E-2</v>
      </c>
    </row>
  </sheetData>
  <phoneticPr fontId="26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>
      <selection activeCell="K45" sqref="K45"/>
    </sheetView>
  </sheetViews>
  <sheetFormatPr defaultRowHeight="14.4" x14ac:dyDescent="0.3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A1:M41"/>
  <sheetViews>
    <sheetView showGridLines="0" zoomScale="130" zoomScaleNormal="130" workbookViewId="0">
      <pane ySplit="5" topLeftCell="A26" activePane="bottomLeft" state="frozen"/>
      <selection pane="bottomLeft" activeCell="C29" sqref="C29"/>
    </sheetView>
  </sheetViews>
  <sheetFormatPr defaultColWidth="8.6640625" defaultRowHeight="15.6" outlineLevelCol="1" x14ac:dyDescent="0.3"/>
  <cols>
    <col min="1" max="1" width="9.33203125" style="178" customWidth="1"/>
    <col min="2" max="2" width="54.88671875" style="178" bestFit="1" customWidth="1"/>
    <col min="3" max="3" width="17.109375" style="178" customWidth="1"/>
    <col min="4" max="4" width="1.5546875" style="178" customWidth="1"/>
    <col min="5" max="5" width="18.88671875" style="178" bestFit="1" customWidth="1"/>
    <col min="6" max="6" width="16.5546875" style="178" customWidth="1" outlineLevel="1"/>
    <col min="7" max="7" width="18.33203125" style="178" customWidth="1" outlineLevel="1"/>
    <col min="8" max="9" width="8.6640625" style="178" customWidth="1" outlineLevel="1"/>
    <col min="10" max="16384" width="8.6640625" style="178"/>
  </cols>
  <sheetData>
    <row r="1" spans="1:11" x14ac:dyDescent="0.3">
      <c r="A1" s="131" t="s">
        <v>135</v>
      </c>
    </row>
    <row r="2" spans="1:11" x14ac:dyDescent="0.3">
      <c r="A2" s="131" t="s">
        <v>180</v>
      </c>
      <c r="E2" s="28"/>
      <c r="F2" s="28"/>
      <c r="G2" s="28"/>
      <c r="H2" s="28"/>
      <c r="I2" s="28"/>
      <c r="J2" s="28"/>
      <c r="K2" s="28"/>
    </row>
    <row r="4" spans="1:11" x14ac:dyDescent="0.3">
      <c r="C4" s="218" t="s">
        <v>187</v>
      </c>
      <c r="D4" s="179"/>
      <c r="F4" s="179" t="s">
        <v>189</v>
      </c>
    </row>
    <row r="5" spans="1:11" x14ac:dyDescent="0.3">
      <c r="A5" s="180" t="s">
        <v>143</v>
      </c>
      <c r="B5" s="180" t="s">
        <v>15</v>
      </c>
      <c r="C5" s="218" t="s">
        <v>188</v>
      </c>
      <c r="D5" s="180"/>
      <c r="F5" s="180" t="s">
        <v>138</v>
      </c>
      <c r="G5" s="178" t="s">
        <v>196</v>
      </c>
    </row>
    <row r="6" spans="1:11" x14ac:dyDescent="0.3">
      <c r="B6" s="181" t="s">
        <v>132</v>
      </c>
    </row>
    <row r="7" spans="1:11" x14ac:dyDescent="0.3">
      <c r="A7" s="182">
        <f>ROW()</f>
        <v>7</v>
      </c>
      <c r="B7" s="183" t="s">
        <v>80</v>
      </c>
      <c r="C7" s="184">
        <f>'Plant Additions'!C50</f>
        <v>242655485.57000002</v>
      </c>
      <c r="D7" s="184"/>
      <c r="E7" s="185"/>
      <c r="F7" s="186">
        <v>243198713.57000002</v>
      </c>
      <c r="G7" s="227">
        <f>C7-F7</f>
        <v>-543228</v>
      </c>
    </row>
    <row r="8" spans="1:11" x14ac:dyDescent="0.3">
      <c r="A8" s="182">
        <f>ROW()</f>
        <v>8</v>
      </c>
      <c r="B8" s="183" t="s">
        <v>81</v>
      </c>
      <c r="C8" s="187">
        <f>'Plant Additions'!C51</f>
        <v>-13891779.76105734</v>
      </c>
      <c r="D8" s="187"/>
      <c r="E8" s="185"/>
      <c r="F8" s="186">
        <v>-13922882.476620706</v>
      </c>
      <c r="G8" s="227">
        <f t="shared" ref="G8:G26" si="0">C8-F8</f>
        <v>31102.71556336619</v>
      </c>
    </row>
    <row r="9" spans="1:11" x14ac:dyDescent="0.3">
      <c r="A9" s="182">
        <f>ROW()</f>
        <v>9</v>
      </c>
      <c r="B9" s="183" t="s">
        <v>200</v>
      </c>
      <c r="C9" s="187">
        <f>'Plant Additions'!C52</f>
        <v>-3769688.9179613441</v>
      </c>
      <c r="D9" s="187"/>
      <c r="E9" s="185"/>
      <c r="F9" s="186">
        <v>-3877235.2276930367</v>
      </c>
      <c r="G9" s="227">
        <f t="shared" si="0"/>
        <v>107546.30973169254</v>
      </c>
    </row>
    <row r="10" spans="1:11" x14ac:dyDescent="0.3">
      <c r="A10" s="182">
        <f>ROW()</f>
        <v>10</v>
      </c>
      <c r="B10" s="183" t="s">
        <v>131</v>
      </c>
      <c r="C10" s="133">
        <f>SUM(C7:C9)</f>
        <v>224994016.89098132</v>
      </c>
      <c r="D10" s="203"/>
      <c r="E10" s="185"/>
      <c r="F10" s="186">
        <v>225398595.86568627</v>
      </c>
      <c r="G10" s="227">
        <f t="shared" si="0"/>
        <v>-404578.97470495105</v>
      </c>
    </row>
    <row r="11" spans="1:11" x14ac:dyDescent="0.3">
      <c r="A11" s="182"/>
      <c r="C11" s="133"/>
      <c r="D11" s="203"/>
      <c r="E11" s="185"/>
      <c r="F11" s="186"/>
      <c r="G11" s="227"/>
    </row>
    <row r="12" spans="1:11" x14ac:dyDescent="0.3">
      <c r="A12" s="182"/>
      <c r="B12" s="181" t="s">
        <v>133</v>
      </c>
      <c r="C12" s="187"/>
      <c r="D12" s="187"/>
      <c r="E12" s="185"/>
      <c r="F12" s="186"/>
      <c r="G12" s="227"/>
    </row>
    <row r="13" spans="1:11" x14ac:dyDescent="0.3">
      <c r="A13" s="182">
        <f>ROW()</f>
        <v>13</v>
      </c>
      <c r="B13" s="183" t="s">
        <v>175</v>
      </c>
      <c r="C13" s="200">
        <f>'LNG Depreciation Deferral'!E59</f>
        <v>10746030.725830838</v>
      </c>
      <c r="D13" s="200"/>
      <c r="E13" s="185"/>
      <c r="F13" s="186">
        <v>10770091.317115707</v>
      </c>
      <c r="G13" s="227">
        <f t="shared" si="0"/>
        <v>-24060.591284869239</v>
      </c>
    </row>
    <row r="14" spans="1:11" x14ac:dyDescent="0.3">
      <c r="A14" s="182">
        <f>ROW()</f>
        <v>14</v>
      </c>
      <c r="B14" s="183" t="s">
        <v>176</v>
      </c>
      <c r="C14" s="212">
        <f>'LNG O&amp;M Deferral'!E59</f>
        <v>8879093.6488682032</v>
      </c>
      <c r="D14" s="201"/>
      <c r="E14" s="185"/>
      <c r="F14" s="186">
        <v>8879093.6488682032</v>
      </c>
      <c r="G14" s="227">
        <f t="shared" si="0"/>
        <v>0</v>
      </c>
    </row>
    <row r="15" spans="1:11" x14ac:dyDescent="0.3">
      <c r="A15" s="182">
        <f>ROW()</f>
        <v>15</v>
      </c>
      <c r="B15" s="183" t="s">
        <v>149</v>
      </c>
      <c r="C15" s="212">
        <f>'LNG Depreciation Deferral'!$H$59</f>
        <v>-1343253.8407288545</v>
      </c>
      <c r="D15" s="201"/>
      <c r="E15" s="185"/>
      <c r="F15" s="186">
        <v>-1346261.4146394632</v>
      </c>
      <c r="G15" s="227">
        <f t="shared" si="0"/>
        <v>3007.5739106086548</v>
      </c>
    </row>
    <row r="16" spans="1:11" x14ac:dyDescent="0.3">
      <c r="A16" s="182">
        <f>ROW()</f>
        <v>16</v>
      </c>
      <c r="B16" s="183" t="s">
        <v>150</v>
      </c>
      <c r="C16" s="212">
        <f>'LNG O&amp;M Deferral'!H59</f>
        <v>-1109886.7061085256</v>
      </c>
      <c r="D16" s="201"/>
      <c r="E16" s="185"/>
      <c r="F16" s="186">
        <v>-1109886.7061085256</v>
      </c>
      <c r="G16" s="227">
        <f t="shared" si="0"/>
        <v>0</v>
      </c>
    </row>
    <row r="17" spans="1:13" x14ac:dyDescent="0.3">
      <c r="A17" s="182">
        <f>ROW()</f>
        <v>17</v>
      </c>
      <c r="B17" s="183" t="s">
        <v>151</v>
      </c>
      <c r="C17" s="212">
        <f>'LNG Depreciation Deferral'!L59</f>
        <v>-1974583.1458714167</v>
      </c>
      <c r="D17" s="201"/>
      <c r="E17" s="185"/>
      <c r="F17" s="186">
        <v>-1979004.2795200106</v>
      </c>
      <c r="G17" s="227">
        <f t="shared" si="0"/>
        <v>4421.13364859391</v>
      </c>
    </row>
    <row r="18" spans="1:13" x14ac:dyDescent="0.3">
      <c r="A18" s="182">
        <f>ROW()</f>
        <v>18</v>
      </c>
      <c r="B18" s="183" t="s">
        <v>152</v>
      </c>
      <c r="C18" s="212">
        <f>'LNG O&amp;M Deferral'!$L$59</f>
        <v>-1631533.4579795317</v>
      </c>
      <c r="D18" s="201"/>
      <c r="E18" s="185"/>
      <c r="F18" s="186">
        <v>-1631533.4579795317</v>
      </c>
      <c r="G18" s="227">
        <f t="shared" si="0"/>
        <v>0</v>
      </c>
    </row>
    <row r="19" spans="1:13" x14ac:dyDescent="0.3">
      <c r="A19" s="182">
        <f>ROW()</f>
        <v>19</v>
      </c>
      <c r="B19" s="183" t="s">
        <v>38</v>
      </c>
      <c r="C19" s="202">
        <f>SUM(C13:C18)</f>
        <v>13565867.224010715</v>
      </c>
      <c r="D19" s="204"/>
      <c r="E19" s="185"/>
      <c r="F19" s="186">
        <v>13582499.107736383</v>
      </c>
      <c r="G19" s="227">
        <f t="shared" si="0"/>
        <v>-16631.883725667372</v>
      </c>
    </row>
    <row r="20" spans="1:13" x14ac:dyDescent="0.3">
      <c r="A20" s="182"/>
      <c r="C20" s="133"/>
      <c r="D20" s="203"/>
      <c r="E20" s="185"/>
      <c r="F20" s="186"/>
      <c r="G20" s="227"/>
    </row>
    <row r="21" spans="1:13" x14ac:dyDescent="0.3">
      <c r="A21" s="182">
        <f>ROW()</f>
        <v>21</v>
      </c>
      <c r="B21" s="188" t="s">
        <v>39</v>
      </c>
      <c r="C21" s="132">
        <f>C10+C19</f>
        <v>238559884.11499202</v>
      </c>
      <c r="D21" s="132"/>
      <c r="E21" s="185"/>
      <c r="F21" s="186">
        <v>238981094.97342265</v>
      </c>
      <c r="G21" s="227">
        <f t="shared" si="0"/>
        <v>-421210.85843062401</v>
      </c>
    </row>
    <row r="22" spans="1:13" x14ac:dyDescent="0.3">
      <c r="A22" s="182"/>
      <c r="C22" s="132"/>
      <c r="D22" s="132"/>
      <c r="E22" s="185"/>
      <c r="F22" s="186"/>
      <c r="G22" s="227">
        <f t="shared" si="0"/>
        <v>0</v>
      </c>
    </row>
    <row r="23" spans="1:13" x14ac:dyDescent="0.3">
      <c r="A23" s="182">
        <f>ROW()</f>
        <v>23</v>
      </c>
      <c r="B23" s="178" t="s">
        <v>139</v>
      </c>
      <c r="C23" s="189">
        <f>ROUND(ROR!E6,4)</f>
        <v>7.1599999999999997E-2</v>
      </c>
      <c r="D23" s="189"/>
      <c r="E23" s="185"/>
      <c r="F23" s="230">
        <v>7.1599999999999997E-2</v>
      </c>
      <c r="G23" s="232">
        <f t="shared" si="0"/>
        <v>0</v>
      </c>
    </row>
    <row r="24" spans="1:13" x14ac:dyDescent="0.3">
      <c r="A24" s="182">
        <f>ROW()</f>
        <v>24</v>
      </c>
      <c r="B24" s="178" t="s">
        <v>140</v>
      </c>
      <c r="C24" s="189">
        <f>ROR!E4</f>
        <v>2.5500000000000002E-2</v>
      </c>
      <c r="D24" s="189"/>
      <c r="E24" s="185"/>
      <c r="F24" s="230">
        <v>2.5500000000000002E-2</v>
      </c>
      <c r="G24" s="232">
        <f t="shared" si="0"/>
        <v>0</v>
      </c>
    </row>
    <row r="25" spans="1:13" x14ac:dyDescent="0.3">
      <c r="A25" s="182">
        <f>ROW()</f>
        <v>25</v>
      </c>
      <c r="B25" s="178" t="s">
        <v>141</v>
      </c>
      <c r="C25" s="190">
        <v>0.21</v>
      </c>
      <c r="D25" s="190"/>
      <c r="E25" s="185"/>
      <c r="F25" s="231">
        <v>0.21</v>
      </c>
      <c r="G25" s="232">
        <f t="shared" si="0"/>
        <v>0</v>
      </c>
    </row>
    <row r="26" spans="1:13" x14ac:dyDescent="0.3">
      <c r="A26" s="182">
        <f>ROW()</f>
        <v>26</v>
      </c>
      <c r="B26" s="178" t="s">
        <v>174</v>
      </c>
      <c r="C26" s="191">
        <f>C21*C23</f>
        <v>17080887.702633429</v>
      </c>
      <c r="D26" s="132"/>
      <c r="E26" s="185"/>
      <c r="F26" s="186">
        <v>17111046.400097061</v>
      </c>
      <c r="G26" s="227">
        <f t="shared" si="0"/>
        <v>-30158.69746363163</v>
      </c>
    </row>
    <row r="27" spans="1:13" x14ac:dyDescent="0.3">
      <c r="A27" s="182"/>
      <c r="C27" s="132"/>
      <c r="D27" s="132"/>
      <c r="E27" s="185"/>
      <c r="F27" s="186"/>
      <c r="G27" s="227"/>
    </row>
    <row r="28" spans="1:13" x14ac:dyDescent="0.3">
      <c r="A28" s="182"/>
      <c r="B28" s="131" t="s">
        <v>142</v>
      </c>
      <c r="C28" s="132"/>
      <c r="D28" s="132"/>
      <c r="E28" s="185"/>
      <c r="F28" s="186"/>
      <c r="G28" s="227"/>
    </row>
    <row r="29" spans="1:13" x14ac:dyDescent="0.3">
      <c r="A29" s="182">
        <f>ROW()</f>
        <v>29</v>
      </c>
      <c r="B29" s="183" t="s">
        <v>16</v>
      </c>
      <c r="C29" s="184">
        <f>'O&amp;M'!U27</f>
        <v>-4244174.6789823789</v>
      </c>
      <c r="D29" s="184"/>
      <c r="E29" s="185"/>
      <c r="F29" s="186">
        <v>-4244174.6789823789</v>
      </c>
      <c r="G29" s="227">
        <f>C29-F29</f>
        <v>0</v>
      </c>
    </row>
    <row r="30" spans="1:13" x14ac:dyDescent="0.3">
      <c r="A30" s="182">
        <f>ROW()</f>
        <v>30</v>
      </c>
      <c r="B30" s="183" t="s">
        <v>17</v>
      </c>
      <c r="C30" s="213">
        <f>-SUM('Plant Additions'!F33:F44)*0.79</f>
        <v>-4970283.4756578729</v>
      </c>
      <c r="D30" s="184"/>
      <c r="E30" s="185"/>
      <c r="F30" s="186">
        <v>-4981410.0320178997</v>
      </c>
      <c r="G30" s="227">
        <f>C30-F30</f>
        <v>11126.556360026821</v>
      </c>
      <c r="M30" s="178">
        <f>6384000*0.79</f>
        <v>5043360</v>
      </c>
    </row>
    <row r="31" spans="1:13" x14ac:dyDescent="0.3">
      <c r="A31" s="182">
        <f>ROW()</f>
        <v>31</v>
      </c>
      <c r="B31" s="183" t="s">
        <v>136</v>
      </c>
      <c r="C31" s="213">
        <f>'Total Deferrals'!D10</f>
        <v>-7091842.8389447341</v>
      </c>
      <c r="D31" s="184"/>
      <c r="E31" s="185"/>
      <c r="F31" s="186">
        <v>-10823500.59966886</v>
      </c>
      <c r="G31" s="227">
        <f>C31-F31</f>
        <v>3731657.7607241264</v>
      </c>
    </row>
    <row r="32" spans="1:13" ht="15.9" customHeight="1" x14ac:dyDescent="0.3">
      <c r="A32" s="182">
        <f>ROW()</f>
        <v>32</v>
      </c>
      <c r="B32" s="183" t="s">
        <v>179</v>
      </c>
      <c r="C32" s="213">
        <f>C21*C24*C25</f>
        <v>1277488.1794357824</v>
      </c>
      <c r="D32" s="184"/>
      <c r="E32" s="185"/>
      <c r="F32" s="186">
        <v>1279743.7635826783</v>
      </c>
      <c r="G32" s="227">
        <f>C32-F32</f>
        <v>-2255.5841468959115</v>
      </c>
    </row>
    <row r="33" spans="1:7" x14ac:dyDescent="0.3">
      <c r="A33" s="182">
        <f>ROW()</f>
        <v>33</v>
      </c>
      <c r="B33" s="192" t="s">
        <v>40</v>
      </c>
      <c r="C33" s="191">
        <f>C26-SUM(C29:C32)</f>
        <v>32109700.516782634</v>
      </c>
      <c r="D33" s="132"/>
      <c r="E33" s="185"/>
      <c r="F33" s="186">
        <v>35880387.94718352</v>
      </c>
      <c r="G33" s="227">
        <f>C33-F33</f>
        <v>-3770687.4304008856</v>
      </c>
    </row>
    <row r="34" spans="1:7" x14ac:dyDescent="0.3">
      <c r="A34" s="182"/>
      <c r="B34" s="192"/>
      <c r="C34" s="132"/>
      <c r="D34" s="132"/>
      <c r="E34" s="185"/>
      <c r="F34" s="186"/>
      <c r="G34" s="227"/>
    </row>
    <row r="35" spans="1:7" x14ac:dyDescent="0.3">
      <c r="A35" s="182">
        <f>ROW()</f>
        <v>35</v>
      </c>
      <c r="B35" s="183" t="s">
        <v>18</v>
      </c>
      <c r="C35" s="193">
        <f>'Gas Conv Factor'!F24</f>
        <v>0.75243099999999996</v>
      </c>
      <c r="D35" s="193"/>
      <c r="F35" s="228">
        <v>0.75322100000000003</v>
      </c>
      <c r="G35" s="193">
        <f>C35-F35</f>
        <v>-7.9000000000006843E-4</v>
      </c>
    </row>
    <row r="36" spans="1:7" ht="16.2" thickBot="1" x14ac:dyDescent="0.35">
      <c r="A36" s="182">
        <f>ROW()</f>
        <v>36</v>
      </c>
      <c r="B36" s="183" t="s">
        <v>42</v>
      </c>
      <c r="C36" s="194">
        <f>C33/C35</f>
        <v>42674611.38201727</v>
      </c>
      <c r="D36" s="132"/>
      <c r="F36" s="186">
        <v>47635936.793030888</v>
      </c>
      <c r="G36" s="227">
        <f>C36-F36</f>
        <v>-4961325.4110136181</v>
      </c>
    </row>
    <row r="37" spans="1:7" ht="16.2" thickTop="1" x14ac:dyDescent="0.3">
      <c r="A37" s="182"/>
      <c r="B37" s="183"/>
      <c r="C37" s="195"/>
      <c r="D37" s="195"/>
      <c r="E37" s="185"/>
      <c r="F37" s="186"/>
    </row>
    <row r="38" spans="1:7" x14ac:dyDescent="0.3">
      <c r="A38" s="182"/>
      <c r="C38" s="196"/>
      <c r="D38" s="196"/>
    </row>
    <row r="39" spans="1:7" x14ac:dyDescent="0.3">
      <c r="A39" s="182"/>
    </row>
    <row r="40" spans="1:7" x14ac:dyDescent="0.3">
      <c r="C40" s="319">
        <f>C36/12</f>
        <v>3556217.6151681058</v>
      </c>
    </row>
    <row r="41" spans="1:7" x14ac:dyDescent="0.3">
      <c r="C41" s="319">
        <f>C40*16</f>
        <v>56899481.842689693</v>
      </c>
    </row>
  </sheetData>
  <printOptions horizontalCentered="1"/>
  <pageMargins left="0.7" right="0.7" top="0.75" bottom="0.75" header="0.3" footer="0.3"/>
  <pageSetup orientation="portrait" r:id="rId1"/>
  <headerFooter>
    <oddFooter>&amp;R&amp;"Times New Roman,Regular"&amp;10Exh. SEF-3 page 1 of 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V52"/>
  <sheetViews>
    <sheetView zoomScale="80" zoomScaleNormal="80" workbookViewId="0">
      <pane xSplit="2" topLeftCell="D1" activePane="topRight" state="frozen"/>
      <selection pane="topRight" activeCell="Y48" sqref="Y48"/>
    </sheetView>
  </sheetViews>
  <sheetFormatPr defaultRowHeight="14.4" outlineLevelRow="1" outlineLevelCol="1" x14ac:dyDescent="0.3"/>
  <cols>
    <col min="1" max="1" width="15" customWidth="1"/>
    <col min="2" max="2" width="38.44140625" bestFit="1" customWidth="1"/>
    <col min="3" max="3" width="41.33203125" hidden="1" customWidth="1" outlineLevel="1"/>
    <col min="4" max="4" width="14" style="255" bestFit="1" customWidth="1" collapsed="1"/>
    <col min="5" max="18" width="14" style="255" bestFit="1" customWidth="1"/>
    <col min="19" max="20" width="16" hidden="1" customWidth="1"/>
    <col min="21" max="21" width="18.6640625" hidden="1" customWidth="1"/>
    <col min="22" max="22" width="18.44140625" hidden="1" customWidth="1"/>
  </cols>
  <sheetData>
    <row r="1" spans="1:22" x14ac:dyDescent="0.3">
      <c r="D1" s="397"/>
      <c r="L1" s="397"/>
    </row>
    <row r="2" spans="1:22" x14ac:dyDescent="0.3">
      <c r="D2" s="398">
        <v>45443</v>
      </c>
      <c r="E2" s="398">
        <v>45473</v>
      </c>
      <c r="F2" s="398">
        <v>45504</v>
      </c>
      <c r="G2" s="398">
        <v>45535</v>
      </c>
      <c r="H2" s="398">
        <v>45565</v>
      </c>
      <c r="I2" s="398">
        <v>45596</v>
      </c>
      <c r="J2" s="398">
        <v>45626</v>
      </c>
      <c r="K2" s="398">
        <v>45657</v>
      </c>
      <c r="L2" s="398">
        <v>45688</v>
      </c>
      <c r="M2" s="398">
        <v>45716</v>
      </c>
      <c r="N2" s="398">
        <v>45747</v>
      </c>
      <c r="O2" s="398">
        <v>45777</v>
      </c>
      <c r="P2" s="398">
        <v>45808</v>
      </c>
      <c r="Q2" s="398">
        <v>45838</v>
      </c>
      <c r="R2" s="398">
        <v>45869</v>
      </c>
      <c r="S2" s="250">
        <v>45900</v>
      </c>
      <c r="T2" s="250">
        <v>45930</v>
      </c>
      <c r="U2" s="250">
        <v>45961</v>
      </c>
      <c r="V2" s="250">
        <v>45991</v>
      </c>
    </row>
    <row r="3" spans="1:22" x14ac:dyDescent="0.3">
      <c r="A3" s="516" t="s">
        <v>203</v>
      </c>
      <c r="B3" s="251" t="s">
        <v>204</v>
      </c>
      <c r="C3" s="314"/>
      <c r="D3" s="393">
        <v>499482.37</v>
      </c>
      <c r="E3" s="393">
        <v>1768856.92</v>
      </c>
      <c r="F3" s="393">
        <v>1219228.95</v>
      </c>
      <c r="G3" s="394">
        <v>1025027.57</v>
      </c>
      <c r="H3" s="394">
        <v>1183716.8106002801</v>
      </c>
      <c r="I3" s="394">
        <v>1865809.9846351999</v>
      </c>
      <c r="J3" s="394">
        <f>3064349.35126052-1241.52</f>
        <v>3063107.83126052</v>
      </c>
      <c r="K3" s="394">
        <v>5141642.6684989193</v>
      </c>
      <c r="L3" s="393">
        <f>5606394.25*0.952444</f>
        <v>5339776.5650469996</v>
      </c>
      <c r="M3" s="393">
        <v>6307360.3767599994</v>
      </c>
      <c r="N3" s="393">
        <v>4715019.7898386391</v>
      </c>
      <c r="O3" s="394">
        <v>3455651.1013406799</v>
      </c>
      <c r="P3" s="394">
        <v>2312576.5300512798</v>
      </c>
      <c r="Q3" s="394">
        <v>1381238.8605312</v>
      </c>
      <c r="R3" s="394">
        <v>1329873.6413311597</v>
      </c>
      <c r="S3" s="248"/>
      <c r="T3" s="253"/>
      <c r="U3" s="248"/>
      <c r="V3" s="253"/>
    </row>
    <row r="4" spans="1:22" x14ac:dyDescent="0.3">
      <c r="A4" s="517"/>
      <c r="B4" t="s">
        <v>205</v>
      </c>
      <c r="D4" s="395">
        <v>1323031.81</v>
      </c>
      <c r="E4" s="395">
        <v>864520.29</v>
      </c>
      <c r="F4" s="395">
        <v>749355.83</v>
      </c>
      <c r="G4" s="396">
        <v>678442.62423178263</v>
      </c>
      <c r="H4" s="396">
        <v>821064.81606463785</v>
      </c>
      <c r="I4" s="396">
        <v>1528474.0096186802</v>
      </c>
      <c r="J4" s="396">
        <v>2537847.2715003411</v>
      </c>
      <c r="K4" s="396">
        <v>2507350.6525489064</v>
      </c>
      <c r="L4" s="395">
        <v>3336601.3575073411</v>
      </c>
      <c r="M4" s="395">
        <v>2493747.9149665651</v>
      </c>
      <c r="N4" s="395">
        <v>2113537.4593215506</v>
      </c>
      <c r="O4" s="396">
        <v>1812982.2466349942</v>
      </c>
      <c r="P4" s="396">
        <v>1178728.4495905286</v>
      </c>
      <c r="Q4" s="396">
        <v>1057815.2810826818</v>
      </c>
      <c r="R4" s="396">
        <v>727298.07582387154</v>
      </c>
      <c r="S4" s="248"/>
      <c r="T4" s="248"/>
      <c r="U4" s="248"/>
      <c r="V4" s="248"/>
    </row>
    <row r="5" spans="1:22" x14ac:dyDescent="0.3">
      <c r="A5" s="517"/>
      <c r="B5" t="s">
        <v>206</v>
      </c>
      <c r="D5" s="395"/>
      <c r="E5" s="395">
        <f>-D4</f>
        <v>-1323031.81</v>
      </c>
      <c r="F5" s="395">
        <f t="shared" ref="F5:V5" si="0">-E4</f>
        <v>-864520.29</v>
      </c>
      <c r="G5" s="396">
        <f t="shared" si="0"/>
        <v>-749355.83</v>
      </c>
      <c r="H5" s="396">
        <f t="shared" si="0"/>
        <v>-678442.62423178263</v>
      </c>
      <c r="I5" s="396">
        <f t="shared" si="0"/>
        <v>-821064.81606463785</v>
      </c>
      <c r="J5" s="396">
        <f t="shared" si="0"/>
        <v>-1528474.0096186802</v>
      </c>
      <c r="K5" s="396">
        <f t="shared" si="0"/>
        <v>-2537847.2715003411</v>
      </c>
      <c r="L5" s="396">
        <f t="shared" si="0"/>
        <v>-2507350.6525489064</v>
      </c>
      <c r="M5" s="396">
        <f t="shared" si="0"/>
        <v>-3336601.3575073411</v>
      </c>
      <c r="N5" s="396">
        <f t="shared" si="0"/>
        <v>-2493747.9149665651</v>
      </c>
      <c r="O5" s="396">
        <f t="shared" si="0"/>
        <v>-2113537.4593215506</v>
      </c>
      <c r="P5" s="396">
        <f t="shared" si="0"/>
        <v>-1812982.2466349942</v>
      </c>
      <c r="Q5" s="396">
        <f t="shared" si="0"/>
        <v>-1178728.4495905286</v>
      </c>
      <c r="R5" s="396">
        <f t="shared" si="0"/>
        <v>-1057815.2810826818</v>
      </c>
      <c r="S5" s="254">
        <f t="shared" si="0"/>
        <v>-727298.07582387154</v>
      </c>
      <c r="T5" s="254">
        <f t="shared" si="0"/>
        <v>0</v>
      </c>
      <c r="U5" s="254">
        <f t="shared" si="0"/>
        <v>0</v>
      </c>
      <c r="V5" s="254">
        <f t="shared" si="0"/>
        <v>0</v>
      </c>
    </row>
    <row r="6" spans="1:22" x14ac:dyDescent="0.3">
      <c r="A6" s="517"/>
      <c r="B6" s="255" t="s">
        <v>207</v>
      </c>
      <c r="C6" s="255"/>
      <c r="D6" s="399">
        <f>-'Monthly Return Cals'!D24</f>
        <v>-1680337.4201818884</v>
      </c>
      <c r="E6" s="399">
        <f>-'Monthly Return Cals'!E24</f>
        <v>-1669405.4858036898</v>
      </c>
      <c r="F6" s="399">
        <f>-'Monthly Return Cals'!F24</f>
        <v>-1662111.5473728178</v>
      </c>
      <c r="G6" s="399">
        <f>-'Monthly Return Cals'!G24</f>
        <v>-1654744.7602378437</v>
      </c>
      <c r="H6" s="399">
        <f>-'Monthly Return Cals'!H24</f>
        <v>-1647330.3308525679</v>
      </c>
      <c r="I6" s="399">
        <f>-'Monthly Return Cals'!I24</f>
        <v>-1639979.5568566036</v>
      </c>
      <c r="J6" s="399">
        <f>-'Monthly Return Cals'!J24</f>
        <v>-1633210.0486809581</v>
      </c>
      <c r="K6" s="399">
        <f>-'Monthly Return Cals'!K24</f>
        <v>-1625095.1083910977</v>
      </c>
      <c r="L6" s="399">
        <f>-'Monthly Return Cals'!L25-'Monthly Return Cals'!M25</f>
        <v>-1627281.1951502813</v>
      </c>
      <c r="M6" s="399">
        <f>-'Monthly Return Cals'!N24</f>
        <v>-1691260.1402981079</v>
      </c>
      <c r="N6" s="399">
        <f>-'Monthly Return Cals'!O24</f>
        <v>-1683715.9684387464</v>
      </c>
      <c r="O6" s="399">
        <f>-'Monthly Return Cals'!P24</f>
        <v>-1676106.0770118714</v>
      </c>
      <c r="P6" s="399">
        <f>-'Monthly Return Cals'!Q24</f>
        <v>-1668416.4878375523</v>
      </c>
      <c r="Q6" s="399">
        <f>-'Monthly Return Cals'!R24</f>
        <v>-1660703.5262189305</v>
      </c>
      <c r="R6" s="399">
        <f>-'Monthly Return Cals'!S24</f>
        <v>-1652985.6728795527</v>
      </c>
      <c r="S6" s="249"/>
      <c r="T6" s="249"/>
      <c r="U6" s="249"/>
      <c r="V6" s="249"/>
    </row>
    <row r="7" spans="1:22" x14ac:dyDescent="0.3">
      <c r="A7" s="517"/>
      <c r="B7" s="255" t="s">
        <v>208</v>
      </c>
      <c r="C7" s="255"/>
      <c r="D7" s="395">
        <f>-'Actls Depr Deferral'!D26</f>
        <v>-523856.19055983331</v>
      </c>
      <c r="E7" s="395">
        <f>-'Actls Depr Deferral'!E26</f>
        <v>-524052.15055983333</v>
      </c>
      <c r="F7" s="395">
        <f>-'Actls Depr Deferral'!F26</f>
        <v>-523451.29055983329</v>
      </c>
      <c r="G7" s="395">
        <f>-'Actls Depr Deferral'!G26</f>
        <v>-523445.9905598333</v>
      </c>
      <c r="H7" s="395">
        <f>-'Actls Depr Deferral'!H26</f>
        <v>-523429.6005598334</v>
      </c>
      <c r="I7" s="395">
        <f>-'Actls Depr Deferral'!I26</f>
        <v>-523407.14055983332</v>
      </c>
      <c r="J7" s="395">
        <f>-'Actls Depr Deferral'!J26</f>
        <v>-523478.6005598334</v>
      </c>
      <c r="K7" s="395">
        <f>-'Actls Depr Deferral'!K26</f>
        <v>-523551.95055983338</v>
      </c>
      <c r="L7" s="395">
        <f>-'Actls Depr Deferral'!L26</f>
        <v>-523696.34055983328</v>
      </c>
      <c r="M7" s="395">
        <f>-'Actls Depr Deferral'!M26</f>
        <v>-523831.9105598334</v>
      </c>
      <c r="N7" s="395">
        <f>-'Actls Depr Deferral'!N26</f>
        <v>-523819.6605598334</v>
      </c>
      <c r="O7" s="395">
        <f>-'Actls Depr Deferral'!O26</f>
        <v>-523811.21055983339</v>
      </c>
      <c r="P7" s="395">
        <f>-'Actls Depr Deferral'!P26</f>
        <v>-523780.4705598334</v>
      </c>
      <c r="Q7" s="395">
        <f>-'Actls Depr Deferral'!Q26</f>
        <v>-523733.83055983332</v>
      </c>
      <c r="R7" s="395">
        <f>AVERAGE(L7:Q7)</f>
        <v>-523778.90389316675</v>
      </c>
      <c r="S7" s="248"/>
      <c r="T7" s="248"/>
      <c r="U7" s="248"/>
      <c r="V7" s="252"/>
    </row>
    <row r="8" spans="1:22" x14ac:dyDescent="0.3">
      <c r="A8" s="517"/>
      <c r="B8" s="255" t="s">
        <v>209</v>
      </c>
      <c r="C8" s="255"/>
      <c r="D8" s="399">
        <f>-'UpdateLNG Depreciation Deferral'!F54</f>
        <v>-223875.64</v>
      </c>
      <c r="E8" s="399">
        <f>-'UpdateLNG Depreciation Deferral'!F55</f>
        <v>-223875.64</v>
      </c>
      <c r="F8" s="399">
        <f>-'UpdateLNG Depreciation Deferral'!F56</f>
        <v>-223875.64</v>
      </c>
      <c r="G8" s="399">
        <f>-'UpdateLNG Depreciation Deferral'!F57</f>
        <v>-223875.64</v>
      </c>
      <c r="H8" s="399">
        <f>-'UpdateLNG Depreciation Deferral'!F58</f>
        <v>-223875.64</v>
      </c>
      <c r="I8" s="399">
        <f>-'UpdateLNG Depreciation Deferral'!F59</f>
        <v>-223875.64</v>
      </c>
      <c r="J8" s="399">
        <f>-'UpdateLNG Depreciation Deferral'!F60</f>
        <v>-223875.64</v>
      </c>
      <c r="K8" s="399">
        <f>-'UpdateLNG Depreciation Deferral'!F61</f>
        <v>-223875.64</v>
      </c>
      <c r="L8" s="399">
        <f>-'UpdateLNG Depreciation Deferral'!F62</f>
        <v>-223875.64</v>
      </c>
      <c r="M8" s="399">
        <f>-'UpdateLNG Depreciation Deferral'!F63</f>
        <v>-223875.64</v>
      </c>
      <c r="N8" s="399">
        <f>-'UpdateLNG Depreciation Deferral'!F64</f>
        <v>-223875.64</v>
      </c>
      <c r="O8" s="399">
        <f>-'UpdateLNG Depreciation Deferral'!F65</f>
        <v>-223875.64</v>
      </c>
      <c r="P8" s="399">
        <f>-'UpdateLNG Depreciation Deferral'!F66</f>
        <v>-223875.64</v>
      </c>
      <c r="Q8" s="399">
        <f>-'UpdateLNG Depreciation Deferral'!F67</f>
        <v>-223875.64</v>
      </c>
      <c r="R8" s="399">
        <f>-'UpdateLNG Depreciation Deferral'!F68</f>
        <v>-223875.64</v>
      </c>
      <c r="S8" s="249">
        <v>-223875.64</v>
      </c>
      <c r="T8" s="249">
        <v>-223875.64</v>
      </c>
      <c r="U8" s="249">
        <v>-223875.64</v>
      </c>
      <c r="V8" s="249">
        <v>-223875.64</v>
      </c>
    </row>
    <row r="9" spans="1:22" x14ac:dyDescent="0.3">
      <c r="A9" s="517"/>
      <c r="B9" s="255" t="s">
        <v>210</v>
      </c>
      <c r="C9" s="255"/>
      <c r="D9" s="399">
        <f>-'Updated LNG O&amp;M Deferral'!F54</f>
        <v>-184981.12</v>
      </c>
      <c r="E9" s="399">
        <f>-'Updated LNG O&amp;M Deferral'!F55</f>
        <v>-184981.12</v>
      </c>
      <c r="F9" s="399">
        <f>-'Updated LNG O&amp;M Deferral'!F56</f>
        <v>-184981.12</v>
      </c>
      <c r="G9" s="399">
        <f>-'Updated LNG O&amp;M Deferral'!F57</f>
        <v>-184981.12</v>
      </c>
      <c r="H9" s="399">
        <f>-'Updated LNG O&amp;M Deferral'!F58</f>
        <v>-184981.12</v>
      </c>
      <c r="I9" s="399">
        <f>-'Updated LNG O&amp;M Deferral'!F59</f>
        <v>-184981.12</v>
      </c>
      <c r="J9" s="399">
        <f>-'Updated LNG O&amp;M Deferral'!F60</f>
        <v>-184981.12</v>
      </c>
      <c r="K9" s="399">
        <f>-'Updated LNG O&amp;M Deferral'!F61</f>
        <v>-184981.12</v>
      </c>
      <c r="L9" s="399">
        <f>-'Updated LNG O&amp;M Deferral'!F62</f>
        <v>-184981.12</v>
      </c>
      <c r="M9" s="399">
        <f>-'Updated LNG O&amp;M Deferral'!F63</f>
        <v>-184981.12</v>
      </c>
      <c r="N9" s="399">
        <f>-'Updated LNG O&amp;M Deferral'!F64</f>
        <v>-184981.12</v>
      </c>
      <c r="O9" s="399">
        <f>-'Updated LNG O&amp;M Deferral'!F65</f>
        <v>-184981.12</v>
      </c>
      <c r="P9" s="399">
        <f>-'Updated LNG O&amp;M Deferral'!F66</f>
        <v>-184981.12</v>
      </c>
      <c r="Q9" s="399">
        <f>-'Updated LNG O&amp;M Deferral'!F67</f>
        <v>-184981.12</v>
      </c>
      <c r="R9" s="399">
        <f>-'Updated LNG O&amp;M Deferral'!F68</f>
        <v>-184981.12</v>
      </c>
      <c r="S9" s="249">
        <v>-184981.12</v>
      </c>
      <c r="T9" s="249">
        <v>-184981.12</v>
      </c>
      <c r="U9" s="249">
        <v>-184981.12</v>
      </c>
      <c r="V9" s="249">
        <v>-184981.12</v>
      </c>
    </row>
    <row r="10" spans="1:22" x14ac:dyDescent="0.3">
      <c r="A10" s="517"/>
      <c r="B10" s="255" t="s">
        <v>211</v>
      </c>
      <c r="C10" s="255"/>
      <c r="D10" s="399">
        <f>-'Updated LNG Return Deferral'!F54</f>
        <v>-339227.93</v>
      </c>
      <c r="E10" s="399">
        <f>-'Updated LNG Return Deferral'!F55</f>
        <v>-339227.93</v>
      </c>
      <c r="F10" s="399">
        <f>-'Updated LNG Return Deferral'!F56</f>
        <v>-339227.93</v>
      </c>
      <c r="G10" s="399">
        <f>-'Updated LNG Return Deferral'!F57</f>
        <v>-339227.93</v>
      </c>
      <c r="H10" s="399">
        <f>-'Updated LNG Return Deferral'!F58</f>
        <v>-339227.93</v>
      </c>
      <c r="I10" s="399">
        <f>-'Updated LNG Return Deferral'!F59</f>
        <v>-339227.93</v>
      </c>
      <c r="J10" s="399">
        <f>-'Updated LNG Return Deferral'!F60</f>
        <v>-339227.93</v>
      </c>
      <c r="K10" s="399">
        <f>-'Updated LNG Return Deferral'!F61</f>
        <v>-339227.93</v>
      </c>
      <c r="L10" s="399">
        <f>-'Updated LNG Return Deferral'!F62</f>
        <v>-339227.93</v>
      </c>
      <c r="M10" s="399">
        <f>-'Updated LNG Return Deferral'!F63</f>
        <v>-339227.93</v>
      </c>
      <c r="N10" s="399">
        <f>-'Updated LNG Return Deferral'!F64</f>
        <v>-339227.93</v>
      </c>
      <c r="O10" s="399">
        <f>-'Updated LNG Return Deferral'!F65</f>
        <v>-339227.93</v>
      </c>
      <c r="P10" s="399">
        <f>-'Updated LNG Return Deferral'!F66</f>
        <v>-339227.93</v>
      </c>
      <c r="Q10" s="399">
        <f>-'Updated LNG Return Deferral'!F67</f>
        <v>-339227.93</v>
      </c>
      <c r="R10" s="399">
        <f>-'Updated LNG Return Deferral'!F68</f>
        <v>-339227.93</v>
      </c>
      <c r="S10" s="249">
        <v>-339227.93</v>
      </c>
      <c r="T10" s="249">
        <v>-339227.93</v>
      </c>
      <c r="U10" s="249">
        <v>-339227.93</v>
      </c>
      <c r="V10" s="249">
        <v>-339227.93</v>
      </c>
    </row>
    <row r="11" spans="1:22" x14ac:dyDescent="0.3">
      <c r="A11" s="517"/>
    </row>
    <row r="12" spans="1:22" x14ac:dyDescent="0.3">
      <c r="A12" s="517"/>
      <c r="B12" s="256" t="s">
        <v>212</v>
      </c>
      <c r="C12" s="251"/>
      <c r="D12" s="400">
        <f t="shared" ref="D12:V12" si="1">SUM(D3:D11)</f>
        <v>-1129764.1207417215</v>
      </c>
      <c r="E12" s="400">
        <f t="shared" si="1"/>
        <v>-1631196.9263635234</v>
      </c>
      <c r="F12" s="400">
        <f t="shared" si="1"/>
        <v>-1829583.0379326514</v>
      </c>
      <c r="G12" s="400">
        <f t="shared" si="1"/>
        <v>-1972161.0765658945</v>
      </c>
      <c r="H12" s="400">
        <f t="shared" si="1"/>
        <v>-1592505.6189792661</v>
      </c>
      <c r="I12" s="400">
        <f t="shared" si="1"/>
        <v>-338252.20922719466</v>
      </c>
      <c r="J12" s="400">
        <f t="shared" si="1"/>
        <v>1167707.7539013887</v>
      </c>
      <c r="K12" s="400">
        <f t="shared" si="1"/>
        <v>2214414.3005965524</v>
      </c>
      <c r="L12" s="400">
        <f t="shared" si="1"/>
        <v>3269965.0442953189</v>
      </c>
      <c r="M12" s="400">
        <f t="shared" si="1"/>
        <v>2501330.1933612828</v>
      </c>
      <c r="N12" s="400">
        <f>SUM(N3:N11)</f>
        <v>1379189.0151950445</v>
      </c>
      <c r="O12" s="400">
        <f t="shared" si="1"/>
        <v>207093.91108241881</v>
      </c>
      <c r="P12" s="400">
        <f t="shared" si="1"/>
        <v>-1261958.9153905718</v>
      </c>
      <c r="Q12" s="400">
        <f t="shared" si="1"/>
        <v>-1672196.3547554102</v>
      </c>
      <c r="R12" s="400">
        <f t="shared" si="1"/>
        <v>-1925492.8307003698</v>
      </c>
      <c r="S12" s="257">
        <f t="shared" si="1"/>
        <v>-1475382.7658238716</v>
      </c>
      <c r="T12" s="257">
        <f t="shared" si="1"/>
        <v>-748084.69</v>
      </c>
      <c r="U12" s="257">
        <f t="shared" si="1"/>
        <v>-748084.69</v>
      </c>
      <c r="V12" s="257">
        <f t="shared" si="1"/>
        <v>-748084.69</v>
      </c>
    </row>
    <row r="13" spans="1:22" x14ac:dyDescent="0.3">
      <c r="A13" s="517"/>
      <c r="D13" s="401"/>
      <c r="E13" s="401"/>
      <c r="F13" s="401"/>
      <c r="G13" s="401"/>
      <c r="H13" s="401"/>
      <c r="I13" s="401"/>
      <c r="J13" s="401"/>
      <c r="K13" s="401"/>
      <c r="L13" s="401"/>
      <c r="M13" s="401"/>
      <c r="N13" s="401"/>
      <c r="O13" s="401"/>
      <c r="P13" s="401"/>
      <c r="Q13" s="401"/>
      <c r="R13" s="401"/>
      <c r="S13" s="257"/>
      <c r="T13" s="257"/>
      <c r="U13" s="257"/>
      <c r="V13" s="257"/>
    </row>
    <row r="14" spans="1:22" ht="30.75" customHeight="1" thickBot="1" x14ac:dyDescent="0.35">
      <c r="A14" s="518"/>
      <c r="B14" s="258" t="s">
        <v>213</v>
      </c>
      <c r="C14" s="258"/>
      <c r="D14" s="402">
        <f>D12</f>
        <v>-1129764.1207417215</v>
      </c>
      <c r="E14" s="402">
        <f t="shared" ref="E14:K14" si="2">E12</f>
        <v>-1631196.9263635234</v>
      </c>
      <c r="F14" s="402">
        <f t="shared" si="2"/>
        <v>-1829583.0379326514</v>
      </c>
      <c r="G14" s="402">
        <f t="shared" si="2"/>
        <v>-1972161.0765658945</v>
      </c>
      <c r="H14" s="402">
        <f t="shared" si="2"/>
        <v>-1592505.6189792661</v>
      </c>
      <c r="I14" s="402">
        <f t="shared" si="2"/>
        <v>-338252.20922719466</v>
      </c>
      <c r="J14" s="402">
        <f t="shared" si="2"/>
        <v>1167707.7539013887</v>
      </c>
      <c r="K14" s="402">
        <f t="shared" si="2"/>
        <v>2214414.3005965524</v>
      </c>
      <c r="L14" s="402">
        <f>L12</f>
        <v>3269965.0442953189</v>
      </c>
      <c r="M14" s="402">
        <f t="shared" ref="M14:V14" si="3">M12</f>
        <v>2501330.1933612828</v>
      </c>
      <c r="N14" s="402">
        <f t="shared" si="3"/>
        <v>1379189.0151950445</v>
      </c>
      <c r="O14" s="402">
        <f t="shared" si="3"/>
        <v>207093.91108241881</v>
      </c>
      <c r="P14" s="402">
        <f t="shared" si="3"/>
        <v>-1261958.9153905718</v>
      </c>
      <c r="Q14" s="402">
        <f t="shared" si="3"/>
        <v>-1672196.3547554102</v>
      </c>
      <c r="R14" s="402">
        <f t="shared" si="3"/>
        <v>-1925492.8307003698</v>
      </c>
      <c r="S14" s="259">
        <f t="shared" si="3"/>
        <v>-1475382.7658238716</v>
      </c>
      <c r="T14" s="259">
        <f t="shared" si="3"/>
        <v>-748084.69</v>
      </c>
      <c r="U14" s="259">
        <f t="shared" si="3"/>
        <v>-748084.69</v>
      </c>
      <c r="V14" s="259">
        <f t="shared" si="3"/>
        <v>-748084.69</v>
      </c>
    </row>
    <row r="15" spans="1:22" ht="15" thickTop="1" x14ac:dyDescent="0.3">
      <c r="B15" s="260"/>
      <c r="C15" s="260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261"/>
      <c r="T15" s="261"/>
      <c r="U15" s="261"/>
      <c r="V15" s="261"/>
    </row>
    <row r="16" spans="1:22" x14ac:dyDescent="0.3">
      <c r="A16" s="2" t="s">
        <v>214</v>
      </c>
      <c r="B16" s="255" t="s">
        <v>215</v>
      </c>
      <c r="C16" s="255"/>
      <c r="D16" s="395">
        <f>'Actual O&amp;M'!B41</f>
        <v>-437634.94</v>
      </c>
      <c r="E16" s="395">
        <f>'Actual O&amp;M'!C41</f>
        <v>-395569.25</v>
      </c>
      <c r="F16" s="395">
        <f>'Actual O&amp;M'!D41</f>
        <v>-360171.61</v>
      </c>
      <c r="G16" s="395">
        <f>'Actual O&amp;M'!E41</f>
        <v>-366521.02000000008</v>
      </c>
      <c r="H16" s="395">
        <f>'Actual O&amp;M'!F41</f>
        <v>-469649.06</v>
      </c>
      <c r="I16" s="395">
        <f>'Actual O&amp;M'!G41</f>
        <v>-431156.41</v>
      </c>
      <c r="J16" s="395">
        <f>'Actual O&amp;M'!H41</f>
        <v>-371989.58999999991</v>
      </c>
      <c r="K16" s="395">
        <f>'Actual O&amp;M'!I41</f>
        <v>-452415.52</v>
      </c>
      <c r="L16" s="395">
        <f>'Actual O&amp;M'!J41</f>
        <v>-683825.45000000007</v>
      </c>
      <c r="M16" s="395">
        <f>'Actual O&amp;M'!K41</f>
        <v>-299324.75000000006</v>
      </c>
      <c r="N16" s="395">
        <f>'Actual O&amp;M'!L41</f>
        <v>-414927.34</v>
      </c>
      <c r="O16" s="395">
        <f>'Actual O&amp;M'!M41</f>
        <v>-490654.99</v>
      </c>
      <c r="P16" s="395">
        <f>'Actual O&amp;M'!N41</f>
        <v>-434165.1</v>
      </c>
      <c r="Q16" s="395">
        <f>'Actual O&amp;M'!O41</f>
        <v>-318853.56</v>
      </c>
      <c r="R16" s="395">
        <f>'Actual O&amp;M'!P41</f>
        <v>-403293.24000000005</v>
      </c>
      <c r="S16" s="252"/>
      <c r="T16" s="252"/>
      <c r="U16" s="252"/>
      <c r="V16" s="252"/>
    </row>
    <row r="17" spans="1:22" ht="15" thickBot="1" x14ac:dyDescent="0.35">
      <c r="A17" s="2"/>
      <c r="B17" s="255"/>
      <c r="C17" s="255"/>
      <c r="D17" s="395">
        <f>D14+D16</f>
        <v>-1567399.0607417214</v>
      </c>
      <c r="E17" s="395">
        <f t="shared" ref="E17:R17" si="4">E14+E16</f>
        <v>-2026766.1763635234</v>
      </c>
      <c r="F17" s="395">
        <f t="shared" si="4"/>
        <v>-2189754.6479326515</v>
      </c>
      <c r="G17" s="395">
        <f t="shared" si="4"/>
        <v>-2338682.0965658948</v>
      </c>
      <c r="H17" s="395">
        <f t="shared" si="4"/>
        <v>-2062154.6789792662</v>
      </c>
      <c r="I17" s="395">
        <f t="shared" si="4"/>
        <v>-769408.61922719469</v>
      </c>
      <c r="J17" s="395">
        <f t="shared" si="4"/>
        <v>795718.16390138888</v>
      </c>
      <c r="K17" s="404">
        <f t="shared" si="4"/>
        <v>1761998.7805965524</v>
      </c>
      <c r="L17" s="395">
        <f t="shared" si="4"/>
        <v>2586139.5942953187</v>
      </c>
      <c r="M17" s="395">
        <f t="shared" si="4"/>
        <v>2202005.4433612828</v>
      </c>
      <c r="N17" s="395">
        <f t="shared" si="4"/>
        <v>964261.67519504437</v>
      </c>
      <c r="O17" s="395">
        <f t="shared" si="4"/>
        <v>-283561.07891758118</v>
      </c>
      <c r="P17" s="395">
        <f t="shared" si="4"/>
        <v>-1696124.0153905717</v>
      </c>
      <c r="Q17" s="395">
        <f t="shared" si="4"/>
        <v>-1991049.9147554103</v>
      </c>
      <c r="R17" s="395">
        <f t="shared" si="4"/>
        <v>-2328786.0707003698</v>
      </c>
      <c r="S17" s="252">
        <f t="shared" ref="S17:V17" si="5">S14-S16</f>
        <v>-1475382.7658238716</v>
      </c>
      <c r="T17" s="252">
        <f t="shared" si="5"/>
        <v>-748084.69</v>
      </c>
      <c r="U17" s="252">
        <f t="shared" si="5"/>
        <v>-748084.69</v>
      </c>
      <c r="V17" s="252">
        <f t="shared" si="5"/>
        <v>-748084.69</v>
      </c>
    </row>
    <row r="18" spans="1:22" ht="15" thickTop="1" x14ac:dyDescent="0.3">
      <c r="B18" s="262" t="s">
        <v>216</v>
      </c>
      <c r="C18" s="262"/>
      <c r="D18" s="405"/>
      <c r="E18" s="405"/>
      <c r="F18" s="405"/>
      <c r="G18" s="405"/>
      <c r="H18" s="405"/>
      <c r="I18" s="405"/>
      <c r="J18" s="405"/>
      <c r="K18" s="406"/>
      <c r="L18" s="405"/>
      <c r="M18" s="405"/>
      <c r="N18" s="405"/>
      <c r="O18" s="405"/>
      <c r="P18" s="405"/>
      <c r="Q18" s="405"/>
      <c r="R18" s="405">
        <f>-SUM(D14:R16)</f>
        <v>8943562.7022245973</v>
      </c>
      <c r="S18" s="264"/>
      <c r="T18" s="263"/>
      <c r="U18" s="263"/>
      <c r="V18" s="263"/>
    </row>
    <row r="19" spans="1:22" x14ac:dyDescent="0.3">
      <c r="B19" s="265"/>
      <c r="C19" s="265"/>
    </row>
    <row r="20" spans="1:22" hidden="1" outlineLevel="1" x14ac:dyDescent="0.3"/>
    <row r="21" spans="1:22" hidden="1" outlineLevel="1" x14ac:dyDescent="0.3">
      <c r="B21" t="s">
        <v>217</v>
      </c>
      <c r="D21" s="397">
        <v>-136929.07833333328</v>
      </c>
      <c r="E21" s="397">
        <v>-136929.07833333328</v>
      </c>
      <c r="F21" s="397">
        <v>-136929.07833333328</v>
      </c>
      <c r="G21" s="397">
        <v>-136929.07833333328</v>
      </c>
      <c r="H21" s="397">
        <v>-136929.07833333328</v>
      </c>
      <c r="I21" s="397">
        <v>-136929.07833333328</v>
      </c>
      <c r="J21" s="397">
        <v>-136929.07833333328</v>
      </c>
      <c r="K21" s="397">
        <v>-136929.07833333328</v>
      </c>
      <c r="L21" s="397">
        <v>-136929.07833333328</v>
      </c>
      <c r="M21" s="397">
        <v>-136929.07833333328</v>
      </c>
      <c r="N21" s="397">
        <v>-136929.07833333328</v>
      </c>
      <c r="O21" s="397">
        <v>-136929.07833333328</v>
      </c>
      <c r="P21" s="397">
        <v>-136929.07833333328</v>
      </c>
      <c r="Q21" s="397">
        <v>-136929.07833333328</v>
      </c>
      <c r="R21" s="397">
        <v>-136929.07833333328</v>
      </c>
      <c r="S21" s="249">
        <v>-136929.07833333328</v>
      </c>
      <c r="T21" s="249">
        <v>-136929.07833333328</v>
      </c>
      <c r="U21" s="249">
        <v>-136929.07833333328</v>
      </c>
      <c r="V21" s="249">
        <v>-136929.07833333328</v>
      </c>
    </row>
    <row r="22" spans="1:22" hidden="1" outlineLevel="1" x14ac:dyDescent="0.3"/>
    <row r="23" spans="1:22" hidden="1" outlineLevel="1" x14ac:dyDescent="0.3">
      <c r="D23" s="397"/>
      <c r="F23" s="397"/>
      <c r="L23" s="397"/>
      <c r="N23" s="397"/>
    </row>
    <row r="24" spans="1:22" hidden="1" outlineLevel="1" x14ac:dyDescent="0.3">
      <c r="D24" s="254"/>
      <c r="E24" s="397"/>
      <c r="F24" s="407"/>
      <c r="L24" s="254"/>
      <c r="M24" s="397"/>
      <c r="N24" s="407"/>
    </row>
    <row r="25" spans="1:22" hidden="1" outlineLevel="1" x14ac:dyDescent="0.3">
      <c r="B25" s="5" t="s">
        <v>218</v>
      </c>
      <c r="C25" s="5"/>
      <c r="F25" s="407"/>
      <c r="N25" s="407"/>
    </row>
    <row r="26" spans="1:22" hidden="1" outlineLevel="1" x14ac:dyDescent="0.3">
      <c r="B26" s="251" t="s">
        <v>219</v>
      </c>
      <c r="C26" s="251"/>
      <c r="D26" s="401">
        <f t="shared" ref="D26:V26" si="6">-D3-D4-D5</f>
        <v>-1822514.1800000002</v>
      </c>
      <c r="E26" s="401">
        <f t="shared" si="6"/>
        <v>-1310345.3999999999</v>
      </c>
      <c r="F26" s="401">
        <f t="shared" si="6"/>
        <v>-1104064.4899999998</v>
      </c>
      <c r="G26" s="401">
        <f t="shared" si="6"/>
        <v>-954114.36423178262</v>
      </c>
      <c r="H26" s="401">
        <f t="shared" si="6"/>
        <v>-1326339.0024331352</v>
      </c>
      <c r="I26" s="401">
        <f t="shared" si="6"/>
        <v>-2573219.1781892423</v>
      </c>
      <c r="J26" s="401">
        <f t="shared" si="6"/>
        <v>-4072481.0931421807</v>
      </c>
      <c r="K26" s="401">
        <f t="shared" si="6"/>
        <v>-5111146.0495474841</v>
      </c>
      <c r="L26" s="401">
        <f t="shared" si="6"/>
        <v>-6169027.2700054338</v>
      </c>
      <c r="M26" s="401">
        <f t="shared" si="6"/>
        <v>-5464506.9342192244</v>
      </c>
      <c r="N26" s="401">
        <f>-N3-N4-N5</f>
        <v>-4334809.3341936246</v>
      </c>
      <c r="O26" s="401">
        <f t="shared" si="6"/>
        <v>-3155095.8886541235</v>
      </c>
      <c r="P26" s="401">
        <f t="shared" si="6"/>
        <v>-1678322.733006814</v>
      </c>
      <c r="Q26" s="401">
        <f t="shared" si="6"/>
        <v>-1260325.6920233534</v>
      </c>
      <c r="R26" s="401">
        <f t="shared" si="6"/>
        <v>-999356.43607234955</v>
      </c>
      <c r="S26" s="257">
        <f t="shared" si="6"/>
        <v>727298.07582387154</v>
      </c>
      <c r="T26" s="257">
        <f t="shared" si="6"/>
        <v>0</v>
      </c>
      <c r="U26" s="257">
        <f t="shared" si="6"/>
        <v>0</v>
      </c>
      <c r="V26" s="257">
        <f t="shared" si="6"/>
        <v>0</v>
      </c>
    </row>
    <row r="27" spans="1:22" hidden="1" outlineLevel="1" x14ac:dyDescent="0.3">
      <c r="B27" t="s">
        <v>220</v>
      </c>
      <c r="D27" s="397">
        <f t="shared" ref="D27:V27" si="7">-SUM(D7:D7)</f>
        <v>523856.19055983331</v>
      </c>
      <c r="E27" s="397">
        <f t="shared" si="7"/>
        <v>524052.15055983333</v>
      </c>
      <c r="F27" s="397">
        <f t="shared" si="7"/>
        <v>523451.29055983329</v>
      </c>
      <c r="G27" s="397">
        <f t="shared" si="7"/>
        <v>523445.9905598333</v>
      </c>
      <c r="H27" s="397">
        <f t="shared" si="7"/>
        <v>523429.6005598334</v>
      </c>
      <c r="I27" s="397">
        <f t="shared" si="7"/>
        <v>523407.14055983332</v>
      </c>
      <c r="J27" s="397">
        <f t="shared" si="7"/>
        <v>523478.6005598334</v>
      </c>
      <c r="K27" s="397">
        <f t="shared" si="7"/>
        <v>523551.95055983338</v>
      </c>
      <c r="L27" s="397">
        <f t="shared" si="7"/>
        <v>523696.34055983328</v>
      </c>
      <c r="M27" s="397">
        <f t="shared" si="7"/>
        <v>523831.9105598334</v>
      </c>
      <c r="N27" s="397">
        <f>-SUM(N7:N7)</f>
        <v>523819.6605598334</v>
      </c>
      <c r="O27" s="397">
        <f t="shared" si="7"/>
        <v>523811.21055983339</v>
      </c>
      <c r="P27" s="397">
        <f t="shared" si="7"/>
        <v>523780.4705598334</v>
      </c>
      <c r="Q27" s="397">
        <f t="shared" si="7"/>
        <v>523733.83055983332</v>
      </c>
      <c r="R27" s="397">
        <f t="shared" si="7"/>
        <v>523778.90389316675</v>
      </c>
      <c r="S27" s="249">
        <f t="shared" si="7"/>
        <v>0</v>
      </c>
      <c r="T27" s="249">
        <f t="shared" si="7"/>
        <v>0</v>
      </c>
      <c r="U27" s="249">
        <f t="shared" si="7"/>
        <v>0</v>
      </c>
      <c r="V27" s="249">
        <f t="shared" si="7"/>
        <v>0</v>
      </c>
    </row>
    <row r="28" spans="1:22" hidden="1" outlineLevel="1" x14ac:dyDescent="0.3">
      <c r="B28" t="s">
        <v>221</v>
      </c>
      <c r="D28" s="397">
        <f t="shared" ref="D28:V28" si="8">-D8-D9</f>
        <v>408856.76</v>
      </c>
      <c r="E28" s="397">
        <f t="shared" si="8"/>
        <v>408856.76</v>
      </c>
      <c r="F28" s="397">
        <f t="shared" si="8"/>
        <v>408856.76</v>
      </c>
      <c r="G28" s="397">
        <f t="shared" si="8"/>
        <v>408856.76</v>
      </c>
      <c r="H28" s="397">
        <f t="shared" si="8"/>
        <v>408856.76</v>
      </c>
      <c r="I28" s="397">
        <f t="shared" si="8"/>
        <v>408856.76</v>
      </c>
      <c r="J28" s="397">
        <f t="shared" si="8"/>
        <v>408856.76</v>
      </c>
      <c r="K28" s="397">
        <f t="shared" si="8"/>
        <v>408856.76</v>
      </c>
      <c r="L28" s="397">
        <f t="shared" si="8"/>
        <v>408856.76</v>
      </c>
      <c r="M28" s="397">
        <f t="shared" si="8"/>
        <v>408856.76</v>
      </c>
      <c r="N28" s="397">
        <f>-N8-N9</f>
        <v>408856.76</v>
      </c>
      <c r="O28" s="397">
        <f t="shared" si="8"/>
        <v>408856.76</v>
      </c>
      <c r="P28" s="397">
        <f t="shared" si="8"/>
        <v>408856.76</v>
      </c>
      <c r="Q28" s="397">
        <f t="shared" si="8"/>
        <v>408856.76</v>
      </c>
      <c r="R28" s="397">
        <f t="shared" si="8"/>
        <v>408856.76</v>
      </c>
      <c r="S28" s="249">
        <f t="shared" si="8"/>
        <v>408856.76</v>
      </c>
      <c r="T28" s="249">
        <f t="shared" si="8"/>
        <v>408856.76</v>
      </c>
      <c r="U28" s="249">
        <f t="shared" si="8"/>
        <v>408856.76</v>
      </c>
      <c r="V28" s="249">
        <f t="shared" si="8"/>
        <v>408856.76</v>
      </c>
    </row>
    <row r="29" spans="1:22" hidden="1" outlineLevel="1" x14ac:dyDescent="0.3">
      <c r="B29" t="s">
        <v>211</v>
      </c>
      <c r="D29" s="397">
        <f t="shared" ref="D29:V29" si="9">-D10</f>
        <v>339227.93</v>
      </c>
      <c r="E29" s="397">
        <f t="shared" si="9"/>
        <v>339227.93</v>
      </c>
      <c r="F29" s="397">
        <f t="shared" si="9"/>
        <v>339227.93</v>
      </c>
      <c r="G29" s="397">
        <f t="shared" si="9"/>
        <v>339227.93</v>
      </c>
      <c r="H29" s="397">
        <f t="shared" si="9"/>
        <v>339227.93</v>
      </c>
      <c r="I29" s="397">
        <f t="shared" si="9"/>
        <v>339227.93</v>
      </c>
      <c r="J29" s="397">
        <f t="shared" si="9"/>
        <v>339227.93</v>
      </c>
      <c r="K29" s="397">
        <f t="shared" si="9"/>
        <v>339227.93</v>
      </c>
      <c r="L29" s="397">
        <f t="shared" si="9"/>
        <v>339227.93</v>
      </c>
      <c r="M29" s="397">
        <f t="shared" si="9"/>
        <v>339227.93</v>
      </c>
      <c r="N29" s="397">
        <f>-N10</f>
        <v>339227.93</v>
      </c>
      <c r="O29" s="397">
        <f t="shared" si="9"/>
        <v>339227.93</v>
      </c>
      <c r="P29" s="397">
        <f t="shared" si="9"/>
        <v>339227.93</v>
      </c>
      <c r="Q29" s="397">
        <f t="shared" si="9"/>
        <v>339227.93</v>
      </c>
      <c r="R29" s="397">
        <f t="shared" si="9"/>
        <v>339227.93</v>
      </c>
      <c r="S29" s="249">
        <f t="shared" si="9"/>
        <v>339227.93</v>
      </c>
      <c r="T29" s="249">
        <f t="shared" si="9"/>
        <v>339227.93</v>
      </c>
      <c r="U29" s="249">
        <f t="shared" si="9"/>
        <v>339227.93</v>
      </c>
      <c r="V29" s="249">
        <f t="shared" si="9"/>
        <v>339227.93</v>
      </c>
    </row>
    <row r="30" spans="1:22" hidden="1" outlineLevel="1" x14ac:dyDescent="0.3">
      <c r="B30" t="s">
        <v>217</v>
      </c>
      <c r="D30" s="397">
        <f>D21</f>
        <v>-136929.07833333328</v>
      </c>
      <c r="E30" s="397">
        <f>E21</f>
        <v>-136929.07833333328</v>
      </c>
      <c r="F30" s="397">
        <f t="shared" ref="F30:K30" si="10">F21</f>
        <v>-136929.07833333328</v>
      </c>
      <c r="G30" s="397">
        <f t="shared" si="10"/>
        <v>-136929.07833333328</v>
      </c>
      <c r="H30" s="397">
        <f t="shared" si="10"/>
        <v>-136929.07833333328</v>
      </c>
      <c r="I30" s="397">
        <f t="shared" si="10"/>
        <v>-136929.07833333328</v>
      </c>
      <c r="J30" s="397">
        <f t="shared" si="10"/>
        <v>-136929.07833333328</v>
      </c>
      <c r="K30" s="397">
        <f t="shared" si="10"/>
        <v>-136929.07833333328</v>
      </c>
      <c r="L30" s="397">
        <f>L21</f>
        <v>-136929.07833333328</v>
      </c>
      <c r="M30" s="397">
        <f>M21</f>
        <v>-136929.07833333328</v>
      </c>
      <c r="N30" s="397">
        <f>N21</f>
        <v>-136929.07833333328</v>
      </c>
      <c r="O30" s="397">
        <f t="shared" ref="O30:V30" si="11">O21</f>
        <v>-136929.07833333328</v>
      </c>
      <c r="P30" s="397">
        <f t="shared" si="11"/>
        <v>-136929.07833333328</v>
      </c>
      <c r="Q30" s="397">
        <f t="shared" si="11"/>
        <v>-136929.07833333328</v>
      </c>
      <c r="R30" s="397">
        <f t="shared" si="11"/>
        <v>-136929.07833333328</v>
      </c>
      <c r="S30" s="249">
        <f t="shared" si="11"/>
        <v>-136929.07833333328</v>
      </c>
      <c r="T30" s="249">
        <f t="shared" si="11"/>
        <v>-136929.07833333328</v>
      </c>
      <c r="U30" s="249">
        <f t="shared" si="11"/>
        <v>-136929.07833333328</v>
      </c>
      <c r="V30" s="249">
        <f t="shared" si="11"/>
        <v>-136929.07833333328</v>
      </c>
    </row>
    <row r="31" spans="1:22" hidden="1" outlineLevel="1" x14ac:dyDescent="0.3"/>
    <row r="32" spans="1:22" hidden="1" outlineLevel="1" x14ac:dyDescent="0.3">
      <c r="B32" t="s">
        <v>222</v>
      </c>
      <c r="D32" s="397">
        <f t="shared" ref="D32:V32" si="12">D14</f>
        <v>-1129764.1207417215</v>
      </c>
      <c r="E32" s="397">
        <f t="shared" si="12"/>
        <v>-1631196.9263635234</v>
      </c>
      <c r="F32" s="397">
        <f t="shared" si="12"/>
        <v>-1829583.0379326514</v>
      </c>
      <c r="G32" s="397">
        <f t="shared" si="12"/>
        <v>-1972161.0765658945</v>
      </c>
      <c r="H32" s="397">
        <f t="shared" si="12"/>
        <v>-1592505.6189792661</v>
      </c>
      <c r="I32" s="397">
        <f t="shared" si="12"/>
        <v>-338252.20922719466</v>
      </c>
      <c r="J32" s="397">
        <f t="shared" si="12"/>
        <v>1167707.7539013887</v>
      </c>
      <c r="K32" s="397">
        <f t="shared" si="12"/>
        <v>2214414.3005965524</v>
      </c>
      <c r="L32" s="397">
        <f t="shared" si="12"/>
        <v>3269965.0442953189</v>
      </c>
      <c r="M32" s="397">
        <f t="shared" si="12"/>
        <v>2501330.1933612828</v>
      </c>
      <c r="N32" s="397">
        <f t="shared" si="12"/>
        <v>1379189.0151950445</v>
      </c>
      <c r="O32" s="397">
        <f t="shared" si="12"/>
        <v>207093.91108241881</v>
      </c>
      <c r="P32" s="397">
        <f t="shared" si="12"/>
        <v>-1261958.9153905718</v>
      </c>
      <c r="Q32" s="397">
        <f t="shared" si="12"/>
        <v>-1672196.3547554102</v>
      </c>
      <c r="R32" s="397">
        <f t="shared" si="12"/>
        <v>-1925492.8307003698</v>
      </c>
      <c r="S32" s="249">
        <f t="shared" si="12"/>
        <v>-1475382.7658238716</v>
      </c>
      <c r="T32" s="249">
        <f t="shared" si="12"/>
        <v>-748084.69</v>
      </c>
      <c r="U32" s="249">
        <f t="shared" si="12"/>
        <v>-748084.69</v>
      </c>
      <c r="V32" s="249">
        <f t="shared" si="12"/>
        <v>-748084.69</v>
      </c>
    </row>
    <row r="33" spans="2:22" hidden="1" outlineLevel="1" x14ac:dyDescent="0.3">
      <c r="D33" s="408">
        <f t="shared" ref="D33:V33" si="13">SUM(D26:D32)</f>
        <v>-1817266.4985152218</v>
      </c>
      <c r="E33" s="408">
        <f t="shared" si="13"/>
        <v>-1806334.5641370232</v>
      </c>
      <c r="F33" s="408">
        <f t="shared" si="13"/>
        <v>-1799040.6257061511</v>
      </c>
      <c r="G33" s="408">
        <f t="shared" si="13"/>
        <v>-1791673.8385711771</v>
      </c>
      <c r="H33" s="408">
        <f t="shared" si="13"/>
        <v>-1784259.4091859011</v>
      </c>
      <c r="I33" s="408">
        <f t="shared" si="13"/>
        <v>-1776908.635189937</v>
      </c>
      <c r="J33" s="408">
        <f t="shared" si="13"/>
        <v>-1770139.1270142917</v>
      </c>
      <c r="K33" s="408">
        <f t="shared" si="13"/>
        <v>-1762024.1867244318</v>
      </c>
      <c r="L33" s="408">
        <f t="shared" si="13"/>
        <v>-1764210.2734836149</v>
      </c>
      <c r="M33" s="408">
        <f t="shared" si="13"/>
        <v>-1828189.2186314422</v>
      </c>
      <c r="N33" s="408">
        <f t="shared" si="13"/>
        <v>-1820645.0467720793</v>
      </c>
      <c r="O33" s="408">
        <f t="shared" si="13"/>
        <v>-1813035.155345205</v>
      </c>
      <c r="P33" s="408">
        <f t="shared" si="13"/>
        <v>-1805345.5661708857</v>
      </c>
      <c r="Q33" s="408">
        <f t="shared" si="13"/>
        <v>-1797632.6045522636</v>
      </c>
      <c r="R33" s="408">
        <f t="shared" si="13"/>
        <v>-1789914.7512128858</v>
      </c>
      <c r="S33" s="266">
        <f t="shared" si="13"/>
        <v>-136929.07833333337</v>
      </c>
      <c r="T33" s="266">
        <f t="shared" si="13"/>
        <v>-136929.07833333325</v>
      </c>
      <c r="U33" s="266">
        <f t="shared" si="13"/>
        <v>-136929.07833333325</v>
      </c>
      <c r="V33" s="266">
        <f t="shared" si="13"/>
        <v>-136929.07833333325</v>
      </c>
    </row>
    <row r="34" spans="2:22" hidden="1" outlineLevel="1" x14ac:dyDescent="0.3">
      <c r="B34" t="s">
        <v>157</v>
      </c>
      <c r="D34" s="397">
        <f t="shared" ref="D34:V34" si="14">D6+D21</f>
        <v>-1817266.4985152218</v>
      </c>
      <c r="E34" s="397">
        <f t="shared" si="14"/>
        <v>-1806334.5641370232</v>
      </c>
      <c r="F34" s="397">
        <f t="shared" si="14"/>
        <v>-1799040.6257061511</v>
      </c>
      <c r="G34" s="397">
        <f t="shared" si="14"/>
        <v>-1791673.8385711771</v>
      </c>
      <c r="H34" s="397">
        <f t="shared" si="14"/>
        <v>-1784259.4091859013</v>
      </c>
      <c r="I34" s="397">
        <f t="shared" si="14"/>
        <v>-1776908.635189937</v>
      </c>
      <c r="J34" s="397">
        <f t="shared" si="14"/>
        <v>-1770139.1270142915</v>
      </c>
      <c r="K34" s="397">
        <f t="shared" si="14"/>
        <v>-1762024.1867244311</v>
      </c>
      <c r="L34" s="397">
        <f t="shared" si="14"/>
        <v>-1764210.2734836147</v>
      </c>
      <c r="M34" s="397">
        <f t="shared" si="14"/>
        <v>-1828189.2186314412</v>
      </c>
      <c r="N34" s="397">
        <f t="shared" si="14"/>
        <v>-1820645.0467720798</v>
      </c>
      <c r="O34" s="397">
        <f t="shared" si="14"/>
        <v>-1813035.1553452048</v>
      </c>
      <c r="P34" s="397">
        <f t="shared" si="14"/>
        <v>-1805345.5661708857</v>
      </c>
      <c r="Q34" s="397">
        <f t="shared" si="14"/>
        <v>-1797632.6045522639</v>
      </c>
      <c r="R34" s="397">
        <f t="shared" si="14"/>
        <v>-1789914.7512128861</v>
      </c>
      <c r="S34" s="249">
        <f t="shared" si="14"/>
        <v>-136929.07833333328</v>
      </c>
      <c r="T34" s="249">
        <f t="shared" si="14"/>
        <v>-136929.07833333328</v>
      </c>
      <c r="U34" s="249">
        <f t="shared" si="14"/>
        <v>-136929.07833333328</v>
      </c>
      <c r="V34" s="249">
        <f t="shared" si="14"/>
        <v>-136929.07833333328</v>
      </c>
    </row>
    <row r="35" spans="2:22" hidden="1" outlineLevel="1" x14ac:dyDescent="0.3">
      <c r="B35" s="256" t="s">
        <v>223</v>
      </c>
      <c r="C35" s="256"/>
      <c r="D35" s="408">
        <f>D33-D34</f>
        <v>0</v>
      </c>
      <c r="E35" s="408">
        <f t="shared" ref="E35:K35" si="15">E33-E34</f>
        <v>0</v>
      </c>
      <c r="F35" s="408">
        <f t="shared" si="15"/>
        <v>0</v>
      </c>
      <c r="G35" s="408">
        <f t="shared" si="15"/>
        <v>0</v>
      </c>
      <c r="H35" s="408">
        <f t="shared" si="15"/>
        <v>0</v>
      </c>
      <c r="I35" s="408">
        <f t="shared" si="15"/>
        <v>0</v>
      </c>
      <c r="J35" s="408">
        <f t="shared" si="15"/>
        <v>0</v>
      </c>
      <c r="K35" s="408">
        <f t="shared" si="15"/>
        <v>0</v>
      </c>
      <c r="L35" s="408">
        <f>L33-L34</f>
        <v>0</v>
      </c>
      <c r="M35" s="408">
        <f t="shared" ref="M35:V35" si="16">M33-M34</f>
        <v>0</v>
      </c>
      <c r="N35" s="408">
        <f t="shared" si="16"/>
        <v>0</v>
      </c>
      <c r="O35" s="408">
        <f t="shared" si="16"/>
        <v>0</v>
      </c>
      <c r="P35" s="408">
        <f t="shared" si="16"/>
        <v>0</v>
      </c>
      <c r="Q35" s="408">
        <f t="shared" si="16"/>
        <v>0</v>
      </c>
      <c r="R35" s="408">
        <f t="shared" si="16"/>
        <v>0</v>
      </c>
      <c r="S35" s="266">
        <f t="shared" si="16"/>
        <v>0</v>
      </c>
      <c r="T35" s="266">
        <f t="shared" si="16"/>
        <v>0</v>
      </c>
      <c r="U35" s="266">
        <f t="shared" si="16"/>
        <v>0</v>
      </c>
      <c r="V35" s="266">
        <f t="shared" si="16"/>
        <v>0</v>
      </c>
    </row>
    <row r="36" spans="2:22" hidden="1" outlineLevel="1" x14ac:dyDescent="0.3"/>
    <row r="37" spans="2:22" collapsed="1" x14ac:dyDescent="0.3"/>
    <row r="38" spans="2:22" x14ac:dyDescent="0.3">
      <c r="B38" t="s">
        <v>307</v>
      </c>
      <c r="D38" s="409">
        <f>-SUM(D3:D5)</f>
        <v>-1822514.1800000002</v>
      </c>
      <c r="E38" s="409">
        <f t="shared" ref="E38:R38" si="17">-SUM(E3:E5)</f>
        <v>-1310345.3999999999</v>
      </c>
      <c r="F38" s="409">
        <f t="shared" si="17"/>
        <v>-1104064.4899999998</v>
      </c>
      <c r="G38" s="409">
        <f t="shared" si="17"/>
        <v>-954114.36423178262</v>
      </c>
      <c r="H38" s="409">
        <f t="shared" si="17"/>
        <v>-1326339.0024331352</v>
      </c>
      <c r="I38" s="409">
        <f t="shared" si="17"/>
        <v>-2573219.1781892423</v>
      </c>
      <c r="J38" s="409">
        <f t="shared" si="17"/>
        <v>-4072481.0931421807</v>
      </c>
      <c r="K38" s="409">
        <f t="shared" si="17"/>
        <v>-5111146.0495474841</v>
      </c>
      <c r="L38" s="409">
        <f t="shared" si="17"/>
        <v>-6169027.2700054338</v>
      </c>
      <c r="M38" s="409">
        <f t="shared" si="17"/>
        <v>-5464506.9342192244</v>
      </c>
      <c r="N38" s="409">
        <f t="shared" si="17"/>
        <v>-4334809.3341936246</v>
      </c>
      <c r="O38" s="409">
        <f t="shared" si="17"/>
        <v>-3155095.8886541235</v>
      </c>
      <c r="P38" s="409">
        <f t="shared" si="17"/>
        <v>-1678322.733006814</v>
      </c>
      <c r="Q38" s="409">
        <f t="shared" si="17"/>
        <v>-1260325.6920233534</v>
      </c>
      <c r="R38" s="409">
        <f t="shared" si="17"/>
        <v>-999356.43607234955</v>
      </c>
      <c r="S38" s="173">
        <f>SUM(D38:R38)</f>
        <v>-41335668.045718744</v>
      </c>
    </row>
    <row r="39" spans="2:22" x14ac:dyDescent="0.3">
      <c r="B39" t="s">
        <v>308</v>
      </c>
      <c r="D39" s="409">
        <f>-SUM(D6:D10,D16)</f>
        <v>3389913.2407417218</v>
      </c>
      <c r="E39" s="409">
        <f t="shared" ref="E39:R39" si="18">-SUM(E6:E10,E16)</f>
        <v>3337111.5763635235</v>
      </c>
      <c r="F39" s="409">
        <f t="shared" si="18"/>
        <v>3293819.1379326512</v>
      </c>
      <c r="G39" s="409">
        <f t="shared" si="18"/>
        <v>3292796.4607976773</v>
      </c>
      <c r="H39" s="409">
        <f t="shared" si="18"/>
        <v>3388493.6814124016</v>
      </c>
      <c r="I39" s="409">
        <f t="shared" si="18"/>
        <v>3342627.7974164374</v>
      </c>
      <c r="J39" s="409">
        <f t="shared" si="18"/>
        <v>3276762.9292407916</v>
      </c>
      <c r="K39" s="409">
        <f t="shared" si="18"/>
        <v>3349147.2689509317</v>
      </c>
      <c r="L39" s="409">
        <f t="shared" si="18"/>
        <v>3582887.6757101151</v>
      </c>
      <c r="M39" s="409">
        <f t="shared" si="18"/>
        <v>3262501.4908579416</v>
      </c>
      <c r="N39" s="409">
        <f t="shared" si="18"/>
        <v>3370547.6589985802</v>
      </c>
      <c r="O39" s="409">
        <f t="shared" si="18"/>
        <v>3438656.9675717056</v>
      </c>
      <c r="P39" s="409">
        <f t="shared" si="18"/>
        <v>3374446.7483973862</v>
      </c>
      <c r="Q39" s="409">
        <f t="shared" si="18"/>
        <v>3251375.6067787642</v>
      </c>
      <c r="R39" s="409">
        <f t="shared" si="18"/>
        <v>3328142.5067727203</v>
      </c>
      <c r="S39" s="173">
        <f>SUM(D39:R39)</f>
        <v>50279230.747943349</v>
      </c>
    </row>
    <row r="40" spans="2:22" x14ac:dyDescent="0.3">
      <c r="B40" t="s">
        <v>309</v>
      </c>
      <c r="D40" s="410">
        <f>SUM(D38:D39)</f>
        <v>1567399.0607417217</v>
      </c>
      <c r="E40" s="410">
        <f t="shared" ref="E40:S40" si="19">SUM(E38:E39)</f>
        <v>2026766.1763635236</v>
      </c>
      <c r="F40" s="410">
        <f t="shared" si="19"/>
        <v>2189754.6479326515</v>
      </c>
      <c r="G40" s="410">
        <f t="shared" si="19"/>
        <v>2338682.0965658948</v>
      </c>
      <c r="H40" s="410">
        <f t="shared" si="19"/>
        <v>2062154.6789792664</v>
      </c>
      <c r="I40" s="410">
        <f t="shared" si="19"/>
        <v>769408.61922719516</v>
      </c>
      <c r="J40" s="410">
        <f t="shared" si="19"/>
        <v>-795718.16390138911</v>
      </c>
      <c r="K40" s="410">
        <f t="shared" si="19"/>
        <v>-1761998.7805965524</v>
      </c>
      <c r="L40" s="410">
        <f t="shared" si="19"/>
        <v>-2586139.5942953187</v>
      </c>
      <c r="M40" s="410">
        <f t="shared" si="19"/>
        <v>-2202005.4433612828</v>
      </c>
      <c r="N40" s="410">
        <f t="shared" si="19"/>
        <v>-964261.67519504437</v>
      </c>
      <c r="O40" s="410">
        <f t="shared" si="19"/>
        <v>283561.07891758205</v>
      </c>
      <c r="P40" s="410">
        <f t="shared" si="19"/>
        <v>1696124.0153905721</v>
      </c>
      <c r="Q40" s="410">
        <f t="shared" si="19"/>
        <v>1991049.9147554107</v>
      </c>
      <c r="R40" s="410">
        <f t="shared" si="19"/>
        <v>2328786.0707003707</v>
      </c>
      <c r="S40" s="173">
        <f t="shared" si="19"/>
        <v>8943562.7022246048</v>
      </c>
    </row>
    <row r="41" spans="2:22" x14ac:dyDescent="0.3">
      <c r="B41" t="s">
        <v>310</v>
      </c>
      <c r="D41" s="400">
        <f>SUM($D$40:D40)</f>
        <v>1567399.0607417217</v>
      </c>
      <c r="E41" s="400">
        <f>SUM($D$40:E40)</f>
        <v>3594165.2371052452</v>
      </c>
      <c r="F41" s="400">
        <f>SUM($D$40:F40)</f>
        <v>5783919.8850378972</v>
      </c>
      <c r="G41" s="400">
        <f>SUM($D$40:G40)</f>
        <v>8122601.9816037919</v>
      </c>
      <c r="H41" s="400">
        <f>SUM($D$40:H40)</f>
        <v>10184756.660583058</v>
      </c>
      <c r="I41" s="400">
        <f>SUM($D$40:I40)</f>
        <v>10954165.279810254</v>
      </c>
      <c r="J41" s="400">
        <f>SUM($D$40:J40)</f>
        <v>10158447.115908865</v>
      </c>
      <c r="K41" s="400">
        <f>SUM($D$40:K40)</f>
        <v>8396448.3353123125</v>
      </c>
      <c r="L41" s="400">
        <f>SUM($D$40:L40)</f>
        <v>5810308.7410169933</v>
      </c>
      <c r="M41" s="400">
        <f>SUM($D$40:M40)</f>
        <v>3608303.2976557105</v>
      </c>
      <c r="N41" s="400">
        <f>SUM($D$40:N40)</f>
        <v>2644041.6224606661</v>
      </c>
      <c r="O41" s="400">
        <f>SUM($D$40:O40)</f>
        <v>2927602.7013782482</v>
      </c>
      <c r="P41" s="400">
        <f>SUM($D$40:P40)</f>
        <v>4623726.7167688198</v>
      </c>
      <c r="Q41" s="400">
        <f>SUM($D$40:Q40)</f>
        <v>6614776.6315242304</v>
      </c>
      <c r="R41" s="400">
        <f>SUM($D$40:R40)</f>
        <v>8943562.7022246011</v>
      </c>
    </row>
    <row r="42" spans="2:22" x14ac:dyDescent="0.3">
      <c r="D42" s="401"/>
      <c r="E42" s="411"/>
      <c r="F42" s="411"/>
      <c r="G42" s="411"/>
      <c r="H42" s="411"/>
      <c r="I42" s="411"/>
      <c r="J42" s="411"/>
      <c r="K42" s="411"/>
      <c r="L42" s="411"/>
      <c r="M42" s="411"/>
      <c r="N42" s="411"/>
      <c r="O42" s="411"/>
      <c r="P42" s="411"/>
      <c r="Q42" s="411"/>
      <c r="R42" s="411"/>
    </row>
    <row r="47" spans="2:22" x14ac:dyDescent="0.3">
      <c r="D47" s="399"/>
      <c r="E47" s="399"/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399"/>
      <c r="R47" s="399"/>
    </row>
    <row r="48" spans="2:22" x14ac:dyDescent="0.3"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</row>
    <row r="52" spans="4:18" x14ac:dyDescent="0.3">
      <c r="D52" s="399"/>
      <c r="E52" s="399"/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99"/>
    </row>
  </sheetData>
  <mergeCells count="1">
    <mergeCell ref="A3:A14"/>
  </mergeCells>
  <pageMargins left="0.7" right="0.7" top="0.75" bottom="0.75" header="0.3" footer="0.3"/>
  <pageSetup scale="66" orientation="landscape" r:id="rId1"/>
  <headerFooter>
    <oddHeader>&amp;C&amp;20Attachment E - LNG Tracker</oddHeader>
    <oddFooter>&amp;L&amp;Z&amp;F&amp;R&amp;28&amp;K0000FFA&amp;P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  <pageSetUpPr fitToPage="1"/>
  </sheetPr>
  <dimension ref="A1:R52"/>
  <sheetViews>
    <sheetView workbookViewId="0">
      <pane xSplit="2" ySplit="9" topLeftCell="C28" activePane="bottomRight" state="frozen"/>
      <selection activeCell="C50" sqref="C50"/>
      <selection pane="topRight" activeCell="C50" sqref="C50"/>
      <selection pane="bottomLeft" activeCell="C50" sqref="C50"/>
      <selection pane="bottomRight" activeCell="C50" sqref="C50"/>
    </sheetView>
  </sheetViews>
  <sheetFormatPr defaultColWidth="9.109375" defaultRowHeight="14.4" x14ac:dyDescent="0.3"/>
  <cols>
    <col min="1" max="1" width="3.88671875" style="175" customWidth="1"/>
    <col min="2" max="2" width="20.44140625" style="78" customWidth="1"/>
    <col min="3" max="3" width="14.5546875" style="78" bestFit="1" customWidth="1"/>
    <col min="4" max="6" width="12.6640625" style="78" customWidth="1"/>
    <col min="7" max="7" width="17.33203125" style="78" bestFit="1" customWidth="1"/>
    <col min="8" max="8" width="18" style="78" customWidth="1"/>
    <col min="9" max="15" width="12.6640625" style="78" customWidth="1"/>
    <col min="16" max="16" width="12.33203125" style="78" bestFit="1" customWidth="1"/>
    <col min="17" max="17" width="14.33203125" style="78" bestFit="1" customWidth="1"/>
    <col min="18" max="18" width="20.6640625" style="78" bestFit="1" customWidth="1"/>
    <col min="19" max="16384" width="9.109375" style="78"/>
  </cols>
  <sheetData>
    <row r="1" spans="2:15" x14ac:dyDescent="0.3">
      <c r="B1" s="84" t="s">
        <v>181</v>
      </c>
      <c r="C1" s="85"/>
      <c r="D1" s="85"/>
      <c r="E1" s="85"/>
      <c r="F1" s="85"/>
      <c r="G1" s="85"/>
      <c r="H1" s="86"/>
      <c r="I1" s="229">
        <f>C12-D12</f>
        <v>543228</v>
      </c>
      <c r="J1" s="86"/>
      <c r="K1" s="86"/>
      <c r="L1" s="86"/>
      <c r="M1" s="86"/>
      <c r="N1" s="87"/>
      <c r="O1" s="86"/>
    </row>
    <row r="2" spans="2:15" ht="15" thickBot="1" x14ac:dyDescent="0.35">
      <c r="B2" s="5" t="s">
        <v>128</v>
      </c>
      <c r="C2" s="28"/>
      <c r="D2" s="34"/>
      <c r="E2" s="88"/>
      <c r="F2" s="28"/>
      <c r="G2" s="28"/>
      <c r="H2" s="89"/>
      <c r="I2" s="90"/>
      <c r="J2" s="90"/>
      <c r="K2" s="91"/>
      <c r="L2" s="85"/>
      <c r="M2" s="85"/>
      <c r="N2" s="87"/>
      <c r="O2" s="85"/>
    </row>
    <row r="3" spans="2:15" ht="15" thickBot="1" x14ac:dyDescent="0.35">
      <c r="B3" s="219" t="s">
        <v>191</v>
      </c>
      <c r="C3" s="220">
        <v>1</v>
      </c>
      <c r="D3" s="86"/>
      <c r="E3" s="86" t="s">
        <v>192</v>
      </c>
      <c r="F3" s="221">
        <f>-Q37</f>
        <v>-543228</v>
      </c>
      <c r="G3" s="221">
        <f>F3</f>
        <v>-543228</v>
      </c>
      <c r="H3" s="28" t="s">
        <v>193</v>
      </c>
      <c r="I3" s="221">
        <v>-1173.6873797498333</v>
      </c>
      <c r="J3" s="244">
        <f>I3*12</f>
        <v>-14084.248556998</v>
      </c>
      <c r="K3" s="197">
        <f>J3/F3</f>
        <v>2.5926956189662537E-2</v>
      </c>
      <c r="L3" s="197"/>
      <c r="M3" s="86"/>
      <c r="N3" s="86"/>
      <c r="O3" s="86"/>
    </row>
    <row r="4" spans="2:15" ht="15" thickBot="1" x14ac:dyDescent="0.35">
      <c r="B4" s="30"/>
      <c r="C4" s="163" t="s">
        <v>159</v>
      </c>
      <c r="D4" s="161"/>
      <c r="E4" s="161"/>
      <c r="F4" s="161"/>
      <c r="G4" s="161"/>
      <c r="H4" s="161"/>
      <c r="I4" s="162"/>
      <c r="J4" s="30"/>
      <c r="K4" s="30"/>
      <c r="L4" s="30"/>
      <c r="M4" s="30"/>
      <c r="N4" s="30"/>
      <c r="O4" s="30"/>
    </row>
    <row r="5" spans="2:15" x14ac:dyDescent="0.3">
      <c r="B5" s="92" t="s">
        <v>82</v>
      </c>
      <c r="C5" s="159" t="s">
        <v>83</v>
      </c>
      <c r="D5" s="160"/>
      <c r="E5" s="159" t="s">
        <v>84</v>
      </c>
      <c r="F5" s="160"/>
      <c r="G5" s="160"/>
      <c r="H5" s="159" t="s">
        <v>81</v>
      </c>
      <c r="I5" s="160"/>
      <c r="J5" s="93" t="s">
        <v>85</v>
      </c>
      <c r="K5" s="94"/>
      <c r="L5" s="95" t="s">
        <v>86</v>
      </c>
      <c r="M5" s="96" t="s">
        <v>87</v>
      </c>
      <c r="N5" s="96" t="s">
        <v>59</v>
      </c>
      <c r="O5" s="95" t="s">
        <v>163</v>
      </c>
    </row>
    <row r="6" spans="2:15" x14ac:dyDescent="0.3">
      <c r="B6" s="97"/>
      <c r="C6" s="98"/>
      <c r="D6" s="99"/>
      <c r="E6" s="100"/>
      <c r="F6" s="235"/>
      <c r="G6" s="240"/>
      <c r="H6" s="100"/>
      <c r="I6" s="99"/>
      <c r="J6" s="98"/>
      <c r="K6" s="101"/>
      <c r="L6" s="102"/>
      <c r="M6" s="103"/>
      <c r="N6" s="103" t="s">
        <v>162</v>
      </c>
      <c r="O6" s="102" t="s">
        <v>164</v>
      </c>
    </row>
    <row r="7" spans="2:15" x14ac:dyDescent="0.3">
      <c r="B7" s="104"/>
      <c r="C7" s="105" t="s">
        <v>88</v>
      </c>
      <c r="D7" s="101" t="s">
        <v>89</v>
      </c>
      <c r="E7" s="105" t="s">
        <v>90</v>
      </c>
      <c r="F7" s="236" t="s">
        <v>129</v>
      </c>
      <c r="G7" s="101" t="s">
        <v>194</v>
      </c>
      <c r="H7" s="105" t="s">
        <v>88</v>
      </c>
      <c r="I7" s="101" t="s">
        <v>89</v>
      </c>
      <c r="J7" s="105" t="s">
        <v>88</v>
      </c>
      <c r="K7" s="101" t="s">
        <v>91</v>
      </c>
      <c r="L7" s="102" t="s">
        <v>92</v>
      </c>
      <c r="M7" s="106"/>
      <c r="N7" s="103" t="s">
        <v>93</v>
      </c>
      <c r="O7" s="165"/>
    </row>
    <row r="8" spans="2:15" x14ac:dyDescent="0.3">
      <c r="B8" s="104"/>
      <c r="C8" s="105"/>
      <c r="D8" s="101"/>
      <c r="E8" s="105" t="s">
        <v>94</v>
      </c>
      <c r="F8" s="236" t="s">
        <v>130</v>
      </c>
      <c r="G8" s="101" t="s">
        <v>130</v>
      </c>
      <c r="H8" s="105" t="s">
        <v>95</v>
      </c>
      <c r="I8" s="101" t="s">
        <v>96</v>
      </c>
      <c r="J8" s="105"/>
      <c r="K8" s="101"/>
      <c r="L8" s="102" t="s">
        <v>182</v>
      </c>
      <c r="M8" s="106">
        <v>0.21</v>
      </c>
      <c r="N8" s="103" t="s">
        <v>97</v>
      </c>
      <c r="O8" s="165"/>
    </row>
    <row r="9" spans="2:15" x14ac:dyDescent="0.3">
      <c r="B9" s="107"/>
      <c r="C9" s="108" t="s">
        <v>98</v>
      </c>
      <c r="D9" s="109" t="s">
        <v>63</v>
      </c>
      <c r="E9" s="108"/>
      <c r="F9" s="237" t="s">
        <v>161</v>
      </c>
      <c r="G9" s="109" t="s">
        <v>161</v>
      </c>
      <c r="H9" s="108" t="s">
        <v>99</v>
      </c>
      <c r="I9" s="109" t="s">
        <v>100</v>
      </c>
      <c r="J9" s="108" t="s">
        <v>101</v>
      </c>
      <c r="K9" s="109" t="s">
        <v>102</v>
      </c>
      <c r="L9" s="110" t="s">
        <v>103</v>
      </c>
      <c r="M9" s="111" t="s">
        <v>71</v>
      </c>
      <c r="N9" s="112" t="s">
        <v>104</v>
      </c>
      <c r="O9" s="166" t="s">
        <v>165</v>
      </c>
    </row>
    <row r="10" spans="2:15" x14ac:dyDescent="0.3">
      <c r="B10" s="113"/>
      <c r="C10" s="114"/>
      <c r="D10" s="115"/>
      <c r="E10" s="114"/>
      <c r="F10" s="120" t="s">
        <v>195</v>
      </c>
      <c r="G10" s="115"/>
      <c r="H10" s="116"/>
      <c r="I10" s="117"/>
      <c r="J10" s="114"/>
      <c r="K10" s="115"/>
      <c r="L10" s="118"/>
      <c r="M10" s="119"/>
      <c r="N10" s="115"/>
      <c r="O10" s="167"/>
    </row>
    <row r="11" spans="2:15" x14ac:dyDescent="0.3">
      <c r="B11" s="222">
        <v>44592</v>
      </c>
      <c r="C11" s="114">
        <v>0</v>
      </c>
      <c r="D11" s="223">
        <v>0</v>
      </c>
      <c r="E11" s="114">
        <v>770282.29714848334</v>
      </c>
      <c r="F11" s="225">
        <v>0</v>
      </c>
      <c r="G11" s="115">
        <v>0</v>
      </c>
      <c r="H11" s="114">
        <f>H10-E11</f>
        <v>-770282.29714848334</v>
      </c>
      <c r="I11" s="120">
        <f>I10-F11</f>
        <v>0</v>
      </c>
      <c r="J11" s="114">
        <f t="shared" ref="J11:J45" si="0">C11+H11</f>
        <v>-770282.29714848334</v>
      </c>
      <c r="K11" s="120">
        <f t="shared" ref="K11:K45" si="1">D11+I11</f>
        <v>0</v>
      </c>
      <c r="L11" s="114">
        <f>K11-J11</f>
        <v>770282.29714848334</v>
      </c>
      <c r="M11" s="114">
        <f>-L11*0.21</f>
        <v>-161759.2824011815</v>
      </c>
      <c r="N11" s="118">
        <f>N10-M11</f>
        <v>161759.2824011815</v>
      </c>
      <c r="O11" s="118">
        <f t="shared" ref="O11:O24" si="2">K11+M11</f>
        <v>-161759.2824011815</v>
      </c>
    </row>
    <row r="12" spans="2:15" x14ac:dyDescent="0.3">
      <c r="B12" s="222">
        <v>44620</v>
      </c>
      <c r="C12" s="114">
        <v>242210482.39999998</v>
      </c>
      <c r="D12" s="223">
        <f>(C12+F3)*C3</f>
        <v>241667254.39999998</v>
      </c>
      <c r="E12" s="114">
        <v>771840.64653689996</v>
      </c>
      <c r="F12" s="225">
        <f>((G12+$I$3/2))*$C$3</f>
        <v>270345.88582345843</v>
      </c>
      <c r="G12" s="115">
        <v>270932.72951333335</v>
      </c>
      <c r="H12" s="114">
        <f t="shared" ref="H12:H45" si="3">H11-E12</f>
        <v>-1542122.9436853833</v>
      </c>
      <c r="I12" s="120">
        <f t="shared" ref="I12:I45" si="4">I11-F12</f>
        <v>-270345.88582345843</v>
      </c>
      <c r="J12" s="114">
        <f t="shared" si="0"/>
        <v>240668359.45631459</v>
      </c>
      <c r="K12" s="120">
        <f t="shared" si="1"/>
        <v>241396908.51417652</v>
      </c>
      <c r="L12" s="114">
        <f t="shared" ref="L12:L45" si="5">K12-J12</f>
        <v>728549.05786192417</v>
      </c>
      <c r="M12" s="114">
        <f t="shared" ref="M12:M45" si="6">-L12*0.21</f>
        <v>-152995.30215100406</v>
      </c>
      <c r="N12" s="118">
        <f>-(M12-M11)</f>
        <v>-8763.9802501774393</v>
      </c>
      <c r="O12" s="118">
        <f t="shared" si="2"/>
        <v>241243913.21202552</v>
      </c>
    </row>
    <row r="13" spans="2:15" x14ac:dyDescent="0.3">
      <c r="B13" s="222">
        <v>44651</v>
      </c>
      <c r="C13" s="114">
        <v>242400844.05000004</v>
      </c>
      <c r="D13" s="223">
        <f>(C13+F3)*C3</f>
        <v>241857616.05000004</v>
      </c>
      <c r="E13" s="114">
        <v>772222.23552633915</v>
      </c>
      <c r="F13" s="225">
        <f>(G13+I3)*$C$3</f>
        <v>522406.7159037501</v>
      </c>
      <c r="G13" s="115">
        <v>523580.40328349994</v>
      </c>
      <c r="H13" s="114">
        <f t="shared" si="3"/>
        <v>-2314345.1792117227</v>
      </c>
      <c r="I13" s="120">
        <f t="shared" si="4"/>
        <v>-792752.60172720859</v>
      </c>
      <c r="J13" s="114">
        <f t="shared" si="0"/>
        <v>240086498.87078831</v>
      </c>
      <c r="K13" s="120">
        <f t="shared" si="1"/>
        <v>241064863.44827282</v>
      </c>
      <c r="L13" s="114">
        <f t="shared" si="5"/>
        <v>978364.57748451829</v>
      </c>
      <c r="M13" s="114">
        <f t="shared" si="6"/>
        <v>-205456.56127174883</v>
      </c>
      <c r="N13" s="118">
        <f t="shared" ref="N13:N45" si="7">-(M13-M12)</f>
        <v>52461.259120744769</v>
      </c>
      <c r="O13" s="118">
        <f t="shared" si="2"/>
        <v>240859406.88700107</v>
      </c>
    </row>
    <row r="14" spans="2:15" x14ac:dyDescent="0.3">
      <c r="B14" s="222">
        <v>44681</v>
      </c>
      <c r="C14" s="114">
        <v>242473352.72000003</v>
      </c>
      <c r="D14" s="223">
        <f>(C14+F3)*C3</f>
        <v>241930124.72000003</v>
      </c>
      <c r="E14" s="114">
        <v>772346.7097157056</v>
      </c>
      <c r="F14" s="225">
        <f>(G14+I3)*$C$3</f>
        <v>522679.15143962507</v>
      </c>
      <c r="G14" s="115">
        <v>523852.83881937491</v>
      </c>
      <c r="H14" s="114">
        <f t="shared" si="3"/>
        <v>-3086691.8889274281</v>
      </c>
      <c r="I14" s="120">
        <f t="shared" si="4"/>
        <v>-1315431.7531668337</v>
      </c>
      <c r="J14" s="114">
        <f t="shared" si="0"/>
        <v>239386660.8310726</v>
      </c>
      <c r="K14" s="120">
        <f t="shared" si="1"/>
        <v>240614692.9668332</v>
      </c>
      <c r="L14" s="114">
        <f t="shared" si="5"/>
        <v>1228032.1357606053</v>
      </c>
      <c r="M14" s="114">
        <f t="shared" si="6"/>
        <v>-257886.7485097271</v>
      </c>
      <c r="N14" s="118">
        <f t="shared" si="7"/>
        <v>52430.187237978273</v>
      </c>
      <c r="O14" s="118">
        <f t="shared" si="2"/>
        <v>240356806.21832347</v>
      </c>
    </row>
    <row r="15" spans="2:15" x14ac:dyDescent="0.3">
      <c r="B15" s="222">
        <v>44712</v>
      </c>
      <c r="C15" s="114">
        <v>242597388.97000003</v>
      </c>
      <c r="D15" s="223">
        <f>(C15+F3)*C3</f>
        <v>242054160.97000003</v>
      </c>
      <c r="E15" s="114">
        <v>772683.33304100577</v>
      </c>
      <c r="F15" s="225">
        <f>(G15+$I$3)*$C$3</f>
        <v>522883.76147820853</v>
      </c>
      <c r="G15" s="115">
        <v>524057.44885795837</v>
      </c>
      <c r="H15" s="114">
        <f t="shared" si="3"/>
        <v>-3859375.2219684338</v>
      </c>
      <c r="I15" s="120">
        <f t="shared" si="4"/>
        <v>-1838315.5146450421</v>
      </c>
      <c r="J15" s="114">
        <f t="shared" si="0"/>
        <v>238738013.74803159</v>
      </c>
      <c r="K15" s="120">
        <f t="shared" si="1"/>
        <v>240215845.45535499</v>
      </c>
      <c r="L15" s="114">
        <f t="shared" si="5"/>
        <v>1477831.7073234022</v>
      </c>
      <c r="M15" s="114">
        <f t="shared" si="6"/>
        <v>-310344.65853791445</v>
      </c>
      <c r="N15" s="118">
        <f t="shared" si="7"/>
        <v>52457.910028187354</v>
      </c>
      <c r="O15" s="118">
        <f t="shared" si="2"/>
        <v>239905500.79681706</v>
      </c>
    </row>
    <row r="16" spans="2:15" x14ac:dyDescent="0.3">
      <c r="B16" s="222">
        <v>44742</v>
      </c>
      <c r="C16" s="114">
        <v>242654035.06999996</v>
      </c>
      <c r="D16" s="223">
        <f>(C16+F3)*C3</f>
        <v>242110807.06999996</v>
      </c>
      <c r="E16" s="114">
        <v>772811.68793569983</v>
      </c>
      <c r="F16" s="225">
        <f>(G16+$I$3)*$C$3</f>
        <v>523072.99290333351</v>
      </c>
      <c r="G16" s="115">
        <v>524246.68028308335</v>
      </c>
      <c r="H16" s="114">
        <f t="shared" si="3"/>
        <v>-4632186.9099041335</v>
      </c>
      <c r="I16" s="120">
        <f t="shared" si="4"/>
        <v>-2361388.5075483755</v>
      </c>
      <c r="J16" s="114">
        <f t="shared" si="0"/>
        <v>238021848.16009584</v>
      </c>
      <c r="K16" s="120">
        <f t="shared" si="1"/>
        <v>239749418.5624516</v>
      </c>
      <c r="L16" s="114">
        <f t="shared" si="5"/>
        <v>1727570.4023557603</v>
      </c>
      <c r="M16" s="114">
        <f t="shared" si="6"/>
        <v>-362789.78449470963</v>
      </c>
      <c r="N16" s="118">
        <f t="shared" si="7"/>
        <v>52445.125956795178</v>
      </c>
      <c r="O16" s="118">
        <f t="shared" si="2"/>
        <v>239386628.7779569</v>
      </c>
    </row>
    <row r="17" spans="2:15" x14ac:dyDescent="0.3">
      <c r="B17" s="222">
        <v>44773</v>
      </c>
      <c r="C17" s="114">
        <v>242711756.40999997</v>
      </c>
      <c r="D17" s="223">
        <f>(C17+F3)*C3</f>
        <v>242168528.40999997</v>
      </c>
      <c r="E17" s="114">
        <v>772910.87736794993</v>
      </c>
      <c r="F17" s="225">
        <f t="shared" ref="F17:F22" si="8">(G17+$I$3)*$C$3</f>
        <v>523191.38679333357</v>
      </c>
      <c r="G17" s="115">
        <v>524365.07417308341</v>
      </c>
      <c r="H17" s="114">
        <f t="shared" si="3"/>
        <v>-5405097.7872720836</v>
      </c>
      <c r="I17" s="120">
        <f t="shared" si="4"/>
        <v>-2884579.8943417091</v>
      </c>
      <c r="J17" s="114">
        <f t="shared" si="0"/>
        <v>237306658.62272787</v>
      </c>
      <c r="K17" s="120">
        <f t="shared" si="1"/>
        <v>239283948.51565826</v>
      </c>
      <c r="L17" s="114">
        <f t="shared" si="5"/>
        <v>1977289.8929303885</v>
      </c>
      <c r="M17" s="114">
        <f t="shared" si="6"/>
        <v>-415230.87751538155</v>
      </c>
      <c r="N17" s="118">
        <f t="shared" si="7"/>
        <v>52441.09302067192</v>
      </c>
      <c r="O17" s="118">
        <f t="shared" si="2"/>
        <v>238868717.63814288</v>
      </c>
    </row>
    <row r="18" spans="2:15" x14ac:dyDescent="0.3">
      <c r="B18" s="222">
        <v>44804</v>
      </c>
      <c r="C18" s="114">
        <v>242786181.20999995</v>
      </c>
      <c r="D18" s="223">
        <f>(C18+F3)*C3</f>
        <v>242242953.20999995</v>
      </c>
      <c r="E18" s="114">
        <v>773023.4997649499</v>
      </c>
      <c r="F18" s="225">
        <f t="shared" si="8"/>
        <v>523328.00430545851</v>
      </c>
      <c r="G18" s="115">
        <v>524501.69168520835</v>
      </c>
      <c r="H18" s="114">
        <f t="shared" si="3"/>
        <v>-6178121.2870370336</v>
      </c>
      <c r="I18" s="120">
        <f t="shared" si="4"/>
        <v>-3407907.8986471677</v>
      </c>
      <c r="J18" s="114">
        <f t="shared" si="0"/>
        <v>236608059.9229629</v>
      </c>
      <c r="K18" s="120">
        <f t="shared" si="1"/>
        <v>238835045.31135279</v>
      </c>
      <c r="L18" s="114">
        <f t="shared" si="5"/>
        <v>2226985.3883898854</v>
      </c>
      <c r="M18" s="114">
        <f t="shared" si="6"/>
        <v>-467666.93156187591</v>
      </c>
      <c r="N18" s="118">
        <f t="shared" si="7"/>
        <v>52436.054046494362</v>
      </c>
      <c r="O18" s="118">
        <f t="shared" si="2"/>
        <v>238367378.3797909</v>
      </c>
    </row>
    <row r="19" spans="2:15" x14ac:dyDescent="0.3">
      <c r="B19" s="222">
        <v>44834</v>
      </c>
      <c r="C19" s="114">
        <v>242951019.96999997</v>
      </c>
      <c r="D19" s="223">
        <f>(C19+F3)*C3</f>
        <v>242407791.96999997</v>
      </c>
      <c r="E19" s="114">
        <v>773269.34723881667</v>
      </c>
      <c r="F19" s="225">
        <f t="shared" si="8"/>
        <v>523575.05969275022</v>
      </c>
      <c r="G19" s="115">
        <v>524748.74707250006</v>
      </c>
      <c r="H19" s="114">
        <f t="shared" si="3"/>
        <v>-6951390.6342758499</v>
      </c>
      <c r="I19" s="120">
        <f t="shared" si="4"/>
        <v>-3931482.9583399179</v>
      </c>
      <c r="J19" s="114">
        <f t="shared" si="0"/>
        <v>235999629.33572412</v>
      </c>
      <c r="K19" s="120">
        <f t="shared" si="1"/>
        <v>238476309.01166004</v>
      </c>
      <c r="L19" s="114">
        <f t="shared" si="5"/>
        <v>2476679.6759359241</v>
      </c>
      <c r="M19" s="114">
        <f t="shared" si="6"/>
        <v>-520102.73194654402</v>
      </c>
      <c r="N19" s="118">
        <f t="shared" si="7"/>
        <v>52435.800384668109</v>
      </c>
      <c r="O19" s="118">
        <f t="shared" si="2"/>
        <v>237956206.27971348</v>
      </c>
    </row>
    <row r="20" spans="2:15" x14ac:dyDescent="0.3">
      <c r="B20" s="222">
        <v>44865</v>
      </c>
      <c r="C20" s="114">
        <v>243004226.10999998</v>
      </c>
      <c r="D20" s="223">
        <f>(C20+F3)*C3</f>
        <v>242460998.10999998</v>
      </c>
      <c r="E20" s="114">
        <v>773394.37288928335</v>
      </c>
      <c r="F20" s="225">
        <f t="shared" si="8"/>
        <v>523800.61537508352</v>
      </c>
      <c r="G20" s="115">
        <v>524974.30275483336</v>
      </c>
      <c r="H20" s="114">
        <f t="shared" si="3"/>
        <v>-7724785.007165133</v>
      </c>
      <c r="I20" s="120">
        <f t="shared" si="4"/>
        <v>-4455283.5737150013</v>
      </c>
      <c r="J20" s="114">
        <f t="shared" si="0"/>
        <v>235279441.10283485</v>
      </c>
      <c r="K20" s="120">
        <f t="shared" si="1"/>
        <v>238005714.53628498</v>
      </c>
      <c r="L20" s="114">
        <f t="shared" si="5"/>
        <v>2726273.4334501326</v>
      </c>
      <c r="M20" s="114">
        <f t="shared" si="6"/>
        <v>-572517.42102452787</v>
      </c>
      <c r="N20" s="118">
        <f t="shared" si="7"/>
        <v>52414.689077983843</v>
      </c>
      <c r="O20" s="118">
        <f t="shared" si="2"/>
        <v>237433197.11526045</v>
      </c>
    </row>
    <row r="21" spans="2:15" x14ac:dyDescent="0.3">
      <c r="B21" s="222">
        <v>44895</v>
      </c>
      <c r="C21" s="114">
        <v>243073721.75999996</v>
      </c>
      <c r="D21" s="223">
        <f>(C21+F3)*C3</f>
        <v>242530493.75999996</v>
      </c>
      <c r="E21" s="114">
        <v>773586.55926474987</v>
      </c>
      <c r="F21" s="225">
        <f t="shared" si="8"/>
        <v>523928.52790887526</v>
      </c>
      <c r="G21" s="115">
        <v>525102.2152886251</v>
      </c>
      <c r="H21" s="114">
        <f t="shared" si="3"/>
        <v>-8498371.5664298832</v>
      </c>
      <c r="I21" s="120">
        <f t="shared" si="4"/>
        <v>-4979212.101623877</v>
      </c>
      <c r="J21" s="114">
        <f t="shared" si="0"/>
        <v>234575350.19357008</v>
      </c>
      <c r="K21" s="120">
        <f t="shared" si="1"/>
        <v>237551281.6583761</v>
      </c>
      <c r="L21" s="114">
        <f t="shared" si="5"/>
        <v>2975931.4648060203</v>
      </c>
      <c r="M21" s="114">
        <f t="shared" si="6"/>
        <v>-624945.6076092642</v>
      </c>
      <c r="N21" s="118">
        <f t="shared" si="7"/>
        <v>52428.186584736337</v>
      </c>
      <c r="O21" s="118">
        <f t="shared" si="2"/>
        <v>236926336.05076683</v>
      </c>
    </row>
    <row r="22" spans="2:15" x14ac:dyDescent="0.3">
      <c r="B22" s="222">
        <v>44926</v>
      </c>
      <c r="C22" s="114">
        <v>243176936.39999998</v>
      </c>
      <c r="D22" s="223">
        <f>(C22+F3)*C3</f>
        <v>242633708.39999998</v>
      </c>
      <c r="E22" s="114">
        <v>773813.37816588336</v>
      </c>
      <c r="F22" s="225">
        <f t="shared" si="8"/>
        <v>524108.3233011252</v>
      </c>
      <c r="G22" s="115">
        <v>525282.01068087504</v>
      </c>
      <c r="H22" s="114">
        <f t="shared" si="3"/>
        <v>-9272184.9445957672</v>
      </c>
      <c r="I22" s="120">
        <f t="shared" si="4"/>
        <v>-5503320.4249250023</v>
      </c>
      <c r="J22" s="114">
        <f t="shared" si="0"/>
        <v>233904751.45540422</v>
      </c>
      <c r="K22" s="120">
        <f t="shared" si="1"/>
        <v>237130387.97507498</v>
      </c>
      <c r="L22" s="114">
        <f t="shared" si="5"/>
        <v>3225636.5196707547</v>
      </c>
      <c r="M22" s="114">
        <f t="shared" si="6"/>
        <v>-677383.6691308585</v>
      </c>
      <c r="N22" s="118">
        <f t="shared" si="7"/>
        <v>52438.061521594296</v>
      </c>
      <c r="O22" s="118">
        <f t="shared" si="2"/>
        <v>236453004.30594411</v>
      </c>
    </row>
    <row r="23" spans="2:15" x14ac:dyDescent="0.3">
      <c r="B23" s="205">
        <v>44957</v>
      </c>
      <c r="C23" s="114">
        <v>243164613.76999995</v>
      </c>
      <c r="D23" s="224">
        <f>(C23+$F$3)</f>
        <v>242621385.76999995</v>
      </c>
      <c r="E23" s="114">
        <v>1478521.4387653836</v>
      </c>
      <c r="F23" s="226">
        <f>G23+$I$3</f>
        <v>524202.83662783355</v>
      </c>
      <c r="G23" s="115">
        <v>525376.52400758339</v>
      </c>
      <c r="H23" s="114">
        <f t="shared" si="3"/>
        <v>-10750706.383361151</v>
      </c>
      <c r="I23" s="120">
        <f t="shared" si="4"/>
        <v>-6027523.2615528358</v>
      </c>
      <c r="J23" s="114">
        <f t="shared" si="0"/>
        <v>232413907.38663879</v>
      </c>
      <c r="K23" s="120">
        <f t="shared" si="1"/>
        <v>236593862.50844711</v>
      </c>
      <c r="L23" s="114">
        <f t="shared" si="5"/>
        <v>4179955.1218083203</v>
      </c>
      <c r="M23" s="114">
        <f t="shared" si="6"/>
        <v>-877790.57557974721</v>
      </c>
      <c r="N23" s="118">
        <f t="shared" si="7"/>
        <v>200406.90644888871</v>
      </c>
      <c r="O23" s="118">
        <f t="shared" si="2"/>
        <v>235716071.93286738</v>
      </c>
    </row>
    <row r="24" spans="2:15" x14ac:dyDescent="0.3">
      <c r="B24" s="205">
        <v>44985</v>
      </c>
      <c r="C24" s="114">
        <v>243189559.47999993</v>
      </c>
      <c r="D24" s="224">
        <f>(C24+$F$3)</f>
        <v>242646331.47999993</v>
      </c>
      <c r="E24" s="114">
        <v>1478558.2700288168</v>
      </c>
      <c r="F24" s="226">
        <f t="shared" ref="F24:F45" si="9">G24+$I$3</f>
        <v>524215.85926104197</v>
      </c>
      <c r="G24" s="115">
        <v>525389.54664079181</v>
      </c>
      <c r="H24" s="114">
        <f t="shared" si="3"/>
        <v>-12229264.653389968</v>
      </c>
      <c r="I24" s="120">
        <f t="shared" si="4"/>
        <v>-6551739.1208138783</v>
      </c>
      <c r="J24" s="114">
        <f t="shared" si="0"/>
        <v>230960294.82660997</v>
      </c>
      <c r="K24" s="120">
        <f t="shared" si="1"/>
        <v>236094592.35918605</v>
      </c>
      <c r="L24" s="114">
        <f t="shared" si="5"/>
        <v>5134297.5325760841</v>
      </c>
      <c r="M24" s="114">
        <f t="shared" si="6"/>
        <v>-1078202.4818409777</v>
      </c>
      <c r="N24" s="118">
        <f t="shared" si="7"/>
        <v>200411.90626123047</v>
      </c>
      <c r="O24" s="118">
        <f t="shared" si="2"/>
        <v>235016389.87734509</v>
      </c>
    </row>
    <row r="25" spans="2:15" x14ac:dyDescent="0.3">
      <c r="B25" s="205">
        <v>45016</v>
      </c>
      <c r="C25" s="114">
        <v>243198713.56999996</v>
      </c>
      <c r="D25" s="224">
        <f t="shared" ref="D25:D45" si="10">(C25+$F$3)</f>
        <v>242655485.56999996</v>
      </c>
      <c r="E25" s="114">
        <v>1478571.7500003839</v>
      </c>
      <c r="F25" s="226">
        <f t="shared" si="9"/>
        <v>524251.06391937518</v>
      </c>
      <c r="G25" s="115">
        <v>525424.75129912503</v>
      </c>
      <c r="H25" s="114">
        <f t="shared" si="3"/>
        <v>-13707836.403390352</v>
      </c>
      <c r="I25" s="120">
        <f t="shared" si="4"/>
        <v>-7075990.184733253</v>
      </c>
      <c r="J25" s="114">
        <f t="shared" si="0"/>
        <v>229490877.16660962</v>
      </c>
      <c r="K25" s="120">
        <f t="shared" si="1"/>
        <v>235579495.38526672</v>
      </c>
      <c r="L25" s="114">
        <f t="shared" si="5"/>
        <v>6088618.2186571062</v>
      </c>
      <c r="M25" s="114">
        <f t="shared" si="6"/>
        <v>-1278609.8259179923</v>
      </c>
      <c r="N25" s="118">
        <f t="shared" si="7"/>
        <v>200407.3440770146</v>
      </c>
      <c r="O25" s="118">
        <f>K25+M25</f>
        <v>234300885.55934873</v>
      </c>
    </row>
    <row r="26" spans="2:15" x14ac:dyDescent="0.3">
      <c r="B26" s="205">
        <v>45046</v>
      </c>
      <c r="C26" s="114">
        <v>243198713.56999996</v>
      </c>
      <c r="D26" s="224">
        <f t="shared" si="10"/>
        <v>242655485.56999996</v>
      </c>
      <c r="E26" s="114">
        <v>1478571.7500003839</v>
      </c>
      <c r="F26" s="226">
        <f t="shared" si="9"/>
        <v>524291.50587108359</v>
      </c>
      <c r="G26" s="115">
        <v>525465.19325083343</v>
      </c>
      <c r="H26" s="114">
        <f t="shared" si="3"/>
        <v>-15186408.153390735</v>
      </c>
      <c r="I26" s="120">
        <f t="shared" si="4"/>
        <v>-7600281.6906043366</v>
      </c>
      <c r="J26" s="114">
        <f t="shared" si="0"/>
        <v>228012305.41660923</v>
      </c>
      <c r="K26" s="120">
        <f t="shared" si="1"/>
        <v>235055203.87939563</v>
      </c>
      <c r="L26" s="114">
        <f t="shared" si="5"/>
        <v>7042898.4627864063</v>
      </c>
      <c r="M26" s="114">
        <f t="shared" si="6"/>
        <v>-1479008.6771851452</v>
      </c>
      <c r="N26" s="118">
        <f t="shared" si="7"/>
        <v>200398.85126715293</v>
      </c>
      <c r="O26" s="118">
        <f t="shared" ref="O26:O45" si="11">K26+M26</f>
        <v>233576195.20221049</v>
      </c>
    </row>
    <row r="27" spans="2:15" x14ac:dyDescent="0.3">
      <c r="B27" s="205">
        <v>45077</v>
      </c>
      <c r="C27" s="114">
        <v>243198713.56999996</v>
      </c>
      <c r="D27" s="224">
        <f t="shared" si="10"/>
        <v>242655485.56999996</v>
      </c>
      <c r="E27" s="114">
        <v>1478571.7500003839</v>
      </c>
      <c r="F27" s="226">
        <f t="shared" si="9"/>
        <v>524291.50587108359</v>
      </c>
      <c r="G27" s="115">
        <f>G26</f>
        <v>525465.19325083343</v>
      </c>
      <c r="H27" s="114">
        <f t="shared" si="3"/>
        <v>-16664979.903391119</v>
      </c>
      <c r="I27" s="120">
        <f t="shared" si="4"/>
        <v>-8124573.1964754201</v>
      </c>
      <c r="J27" s="114">
        <f t="shared" si="0"/>
        <v>226533733.66660884</v>
      </c>
      <c r="K27" s="120">
        <f t="shared" si="1"/>
        <v>234530912.37352455</v>
      </c>
      <c r="L27" s="114">
        <f t="shared" si="5"/>
        <v>7997178.7069157064</v>
      </c>
      <c r="M27" s="114">
        <f t="shared" si="6"/>
        <v>-1679407.5284522984</v>
      </c>
      <c r="N27" s="118">
        <f t="shared" si="7"/>
        <v>200398.85126715316</v>
      </c>
      <c r="O27" s="118">
        <f t="shared" si="11"/>
        <v>232851504.84507224</v>
      </c>
    </row>
    <row r="28" spans="2:15" x14ac:dyDescent="0.3">
      <c r="B28" s="205">
        <v>45107</v>
      </c>
      <c r="C28" s="114">
        <v>243198713.56999996</v>
      </c>
      <c r="D28" s="224">
        <f t="shared" si="10"/>
        <v>242655485.56999996</v>
      </c>
      <c r="E28" s="114">
        <v>1478571.7500003839</v>
      </c>
      <c r="F28" s="226">
        <f t="shared" si="9"/>
        <v>524291.50587108359</v>
      </c>
      <c r="G28" s="115">
        <f t="shared" ref="G28:G45" si="12">G27</f>
        <v>525465.19325083343</v>
      </c>
      <c r="H28" s="114">
        <f t="shared" si="3"/>
        <v>-18143551.653391503</v>
      </c>
      <c r="I28" s="120">
        <f t="shared" si="4"/>
        <v>-8648864.7023465037</v>
      </c>
      <c r="J28" s="114">
        <f t="shared" si="0"/>
        <v>225055161.91660845</v>
      </c>
      <c r="K28" s="120">
        <f t="shared" si="1"/>
        <v>234006620.86765346</v>
      </c>
      <c r="L28" s="114">
        <f t="shared" si="5"/>
        <v>8951458.9510450065</v>
      </c>
      <c r="M28" s="114">
        <f t="shared" si="6"/>
        <v>-1879806.3797194513</v>
      </c>
      <c r="N28" s="118">
        <f t="shared" si="7"/>
        <v>200398.85126715293</v>
      </c>
      <c r="O28" s="118">
        <f t="shared" si="11"/>
        <v>232126814.48793399</v>
      </c>
    </row>
    <row r="29" spans="2:15" x14ac:dyDescent="0.3">
      <c r="B29" s="205">
        <v>45138</v>
      </c>
      <c r="C29" s="114">
        <v>243198713.56999996</v>
      </c>
      <c r="D29" s="224">
        <f t="shared" si="10"/>
        <v>242655485.56999996</v>
      </c>
      <c r="E29" s="114">
        <v>1478571.7500003839</v>
      </c>
      <c r="F29" s="226">
        <f t="shared" si="9"/>
        <v>524291.50587108359</v>
      </c>
      <c r="G29" s="115">
        <f t="shared" si="12"/>
        <v>525465.19325083343</v>
      </c>
      <c r="H29" s="114">
        <f t="shared" si="3"/>
        <v>-19622123.403391887</v>
      </c>
      <c r="I29" s="120">
        <f t="shared" si="4"/>
        <v>-9173156.2082175873</v>
      </c>
      <c r="J29" s="114">
        <f t="shared" si="0"/>
        <v>223576590.16660807</v>
      </c>
      <c r="K29" s="120">
        <f t="shared" si="1"/>
        <v>233482329.36178237</v>
      </c>
      <c r="L29" s="114">
        <f t="shared" si="5"/>
        <v>9905739.1951743066</v>
      </c>
      <c r="M29" s="114">
        <f t="shared" si="6"/>
        <v>-2080205.2309866042</v>
      </c>
      <c r="N29" s="118">
        <f t="shared" si="7"/>
        <v>200398.85126715293</v>
      </c>
      <c r="O29" s="118">
        <f t="shared" si="11"/>
        <v>231402124.13079578</v>
      </c>
    </row>
    <row r="30" spans="2:15" x14ac:dyDescent="0.3">
      <c r="B30" s="205">
        <v>45169</v>
      </c>
      <c r="C30" s="114">
        <v>243198713.56999996</v>
      </c>
      <c r="D30" s="224">
        <f t="shared" si="10"/>
        <v>242655485.56999996</v>
      </c>
      <c r="E30" s="114">
        <v>1478571.7500003839</v>
      </c>
      <c r="F30" s="226">
        <f t="shared" si="9"/>
        <v>524291.50587108359</v>
      </c>
      <c r="G30" s="115">
        <f t="shared" si="12"/>
        <v>525465.19325083343</v>
      </c>
      <c r="H30" s="114">
        <f t="shared" si="3"/>
        <v>-21100695.15339227</v>
      </c>
      <c r="I30" s="120">
        <f t="shared" si="4"/>
        <v>-9697447.7140886709</v>
      </c>
      <c r="J30" s="114">
        <f t="shared" si="0"/>
        <v>222098018.41660768</v>
      </c>
      <c r="K30" s="120">
        <f t="shared" si="1"/>
        <v>232958037.85591128</v>
      </c>
      <c r="L30" s="114">
        <f t="shared" si="5"/>
        <v>10860019.439303607</v>
      </c>
      <c r="M30" s="114">
        <f t="shared" si="6"/>
        <v>-2280604.0822537574</v>
      </c>
      <c r="N30" s="118">
        <f t="shared" si="7"/>
        <v>200398.85126715316</v>
      </c>
      <c r="O30" s="118">
        <f t="shared" si="11"/>
        <v>230677433.77365753</v>
      </c>
    </row>
    <row r="31" spans="2:15" x14ac:dyDescent="0.3">
      <c r="B31" s="205">
        <v>45199</v>
      </c>
      <c r="C31" s="114">
        <v>243198713.56999996</v>
      </c>
      <c r="D31" s="224">
        <f t="shared" si="10"/>
        <v>242655485.56999996</v>
      </c>
      <c r="E31" s="114">
        <v>1478571.7500003839</v>
      </c>
      <c r="F31" s="226">
        <f t="shared" si="9"/>
        <v>524291.50587108359</v>
      </c>
      <c r="G31" s="115">
        <f t="shared" si="12"/>
        <v>525465.19325083343</v>
      </c>
      <c r="H31" s="114">
        <f t="shared" si="3"/>
        <v>-22579266.903392654</v>
      </c>
      <c r="I31" s="120">
        <f t="shared" si="4"/>
        <v>-10221739.219959754</v>
      </c>
      <c r="J31" s="114">
        <f t="shared" si="0"/>
        <v>220619446.66660732</v>
      </c>
      <c r="K31" s="120">
        <f t="shared" si="1"/>
        <v>232433746.3500402</v>
      </c>
      <c r="L31" s="114">
        <f t="shared" si="5"/>
        <v>11814299.683432877</v>
      </c>
      <c r="M31" s="114">
        <f t="shared" si="6"/>
        <v>-2481002.9335209043</v>
      </c>
      <c r="N31" s="118">
        <f t="shared" si="7"/>
        <v>200398.85126714688</v>
      </c>
      <c r="O31" s="118">
        <f t="shared" si="11"/>
        <v>229952743.41651928</v>
      </c>
    </row>
    <row r="32" spans="2:15" ht="15" thickBot="1" x14ac:dyDescent="0.35">
      <c r="B32" s="205">
        <v>45230</v>
      </c>
      <c r="C32" s="114">
        <v>243198713.56999996</v>
      </c>
      <c r="D32" s="234">
        <f t="shared" si="10"/>
        <v>242655485.56999996</v>
      </c>
      <c r="E32" s="114">
        <v>1478571.7500003839</v>
      </c>
      <c r="F32" s="238">
        <f t="shared" si="9"/>
        <v>524291.50587108359</v>
      </c>
      <c r="G32" s="115">
        <f t="shared" si="12"/>
        <v>525465.19325083343</v>
      </c>
      <c r="H32" s="114">
        <f t="shared" si="3"/>
        <v>-24057838.653393038</v>
      </c>
      <c r="I32" s="120">
        <f t="shared" si="4"/>
        <v>-10746030.725830838</v>
      </c>
      <c r="J32" s="114">
        <f t="shared" si="0"/>
        <v>219140874.91660693</v>
      </c>
      <c r="K32" s="120">
        <f t="shared" si="1"/>
        <v>231909454.84416914</v>
      </c>
      <c r="L32" s="114">
        <f t="shared" si="5"/>
        <v>12768579.927562207</v>
      </c>
      <c r="M32" s="114">
        <f t="shared" si="6"/>
        <v>-2681401.7847880633</v>
      </c>
      <c r="N32" s="118">
        <f t="shared" si="7"/>
        <v>200398.85126715899</v>
      </c>
      <c r="O32" s="118">
        <f t="shared" si="11"/>
        <v>229228053.05938107</v>
      </c>
    </row>
    <row r="33" spans="2:18" x14ac:dyDescent="0.3">
      <c r="B33" s="206">
        <v>45260</v>
      </c>
      <c r="C33" s="156">
        <v>243198713.56999996</v>
      </c>
      <c r="D33" s="224">
        <f t="shared" si="10"/>
        <v>242655485.56999996</v>
      </c>
      <c r="E33" s="156">
        <v>1478571.7500003839</v>
      </c>
      <c r="F33" s="226">
        <f t="shared" si="9"/>
        <v>524291.50587108359</v>
      </c>
      <c r="G33" s="241">
        <f t="shared" si="12"/>
        <v>525465.19325083343</v>
      </c>
      <c r="H33" s="156">
        <f t="shared" si="3"/>
        <v>-25536410.403393421</v>
      </c>
      <c r="I33" s="157">
        <f t="shared" si="4"/>
        <v>-11270322.231701922</v>
      </c>
      <c r="J33" s="156">
        <f t="shared" si="0"/>
        <v>217662303.16660655</v>
      </c>
      <c r="K33" s="157">
        <f t="shared" si="1"/>
        <v>231385163.33829805</v>
      </c>
      <c r="L33" s="156">
        <f t="shared" si="5"/>
        <v>13722860.171691507</v>
      </c>
      <c r="M33" s="156">
        <f t="shared" si="6"/>
        <v>-2881800.6360552162</v>
      </c>
      <c r="N33" s="158">
        <f t="shared" si="7"/>
        <v>200398.85126715293</v>
      </c>
      <c r="O33" s="158">
        <f t="shared" si="11"/>
        <v>228503362.70224285</v>
      </c>
      <c r="P33" s="129"/>
    </row>
    <row r="34" spans="2:18" x14ac:dyDescent="0.3">
      <c r="B34" s="205">
        <v>45291</v>
      </c>
      <c r="C34" s="114">
        <v>243198713.56999996</v>
      </c>
      <c r="D34" s="224">
        <f t="shared" si="10"/>
        <v>242655485.56999996</v>
      </c>
      <c r="E34" s="114">
        <v>1478571.7500003839</v>
      </c>
      <c r="F34" s="226">
        <f t="shared" si="9"/>
        <v>524291.50587108359</v>
      </c>
      <c r="G34" s="115">
        <f t="shared" si="12"/>
        <v>525465.19325083343</v>
      </c>
      <c r="H34" s="114">
        <f t="shared" si="3"/>
        <v>-27014982.153393805</v>
      </c>
      <c r="I34" s="120">
        <f t="shared" si="4"/>
        <v>-11794613.737573005</v>
      </c>
      <c r="J34" s="114">
        <f t="shared" si="0"/>
        <v>216183731.41660616</v>
      </c>
      <c r="K34" s="120">
        <f t="shared" si="1"/>
        <v>230860871.83242697</v>
      </c>
      <c r="L34" s="114">
        <f t="shared" si="5"/>
        <v>14677140.415820807</v>
      </c>
      <c r="M34" s="114">
        <f t="shared" si="6"/>
        <v>-3082199.4873223696</v>
      </c>
      <c r="N34" s="118">
        <f t="shared" si="7"/>
        <v>200398.8512671534</v>
      </c>
      <c r="O34" s="118">
        <f t="shared" si="11"/>
        <v>227778672.3451046</v>
      </c>
      <c r="P34" s="129"/>
    </row>
    <row r="35" spans="2:18" x14ac:dyDescent="0.3">
      <c r="B35" s="205">
        <v>45322</v>
      </c>
      <c r="C35" s="114">
        <v>243198713.56999996</v>
      </c>
      <c r="D35" s="224">
        <f t="shared" si="10"/>
        <v>242655485.56999996</v>
      </c>
      <c r="E35" s="114">
        <v>1348164.9220808002</v>
      </c>
      <c r="F35" s="226">
        <f t="shared" si="9"/>
        <v>524291.50587108359</v>
      </c>
      <c r="G35" s="115">
        <f t="shared" si="12"/>
        <v>525465.19325083343</v>
      </c>
      <c r="H35" s="114">
        <f t="shared" si="3"/>
        <v>-28363147.075474605</v>
      </c>
      <c r="I35" s="120">
        <f t="shared" si="4"/>
        <v>-12318905.243444089</v>
      </c>
      <c r="J35" s="114">
        <f t="shared" si="0"/>
        <v>214835566.49452537</v>
      </c>
      <c r="K35" s="120">
        <f t="shared" si="1"/>
        <v>230336580.32655588</v>
      </c>
      <c r="L35" s="114">
        <f t="shared" si="5"/>
        <v>15501013.832030505</v>
      </c>
      <c r="M35" s="114">
        <f t="shared" si="6"/>
        <v>-3255212.9047264061</v>
      </c>
      <c r="N35" s="118">
        <f t="shared" si="7"/>
        <v>173013.4174040365</v>
      </c>
      <c r="O35" s="118">
        <f t="shared" si="11"/>
        <v>227081367.42182946</v>
      </c>
      <c r="P35" s="129"/>
      <c r="Q35" s="198">
        <v>5432280</v>
      </c>
    </row>
    <row r="36" spans="2:18" x14ac:dyDescent="0.3">
      <c r="B36" s="205">
        <v>45350</v>
      </c>
      <c r="C36" s="114">
        <v>243198713.56999996</v>
      </c>
      <c r="D36" s="224">
        <f t="shared" si="10"/>
        <v>242655485.56999996</v>
      </c>
      <c r="E36" s="114">
        <v>1348164.9220808002</v>
      </c>
      <c r="F36" s="226">
        <f t="shared" si="9"/>
        <v>524291.50587108359</v>
      </c>
      <c r="G36" s="115">
        <f t="shared" si="12"/>
        <v>525465.19325083343</v>
      </c>
      <c r="H36" s="114">
        <f t="shared" si="3"/>
        <v>-29711311.997555405</v>
      </c>
      <c r="I36" s="120">
        <f t="shared" si="4"/>
        <v>-12843196.749315172</v>
      </c>
      <c r="J36" s="114">
        <f t="shared" si="0"/>
        <v>213487401.57244456</v>
      </c>
      <c r="K36" s="120">
        <f t="shared" si="1"/>
        <v>229812288.82068479</v>
      </c>
      <c r="L36" s="114">
        <f t="shared" si="5"/>
        <v>16324887.248240232</v>
      </c>
      <c r="M36" s="114">
        <f t="shared" si="6"/>
        <v>-3428226.3221304487</v>
      </c>
      <c r="N36" s="118">
        <f t="shared" si="7"/>
        <v>173013.41740404256</v>
      </c>
      <c r="O36" s="118">
        <f t="shared" si="11"/>
        <v>226384062.49855435</v>
      </c>
      <c r="P36" s="129"/>
      <c r="Q36" s="243">
        <v>0.1</v>
      </c>
      <c r="R36" s="78" t="s">
        <v>197</v>
      </c>
    </row>
    <row r="37" spans="2:18" x14ac:dyDescent="0.3">
      <c r="B37" s="205">
        <v>45382</v>
      </c>
      <c r="C37" s="114">
        <v>243198713.56999996</v>
      </c>
      <c r="D37" s="224">
        <f t="shared" si="10"/>
        <v>242655485.56999996</v>
      </c>
      <c r="E37" s="114">
        <v>1348164.9220808002</v>
      </c>
      <c r="F37" s="226">
        <f t="shared" si="9"/>
        <v>524291.50587108359</v>
      </c>
      <c r="G37" s="115">
        <f t="shared" si="12"/>
        <v>525465.19325083343</v>
      </c>
      <c r="H37" s="114">
        <f t="shared" si="3"/>
        <v>-31059476.919636205</v>
      </c>
      <c r="I37" s="120">
        <f t="shared" si="4"/>
        <v>-13367488.255186256</v>
      </c>
      <c r="J37" s="114">
        <f t="shared" si="0"/>
        <v>212139236.65036374</v>
      </c>
      <c r="K37" s="120">
        <f t="shared" si="1"/>
        <v>229287997.3148137</v>
      </c>
      <c r="L37" s="114">
        <f t="shared" si="5"/>
        <v>17148760.66444996</v>
      </c>
      <c r="M37" s="114">
        <f t="shared" si="6"/>
        <v>-3601239.7395344917</v>
      </c>
      <c r="N37" s="118">
        <f t="shared" si="7"/>
        <v>173013.41740404302</v>
      </c>
      <c r="O37" s="118">
        <f t="shared" si="11"/>
        <v>225686757.57527921</v>
      </c>
      <c r="P37" s="129"/>
      <c r="Q37" s="127">
        <f>Q35*Q36</f>
        <v>543228</v>
      </c>
    </row>
    <row r="38" spans="2:18" x14ac:dyDescent="0.3">
      <c r="B38" s="205">
        <v>45412</v>
      </c>
      <c r="C38" s="114">
        <v>243198713.56999996</v>
      </c>
      <c r="D38" s="224">
        <f t="shared" si="10"/>
        <v>242655485.56999996</v>
      </c>
      <c r="E38" s="114">
        <v>1348164.9220808002</v>
      </c>
      <c r="F38" s="226">
        <f t="shared" si="9"/>
        <v>524291.50587108359</v>
      </c>
      <c r="G38" s="115">
        <f t="shared" si="12"/>
        <v>525465.19325083343</v>
      </c>
      <c r="H38" s="114">
        <f t="shared" si="3"/>
        <v>-32407641.841717005</v>
      </c>
      <c r="I38" s="120">
        <f t="shared" si="4"/>
        <v>-13891779.76105734</v>
      </c>
      <c r="J38" s="114">
        <f t="shared" si="0"/>
        <v>210791071.72828296</v>
      </c>
      <c r="K38" s="120">
        <f t="shared" si="1"/>
        <v>228763705.80894262</v>
      </c>
      <c r="L38" s="114">
        <f t="shared" si="5"/>
        <v>17972634.080659658</v>
      </c>
      <c r="M38" s="114">
        <f t="shared" si="6"/>
        <v>-3774253.1569385282</v>
      </c>
      <c r="N38" s="118">
        <f t="shared" si="7"/>
        <v>173013.4174040365</v>
      </c>
      <c r="O38" s="118">
        <f t="shared" si="11"/>
        <v>224989452.65200409</v>
      </c>
      <c r="P38" s="129"/>
    </row>
    <row r="39" spans="2:18" x14ac:dyDescent="0.3">
      <c r="B39" s="205">
        <v>45443</v>
      </c>
      <c r="C39" s="114">
        <v>243198713.56999996</v>
      </c>
      <c r="D39" s="224">
        <f t="shared" si="10"/>
        <v>242655485.56999996</v>
      </c>
      <c r="E39" s="114">
        <v>1348164.9220808002</v>
      </c>
      <c r="F39" s="226">
        <f t="shared" si="9"/>
        <v>524291.50587108359</v>
      </c>
      <c r="G39" s="115">
        <f t="shared" si="12"/>
        <v>525465.19325083343</v>
      </c>
      <c r="H39" s="114">
        <f t="shared" si="3"/>
        <v>-33755806.763797805</v>
      </c>
      <c r="I39" s="120">
        <f t="shared" si="4"/>
        <v>-14416071.266928423</v>
      </c>
      <c r="J39" s="114">
        <f t="shared" si="0"/>
        <v>209442906.80620217</v>
      </c>
      <c r="K39" s="120">
        <f t="shared" si="1"/>
        <v>228239414.30307153</v>
      </c>
      <c r="L39" s="114">
        <f t="shared" si="5"/>
        <v>18796507.496869355</v>
      </c>
      <c r="M39" s="114">
        <f t="shared" si="6"/>
        <v>-3947266.5743425647</v>
      </c>
      <c r="N39" s="118">
        <f t="shared" si="7"/>
        <v>173013.4174040365</v>
      </c>
      <c r="O39" s="118">
        <f t="shared" si="11"/>
        <v>224292147.72872895</v>
      </c>
      <c r="P39" s="129"/>
    </row>
    <row r="40" spans="2:18" x14ac:dyDescent="0.3">
      <c r="B40" s="205">
        <v>45473</v>
      </c>
      <c r="C40" s="114">
        <v>243198713.56999996</v>
      </c>
      <c r="D40" s="224">
        <f t="shared" si="10"/>
        <v>242655485.56999996</v>
      </c>
      <c r="E40" s="114">
        <v>1348164.9220808002</v>
      </c>
      <c r="F40" s="226">
        <f t="shared" si="9"/>
        <v>524291.50587108359</v>
      </c>
      <c r="G40" s="115">
        <f t="shared" si="12"/>
        <v>525465.19325083343</v>
      </c>
      <c r="H40" s="114">
        <f t="shared" si="3"/>
        <v>-35103971.685878605</v>
      </c>
      <c r="I40" s="120">
        <f t="shared" si="4"/>
        <v>-14940362.772799507</v>
      </c>
      <c r="J40" s="114">
        <f t="shared" si="0"/>
        <v>208094741.88412136</v>
      </c>
      <c r="K40" s="120">
        <f t="shared" si="1"/>
        <v>227715122.79720044</v>
      </c>
      <c r="L40" s="114">
        <f t="shared" si="5"/>
        <v>19620380.913079083</v>
      </c>
      <c r="M40" s="114">
        <f t="shared" si="6"/>
        <v>-4120279.9917466072</v>
      </c>
      <c r="N40" s="118">
        <f t="shared" si="7"/>
        <v>173013.41740404256</v>
      </c>
      <c r="O40" s="118">
        <f t="shared" si="11"/>
        <v>223594842.80545384</v>
      </c>
      <c r="P40" s="129"/>
    </row>
    <row r="41" spans="2:18" x14ac:dyDescent="0.3">
      <c r="B41" s="205">
        <v>45504</v>
      </c>
      <c r="C41" s="114">
        <v>243198713.56999996</v>
      </c>
      <c r="D41" s="224">
        <f t="shared" si="10"/>
        <v>242655485.56999996</v>
      </c>
      <c r="E41" s="114">
        <v>1348164.9220808002</v>
      </c>
      <c r="F41" s="226">
        <f t="shared" si="9"/>
        <v>524291.50587108359</v>
      </c>
      <c r="G41" s="115">
        <f t="shared" si="12"/>
        <v>525465.19325083343</v>
      </c>
      <c r="H41" s="114">
        <f t="shared" si="3"/>
        <v>-36452136.607959405</v>
      </c>
      <c r="I41" s="120">
        <f t="shared" si="4"/>
        <v>-15464654.27867059</v>
      </c>
      <c r="J41" s="114">
        <f t="shared" si="0"/>
        <v>206746576.96204054</v>
      </c>
      <c r="K41" s="120">
        <f t="shared" si="1"/>
        <v>227190831.29132938</v>
      </c>
      <c r="L41" s="114">
        <f t="shared" si="5"/>
        <v>20444254.32928884</v>
      </c>
      <c r="M41" s="114">
        <f t="shared" si="6"/>
        <v>-4293293.4091506563</v>
      </c>
      <c r="N41" s="118">
        <f t="shared" si="7"/>
        <v>173013.41740404908</v>
      </c>
      <c r="O41" s="118">
        <f t="shared" si="11"/>
        <v>222897537.88217872</v>
      </c>
      <c r="P41" s="129"/>
    </row>
    <row r="42" spans="2:18" x14ac:dyDescent="0.3">
      <c r="B42" s="205">
        <v>45535</v>
      </c>
      <c r="C42" s="114">
        <v>243198713.56999996</v>
      </c>
      <c r="D42" s="224">
        <f t="shared" si="10"/>
        <v>242655485.56999996</v>
      </c>
      <c r="E42" s="114">
        <v>1348164.9220808002</v>
      </c>
      <c r="F42" s="226">
        <f t="shared" si="9"/>
        <v>524291.50587108359</v>
      </c>
      <c r="G42" s="115">
        <f t="shared" si="12"/>
        <v>525465.19325083343</v>
      </c>
      <c r="H42" s="114">
        <f t="shared" si="3"/>
        <v>-37800301.530040205</v>
      </c>
      <c r="I42" s="120">
        <f t="shared" si="4"/>
        <v>-15988945.784541674</v>
      </c>
      <c r="J42" s="114">
        <f t="shared" si="0"/>
        <v>205398412.03995976</v>
      </c>
      <c r="K42" s="120">
        <f t="shared" si="1"/>
        <v>226666539.7854583</v>
      </c>
      <c r="L42" s="114">
        <f t="shared" si="5"/>
        <v>21268127.745498538</v>
      </c>
      <c r="M42" s="114">
        <f t="shared" si="6"/>
        <v>-4466306.8265546933</v>
      </c>
      <c r="N42" s="118">
        <f t="shared" si="7"/>
        <v>173013.41740403697</v>
      </c>
      <c r="O42" s="118">
        <f t="shared" si="11"/>
        <v>222200232.95890361</v>
      </c>
      <c r="P42" s="129"/>
    </row>
    <row r="43" spans="2:18" x14ac:dyDescent="0.3">
      <c r="B43" s="205">
        <v>45565</v>
      </c>
      <c r="C43" s="114">
        <v>243198713.56999996</v>
      </c>
      <c r="D43" s="224">
        <f t="shared" si="10"/>
        <v>242655485.56999996</v>
      </c>
      <c r="E43" s="114">
        <v>1348164.9220808002</v>
      </c>
      <c r="F43" s="226">
        <f t="shared" si="9"/>
        <v>524291.50587108359</v>
      </c>
      <c r="G43" s="115">
        <f t="shared" si="12"/>
        <v>525465.19325083343</v>
      </c>
      <c r="H43" s="114">
        <f t="shared" si="3"/>
        <v>-39148466.452121004</v>
      </c>
      <c r="I43" s="120">
        <f t="shared" si="4"/>
        <v>-16513237.290412758</v>
      </c>
      <c r="J43" s="114">
        <f t="shared" si="0"/>
        <v>204050247.11787897</v>
      </c>
      <c r="K43" s="120">
        <f t="shared" si="1"/>
        <v>226142248.27958721</v>
      </c>
      <c r="L43" s="114">
        <f t="shared" si="5"/>
        <v>22092001.161708236</v>
      </c>
      <c r="M43" s="114">
        <f t="shared" si="6"/>
        <v>-4639320.2439587293</v>
      </c>
      <c r="N43" s="118">
        <f t="shared" si="7"/>
        <v>173013.41740403604</v>
      </c>
      <c r="O43" s="118">
        <f t="shared" si="11"/>
        <v>221502928.03562847</v>
      </c>
      <c r="P43" s="129"/>
    </row>
    <row r="44" spans="2:18" ht="15" thickBot="1" x14ac:dyDescent="0.35">
      <c r="B44" s="205">
        <v>45596</v>
      </c>
      <c r="C44" s="114">
        <v>243198713.56999996</v>
      </c>
      <c r="D44" s="224">
        <f t="shared" si="10"/>
        <v>242655485.56999996</v>
      </c>
      <c r="E44" s="114">
        <v>1348164.9220808002</v>
      </c>
      <c r="F44" s="226">
        <f t="shared" si="9"/>
        <v>524291.50587108359</v>
      </c>
      <c r="G44" s="115">
        <f t="shared" si="12"/>
        <v>525465.19325083343</v>
      </c>
      <c r="H44" s="114">
        <f t="shared" si="3"/>
        <v>-40496631.374201804</v>
      </c>
      <c r="I44" s="120">
        <f t="shared" si="4"/>
        <v>-17037528.796283841</v>
      </c>
      <c r="J44" s="114">
        <f t="shared" si="0"/>
        <v>202702082.19579816</v>
      </c>
      <c r="K44" s="120">
        <f t="shared" si="1"/>
        <v>225617956.77371612</v>
      </c>
      <c r="L44" s="114">
        <f t="shared" si="5"/>
        <v>22915874.577917963</v>
      </c>
      <c r="M44" s="114">
        <f t="shared" si="6"/>
        <v>-4812333.6613627719</v>
      </c>
      <c r="N44" s="118">
        <f t="shared" si="7"/>
        <v>173013.41740404256</v>
      </c>
      <c r="O44" s="118">
        <f t="shared" si="11"/>
        <v>220805623.11235335</v>
      </c>
      <c r="P44" s="129"/>
    </row>
    <row r="45" spans="2:18" ht="15" thickBot="1" x14ac:dyDescent="0.35">
      <c r="B45" s="207">
        <v>45626</v>
      </c>
      <c r="C45" s="208">
        <v>243198713.56999996</v>
      </c>
      <c r="D45" s="233">
        <f t="shared" si="10"/>
        <v>242655485.56999996</v>
      </c>
      <c r="E45" s="208">
        <v>1348164.9220808002</v>
      </c>
      <c r="F45" s="239">
        <f t="shared" si="9"/>
        <v>524291.50587108359</v>
      </c>
      <c r="G45" s="242">
        <f t="shared" si="12"/>
        <v>525465.19325083343</v>
      </c>
      <c r="H45" s="208">
        <f t="shared" si="3"/>
        <v>-41844796.296282604</v>
      </c>
      <c r="I45" s="209">
        <f t="shared" si="4"/>
        <v>-17561820.302154925</v>
      </c>
      <c r="J45" s="208">
        <f t="shared" si="0"/>
        <v>201353917.27371734</v>
      </c>
      <c r="K45" s="209">
        <f t="shared" si="1"/>
        <v>225093665.26784503</v>
      </c>
      <c r="L45" s="208">
        <f t="shared" si="5"/>
        <v>23739747.994127691</v>
      </c>
      <c r="M45" s="208">
        <f t="shared" si="6"/>
        <v>-4985347.0787668144</v>
      </c>
      <c r="N45" s="210">
        <f t="shared" si="7"/>
        <v>173013.41740404256</v>
      </c>
      <c r="O45" s="210">
        <f t="shared" si="11"/>
        <v>220108318.18907821</v>
      </c>
      <c r="P45" s="129"/>
    </row>
    <row r="46" spans="2:18" x14ac:dyDescent="0.3">
      <c r="B46" s="77"/>
      <c r="P46" s="129"/>
    </row>
    <row r="47" spans="2:18" x14ac:dyDescent="0.3">
      <c r="B47" s="164" t="s">
        <v>160</v>
      </c>
    </row>
    <row r="49" spans="2:3" x14ac:dyDescent="0.3">
      <c r="B49" s="211" t="s">
        <v>177</v>
      </c>
      <c r="C49" s="177"/>
    </row>
    <row r="50" spans="2:3" x14ac:dyDescent="0.3">
      <c r="B50" s="126" t="s">
        <v>77</v>
      </c>
      <c r="C50" s="198">
        <f>(D32+D44+SUM(D33:D43)*2)/24</f>
        <v>242655485.57000002</v>
      </c>
    </row>
    <row r="51" spans="2:3" x14ac:dyDescent="0.3">
      <c r="B51" s="78" t="s">
        <v>183</v>
      </c>
      <c r="C51" s="127">
        <f>(I32+I44+SUM(I33:I43)*2)/24</f>
        <v>-13891779.76105734</v>
      </c>
    </row>
    <row r="52" spans="2:3" x14ac:dyDescent="0.3">
      <c r="B52" s="78" t="s">
        <v>87</v>
      </c>
      <c r="C52" s="127">
        <f>(M32+M44+SUM(M33:M43)*2)/24</f>
        <v>-3769688.9179613441</v>
      </c>
    </row>
  </sheetData>
  <printOptions horizontalCentered="1"/>
  <pageMargins left="0.2" right="0.2" top="0.25" bottom="0.25" header="0.3" footer="0.3"/>
  <pageSetup scale="75" orientation="landscape" r:id="rId1"/>
  <headerFooter>
    <oddFooter>&amp;R&amp;"Times New Roman,Regular"&amp;10Exh. SEF-3 page 2 of 16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</sheetPr>
  <dimension ref="A1"/>
  <sheetViews>
    <sheetView workbookViewId="0">
      <selection activeCell="C50" sqref="C50"/>
    </sheetView>
  </sheetViews>
  <sheetFormatPr defaultRowHeight="14.4" x14ac:dyDescent="0.3"/>
  <sheetData/>
  <pageMargins left="0.7" right="0.7" top="0.75" bottom="0.75" header="0.3" footer="0.3"/>
  <pageSetup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</sheetPr>
  <dimension ref="B2:E16"/>
  <sheetViews>
    <sheetView workbookViewId="0">
      <selection activeCell="E4" sqref="E4"/>
    </sheetView>
  </sheetViews>
  <sheetFormatPr defaultRowHeight="14.4" x14ac:dyDescent="0.3"/>
  <cols>
    <col min="3" max="3" width="20.88671875" bestFit="1" customWidth="1"/>
    <col min="4" max="4" width="14.33203125" bestFit="1" customWidth="1"/>
    <col min="5" max="5" width="17.5546875" bestFit="1" customWidth="1"/>
  </cols>
  <sheetData>
    <row r="2" spans="2:5" x14ac:dyDescent="0.3">
      <c r="B2" s="5" t="s">
        <v>133</v>
      </c>
    </row>
    <row r="3" spans="2:5" x14ac:dyDescent="0.3">
      <c r="D3" s="76" t="s">
        <v>169</v>
      </c>
      <c r="E3" s="76" t="s">
        <v>170</v>
      </c>
    </row>
    <row r="4" spans="2:5" x14ac:dyDescent="0.3">
      <c r="C4" s="3" t="s">
        <v>79</v>
      </c>
      <c r="D4" s="3" t="s">
        <v>130</v>
      </c>
      <c r="E4" s="3" t="s">
        <v>171</v>
      </c>
    </row>
    <row r="5" spans="2:5" x14ac:dyDescent="0.3">
      <c r="C5" t="s">
        <v>134</v>
      </c>
      <c r="D5" s="4">
        <f>'LNG O&amp;M Deferral'!F110</f>
        <v>2219773.4122170513</v>
      </c>
      <c r="E5" s="4">
        <f>'LNG O&amp;M Deferral'!$M$59</f>
        <v>6137673.4847801458</v>
      </c>
    </row>
    <row r="6" spans="2:5" x14ac:dyDescent="0.3">
      <c r="C6" t="s">
        <v>166</v>
      </c>
      <c r="D6" s="170">
        <f>'LNG Depreciation Deferral'!F109</f>
        <v>2686507.6814577095</v>
      </c>
      <c r="E6" s="170">
        <f>'LNG Depreciation Deferral'!$M$59</f>
        <v>7428193.7392305667</v>
      </c>
    </row>
    <row r="7" spans="2:5" x14ac:dyDescent="0.3">
      <c r="C7" t="s">
        <v>167</v>
      </c>
      <c r="D7" s="170">
        <f>'LNG Return Deferral'!F111</f>
        <v>4070735.1581540164</v>
      </c>
      <c r="E7" s="170">
        <f>'LNG Return Deferral'!$M$59</f>
        <v>11255582.712295862</v>
      </c>
    </row>
    <row r="8" spans="2:5" ht="15" thickBot="1" x14ac:dyDescent="0.35">
      <c r="C8" t="s">
        <v>21</v>
      </c>
      <c r="D8" s="171">
        <f>SUM(D5:D7)</f>
        <v>8977016.2518287767</v>
      </c>
      <c r="E8" s="144">
        <f>SUM(E5:E7)</f>
        <v>24821449.936306573</v>
      </c>
    </row>
    <row r="9" spans="2:5" ht="15" thickTop="1" x14ac:dyDescent="0.3">
      <c r="C9" t="s">
        <v>154</v>
      </c>
      <c r="D9" s="172">
        <v>0.79</v>
      </c>
      <c r="E9" s="143" t="s">
        <v>172</v>
      </c>
    </row>
    <row r="10" spans="2:5" ht="15" thickBot="1" x14ac:dyDescent="0.35">
      <c r="C10" t="s">
        <v>168</v>
      </c>
      <c r="D10" s="144">
        <f>-D8*D9</f>
        <v>-7091842.8389447341</v>
      </c>
      <c r="E10" s="143" t="s">
        <v>172</v>
      </c>
    </row>
    <row r="11" spans="2:5" ht="15" thickTop="1" x14ac:dyDescent="0.3"/>
    <row r="13" spans="2:5" x14ac:dyDescent="0.3">
      <c r="C13" t="s">
        <v>132</v>
      </c>
      <c r="E13" s="173">
        <f>SUM(E5:E6)</f>
        <v>13565867.224010713</v>
      </c>
    </row>
    <row r="14" spans="2:5" x14ac:dyDescent="0.3">
      <c r="C14" t="s">
        <v>173</v>
      </c>
      <c r="E14" s="174">
        <f>E7</f>
        <v>11255582.712295862</v>
      </c>
    </row>
    <row r="15" spans="2:5" ht="15" thickBot="1" x14ac:dyDescent="0.35">
      <c r="C15" t="s">
        <v>21</v>
      </c>
      <c r="E15" s="144">
        <f>SUM(E13:E14)</f>
        <v>24821449.936306573</v>
      </c>
    </row>
    <row r="16" spans="2:5" ht="15" thickTop="1" x14ac:dyDescent="0.3"/>
  </sheetData>
  <pageMargins left="0.7" right="0.7" top="0.75" bottom="0.75" header="0.3" footer="0.3"/>
  <pageSetup orientation="portrait" horizontalDpi="1200" verticalDpi="1200" r:id="rId1"/>
  <headerFooter>
    <oddFooter>&amp;R&amp;"Times New Roman,Regular"&amp;10Exh. SEF-3 page 3 of 16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</sheetPr>
  <dimension ref="A1:O110"/>
  <sheetViews>
    <sheetView workbookViewId="0">
      <pane xSplit="1" ySplit="9" topLeftCell="B53" activePane="bottomRight" state="frozen"/>
      <selection activeCell="C50" sqref="C50"/>
      <selection pane="topRight" activeCell="C50" sqref="C50"/>
      <selection pane="bottomLeft" activeCell="C50" sqref="C50"/>
      <selection pane="bottomRight" activeCell="M83" sqref="M83"/>
    </sheetView>
  </sheetViews>
  <sheetFormatPr defaultColWidth="9.109375" defaultRowHeight="13.2" outlineLevelRow="1" x14ac:dyDescent="0.25"/>
  <cols>
    <col min="1" max="1" width="9.6640625" style="30" customWidth="1"/>
    <col min="2" max="2" width="8.88671875" style="66" bestFit="1" customWidth="1"/>
    <col min="3" max="3" width="11.33203125" style="66" customWidth="1"/>
    <col min="4" max="4" width="10.33203125" style="66" bestFit="1" customWidth="1"/>
    <col min="5" max="5" width="10.6640625" style="66" bestFit="1" customWidth="1"/>
    <col min="6" max="6" width="16.33203125" style="66" bestFit="1" customWidth="1"/>
    <col min="7" max="7" width="16.109375" style="66" bestFit="1" customWidth="1"/>
    <col min="8" max="8" width="12.109375" style="66" bestFit="1" customWidth="1"/>
    <col min="9" max="9" width="11.44140625" style="66" bestFit="1" customWidth="1"/>
    <col min="10" max="10" width="15" style="66" bestFit="1" customWidth="1"/>
    <col min="11" max="11" width="16.6640625" style="66" bestFit="1" customWidth="1"/>
    <col min="12" max="12" width="11.33203125" style="66" bestFit="1" customWidth="1"/>
    <col min="13" max="13" width="11.44140625" style="66" bestFit="1" customWidth="1"/>
    <col min="14" max="14" width="11.109375" style="66" bestFit="1" customWidth="1"/>
    <col min="15" max="15" width="6.33203125" style="30" bestFit="1" customWidth="1"/>
    <col min="16" max="16384" width="9.109375" style="30"/>
  </cols>
  <sheetData>
    <row r="1" spans="1:15" x14ac:dyDescent="0.25">
      <c r="A1" s="27" t="s">
        <v>43</v>
      </c>
      <c r="B1" s="28"/>
      <c r="C1" s="28"/>
      <c r="D1" s="28"/>
      <c r="E1" s="28"/>
      <c r="F1" s="28"/>
      <c r="G1" s="28"/>
      <c r="H1" s="28"/>
      <c r="I1" s="28"/>
      <c r="J1" s="29"/>
      <c r="K1" s="29"/>
      <c r="L1" s="29"/>
      <c r="M1" s="29"/>
      <c r="N1" s="30"/>
    </row>
    <row r="2" spans="1:15" x14ac:dyDescent="0.25">
      <c r="A2" s="27" t="s">
        <v>184</v>
      </c>
      <c r="B2" s="28"/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30"/>
    </row>
    <row r="3" spans="1:15" x14ac:dyDescent="0.25">
      <c r="A3" s="27" t="s">
        <v>45</v>
      </c>
      <c r="B3" s="28"/>
      <c r="C3" s="28"/>
      <c r="D3" s="28"/>
      <c r="E3" s="28"/>
      <c r="F3" s="28"/>
      <c r="G3" s="28"/>
      <c r="H3" s="28"/>
      <c r="I3" s="28"/>
      <c r="J3" s="29"/>
      <c r="K3" s="29"/>
      <c r="L3" s="29"/>
      <c r="M3" s="29"/>
      <c r="N3" s="30"/>
    </row>
    <row r="4" spans="1:15" x14ac:dyDescent="0.25">
      <c r="A4" s="28"/>
      <c r="B4" s="28"/>
      <c r="C4" s="31"/>
      <c r="D4" s="32"/>
      <c r="E4" s="33"/>
      <c r="F4" s="34"/>
      <c r="G4" s="34"/>
      <c r="H4" s="34"/>
      <c r="I4" s="34"/>
      <c r="J4" s="35"/>
      <c r="K4" s="36"/>
      <c r="L4" s="35"/>
      <c r="M4" s="35"/>
      <c r="N4" s="30"/>
    </row>
    <row r="5" spans="1:15" x14ac:dyDescent="0.25">
      <c r="A5" s="29"/>
      <c r="B5" s="29"/>
      <c r="C5" s="37" t="s">
        <v>46</v>
      </c>
      <c r="D5" s="38"/>
      <c r="E5" s="35"/>
      <c r="F5" s="39"/>
      <c r="G5" s="39"/>
      <c r="H5" s="39"/>
      <c r="I5" s="39"/>
      <c r="J5" s="40"/>
      <c r="K5" s="39"/>
      <c r="L5" s="39"/>
      <c r="M5" s="39"/>
      <c r="N5" s="30"/>
    </row>
    <row r="6" spans="1:15" x14ac:dyDescent="0.25">
      <c r="A6" s="41"/>
      <c r="B6" s="41"/>
      <c r="C6" s="42" t="s">
        <v>47</v>
      </c>
      <c r="D6" s="42" t="s">
        <v>48</v>
      </c>
      <c r="E6" s="42" t="s">
        <v>49</v>
      </c>
      <c r="F6" s="42" t="s">
        <v>50</v>
      </c>
      <c r="G6" s="42" t="s">
        <v>51</v>
      </c>
      <c r="H6" s="42" t="s">
        <v>52</v>
      </c>
      <c r="I6" s="42" t="s">
        <v>41</v>
      </c>
      <c r="J6" s="42" t="s">
        <v>50</v>
      </c>
      <c r="K6" s="42" t="s">
        <v>51</v>
      </c>
      <c r="L6" s="42" t="s">
        <v>53</v>
      </c>
      <c r="M6" s="43" t="s">
        <v>54</v>
      </c>
      <c r="N6" s="44" t="s">
        <v>48</v>
      </c>
      <c r="O6" s="146" t="s">
        <v>156</v>
      </c>
    </row>
    <row r="7" spans="1:15" x14ac:dyDescent="0.25">
      <c r="A7" s="39" t="s">
        <v>55</v>
      </c>
      <c r="B7" s="45"/>
      <c r="C7" s="39" t="s">
        <v>56</v>
      </c>
      <c r="D7" s="39"/>
      <c r="E7" s="39" t="s">
        <v>48</v>
      </c>
      <c r="F7" s="39" t="s">
        <v>57</v>
      </c>
      <c r="G7" s="39" t="s">
        <v>57</v>
      </c>
      <c r="H7" s="39" t="s">
        <v>57</v>
      </c>
      <c r="I7" s="39" t="s">
        <v>58</v>
      </c>
      <c r="J7" s="39" t="s">
        <v>59</v>
      </c>
      <c r="K7" s="39" t="s">
        <v>59</v>
      </c>
      <c r="L7" s="39" t="s">
        <v>41</v>
      </c>
      <c r="M7" s="46" t="s">
        <v>53</v>
      </c>
      <c r="N7" s="47" t="s">
        <v>60</v>
      </c>
      <c r="O7" s="146" t="s">
        <v>158</v>
      </c>
    </row>
    <row r="8" spans="1:15" x14ac:dyDescent="0.25">
      <c r="A8" s="39" t="s">
        <v>61</v>
      </c>
      <c r="B8" s="45"/>
      <c r="C8" s="39" t="s">
        <v>62</v>
      </c>
      <c r="D8" s="39" t="s">
        <v>63</v>
      </c>
      <c r="E8" s="39" t="s">
        <v>64</v>
      </c>
      <c r="F8" s="39" t="s">
        <v>65</v>
      </c>
      <c r="G8" s="48" t="s">
        <v>66</v>
      </c>
      <c r="H8" s="39" t="s">
        <v>67</v>
      </c>
      <c r="I8" s="39" t="s">
        <v>68</v>
      </c>
      <c r="J8" s="39" t="s">
        <v>69</v>
      </c>
      <c r="K8" s="39" t="s">
        <v>70</v>
      </c>
      <c r="L8" s="39" t="s">
        <v>71</v>
      </c>
      <c r="M8" s="46" t="s">
        <v>72</v>
      </c>
      <c r="N8" s="47" t="s">
        <v>73</v>
      </c>
      <c r="O8" s="147" t="s">
        <v>157</v>
      </c>
    </row>
    <row r="9" spans="1:15" x14ac:dyDescent="0.25">
      <c r="A9" s="49"/>
      <c r="B9" s="49"/>
      <c r="C9" s="50"/>
      <c r="D9" s="50"/>
      <c r="E9" s="50"/>
      <c r="F9" s="51" t="s">
        <v>74</v>
      </c>
      <c r="G9" s="50"/>
      <c r="H9" s="50"/>
      <c r="I9" s="50"/>
      <c r="J9" s="50" t="s">
        <v>75</v>
      </c>
      <c r="K9" s="52"/>
      <c r="L9" s="50"/>
      <c r="M9" s="53"/>
      <c r="N9" s="54"/>
      <c r="O9" s="146">
        <v>0.21</v>
      </c>
    </row>
    <row r="10" spans="1:15" x14ac:dyDescent="0.25">
      <c r="A10" s="55"/>
      <c r="B10" s="29"/>
      <c r="C10" s="39"/>
      <c r="D10" s="56"/>
      <c r="E10" s="57"/>
      <c r="F10" s="39"/>
      <c r="G10" s="39"/>
      <c r="H10" s="56"/>
      <c r="I10" s="56"/>
      <c r="J10" s="58"/>
      <c r="K10" s="58"/>
      <c r="L10" s="58"/>
      <c r="M10" s="59"/>
      <c r="N10" s="60"/>
    </row>
    <row r="11" spans="1:15" x14ac:dyDescent="0.25">
      <c r="A11" s="61" t="s">
        <v>76</v>
      </c>
      <c r="B11" s="61"/>
      <c r="C11" s="62"/>
      <c r="D11" s="56"/>
      <c r="E11" s="63"/>
      <c r="F11" s="56"/>
      <c r="G11" s="56"/>
      <c r="H11" s="56"/>
      <c r="I11" s="56"/>
      <c r="J11" s="63"/>
      <c r="K11" s="63"/>
      <c r="L11" s="63"/>
      <c r="M11" s="59"/>
      <c r="N11" s="64"/>
    </row>
    <row r="12" spans="1:15" hidden="1" outlineLevel="1" x14ac:dyDescent="0.25">
      <c r="A12" s="61">
        <v>44165</v>
      </c>
      <c r="B12" s="61"/>
      <c r="C12" s="62"/>
      <c r="D12" s="56"/>
      <c r="E12" s="63"/>
      <c r="F12" s="56"/>
      <c r="G12" s="56"/>
      <c r="H12" s="56"/>
      <c r="I12" s="56"/>
      <c r="J12" s="63"/>
      <c r="K12" s="63"/>
      <c r="L12" s="63"/>
      <c r="M12" s="58"/>
      <c r="N12" s="64"/>
    </row>
    <row r="13" spans="1:15" hidden="1" outlineLevel="1" x14ac:dyDescent="0.25">
      <c r="A13" s="61">
        <v>44196</v>
      </c>
      <c r="B13" s="61"/>
      <c r="C13" s="62"/>
      <c r="D13" s="56"/>
      <c r="E13" s="63"/>
      <c r="F13" s="56"/>
      <c r="G13" s="56"/>
      <c r="H13" s="56"/>
      <c r="I13" s="56"/>
      <c r="J13" s="63"/>
      <c r="K13" s="63"/>
      <c r="L13" s="63"/>
      <c r="M13" s="58"/>
      <c r="N13" s="64"/>
    </row>
    <row r="14" spans="1:15" hidden="1" outlineLevel="1" x14ac:dyDescent="0.25">
      <c r="A14" s="61">
        <v>44227</v>
      </c>
      <c r="B14" s="61"/>
      <c r="C14" s="62"/>
      <c r="D14" s="56"/>
      <c r="E14" s="63"/>
      <c r="F14" s="56"/>
      <c r="G14" s="56"/>
      <c r="H14" s="56"/>
      <c r="I14" s="56"/>
      <c r="J14" s="63"/>
      <c r="K14" s="63"/>
      <c r="L14" s="63"/>
      <c r="M14" s="58"/>
      <c r="N14" s="64"/>
    </row>
    <row r="15" spans="1:15" hidden="1" outlineLevel="1" x14ac:dyDescent="0.25">
      <c r="A15" s="61">
        <v>44255</v>
      </c>
      <c r="B15" s="61"/>
      <c r="C15" s="62"/>
      <c r="D15" s="56"/>
      <c r="E15" s="63"/>
      <c r="F15" s="56"/>
      <c r="G15" s="56"/>
      <c r="H15" s="56"/>
      <c r="I15" s="56"/>
      <c r="J15" s="63"/>
      <c r="K15" s="63"/>
      <c r="L15" s="63"/>
      <c r="M15" s="58"/>
      <c r="N15" s="64"/>
    </row>
    <row r="16" spans="1:15" hidden="1" outlineLevel="1" x14ac:dyDescent="0.25">
      <c r="A16" s="61">
        <v>44286</v>
      </c>
      <c r="B16" s="61"/>
      <c r="C16" s="62"/>
      <c r="D16" s="56"/>
      <c r="E16" s="63"/>
      <c r="F16" s="56"/>
      <c r="G16" s="56"/>
      <c r="H16" s="56"/>
      <c r="I16" s="56"/>
      <c r="J16" s="63"/>
      <c r="K16" s="63"/>
      <c r="L16" s="63"/>
      <c r="M16" s="58"/>
      <c r="N16" s="64"/>
    </row>
    <row r="17" spans="1:15" hidden="1" outlineLevel="1" x14ac:dyDescent="0.25">
      <c r="A17" s="61">
        <v>44316</v>
      </c>
      <c r="B17" s="61"/>
      <c r="C17" s="62"/>
      <c r="D17" s="56"/>
      <c r="E17" s="63"/>
      <c r="F17" s="56"/>
      <c r="G17" s="56"/>
      <c r="H17" s="56"/>
      <c r="I17" s="56"/>
      <c r="J17" s="63"/>
      <c r="K17" s="63"/>
      <c r="L17" s="63"/>
      <c r="M17" s="58"/>
      <c r="N17" s="64"/>
    </row>
    <row r="18" spans="1:15" hidden="1" outlineLevel="1" x14ac:dyDescent="0.25">
      <c r="A18" s="61">
        <v>44347</v>
      </c>
      <c r="B18" s="61"/>
      <c r="C18" s="62"/>
      <c r="D18" s="56"/>
      <c r="E18" s="63"/>
      <c r="F18" s="56"/>
      <c r="G18" s="56"/>
      <c r="H18" s="56"/>
      <c r="I18" s="56"/>
      <c r="J18" s="63"/>
      <c r="K18" s="63"/>
      <c r="L18" s="63"/>
      <c r="M18" s="58"/>
      <c r="N18" s="64"/>
    </row>
    <row r="19" spans="1:15" hidden="1" outlineLevel="1" x14ac:dyDescent="0.25">
      <c r="A19" s="61">
        <v>44377</v>
      </c>
      <c r="B19" s="61"/>
      <c r="C19" s="62"/>
      <c r="D19" s="56"/>
      <c r="E19" s="63"/>
      <c r="F19" s="56"/>
      <c r="G19" s="56"/>
      <c r="H19" s="56"/>
      <c r="I19" s="56"/>
      <c r="J19" s="63"/>
      <c r="K19" s="63"/>
      <c r="L19" s="63"/>
      <c r="M19" s="58"/>
      <c r="N19" s="64"/>
    </row>
    <row r="20" spans="1:15" hidden="1" outlineLevel="1" x14ac:dyDescent="0.25">
      <c r="A20" s="61">
        <v>44408</v>
      </c>
      <c r="B20" s="61"/>
      <c r="C20" s="62"/>
      <c r="D20" s="56"/>
      <c r="E20" s="63"/>
      <c r="F20" s="56"/>
      <c r="G20" s="56"/>
      <c r="H20" s="56"/>
      <c r="I20" s="56"/>
      <c r="J20" s="63"/>
      <c r="K20" s="63"/>
      <c r="L20" s="63"/>
      <c r="M20" s="58"/>
      <c r="N20" s="64"/>
    </row>
    <row r="21" spans="1:15" hidden="1" outlineLevel="1" x14ac:dyDescent="0.25">
      <c r="A21" s="61">
        <v>44439</v>
      </c>
      <c r="B21" s="61"/>
      <c r="C21" s="62"/>
      <c r="D21" s="56"/>
      <c r="E21" s="63"/>
      <c r="F21" s="56"/>
      <c r="G21" s="56"/>
      <c r="H21" s="56"/>
      <c r="I21" s="56"/>
      <c r="J21" s="63"/>
      <c r="K21" s="63"/>
      <c r="L21" s="63"/>
      <c r="M21" s="58"/>
      <c r="N21" s="64"/>
    </row>
    <row r="22" spans="1:15" hidden="1" outlineLevel="1" x14ac:dyDescent="0.25">
      <c r="A22" s="61">
        <v>44469</v>
      </c>
      <c r="B22" s="61"/>
      <c r="C22" s="79"/>
      <c r="D22" s="56"/>
      <c r="E22" s="63"/>
      <c r="F22" s="56"/>
      <c r="G22" s="56"/>
      <c r="H22" s="56"/>
      <c r="I22" s="56"/>
      <c r="J22" s="63"/>
      <c r="K22" s="63"/>
      <c r="L22" s="63"/>
      <c r="M22" s="58"/>
      <c r="N22" s="64"/>
    </row>
    <row r="23" spans="1:15" hidden="1" outlineLevel="1" x14ac:dyDescent="0.25">
      <c r="A23" s="61">
        <v>44500</v>
      </c>
      <c r="B23" s="61"/>
      <c r="C23" s="79"/>
      <c r="D23" s="56"/>
      <c r="E23" s="63"/>
      <c r="F23" s="56"/>
      <c r="G23" s="56"/>
      <c r="H23" s="56"/>
      <c r="I23" s="56"/>
      <c r="J23" s="63"/>
      <c r="K23" s="63"/>
      <c r="L23" s="63"/>
      <c r="M23" s="58"/>
      <c r="N23" s="64"/>
    </row>
    <row r="24" spans="1:15" collapsed="1" x14ac:dyDescent="0.25">
      <c r="A24" s="61">
        <v>44530</v>
      </c>
      <c r="B24" s="61"/>
      <c r="C24" s="62"/>
      <c r="D24" s="63">
        <f>D11+C24</f>
        <v>0</v>
      </c>
      <c r="E24" s="63">
        <f t="shared" ref="E24:E87" si="0">(D12+D24+SUM(D13:D23)*2)/24</f>
        <v>0</v>
      </c>
      <c r="F24" s="63">
        <v>0</v>
      </c>
      <c r="G24" s="63">
        <v>0</v>
      </c>
      <c r="H24" s="63">
        <v>0</v>
      </c>
      <c r="I24" s="63">
        <v>0</v>
      </c>
      <c r="J24" s="63">
        <f t="shared" ref="J24:J87" si="1">(-C24*0.21)+(F24*0.21)</f>
        <v>0</v>
      </c>
      <c r="K24" s="63">
        <f t="shared" ref="K24:K87" si="2">K23+J24</f>
        <v>0</v>
      </c>
      <c r="L24" s="63">
        <v>0</v>
      </c>
      <c r="M24" s="63">
        <v>0</v>
      </c>
      <c r="N24" s="65">
        <v>0</v>
      </c>
    </row>
    <row r="25" spans="1:15" x14ac:dyDescent="0.25">
      <c r="A25" s="61">
        <v>44561</v>
      </c>
      <c r="B25" s="61"/>
      <c r="C25" s="62"/>
      <c r="D25" s="63">
        <f t="shared" ref="D25:D88" si="3">D24+C25</f>
        <v>0</v>
      </c>
      <c r="E25" s="63">
        <f t="shared" si="0"/>
        <v>0</v>
      </c>
      <c r="F25" s="63">
        <v>0</v>
      </c>
      <c r="G25" s="63">
        <v>0</v>
      </c>
      <c r="H25" s="63">
        <v>0</v>
      </c>
      <c r="I25" s="63">
        <v>0</v>
      </c>
      <c r="J25" s="63">
        <f t="shared" si="1"/>
        <v>0</v>
      </c>
      <c r="K25" s="63">
        <f t="shared" si="2"/>
        <v>0</v>
      </c>
      <c r="L25" s="63">
        <v>0</v>
      </c>
      <c r="M25" s="63">
        <v>0</v>
      </c>
      <c r="N25" s="65">
        <v>0</v>
      </c>
    </row>
    <row r="26" spans="1:15" x14ac:dyDescent="0.25">
      <c r="A26" s="61">
        <v>44592</v>
      </c>
      <c r="B26" s="61"/>
      <c r="C26" s="62"/>
      <c r="D26" s="63">
        <f t="shared" si="3"/>
        <v>0</v>
      </c>
      <c r="E26" s="63">
        <f>(D14+D26+SUM(D15:D25)*2)/24</f>
        <v>0</v>
      </c>
      <c r="F26" s="124"/>
      <c r="G26" s="63">
        <f t="shared" ref="G26:G37" si="4">G25-F26</f>
        <v>0</v>
      </c>
      <c r="H26" s="63">
        <f t="shared" ref="H26:H37" si="5">(G14+G26+SUM(G15:G25)*2)/24</f>
        <v>0</v>
      </c>
      <c r="I26" s="63">
        <f>E26+H26</f>
        <v>0</v>
      </c>
      <c r="J26" s="63">
        <f t="shared" si="1"/>
        <v>0</v>
      </c>
      <c r="K26" s="63">
        <f t="shared" si="2"/>
        <v>0</v>
      </c>
      <c r="L26" s="63">
        <f t="shared" ref="L26:L36" si="6">(K14+K26+SUM(K15:K25)*2)/24</f>
        <v>0</v>
      </c>
      <c r="M26" s="63">
        <f>I26+L26</f>
        <v>0</v>
      </c>
      <c r="N26" s="65">
        <f t="shared" ref="N26:N36" si="7">+D26+G26+K26</f>
        <v>0</v>
      </c>
      <c r="O26" s="145"/>
    </row>
    <row r="27" spans="1:15" x14ac:dyDescent="0.25">
      <c r="A27" s="61">
        <v>44620</v>
      </c>
      <c r="B27" s="61"/>
      <c r="C27" s="62">
        <v>343277.89</v>
      </c>
      <c r="D27" s="63">
        <f t="shared" si="3"/>
        <v>343277.89</v>
      </c>
      <c r="E27" s="63">
        <f>(D15+D27+SUM(D16:D26)*2)/24</f>
        <v>14303.245416666667</v>
      </c>
      <c r="F27" s="124"/>
      <c r="G27" s="63">
        <f t="shared" si="4"/>
        <v>0</v>
      </c>
      <c r="H27" s="63">
        <f t="shared" si="5"/>
        <v>0</v>
      </c>
      <c r="I27" s="63">
        <f t="shared" ref="I27:I37" si="8">E27+H27</f>
        <v>14303.245416666667</v>
      </c>
      <c r="J27" s="63">
        <f t="shared" si="1"/>
        <v>-72088.356899999999</v>
      </c>
      <c r="K27" s="63">
        <f t="shared" si="2"/>
        <v>-72088.356899999999</v>
      </c>
      <c r="L27" s="63">
        <f t="shared" si="6"/>
        <v>-3003.6815375000001</v>
      </c>
      <c r="M27" s="63">
        <f t="shared" ref="M27:M36" si="9">I27+L27</f>
        <v>11299.563879166666</v>
      </c>
      <c r="N27" s="65">
        <f t="shared" si="7"/>
        <v>271189.5331</v>
      </c>
      <c r="O27" s="145">
        <f t="shared" ref="O27:O90" si="10">-K27/(D27+G27)</f>
        <v>0.21</v>
      </c>
    </row>
    <row r="28" spans="1:15" x14ac:dyDescent="0.25">
      <c r="A28" s="61">
        <v>44651</v>
      </c>
      <c r="B28" s="61"/>
      <c r="C28" s="62">
        <v>306629.76000000001</v>
      </c>
      <c r="D28" s="63">
        <f t="shared" si="3"/>
        <v>649907.65</v>
      </c>
      <c r="E28" s="63">
        <f t="shared" si="0"/>
        <v>55685.976250000007</v>
      </c>
      <c r="F28" s="124"/>
      <c r="G28" s="63">
        <f t="shared" si="4"/>
        <v>0</v>
      </c>
      <c r="H28" s="63">
        <f t="shared" si="5"/>
        <v>0</v>
      </c>
      <c r="I28" s="63">
        <f t="shared" si="8"/>
        <v>55685.976250000007</v>
      </c>
      <c r="J28" s="63">
        <f t="shared" si="1"/>
        <v>-64392.249600000003</v>
      </c>
      <c r="K28" s="63">
        <f t="shared" si="2"/>
        <v>-136480.60649999999</v>
      </c>
      <c r="L28" s="63">
        <f t="shared" si="6"/>
        <v>-11694.055012500001</v>
      </c>
      <c r="M28" s="63">
        <f t="shared" si="9"/>
        <v>43991.921237500006</v>
      </c>
      <c r="N28" s="65">
        <f t="shared" si="7"/>
        <v>513427.04350000003</v>
      </c>
      <c r="O28" s="145">
        <f t="shared" si="10"/>
        <v>0.21</v>
      </c>
    </row>
    <row r="29" spans="1:15" x14ac:dyDescent="0.25">
      <c r="A29" s="61">
        <v>44681</v>
      </c>
      <c r="B29" s="61"/>
      <c r="C29" s="62">
        <v>603434.99</v>
      </c>
      <c r="D29" s="63">
        <f t="shared" si="3"/>
        <v>1253342.6400000001</v>
      </c>
      <c r="E29" s="63">
        <f t="shared" si="0"/>
        <v>134988.07166666668</v>
      </c>
      <c r="F29" s="124"/>
      <c r="G29" s="63">
        <f t="shared" si="4"/>
        <v>0</v>
      </c>
      <c r="H29" s="63">
        <f t="shared" si="5"/>
        <v>0</v>
      </c>
      <c r="I29" s="63">
        <f t="shared" si="8"/>
        <v>134988.07166666668</v>
      </c>
      <c r="J29" s="63">
        <f t="shared" si="1"/>
        <v>-126721.34789999999</v>
      </c>
      <c r="K29" s="63">
        <f t="shared" si="2"/>
        <v>-263201.95439999999</v>
      </c>
      <c r="L29" s="63">
        <f t="shared" si="6"/>
        <v>-28347.495049999998</v>
      </c>
      <c r="M29" s="63">
        <f t="shared" si="9"/>
        <v>106640.57661666669</v>
      </c>
      <c r="N29" s="65">
        <f t="shared" si="7"/>
        <v>990140.6856000002</v>
      </c>
      <c r="O29" s="145">
        <f t="shared" si="10"/>
        <v>0.20999999999999996</v>
      </c>
    </row>
    <row r="30" spans="1:15" x14ac:dyDescent="0.25">
      <c r="A30" s="61">
        <v>44712</v>
      </c>
      <c r="B30" s="61"/>
      <c r="C30" s="62">
        <v>404337</v>
      </c>
      <c r="D30" s="63">
        <f t="shared" si="3"/>
        <v>1657679.6400000001</v>
      </c>
      <c r="E30" s="63">
        <f t="shared" si="0"/>
        <v>256280.66666666666</v>
      </c>
      <c r="F30" s="124"/>
      <c r="G30" s="63">
        <f t="shared" si="4"/>
        <v>0</v>
      </c>
      <c r="H30" s="63">
        <f t="shared" si="5"/>
        <v>0</v>
      </c>
      <c r="I30" s="63">
        <f t="shared" si="8"/>
        <v>256280.66666666666</v>
      </c>
      <c r="J30" s="63">
        <f t="shared" si="1"/>
        <v>-84910.77</v>
      </c>
      <c r="K30" s="63">
        <f t="shared" si="2"/>
        <v>-348112.72440000001</v>
      </c>
      <c r="L30" s="63">
        <f t="shared" si="6"/>
        <v>-53818.94</v>
      </c>
      <c r="M30" s="63">
        <f t="shared" si="9"/>
        <v>202461.72666666665</v>
      </c>
      <c r="N30" s="65">
        <f t="shared" si="7"/>
        <v>1309566.9156000002</v>
      </c>
      <c r="O30" s="145">
        <f t="shared" si="10"/>
        <v>0.21</v>
      </c>
    </row>
    <row r="31" spans="1:15" x14ac:dyDescent="0.25">
      <c r="A31" s="61">
        <v>44742</v>
      </c>
      <c r="B31" s="61"/>
      <c r="C31" s="62">
        <v>376752.99</v>
      </c>
      <c r="D31" s="63">
        <f t="shared" si="3"/>
        <v>2034432.6300000001</v>
      </c>
      <c r="E31" s="63">
        <f t="shared" si="0"/>
        <v>410118.67791666673</v>
      </c>
      <c r="F31" s="124"/>
      <c r="G31" s="63">
        <f t="shared" si="4"/>
        <v>0</v>
      </c>
      <c r="H31" s="63">
        <f t="shared" si="5"/>
        <v>0</v>
      </c>
      <c r="I31" s="63">
        <f t="shared" si="8"/>
        <v>410118.67791666673</v>
      </c>
      <c r="J31" s="63">
        <f t="shared" si="1"/>
        <v>-79118.127899999992</v>
      </c>
      <c r="K31" s="63">
        <f t="shared" si="2"/>
        <v>-427230.85230000003</v>
      </c>
      <c r="L31" s="63">
        <f t="shared" si="6"/>
        <v>-86124.922362500001</v>
      </c>
      <c r="M31" s="63">
        <f t="shared" si="9"/>
        <v>323993.75555416674</v>
      </c>
      <c r="N31" s="65">
        <f t="shared" si="7"/>
        <v>1607201.7777</v>
      </c>
      <c r="O31" s="145">
        <f t="shared" si="10"/>
        <v>0.21</v>
      </c>
    </row>
    <row r="32" spans="1:15" x14ac:dyDescent="0.25">
      <c r="A32" s="61">
        <v>44773</v>
      </c>
      <c r="C32" s="62">
        <v>355362.34</v>
      </c>
      <c r="D32" s="63">
        <f t="shared" si="3"/>
        <v>2389794.9700000002</v>
      </c>
      <c r="E32" s="63">
        <f t="shared" si="0"/>
        <v>594461.49458333338</v>
      </c>
      <c r="F32" s="124"/>
      <c r="G32" s="63">
        <f t="shared" si="4"/>
        <v>0</v>
      </c>
      <c r="H32" s="63">
        <f t="shared" si="5"/>
        <v>0</v>
      </c>
      <c r="I32" s="63">
        <f t="shared" si="8"/>
        <v>594461.49458333338</v>
      </c>
      <c r="J32" s="63">
        <f t="shared" si="1"/>
        <v>-74626.091400000005</v>
      </c>
      <c r="K32" s="63">
        <f t="shared" si="2"/>
        <v>-501856.94370000006</v>
      </c>
      <c r="L32" s="63">
        <f t="shared" si="6"/>
        <v>-124836.91386250001</v>
      </c>
      <c r="M32" s="63">
        <f t="shared" si="9"/>
        <v>469624.58072083339</v>
      </c>
      <c r="N32" s="65">
        <f t="shared" si="7"/>
        <v>1887938.0263</v>
      </c>
      <c r="O32" s="145">
        <f t="shared" si="10"/>
        <v>0.21000000000000002</v>
      </c>
    </row>
    <row r="33" spans="1:15" x14ac:dyDescent="0.25">
      <c r="A33" s="61">
        <v>44804</v>
      </c>
      <c r="C33" s="62">
        <v>353470.22</v>
      </c>
      <c r="D33" s="63">
        <f t="shared" si="3"/>
        <v>2743265.1900000004</v>
      </c>
      <c r="E33" s="63">
        <f t="shared" si="0"/>
        <v>808339.00125000009</v>
      </c>
      <c r="F33" s="124"/>
      <c r="G33" s="63">
        <f t="shared" si="4"/>
        <v>0</v>
      </c>
      <c r="H33" s="63">
        <f t="shared" si="5"/>
        <v>0</v>
      </c>
      <c r="I33" s="63">
        <f t="shared" si="8"/>
        <v>808339.00125000009</v>
      </c>
      <c r="J33" s="63">
        <f t="shared" si="1"/>
        <v>-74228.746199999994</v>
      </c>
      <c r="K33" s="63">
        <f t="shared" si="2"/>
        <v>-576085.68990000011</v>
      </c>
      <c r="L33" s="63">
        <f t="shared" si="6"/>
        <v>-169751.19026250002</v>
      </c>
      <c r="M33" s="63">
        <f t="shared" si="9"/>
        <v>638587.81098750001</v>
      </c>
      <c r="N33" s="65">
        <f t="shared" si="7"/>
        <v>2167179.5001000003</v>
      </c>
      <c r="O33" s="145">
        <f t="shared" si="10"/>
        <v>0.21000000000000002</v>
      </c>
    </row>
    <row r="34" spans="1:15" x14ac:dyDescent="0.25">
      <c r="A34" s="61">
        <v>44834</v>
      </c>
      <c r="C34" s="62">
        <v>334818.90999999997</v>
      </c>
      <c r="D34" s="63">
        <f t="shared" si="3"/>
        <v>3078084.1000000006</v>
      </c>
      <c r="E34" s="63">
        <f t="shared" si="0"/>
        <v>1050895.2216666667</v>
      </c>
      <c r="F34" s="124"/>
      <c r="G34" s="63">
        <f t="shared" si="4"/>
        <v>0</v>
      </c>
      <c r="H34" s="63">
        <f t="shared" si="5"/>
        <v>0</v>
      </c>
      <c r="I34" s="63">
        <f t="shared" si="8"/>
        <v>1050895.2216666667</v>
      </c>
      <c r="J34" s="63">
        <f t="shared" si="1"/>
        <v>-70311.971099999995</v>
      </c>
      <c r="K34" s="63">
        <f t="shared" si="2"/>
        <v>-646397.66100000008</v>
      </c>
      <c r="L34" s="63">
        <f t="shared" si="6"/>
        <v>-220687.99655000004</v>
      </c>
      <c r="M34" s="63">
        <f t="shared" si="9"/>
        <v>830207.22511666664</v>
      </c>
      <c r="N34" s="65">
        <f t="shared" si="7"/>
        <v>2431686.4390000002</v>
      </c>
      <c r="O34" s="145">
        <f t="shared" si="10"/>
        <v>0.21</v>
      </c>
    </row>
    <row r="35" spans="1:15" x14ac:dyDescent="0.25">
      <c r="A35" s="61">
        <v>44865</v>
      </c>
      <c r="C35" s="62">
        <v>374212.85</v>
      </c>
      <c r="D35" s="63">
        <f t="shared" si="3"/>
        <v>3452296.9500000007</v>
      </c>
      <c r="E35" s="63">
        <f t="shared" si="0"/>
        <v>1322994.4320833334</v>
      </c>
      <c r="F35" s="124"/>
      <c r="G35" s="63">
        <f t="shared" si="4"/>
        <v>0</v>
      </c>
      <c r="H35" s="63">
        <f t="shared" si="5"/>
        <v>0</v>
      </c>
      <c r="I35" s="63">
        <f t="shared" si="8"/>
        <v>1322994.4320833334</v>
      </c>
      <c r="J35" s="63">
        <f t="shared" si="1"/>
        <v>-78584.698499999999</v>
      </c>
      <c r="K35" s="63">
        <f t="shared" si="2"/>
        <v>-724982.35950000002</v>
      </c>
      <c r="L35" s="63">
        <f t="shared" si="6"/>
        <v>-277828.83073750004</v>
      </c>
      <c r="M35" s="63">
        <f t="shared" si="9"/>
        <v>1045165.6013458334</v>
      </c>
      <c r="N35" s="65">
        <f t="shared" si="7"/>
        <v>2727314.5905000009</v>
      </c>
      <c r="O35" s="145">
        <f t="shared" si="10"/>
        <v>0.20999999999999996</v>
      </c>
    </row>
    <row r="36" spans="1:15" x14ac:dyDescent="0.25">
      <c r="A36" s="61">
        <v>44895</v>
      </c>
      <c r="C36" s="62">
        <v>596097.85</v>
      </c>
      <c r="D36" s="63">
        <f t="shared" si="3"/>
        <v>4048394.8000000007</v>
      </c>
      <c r="E36" s="63">
        <f t="shared" si="0"/>
        <v>1635523.2550000001</v>
      </c>
      <c r="F36" s="124"/>
      <c r="G36" s="63">
        <f t="shared" si="4"/>
        <v>0</v>
      </c>
      <c r="H36" s="63">
        <f t="shared" si="5"/>
        <v>0</v>
      </c>
      <c r="I36" s="63">
        <f t="shared" si="8"/>
        <v>1635523.2550000001</v>
      </c>
      <c r="J36" s="63">
        <f t="shared" si="1"/>
        <v>-125180.54849999999</v>
      </c>
      <c r="K36" s="63">
        <f t="shared" si="2"/>
        <v>-850162.90800000005</v>
      </c>
      <c r="L36" s="63">
        <f t="shared" si="6"/>
        <v>-343459.88355000009</v>
      </c>
      <c r="M36" s="63">
        <f t="shared" si="9"/>
        <v>1292063.37145</v>
      </c>
      <c r="N36" s="65">
        <f t="shared" si="7"/>
        <v>3198231.8920000009</v>
      </c>
      <c r="O36" s="145">
        <f t="shared" si="10"/>
        <v>0.20999999999999996</v>
      </c>
    </row>
    <row r="37" spans="1:15" x14ac:dyDescent="0.25">
      <c r="A37" s="61">
        <v>44926</v>
      </c>
      <c r="C37" s="62">
        <v>526798.9</v>
      </c>
      <c r="D37" s="63">
        <f t="shared" si="3"/>
        <v>4575193.7000000011</v>
      </c>
      <c r="E37" s="63">
        <f t="shared" si="0"/>
        <v>1994839.4425000001</v>
      </c>
      <c r="F37" s="124"/>
      <c r="G37" s="63">
        <f t="shared" si="4"/>
        <v>0</v>
      </c>
      <c r="H37" s="63">
        <f t="shared" si="5"/>
        <v>0</v>
      </c>
      <c r="I37" s="63">
        <f t="shared" si="8"/>
        <v>1994839.4425000001</v>
      </c>
      <c r="J37" s="63">
        <f t="shared" si="1"/>
        <v>-110627.769</v>
      </c>
      <c r="K37" s="63">
        <f t="shared" si="2"/>
        <v>-960790.67700000003</v>
      </c>
      <c r="L37" s="63">
        <f t="shared" ref="L37:L95" si="11">(K25+K37+SUM(K26:K36)*2)/24</f>
        <v>-418916.28292500001</v>
      </c>
      <c r="M37" s="63">
        <f t="shared" ref="M37:M95" si="12">L37+I37</f>
        <v>1575923.1595750002</v>
      </c>
      <c r="N37" s="64">
        <f t="shared" ref="N37:N95" si="13">+D37+G37+K37</f>
        <v>3614403.023000001</v>
      </c>
      <c r="O37" s="145">
        <f t="shared" si="10"/>
        <v>0.20999999999999996</v>
      </c>
    </row>
    <row r="38" spans="1:15" x14ac:dyDescent="0.25">
      <c r="A38" s="61">
        <v>44957</v>
      </c>
      <c r="B38" s="61"/>
      <c r="C38" s="62">
        <v>366507.41</v>
      </c>
      <c r="D38" s="63">
        <f t="shared" si="3"/>
        <v>4941701.1100000013</v>
      </c>
      <c r="E38" s="63">
        <f>(D26+D38+SUM(D27:D37)*2)/24</f>
        <v>2391376.7262500003</v>
      </c>
      <c r="F38" s="124"/>
      <c r="G38" s="63">
        <f t="shared" ref="G38:G95" si="14">G37-F38</f>
        <v>0</v>
      </c>
      <c r="H38" s="63">
        <f t="shared" ref="H38:H95" si="15">(G26+G38+SUM(G27:G37)*2)/24</f>
        <v>0</v>
      </c>
      <c r="I38" s="63">
        <f t="shared" ref="I38:I95" si="16">E38+H38</f>
        <v>2391376.7262500003</v>
      </c>
      <c r="J38" s="63">
        <f t="shared" si="1"/>
        <v>-76966.556099999987</v>
      </c>
      <c r="K38" s="68">
        <f t="shared" si="2"/>
        <v>-1037757.2331000001</v>
      </c>
      <c r="L38" s="63">
        <f t="shared" si="11"/>
        <v>-502189.11251250008</v>
      </c>
      <c r="M38" s="69">
        <f t="shared" si="12"/>
        <v>1889187.6137375003</v>
      </c>
      <c r="N38" s="64">
        <f t="shared" si="13"/>
        <v>3903943.8769000014</v>
      </c>
      <c r="O38" s="145">
        <f t="shared" si="10"/>
        <v>0.20999999999999996</v>
      </c>
    </row>
    <row r="39" spans="1:15" x14ac:dyDescent="0.25">
      <c r="A39" s="61">
        <v>44985</v>
      </c>
      <c r="B39" s="61"/>
      <c r="C39" s="62">
        <v>372998.81</v>
      </c>
      <c r="D39" s="63">
        <f t="shared" si="3"/>
        <v>5314699.9200000009</v>
      </c>
      <c r="E39" s="63">
        <f t="shared" si="0"/>
        <v>2804423.5237500002</v>
      </c>
      <c r="F39" s="124"/>
      <c r="G39" s="63">
        <f t="shared" si="14"/>
        <v>0</v>
      </c>
      <c r="H39" s="63">
        <f t="shared" si="15"/>
        <v>0</v>
      </c>
      <c r="I39" s="63">
        <f t="shared" si="16"/>
        <v>2804423.5237500002</v>
      </c>
      <c r="J39" s="63">
        <f t="shared" si="1"/>
        <v>-78329.75009999999</v>
      </c>
      <c r="K39" s="68">
        <f t="shared" si="2"/>
        <v>-1116086.9832000001</v>
      </c>
      <c r="L39" s="63">
        <f t="shared" si="11"/>
        <v>-588928.93998750008</v>
      </c>
      <c r="M39" s="69">
        <f t="shared" si="12"/>
        <v>2215494.5837625</v>
      </c>
      <c r="N39" s="64">
        <f t="shared" si="13"/>
        <v>4198612.9368000012</v>
      </c>
      <c r="O39" s="145">
        <f t="shared" si="10"/>
        <v>0.21</v>
      </c>
    </row>
    <row r="40" spans="1:15" x14ac:dyDescent="0.25">
      <c r="A40" s="61">
        <v>45016</v>
      </c>
      <c r="B40" s="61"/>
      <c r="C40" s="62">
        <v>474539.27</v>
      </c>
      <c r="D40" s="63">
        <f t="shared" si="3"/>
        <v>5789239.1900000013</v>
      </c>
      <c r="E40" s="63">
        <f t="shared" si="0"/>
        <v>3225704.9225000008</v>
      </c>
      <c r="F40" s="124"/>
      <c r="G40" s="63">
        <f t="shared" si="14"/>
        <v>0</v>
      </c>
      <c r="H40" s="63">
        <f t="shared" si="15"/>
        <v>0</v>
      </c>
      <c r="I40" s="63">
        <f t="shared" si="16"/>
        <v>3225704.9225000008</v>
      </c>
      <c r="J40" s="63">
        <f t="shared" si="1"/>
        <v>-99653.246700000003</v>
      </c>
      <c r="K40" s="68">
        <f t="shared" si="2"/>
        <v>-1215740.2299000002</v>
      </c>
      <c r="L40" s="63">
        <f t="shared" si="11"/>
        <v>-677398.0337250001</v>
      </c>
      <c r="M40" s="69">
        <f t="shared" si="12"/>
        <v>2548306.8887750008</v>
      </c>
      <c r="N40" s="64">
        <f t="shared" si="13"/>
        <v>4573498.9601000007</v>
      </c>
      <c r="O40" s="145">
        <f t="shared" si="10"/>
        <v>0.20999999999999996</v>
      </c>
    </row>
    <row r="41" spans="1:15" x14ac:dyDescent="0.25">
      <c r="A41" s="61">
        <v>45046</v>
      </c>
      <c r="B41" s="61"/>
      <c r="C41" s="62">
        <f>'O&amp;M'!B24</f>
        <v>508765.00945010001</v>
      </c>
      <c r="D41" s="63">
        <f t="shared" si="3"/>
        <v>6298004.1994501017</v>
      </c>
      <c r="E41" s="63">
        <f t="shared" si="0"/>
        <v>3650037.9683104213</v>
      </c>
      <c r="F41" s="124"/>
      <c r="G41" s="63">
        <f t="shared" si="14"/>
        <v>0</v>
      </c>
      <c r="H41" s="63">
        <f t="shared" si="15"/>
        <v>0</v>
      </c>
      <c r="I41" s="63">
        <f t="shared" si="16"/>
        <v>3650037.9683104213</v>
      </c>
      <c r="J41" s="63">
        <f t="shared" si="1"/>
        <v>-106840.651984521</v>
      </c>
      <c r="K41" s="68">
        <f t="shared" si="2"/>
        <v>-1322580.8818845211</v>
      </c>
      <c r="L41" s="63">
        <f t="shared" si="11"/>
        <v>-766507.97334518854</v>
      </c>
      <c r="M41" s="69">
        <f t="shared" si="12"/>
        <v>2883529.9949652329</v>
      </c>
      <c r="N41" s="64">
        <f t="shared" si="13"/>
        <v>4975423.3175655808</v>
      </c>
      <c r="O41" s="145">
        <f t="shared" si="10"/>
        <v>0.20999999999999996</v>
      </c>
    </row>
    <row r="42" spans="1:15" x14ac:dyDescent="0.25">
      <c r="A42" s="61">
        <v>45077</v>
      </c>
      <c r="B42" s="61"/>
      <c r="C42" s="62">
        <f>'O&amp;M'!C24</f>
        <v>501022.18247479998</v>
      </c>
      <c r="D42" s="63">
        <f t="shared" si="3"/>
        <v>6799026.3819249021</v>
      </c>
      <c r="E42" s="63">
        <f t="shared" si="0"/>
        <v>4074454.9808677132</v>
      </c>
      <c r="F42" s="124"/>
      <c r="G42" s="63">
        <f t="shared" si="14"/>
        <v>0</v>
      </c>
      <c r="H42" s="63">
        <f t="shared" si="15"/>
        <v>0</v>
      </c>
      <c r="I42" s="63">
        <f t="shared" si="16"/>
        <v>4074454.9808677132</v>
      </c>
      <c r="J42" s="63">
        <f t="shared" si="1"/>
        <v>-105214.65831970799</v>
      </c>
      <c r="K42" s="68">
        <f t="shared" si="2"/>
        <v>-1427795.5402042291</v>
      </c>
      <c r="L42" s="63">
        <f t="shared" si="11"/>
        <v>-855635.54598221974</v>
      </c>
      <c r="M42" s="69">
        <f t="shared" si="12"/>
        <v>3218819.4348854935</v>
      </c>
      <c r="N42" s="64">
        <f t="shared" si="13"/>
        <v>5371230.8417206733</v>
      </c>
      <c r="O42" s="145">
        <f t="shared" si="10"/>
        <v>0.20999999999999994</v>
      </c>
    </row>
    <row r="43" spans="1:15" x14ac:dyDescent="0.25">
      <c r="A43" s="61">
        <v>45107</v>
      </c>
      <c r="B43" s="61"/>
      <c r="C43" s="62">
        <f>'O&amp;M'!D24</f>
        <v>477335.35295129998</v>
      </c>
      <c r="D43" s="63">
        <f t="shared" si="3"/>
        <v>7276361.7348762024</v>
      </c>
      <c r="E43" s="63">
        <f t="shared" si="0"/>
        <v>4507091.474484426</v>
      </c>
      <c r="F43" s="124"/>
      <c r="G43" s="63">
        <f t="shared" si="14"/>
        <v>0</v>
      </c>
      <c r="H43" s="63">
        <f t="shared" si="15"/>
        <v>0</v>
      </c>
      <c r="I43" s="63">
        <f t="shared" si="16"/>
        <v>4507091.474484426</v>
      </c>
      <c r="J43" s="63">
        <f t="shared" si="1"/>
        <v>-100240.42411977299</v>
      </c>
      <c r="K43" s="68">
        <f t="shared" si="2"/>
        <v>-1528035.9643240022</v>
      </c>
      <c r="L43" s="63">
        <f t="shared" si="11"/>
        <v>-946489.20964172937</v>
      </c>
      <c r="M43" s="69">
        <f t="shared" si="12"/>
        <v>3560602.2648426965</v>
      </c>
      <c r="N43" s="64">
        <f t="shared" si="13"/>
        <v>5748325.7705522003</v>
      </c>
      <c r="O43" s="145">
        <f t="shared" si="10"/>
        <v>0.20999999999999996</v>
      </c>
    </row>
    <row r="44" spans="1:15" x14ac:dyDescent="0.25">
      <c r="A44" s="61">
        <v>45138</v>
      </c>
      <c r="B44" s="61"/>
      <c r="C44" s="62">
        <f>'O&amp;M'!E24</f>
        <v>369609.2918378</v>
      </c>
      <c r="D44" s="63">
        <f t="shared" si="3"/>
        <v>7645971.0267140027</v>
      </c>
      <c r="E44" s="63">
        <f t="shared" si="0"/>
        <v>4944512.5228840187</v>
      </c>
      <c r="F44" s="124"/>
      <c r="G44" s="63">
        <f t="shared" si="14"/>
        <v>0</v>
      </c>
      <c r="H44" s="63">
        <f t="shared" si="15"/>
        <v>0</v>
      </c>
      <c r="I44" s="63">
        <f t="shared" si="16"/>
        <v>4944512.5228840187</v>
      </c>
      <c r="J44" s="63">
        <f t="shared" si="1"/>
        <v>-77617.951285938005</v>
      </c>
      <c r="K44" s="68">
        <f t="shared" si="2"/>
        <v>-1605653.9156099402</v>
      </c>
      <c r="L44" s="63">
        <f t="shared" si="11"/>
        <v>-1038347.6298056437</v>
      </c>
      <c r="M44" s="69">
        <f t="shared" si="12"/>
        <v>3906164.8930783751</v>
      </c>
      <c r="N44" s="64">
        <f t="shared" si="13"/>
        <v>6040317.1111040628</v>
      </c>
      <c r="O44" s="145">
        <f t="shared" si="10"/>
        <v>0.20999999999999994</v>
      </c>
    </row>
    <row r="45" spans="1:15" x14ac:dyDescent="0.25">
      <c r="A45" s="61">
        <v>45169</v>
      </c>
      <c r="B45" s="61"/>
      <c r="C45" s="62">
        <f>'O&amp;M'!F24</f>
        <v>375609.2918378</v>
      </c>
      <c r="D45" s="63">
        <f t="shared" si="3"/>
        <v>8021580.318551803</v>
      </c>
      <c r="E45" s="63">
        <f t="shared" si="0"/>
        <v>5383449.6556034265</v>
      </c>
      <c r="F45" s="124"/>
      <c r="G45" s="63">
        <f t="shared" si="14"/>
        <v>0</v>
      </c>
      <c r="H45" s="63">
        <f t="shared" si="15"/>
        <v>0</v>
      </c>
      <c r="I45" s="63">
        <f t="shared" si="16"/>
        <v>5383449.6556034265</v>
      </c>
      <c r="J45" s="63">
        <f t="shared" si="1"/>
        <v>-78877.951285938005</v>
      </c>
      <c r="K45" s="68">
        <f t="shared" si="2"/>
        <v>-1684531.8668958782</v>
      </c>
      <c r="L45" s="63">
        <f t="shared" si="11"/>
        <v>-1130524.4276767196</v>
      </c>
      <c r="M45" s="69">
        <f t="shared" si="12"/>
        <v>4252925.2279267069</v>
      </c>
      <c r="N45" s="64">
        <f t="shared" si="13"/>
        <v>6337048.4516559243</v>
      </c>
      <c r="O45" s="145">
        <f t="shared" si="10"/>
        <v>0.20999999999999994</v>
      </c>
    </row>
    <row r="46" spans="1:15" x14ac:dyDescent="0.25">
      <c r="A46" s="61">
        <v>45199</v>
      </c>
      <c r="B46" s="61"/>
      <c r="C46" s="62">
        <f>'O&amp;M'!G24</f>
        <v>369313.38796580001</v>
      </c>
      <c r="D46" s="63">
        <f t="shared" si="3"/>
        <v>8390893.7065176032</v>
      </c>
      <c r="E46" s="63">
        <f t="shared" si="0"/>
        <v>5824746.5195646519</v>
      </c>
      <c r="F46" s="124"/>
      <c r="G46" s="63">
        <f t="shared" si="14"/>
        <v>0</v>
      </c>
      <c r="H46" s="63">
        <f t="shared" si="15"/>
        <v>0</v>
      </c>
      <c r="I46" s="63">
        <f t="shared" si="16"/>
        <v>5824746.5195646519</v>
      </c>
      <c r="J46" s="63">
        <f t="shared" si="1"/>
        <v>-77555.811472817993</v>
      </c>
      <c r="K46" s="68">
        <f t="shared" si="2"/>
        <v>-1762087.6783686962</v>
      </c>
      <c r="L46" s="63">
        <f t="shared" si="11"/>
        <v>-1223196.7691085767</v>
      </c>
      <c r="M46" s="69">
        <f t="shared" si="12"/>
        <v>4601549.7504560752</v>
      </c>
      <c r="N46" s="64">
        <f t="shared" si="13"/>
        <v>6628806.0281489072</v>
      </c>
      <c r="O46" s="145">
        <f t="shared" si="10"/>
        <v>0.20999999999999994</v>
      </c>
    </row>
    <row r="47" spans="1:15" ht="13.8" thickBot="1" x14ac:dyDescent="0.3">
      <c r="A47" s="61">
        <v>45230</v>
      </c>
      <c r="B47" s="61"/>
      <c r="C47" s="62">
        <f>'O&amp;M'!H24</f>
        <v>488199.94235060003</v>
      </c>
      <c r="D47" s="63">
        <f t="shared" si="3"/>
        <v>8879093.6488682032</v>
      </c>
      <c r="E47" s="63">
        <f t="shared" si="0"/>
        <v>6272230.1156223929</v>
      </c>
      <c r="F47" s="124"/>
      <c r="G47" s="63">
        <f t="shared" si="14"/>
        <v>0</v>
      </c>
      <c r="H47" s="63">
        <f t="shared" si="15"/>
        <v>0</v>
      </c>
      <c r="I47" s="63">
        <f t="shared" si="16"/>
        <v>6272230.1156223929</v>
      </c>
      <c r="J47" s="63">
        <f t="shared" si="1"/>
        <v>-102521.98789362601</v>
      </c>
      <c r="K47" s="68">
        <f t="shared" si="2"/>
        <v>-1864609.6662623223</v>
      </c>
      <c r="L47" s="63">
        <f t="shared" si="11"/>
        <v>-1317168.3242807025</v>
      </c>
      <c r="M47" s="69">
        <f t="shared" si="12"/>
        <v>4955061.7913416903</v>
      </c>
      <c r="N47" s="64">
        <f t="shared" si="13"/>
        <v>7014483.9826058811</v>
      </c>
      <c r="O47" s="145">
        <f t="shared" si="10"/>
        <v>0.20999999999999996</v>
      </c>
    </row>
    <row r="48" spans="1:15" x14ac:dyDescent="0.25">
      <c r="A48" s="134">
        <v>45260</v>
      </c>
      <c r="B48" s="134" t="s">
        <v>144</v>
      </c>
      <c r="C48" s="135"/>
      <c r="D48" s="136">
        <f t="shared" si="3"/>
        <v>8879093.6488682032</v>
      </c>
      <c r="E48" s="136">
        <f>(D36+D48+SUM(D37:D47)*2)/24</f>
        <v>6699625.7634447441</v>
      </c>
      <c r="F48" s="137">
        <f t="shared" ref="F48:F95" si="17">D48/48</f>
        <v>184981.11768475422</v>
      </c>
      <c r="G48" s="136">
        <f t="shared" si="14"/>
        <v>-184981.11768475422</v>
      </c>
      <c r="H48" s="136">
        <f t="shared" si="15"/>
        <v>-7707.5465701980929</v>
      </c>
      <c r="I48" s="136">
        <f t="shared" si="16"/>
        <v>6691918.2168745464</v>
      </c>
      <c r="J48" s="136">
        <f t="shared" si="1"/>
        <v>38846.034713798384</v>
      </c>
      <c r="K48" s="138">
        <f t="shared" si="2"/>
        <v>-1825763.6315485239</v>
      </c>
      <c r="L48" s="136">
        <f t="shared" si="11"/>
        <v>-1405302.8255436544</v>
      </c>
      <c r="M48" s="139">
        <f t="shared" si="12"/>
        <v>5286615.3913308922</v>
      </c>
      <c r="N48" s="140">
        <f t="shared" si="13"/>
        <v>6868348.8996349256</v>
      </c>
      <c r="O48" s="145">
        <f t="shared" si="10"/>
        <v>0.20999999999999994</v>
      </c>
    </row>
    <row r="49" spans="1:15" x14ac:dyDescent="0.25">
      <c r="A49" s="61">
        <v>45291</v>
      </c>
      <c r="B49" s="61" t="s">
        <v>144</v>
      </c>
      <c r="C49" s="63"/>
      <c r="D49" s="63">
        <f t="shared" si="3"/>
        <v>8879093.6488682032</v>
      </c>
      <c r="E49" s="63">
        <f t="shared" si="0"/>
        <v>7080234.0466837594</v>
      </c>
      <c r="F49" s="124">
        <f t="shared" si="17"/>
        <v>184981.11768475422</v>
      </c>
      <c r="G49" s="63">
        <f t="shared" si="14"/>
        <v>-369962.23536950845</v>
      </c>
      <c r="H49" s="63">
        <f t="shared" si="15"/>
        <v>-30830.186280792372</v>
      </c>
      <c r="I49" s="63">
        <f t="shared" si="16"/>
        <v>7049403.8604029668</v>
      </c>
      <c r="J49" s="63">
        <f t="shared" si="1"/>
        <v>38846.034713798384</v>
      </c>
      <c r="K49" s="68">
        <f t="shared" si="2"/>
        <v>-1786917.5968347255</v>
      </c>
      <c r="L49" s="63">
        <f t="shared" si="11"/>
        <v>-1480374.8106846232</v>
      </c>
      <c r="M49" s="69">
        <f t="shared" si="12"/>
        <v>5569029.0497183437</v>
      </c>
      <c r="N49" s="64">
        <f t="shared" si="13"/>
        <v>6722213.8166639684</v>
      </c>
      <c r="O49" s="145">
        <f t="shared" si="10"/>
        <v>0.20999999999999996</v>
      </c>
    </row>
    <row r="50" spans="1:15" x14ac:dyDescent="0.25">
      <c r="A50" s="61">
        <v>45322</v>
      </c>
      <c r="B50" s="61" t="s">
        <v>144</v>
      </c>
      <c r="C50" s="63"/>
      <c r="D50" s="63">
        <f t="shared" si="3"/>
        <v>8879093.6488682032</v>
      </c>
      <c r="E50" s="63">
        <f t="shared" si="0"/>
        <v>7423621.2336727781</v>
      </c>
      <c r="F50" s="124">
        <f t="shared" si="17"/>
        <v>184981.11768475422</v>
      </c>
      <c r="G50" s="63">
        <f t="shared" si="14"/>
        <v>-554943.3530542627</v>
      </c>
      <c r="H50" s="63">
        <f t="shared" si="15"/>
        <v>-69367.919131782837</v>
      </c>
      <c r="I50" s="63">
        <f t="shared" si="16"/>
        <v>7354253.3145409953</v>
      </c>
      <c r="J50" s="63">
        <f t="shared" si="1"/>
        <v>38846.034713798384</v>
      </c>
      <c r="K50" s="68">
        <f t="shared" si="2"/>
        <v>-1748071.562120927</v>
      </c>
      <c r="L50" s="63">
        <f t="shared" si="11"/>
        <v>-1544393.1960536086</v>
      </c>
      <c r="M50" s="69">
        <f t="shared" si="12"/>
        <v>5809860.118487387</v>
      </c>
      <c r="N50" s="64">
        <f t="shared" si="13"/>
        <v>6576078.733693013</v>
      </c>
      <c r="O50" s="145">
        <f t="shared" si="10"/>
        <v>0.20999999999999994</v>
      </c>
    </row>
    <row r="51" spans="1:15" x14ac:dyDescent="0.25">
      <c r="A51" s="61">
        <v>45351</v>
      </c>
      <c r="B51" s="61" t="s">
        <v>144</v>
      </c>
      <c r="C51" s="63"/>
      <c r="D51" s="63">
        <f t="shared" si="3"/>
        <v>8879093.6488682032</v>
      </c>
      <c r="E51" s="63">
        <f t="shared" si="0"/>
        <v>7736195.6614951268</v>
      </c>
      <c r="F51" s="124">
        <f t="shared" si="17"/>
        <v>184981.11768475422</v>
      </c>
      <c r="G51" s="63">
        <f t="shared" si="14"/>
        <v>-739924.47073901689</v>
      </c>
      <c r="H51" s="63">
        <f t="shared" si="15"/>
        <v>-123320.74512316949</v>
      </c>
      <c r="I51" s="63">
        <f t="shared" si="16"/>
        <v>7612874.9163719574</v>
      </c>
      <c r="J51" s="63">
        <f t="shared" si="1"/>
        <v>38846.034713798384</v>
      </c>
      <c r="K51" s="68">
        <f t="shared" si="2"/>
        <v>-1709225.5274071286</v>
      </c>
      <c r="L51" s="63">
        <f t="shared" si="11"/>
        <v>-1598703.732438111</v>
      </c>
      <c r="M51" s="69">
        <f t="shared" si="12"/>
        <v>6014171.1839338467</v>
      </c>
      <c r="N51" s="64">
        <f t="shared" si="13"/>
        <v>6429943.6507220576</v>
      </c>
      <c r="O51" s="145">
        <f t="shared" si="10"/>
        <v>0.20999999999999994</v>
      </c>
    </row>
    <row r="52" spans="1:15" x14ac:dyDescent="0.25">
      <c r="A52" s="61">
        <v>45382</v>
      </c>
      <c r="B52" s="61" t="s">
        <v>144</v>
      </c>
      <c r="C52" s="63"/>
      <c r="D52" s="63">
        <f t="shared" si="3"/>
        <v>8879093.6488682032</v>
      </c>
      <c r="E52" s="63">
        <f t="shared" si="0"/>
        <v>8013456.0026508113</v>
      </c>
      <c r="F52" s="124">
        <f t="shared" si="17"/>
        <v>184981.11768475422</v>
      </c>
      <c r="G52" s="63">
        <f t="shared" si="14"/>
        <v>-924905.58842377109</v>
      </c>
      <c r="H52" s="63">
        <f t="shared" si="15"/>
        <v>-192688.66425495231</v>
      </c>
      <c r="I52" s="63">
        <f t="shared" si="16"/>
        <v>7820767.3383958591</v>
      </c>
      <c r="J52" s="63">
        <f t="shared" si="1"/>
        <v>38846.034713798384</v>
      </c>
      <c r="K52" s="68">
        <f t="shared" si="2"/>
        <v>-1670379.4926933302</v>
      </c>
      <c r="L52" s="63">
        <f t="shared" si="11"/>
        <v>-1642361.1410631302</v>
      </c>
      <c r="M52" s="69">
        <f t="shared" si="12"/>
        <v>6178406.1973327287</v>
      </c>
      <c r="N52" s="64">
        <f t="shared" si="13"/>
        <v>6283808.5677511021</v>
      </c>
      <c r="O52" s="145">
        <f t="shared" si="10"/>
        <v>0.20999999999999991</v>
      </c>
    </row>
    <row r="53" spans="1:15" x14ac:dyDescent="0.25">
      <c r="A53" s="61">
        <v>45412</v>
      </c>
      <c r="B53" s="61" t="s">
        <v>144</v>
      </c>
      <c r="C53" s="63"/>
      <c r="D53" s="63">
        <f t="shared" si="3"/>
        <v>8879093.6488682032</v>
      </c>
      <c r="E53" s="63">
        <f t="shared" si="0"/>
        <v>8249745.3321627406</v>
      </c>
      <c r="F53" s="124">
        <f t="shared" si="17"/>
        <v>184981.11768475422</v>
      </c>
      <c r="G53" s="63">
        <f t="shared" si="14"/>
        <v>-1109886.7061085254</v>
      </c>
      <c r="H53" s="63">
        <f t="shared" si="15"/>
        <v>-277471.67652713135</v>
      </c>
      <c r="I53" s="63">
        <f t="shared" si="16"/>
        <v>7972273.6556356093</v>
      </c>
      <c r="J53" s="63">
        <f t="shared" si="1"/>
        <v>38846.034713798384</v>
      </c>
      <c r="K53" s="68">
        <f t="shared" si="2"/>
        <v>-1631533.4579795317</v>
      </c>
      <c r="L53" s="63">
        <f t="shared" si="11"/>
        <v>-1674177.4676834776</v>
      </c>
      <c r="M53" s="69">
        <f t="shared" si="12"/>
        <v>6298096.187952132</v>
      </c>
      <c r="N53" s="64">
        <f t="shared" si="13"/>
        <v>6137673.4847801458</v>
      </c>
      <c r="O53" s="145">
        <f t="shared" si="10"/>
        <v>0.20999999999999991</v>
      </c>
    </row>
    <row r="54" spans="1:15" x14ac:dyDescent="0.25">
      <c r="A54" s="61">
        <v>45443</v>
      </c>
      <c r="B54" s="61" t="s">
        <v>144</v>
      </c>
      <c r="C54" s="63"/>
      <c r="D54" s="63">
        <f t="shared" si="3"/>
        <v>8879093.6488682032</v>
      </c>
      <c r="E54" s="63">
        <f t="shared" si="0"/>
        <v>8443960.1953444649</v>
      </c>
      <c r="F54" s="124">
        <f t="shared" si="17"/>
        <v>184981.11768475422</v>
      </c>
      <c r="G54" s="63">
        <f t="shared" si="14"/>
        <v>-1294867.8237932797</v>
      </c>
      <c r="H54" s="63">
        <f t="shared" si="15"/>
        <v>-377669.78193970653</v>
      </c>
      <c r="I54" s="63">
        <f t="shared" si="16"/>
        <v>8066290.4134047581</v>
      </c>
      <c r="J54" s="63">
        <f t="shared" si="1"/>
        <v>38846.034713798384</v>
      </c>
      <c r="K54" s="68">
        <f t="shared" si="2"/>
        <v>-1592687.4232657333</v>
      </c>
      <c r="L54" s="63">
        <f t="shared" si="11"/>
        <v>-1693920.9868149988</v>
      </c>
      <c r="M54" s="69">
        <f t="shared" si="12"/>
        <v>6372369.4265897591</v>
      </c>
      <c r="N54" s="64">
        <f t="shared" si="13"/>
        <v>5991538.4018091895</v>
      </c>
      <c r="O54" s="145">
        <f t="shared" si="10"/>
        <v>0.20999999999999991</v>
      </c>
    </row>
    <row r="55" spans="1:15" x14ac:dyDescent="0.25">
      <c r="A55" s="61">
        <v>45473</v>
      </c>
      <c r="B55" s="61" t="s">
        <v>144</v>
      </c>
      <c r="C55" s="63"/>
      <c r="D55" s="63">
        <f t="shared" si="3"/>
        <v>8879093.6488682032</v>
      </c>
      <c r="E55" s="63">
        <f t="shared" si="0"/>
        <v>8597410.1612167712</v>
      </c>
      <c r="F55" s="124">
        <f t="shared" si="17"/>
        <v>184981.11768475422</v>
      </c>
      <c r="G55" s="63">
        <f t="shared" si="14"/>
        <v>-1479848.941478034</v>
      </c>
      <c r="H55" s="63">
        <f t="shared" si="15"/>
        <v>-493282.98049267801</v>
      </c>
      <c r="I55" s="63">
        <f t="shared" si="16"/>
        <v>8104127.1807240937</v>
      </c>
      <c r="J55" s="63">
        <f t="shared" si="1"/>
        <v>38846.034713798384</v>
      </c>
      <c r="K55" s="68">
        <f t="shared" si="2"/>
        <v>-1553841.3885519349</v>
      </c>
      <c r="L55" s="63">
        <f t="shared" si="11"/>
        <v>-1701866.7079520586</v>
      </c>
      <c r="M55" s="69">
        <f t="shared" si="12"/>
        <v>6402260.4727720348</v>
      </c>
      <c r="N55" s="64">
        <f t="shared" si="13"/>
        <v>5845403.3188382341</v>
      </c>
      <c r="O55" s="145">
        <f t="shared" si="10"/>
        <v>0.20999999999999994</v>
      </c>
    </row>
    <row r="56" spans="1:15" x14ac:dyDescent="0.25">
      <c r="A56" s="61">
        <v>45504</v>
      </c>
      <c r="B56" s="61" t="s">
        <v>144</v>
      </c>
      <c r="C56" s="63"/>
      <c r="D56" s="63">
        <f t="shared" si="3"/>
        <v>8879093.6488682032</v>
      </c>
      <c r="E56" s="63">
        <f t="shared" si="0"/>
        <v>8715570.7668895293</v>
      </c>
      <c r="F56" s="124">
        <f t="shared" si="17"/>
        <v>184981.11768475422</v>
      </c>
      <c r="G56" s="63">
        <f t="shared" si="14"/>
        <v>-1664830.0591627883</v>
      </c>
      <c r="H56" s="63">
        <f t="shared" si="15"/>
        <v>-624311.27218604553</v>
      </c>
      <c r="I56" s="63">
        <f t="shared" si="16"/>
        <v>8091259.4947034838</v>
      </c>
      <c r="J56" s="63">
        <f t="shared" si="1"/>
        <v>38846.034713798384</v>
      </c>
      <c r="K56" s="68">
        <f t="shared" si="2"/>
        <v>-1514995.3538381364</v>
      </c>
      <c r="L56" s="63">
        <f t="shared" si="11"/>
        <v>-1699164.4938877311</v>
      </c>
      <c r="M56" s="69">
        <f t="shared" si="12"/>
        <v>6392095.0008157529</v>
      </c>
      <c r="N56" s="64">
        <f t="shared" si="13"/>
        <v>5699268.2358672787</v>
      </c>
      <c r="O56" s="145">
        <f t="shared" si="10"/>
        <v>0.20999999999999991</v>
      </c>
    </row>
    <row r="57" spans="1:15" x14ac:dyDescent="0.25">
      <c r="A57" s="61">
        <v>45535</v>
      </c>
      <c r="B57" s="61" t="s">
        <v>144</v>
      </c>
      <c r="C57" s="63"/>
      <c r="D57" s="63">
        <f t="shared" si="3"/>
        <v>8879093.6488682032</v>
      </c>
      <c r="E57" s="63">
        <f t="shared" si="0"/>
        <v>8802680.598242471</v>
      </c>
      <c r="F57" s="124">
        <f t="shared" si="17"/>
        <v>184981.11768475422</v>
      </c>
      <c r="G57" s="63">
        <f t="shared" si="14"/>
        <v>-1849811.1768475426</v>
      </c>
      <c r="H57" s="63">
        <f t="shared" si="15"/>
        <v>-770754.65701980935</v>
      </c>
      <c r="I57" s="63">
        <f t="shared" si="16"/>
        <v>8031925.9412226621</v>
      </c>
      <c r="J57" s="63">
        <f t="shared" si="1"/>
        <v>38846.034713798384</v>
      </c>
      <c r="K57" s="68">
        <f t="shared" si="2"/>
        <v>-1476149.319124338</v>
      </c>
      <c r="L57" s="63">
        <f t="shared" si="11"/>
        <v>-1686704.4476567579</v>
      </c>
      <c r="M57" s="69">
        <f t="shared" si="12"/>
        <v>6345221.493565904</v>
      </c>
      <c r="N57" s="64">
        <f t="shared" si="13"/>
        <v>5553133.1528963223</v>
      </c>
      <c r="O57" s="145">
        <f t="shared" si="10"/>
        <v>0.20999999999999991</v>
      </c>
    </row>
    <row r="58" spans="1:15" x14ac:dyDescent="0.25">
      <c r="A58" s="61">
        <v>45565</v>
      </c>
      <c r="B58" s="61" t="s">
        <v>144</v>
      </c>
      <c r="C58" s="63"/>
      <c r="D58" s="63">
        <f t="shared" si="3"/>
        <v>8879093.6488682032</v>
      </c>
      <c r="E58" s="63">
        <f t="shared" si="0"/>
        <v>8858751.984603595</v>
      </c>
      <c r="F58" s="124">
        <f t="shared" si="17"/>
        <v>184981.11768475422</v>
      </c>
      <c r="G58" s="63">
        <f t="shared" si="14"/>
        <v>-2034792.2945322969</v>
      </c>
      <c r="H58" s="63">
        <f t="shared" si="15"/>
        <v>-932613.13499396935</v>
      </c>
      <c r="I58" s="63">
        <f t="shared" si="16"/>
        <v>7926138.8496096255</v>
      </c>
      <c r="J58" s="63">
        <f t="shared" si="1"/>
        <v>38846.034713798384</v>
      </c>
      <c r="K58" s="68">
        <f t="shared" si="2"/>
        <v>-1437303.2844105395</v>
      </c>
      <c r="L58" s="63">
        <f t="shared" si="11"/>
        <v>-1664489.1584180209</v>
      </c>
      <c r="M58" s="69">
        <f t="shared" si="12"/>
        <v>6261649.6911916044</v>
      </c>
      <c r="N58" s="64">
        <f t="shared" si="13"/>
        <v>5406998.069925366</v>
      </c>
      <c r="O58" s="145">
        <f t="shared" si="10"/>
        <v>0.20999999999999991</v>
      </c>
    </row>
    <row r="59" spans="1:15" ht="13.8" thickBot="1" x14ac:dyDescent="0.3">
      <c r="A59" s="61">
        <v>45596</v>
      </c>
      <c r="B59" s="61" t="s">
        <v>144</v>
      </c>
      <c r="C59" s="63"/>
      <c r="D59" s="63">
        <f t="shared" si="3"/>
        <v>8879093.6488682032</v>
      </c>
      <c r="E59" s="199">
        <f t="shared" si="0"/>
        <v>8879093.6488682032</v>
      </c>
      <c r="F59" s="124">
        <f t="shared" si="17"/>
        <v>184981.11768475422</v>
      </c>
      <c r="G59" s="63">
        <f t="shared" si="14"/>
        <v>-2219773.4122170513</v>
      </c>
      <c r="H59" s="199">
        <f t="shared" si="15"/>
        <v>-1109886.7061085256</v>
      </c>
      <c r="I59" s="63">
        <f t="shared" si="16"/>
        <v>7769206.9427596778</v>
      </c>
      <c r="J59" s="63">
        <f t="shared" si="1"/>
        <v>38846.034713798384</v>
      </c>
      <c r="K59" s="68">
        <f t="shared" si="2"/>
        <v>-1398457.2496967411</v>
      </c>
      <c r="L59" s="63">
        <f t="shared" si="11"/>
        <v>-1631533.4579795317</v>
      </c>
      <c r="M59" s="69">
        <f t="shared" si="12"/>
        <v>6137673.4847801458</v>
      </c>
      <c r="N59" s="64">
        <f t="shared" si="13"/>
        <v>5260862.9869544115</v>
      </c>
      <c r="O59" s="145">
        <f t="shared" si="10"/>
        <v>0.20999999999999985</v>
      </c>
    </row>
    <row r="60" spans="1:15" x14ac:dyDescent="0.25">
      <c r="A60" s="134">
        <v>45626</v>
      </c>
      <c r="B60" s="141" t="s">
        <v>145</v>
      </c>
      <c r="C60" s="136"/>
      <c r="D60" s="136">
        <f t="shared" si="3"/>
        <v>8879093.6488682032</v>
      </c>
      <c r="E60" s="136">
        <f t="shared" si="0"/>
        <v>8879093.6488682032</v>
      </c>
      <c r="F60" s="137">
        <f t="shared" si="17"/>
        <v>184981.11768475422</v>
      </c>
      <c r="G60" s="136">
        <f t="shared" si="14"/>
        <v>-2404754.5299018053</v>
      </c>
      <c r="H60" s="136">
        <f t="shared" si="15"/>
        <v>-1294867.8237932797</v>
      </c>
      <c r="I60" s="136">
        <f t="shared" si="16"/>
        <v>7584225.8250749232</v>
      </c>
      <c r="J60" s="136">
        <f t="shared" si="1"/>
        <v>38846.034713798384</v>
      </c>
      <c r="K60" s="138">
        <f t="shared" si="2"/>
        <v>-1359611.2149829427</v>
      </c>
      <c r="L60" s="136">
        <f t="shared" si="11"/>
        <v>-1592687.4232657331</v>
      </c>
      <c r="M60" s="139">
        <f t="shared" si="12"/>
        <v>5991538.4018091904</v>
      </c>
      <c r="N60" s="140">
        <f t="shared" si="13"/>
        <v>5114727.9039834552</v>
      </c>
      <c r="O60" s="145">
        <f t="shared" si="10"/>
        <v>0.20999999999999985</v>
      </c>
    </row>
    <row r="61" spans="1:15" x14ac:dyDescent="0.25">
      <c r="A61" s="61">
        <v>45657</v>
      </c>
      <c r="B61" s="30" t="s">
        <v>145</v>
      </c>
      <c r="C61" s="63"/>
      <c r="D61" s="63">
        <f t="shared" si="3"/>
        <v>8879093.6488682032</v>
      </c>
      <c r="E61" s="63">
        <f t="shared" si="0"/>
        <v>8879093.6488682032</v>
      </c>
      <c r="F61" s="124">
        <f t="shared" si="17"/>
        <v>184981.11768475422</v>
      </c>
      <c r="G61" s="63">
        <f t="shared" si="14"/>
        <v>-2589735.6475865594</v>
      </c>
      <c r="H61" s="63">
        <f t="shared" si="15"/>
        <v>-1479848.9414780338</v>
      </c>
      <c r="I61" s="63">
        <f t="shared" si="16"/>
        <v>7399244.7073901696</v>
      </c>
      <c r="J61" s="63">
        <f t="shared" si="1"/>
        <v>38846.034713798384</v>
      </c>
      <c r="K61" s="68">
        <f t="shared" si="2"/>
        <v>-1320765.1802691442</v>
      </c>
      <c r="L61" s="63">
        <f t="shared" si="11"/>
        <v>-1553841.3885519349</v>
      </c>
      <c r="M61" s="69">
        <f t="shared" si="12"/>
        <v>5845403.318838235</v>
      </c>
      <c r="N61" s="64">
        <f t="shared" si="13"/>
        <v>4968592.8210124988</v>
      </c>
      <c r="O61" s="145">
        <f t="shared" si="10"/>
        <v>0.20999999999999985</v>
      </c>
    </row>
    <row r="62" spans="1:15" x14ac:dyDescent="0.25">
      <c r="A62" s="61">
        <v>45688</v>
      </c>
      <c r="B62" s="30" t="s">
        <v>145</v>
      </c>
      <c r="C62" s="63"/>
      <c r="D62" s="63">
        <f t="shared" si="3"/>
        <v>8879093.6488682032</v>
      </c>
      <c r="E62" s="63">
        <f t="shared" si="0"/>
        <v>8879093.6488682032</v>
      </c>
      <c r="F62" s="124">
        <f t="shared" si="17"/>
        <v>184981.11768475422</v>
      </c>
      <c r="G62" s="63">
        <f t="shared" si="14"/>
        <v>-2774716.7652713135</v>
      </c>
      <c r="H62" s="63">
        <f t="shared" si="15"/>
        <v>-1664830.0591627881</v>
      </c>
      <c r="I62" s="63">
        <f t="shared" si="16"/>
        <v>7214263.5897054151</v>
      </c>
      <c r="J62" s="63">
        <f t="shared" si="1"/>
        <v>38846.034713798384</v>
      </c>
      <c r="K62" s="68">
        <f t="shared" si="2"/>
        <v>-1281919.1455553458</v>
      </c>
      <c r="L62" s="63">
        <f t="shared" si="11"/>
        <v>-1514995.3538381364</v>
      </c>
      <c r="M62" s="69">
        <f t="shared" si="12"/>
        <v>5699268.2358672787</v>
      </c>
      <c r="N62" s="64">
        <f t="shared" si="13"/>
        <v>4822457.7380415443</v>
      </c>
      <c r="O62" s="145">
        <f t="shared" si="10"/>
        <v>0.20999999999999983</v>
      </c>
    </row>
    <row r="63" spans="1:15" x14ac:dyDescent="0.25">
      <c r="A63" s="61">
        <v>45716</v>
      </c>
      <c r="B63" s="30" t="s">
        <v>145</v>
      </c>
      <c r="C63" s="63"/>
      <c r="D63" s="63">
        <f t="shared" si="3"/>
        <v>8879093.6488682032</v>
      </c>
      <c r="E63" s="63">
        <f t="shared" si="0"/>
        <v>8879093.6488682032</v>
      </c>
      <c r="F63" s="124">
        <f t="shared" si="17"/>
        <v>184981.11768475422</v>
      </c>
      <c r="G63" s="63">
        <f t="shared" si="14"/>
        <v>-2959697.8829560676</v>
      </c>
      <c r="H63" s="63">
        <f t="shared" si="15"/>
        <v>-1849811.1768475424</v>
      </c>
      <c r="I63" s="63">
        <f t="shared" si="16"/>
        <v>7029282.4720206605</v>
      </c>
      <c r="J63" s="63">
        <f t="shared" si="1"/>
        <v>38846.034713798384</v>
      </c>
      <c r="K63" s="68">
        <f t="shared" si="2"/>
        <v>-1243073.1108415474</v>
      </c>
      <c r="L63" s="63">
        <f t="shared" si="11"/>
        <v>-1476149.3191243382</v>
      </c>
      <c r="M63" s="69">
        <f t="shared" si="12"/>
        <v>5553133.1528963223</v>
      </c>
      <c r="N63" s="64">
        <f t="shared" si="13"/>
        <v>4676322.6550705889</v>
      </c>
      <c r="O63" s="145">
        <f t="shared" si="10"/>
        <v>0.2099999999999998</v>
      </c>
    </row>
    <row r="64" spans="1:15" x14ac:dyDescent="0.25">
      <c r="A64" s="61">
        <v>45747</v>
      </c>
      <c r="B64" s="30" t="s">
        <v>145</v>
      </c>
      <c r="C64" s="63"/>
      <c r="D64" s="63">
        <f t="shared" si="3"/>
        <v>8879093.6488682032</v>
      </c>
      <c r="E64" s="63">
        <f t="shared" si="0"/>
        <v>8879093.6488682032</v>
      </c>
      <c r="F64" s="124">
        <f t="shared" si="17"/>
        <v>184981.11768475422</v>
      </c>
      <c r="G64" s="63">
        <f t="shared" si="14"/>
        <v>-3144679.0006408216</v>
      </c>
      <c r="H64" s="63">
        <f t="shared" si="15"/>
        <v>-2034792.2945322965</v>
      </c>
      <c r="I64" s="63">
        <f t="shared" si="16"/>
        <v>6844301.3543359069</v>
      </c>
      <c r="J64" s="63">
        <f t="shared" si="1"/>
        <v>38846.034713798384</v>
      </c>
      <c r="K64" s="68">
        <f t="shared" si="2"/>
        <v>-1204227.0761277489</v>
      </c>
      <c r="L64" s="63">
        <f t="shared" si="11"/>
        <v>-1437303.2844105398</v>
      </c>
      <c r="M64" s="69">
        <f t="shared" si="12"/>
        <v>5406998.0699253669</v>
      </c>
      <c r="N64" s="64">
        <f t="shared" si="13"/>
        <v>4530187.5720996326</v>
      </c>
      <c r="O64" s="145">
        <f t="shared" si="10"/>
        <v>0.2099999999999998</v>
      </c>
    </row>
    <row r="65" spans="1:15" x14ac:dyDescent="0.25">
      <c r="A65" s="61">
        <v>45777</v>
      </c>
      <c r="B65" s="30" t="s">
        <v>145</v>
      </c>
      <c r="C65" s="63"/>
      <c r="D65" s="63">
        <f t="shared" si="3"/>
        <v>8879093.6488682032</v>
      </c>
      <c r="E65" s="63">
        <f t="shared" si="0"/>
        <v>8879093.6488682032</v>
      </c>
      <c r="F65" s="124">
        <f t="shared" si="17"/>
        <v>184981.11768475422</v>
      </c>
      <c r="G65" s="63">
        <f t="shared" si="14"/>
        <v>-3329660.1183255757</v>
      </c>
      <c r="H65" s="63">
        <f t="shared" si="15"/>
        <v>-2219773.4122170508</v>
      </c>
      <c r="I65" s="63">
        <f t="shared" si="16"/>
        <v>6659320.2366511524</v>
      </c>
      <c r="J65" s="63">
        <f t="shared" si="1"/>
        <v>38846.034713798384</v>
      </c>
      <c r="K65" s="68">
        <f t="shared" si="2"/>
        <v>-1165381.0414139505</v>
      </c>
      <c r="L65" s="63">
        <f t="shared" si="11"/>
        <v>-1398457.2496967411</v>
      </c>
      <c r="M65" s="69">
        <f t="shared" si="12"/>
        <v>5260862.9869544115</v>
      </c>
      <c r="N65" s="64">
        <f t="shared" si="13"/>
        <v>4384052.4891286762</v>
      </c>
      <c r="O65" s="145">
        <f t="shared" si="10"/>
        <v>0.2099999999999998</v>
      </c>
    </row>
    <row r="66" spans="1:15" x14ac:dyDescent="0.25">
      <c r="A66" s="61">
        <v>45808</v>
      </c>
      <c r="B66" s="30" t="s">
        <v>145</v>
      </c>
      <c r="C66" s="63"/>
      <c r="D66" s="63">
        <f t="shared" si="3"/>
        <v>8879093.6488682032</v>
      </c>
      <c r="E66" s="63">
        <f t="shared" si="0"/>
        <v>8879093.6488682032</v>
      </c>
      <c r="F66" s="124">
        <f t="shared" si="17"/>
        <v>184981.11768475422</v>
      </c>
      <c r="G66" s="63">
        <f t="shared" si="14"/>
        <v>-3514641.2360103298</v>
      </c>
      <c r="H66" s="63">
        <f t="shared" si="15"/>
        <v>-2404754.5299018053</v>
      </c>
      <c r="I66" s="63">
        <f t="shared" si="16"/>
        <v>6474339.1189663978</v>
      </c>
      <c r="J66" s="63">
        <f t="shared" si="1"/>
        <v>38846.034713798384</v>
      </c>
      <c r="K66" s="68">
        <f t="shared" si="2"/>
        <v>-1126535.0067001521</v>
      </c>
      <c r="L66" s="63">
        <f t="shared" si="11"/>
        <v>-1359611.2149829427</v>
      </c>
      <c r="M66" s="69">
        <f t="shared" si="12"/>
        <v>5114727.9039834552</v>
      </c>
      <c r="N66" s="64">
        <f t="shared" si="13"/>
        <v>4237917.4061577208</v>
      </c>
      <c r="O66" s="145">
        <f t="shared" si="10"/>
        <v>0.20999999999999974</v>
      </c>
    </row>
    <row r="67" spans="1:15" x14ac:dyDescent="0.25">
      <c r="A67" s="61">
        <v>45838</v>
      </c>
      <c r="B67" s="30" t="s">
        <v>145</v>
      </c>
      <c r="C67" s="63"/>
      <c r="D67" s="63">
        <f t="shared" si="3"/>
        <v>8879093.6488682032</v>
      </c>
      <c r="E67" s="63">
        <f t="shared" si="0"/>
        <v>8879093.6488682032</v>
      </c>
      <c r="F67" s="124">
        <f t="shared" si="17"/>
        <v>184981.11768475422</v>
      </c>
      <c r="G67" s="63">
        <f t="shared" si="14"/>
        <v>-3699622.3536950839</v>
      </c>
      <c r="H67" s="63">
        <f t="shared" si="15"/>
        <v>-2589735.6475865589</v>
      </c>
      <c r="I67" s="63">
        <f t="shared" si="16"/>
        <v>6289358.0012816442</v>
      </c>
      <c r="J67" s="63">
        <f t="shared" si="1"/>
        <v>38846.034713798384</v>
      </c>
      <c r="K67" s="68">
        <f t="shared" si="2"/>
        <v>-1087688.9719863536</v>
      </c>
      <c r="L67" s="63">
        <f t="shared" si="11"/>
        <v>-1320765.1802691442</v>
      </c>
      <c r="M67" s="69">
        <f t="shared" si="12"/>
        <v>4968592.8210124997</v>
      </c>
      <c r="N67" s="64">
        <f t="shared" si="13"/>
        <v>4091782.3231867664</v>
      </c>
      <c r="O67" s="145">
        <f t="shared" si="10"/>
        <v>0.20999999999999971</v>
      </c>
    </row>
    <row r="68" spans="1:15" x14ac:dyDescent="0.25">
      <c r="A68" s="61">
        <v>45869</v>
      </c>
      <c r="B68" s="30" t="s">
        <v>145</v>
      </c>
      <c r="C68" s="63"/>
      <c r="D68" s="63">
        <f t="shared" si="3"/>
        <v>8879093.6488682032</v>
      </c>
      <c r="E68" s="63">
        <f t="shared" si="0"/>
        <v>8879093.6488682032</v>
      </c>
      <c r="F68" s="124">
        <f t="shared" si="17"/>
        <v>184981.11768475422</v>
      </c>
      <c r="G68" s="63">
        <f t="shared" si="14"/>
        <v>-3884603.471379838</v>
      </c>
      <c r="H68" s="63">
        <f t="shared" si="15"/>
        <v>-2774716.765271313</v>
      </c>
      <c r="I68" s="63">
        <f t="shared" si="16"/>
        <v>6104376.8835968897</v>
      </c>
      <c r="J68" s="63">
        <f t="shared" si="1"/>
        <v>38846.034713798384</v>
      </c>
      <c r="K68" s="68">
        <f t="shared" si="2"/>
        <v>-1048842.9372725552</v>
      </c>
      <c r="L68" s="63">
        <f t="shared" si="11"/>
        <v>-1281919.1455553458</v>
      </c>
      <c r="M68" s="69">
        <f t="shared" si="12"/>
        <v>4822457.7380415443</v>
      </c>
      <c r="N68" s="64">
        <f t="shared" si="13"/>
        <v>3945647.24021581</v>
      </c>
      <c r="O68" s="145">
        <f t="shared" si="10"/>
        <v>0.20999999999999969</v>
      </c>
    </row>
    <row r="69" spans="1:15" x14ac:dyDescent="0.25">
      <c r="A69" s="61">
        <v>45900</v>
      </c>
      <c r="B69" s="30" t="s">
        <v>145</v>
      </c>
      <c r="C69" s="63"/>
      <c r="D69" s="63">
        <f t="shared" si="3"/>
        <v>8879093.6488682032</v>
      </c>
      <c r="E69" s="63">
        <f t="shared" si="0"/>
        <v>8879093.6488682032</v>
      </c>
      <c r="F69" s="124">
        <f t="shared" si="17"/>
        <v>184981.11768475422</v>
      </c>
      <c r="G69" s="63">
        <f t="shared" si="14"/>
        <v>-4069584.589064592</v>
      </c>
      <c r="H69" s="63">
        <f t="shared" si="15"/>
        <v>-2959697.8829560676</v>
      </c>
      <c r="I69" s="63">
        <f t="shared" si="16"/>
        <v>5919395.7659121361</v>
      </c>
      <c r="J69" s="63">
        <f t="shared" si="1"/>
        <v>38846.034713798384</v>
      </c>
      <c r="K69" s="68">
        <f t="shared" si="2"/>
        <v>-1009996.9025587568</v>
      </c>
      <c r="L69" s="63">
        <f t="shared" si="11"/>
        <v>-1243073.1108415476</v>
      </c>
      <c r="M69" s="69">
        <f t="shared" si="12"/>
        <v>4676322.655070588</v>
      </c>
      <c r="N69" s="64">
        <f t="shared" si="13"/>
        <v>3799512.1572448537</v>
      </c>
      <c r="O69" s="145">
        <f t="shared" si="10"/>
        <v>0.20999999999999969</v>
      </c>
    </row>
    <row r="70" spans="1:15" x14ac:dyDescent="0.25">
      <c r="A70" s="61">
        <v>45930</v>
      </c>
      <c r="B70" s="30" t="s">
        <v>145</v>
      </c>
      <c r="C70" s="63"/>
      <c r="D70" s="63">
        <f t="shared" si="3"/>
        <v>8879093.6488682032</v>
      </c>
      <c r="E70" s="63">
        <f t="shared" si="0"/>
        <v>8879093.6488682032</v>
      </c>
      <c r="F70" s="124">
        <f t="shared" si="17"/>
        <v>184981.11768475422</v>
      </c>
      <c r="G70" s="63">
        <f t="shared" si="14"/>
        <v>-4254565.7067493461</v>
      </c>
      <c r="H70" s="63">
        <f t="shared" si="15"/>
        <v>-3144679.0006408221</v>
      </c>
      <c r="I70" s="63">
        <f t="shared" si="16"/>
        <v>5734414.6482273806</v>
      </c>
      <c r="J70" s="63">
        <f t="shared" si="1"/>
        <v>38846.034713798384</v>
      </c>
      <c r="K70" s="68">
        <f t="shared" si="2"/>
        <v>-971150.86784495832</v>
      </c>
      <c r="L70" s="63">
        <f t="shared" si="11"/>
        <v>-1204227.0761277492</v>
      </c>
      <c r="M70" s="69">
        <f t="shared" si="12"/>
        <v>4530187.5720996317</v>
      </c>
      <c r="N70" s="64">
        <f t="shared" si="13"/>
        <v>3653377.0742738987</v>
      </c>
      <c r="O70" s="145">
        <f t="shared" si="10"/>
        <v>0.20999999999999963</v>
      </c>
    </row>
    <row r="71" spans="1:15" ht="13.8" thickBot="1" x14ac:dyDescent="0.3">
      <c r="A71" s="61">
        <v>45961</v>
      </c>
      <c r="B71" s="30" t="s">
        <v>145</v>
      </c>
      <c r="C71" s="63"/>
      <c r="D71" s="63">
        <f t="shared" si="3"/>
        <v>8879093.6488682032</v>
      </c>
      <c r="E71" s="63">
        <f t="shared" si="0"/>
        <v>8879093.6488682032</v>
      </c>
      <c r="F71" s="124">
        <f t="shared" si="17"/>
        <v>184981.11768475422</v>
      </c>
      <c r="G71" s="63">
        <f t="shared" si="14"/>
        <v>-4439546.8244341007</v>
      </c>
      <c r="H71" s="63">
        <f t="shared" si="15"/>
        <v>-3329660.1183255757</v>
      </c>
      <c r="I71" s="63">
        <f t="shared" si="16"/>
        <v>5549433.530542627</v>
      </c>
      <c r="J71" s="63">
        <f t="shared" si="1"/>
        <v>38846.034713798384</v>
      </c>
      <c r="K71" s="68">
        <f t="shared" si="2"/>
        <v>-932304.83313115989</v>
      </c>
      <c r="L71" s="63">
        <f t="shared" si="11"/>
        <v>-1165381.0414139505</v>
      </c>
      <c r="M71" s="69">
        <f t="shared" si="12"/>
        <v>4384052.4891286762</v>
      </c>
      <c r="N71" s="64">
        <f t="shared" si="13"/>
        <v>3507241.9913029429</v>
      </c>
      <c r="O71" s="145">
        <f t="shared" si="10"/>
        <v>0.20999999999999963</v>
      </c>
    </row>
    <row r="72" spans="1:15" x14ac:dyDescent="0.25">
      <c r="A72" s="134">
        <v>45991</v>
      </c>
      <c r="B72" s="141" t="s">
        <v>146</v>
      </c>
      <c r="C72" s="136"/>
      <c r="D72" s="136">
        <f t="shared" si="3"/>
        <v>8879093.6488682032</v>
      </c>
      <c r="E72" s="136">
        <f t="shared" si="0"/>
        <v>8879093.6488682032</v>
      </c>
      <c r="F72" s="137">
        <f t="shared" si="17"/>
        <v>184981.11768475422</v>
      </c>
      <c r="G72" s="136">
        <f t="shared" si="14"/>
        <v>-4624527.9421188552</v>
      </c>
      <c r="H72" s="136">
        <f t="shared" si="15"/>
        <v>-3514641.2360103298</v>
      </c>
      <c r="I72" s="136">
        <f t="shared" si="16"/>
        <v>5364452.4128578734</v>
      </c>
      <c r="J72" s="136">
        <f t="shared" si="1"/>
        <v>38846.034713798384</v>
      </c>
      <c r="K72" s="138">
        <f t="shared" si="2"/>
        <v>-893458.79841736145</v>
      </c>
      <c r="L72" s="136">
        <f t="shared" si="11"/>
        <v>-1126535.0067001523</v>
      </c>
      <c r="M72" s="139">
        <f t="shared" si="12"/>
        <v>4237917.4061577208</v>
      </c>
      <c r="N72" s="140">
        <f t="shared" si="13"/>
        <v>3361106.9083319865</v>
      </c>
      <c r="O72" s="145">
        <f t="shared" si="10"/>
        <v>0.20999999999999963</v>
      </c>
    </row>
    <row r="73" spans="1:15" x14ac:dyDescent="0.25">
      <c r="A73" s="61">
        <v>46022</v>
      </c>
      <c r="B73" s="30" t="s">
        <v>146</v>
      </c>
      <c r="C73" s="63"/>
      <c r="D73" s="63">
        <f t="shared" si="3"/>
        <v>8879093.6488682032</v>
      </c>
      <c r="E73" s="63">
        <f t="shared" si="0"/>
        <v>8879093.6488682032</v>
      </c>
      <c r="F73" s="124">
        <f t="shared" si="17"/>
        <v>184981.11768475422</v>
      </c>
      <c r="G73" s="63">
        <f t="shared" si="14"/>
        <v>-4809509.0598036097</v>
      </c>
      <c r="H73" s="63">
        <f t="shared" si="15"/>
        <v>-3699622.3536950839</v>
      </c>
      <c r="I73" s="63">
        <f t="shared" si="16"/>
        <v>5179471.2951731198</v>
      </c>
      <c r="J73" s="63">
        <f t="shared" si="1"/>
        <v>38846.034713798384</v>
      </c>
      <c r="K73" s="68">
        <f t="shared" si="2"/>
        <v>-854612.76370356302</v>
      </c>
      <c r="L73" s="63">
        <f t="shared" si="11"/>
        <v>-1087688.9719863536</v>
      </c>
      <c r="M73" s="69">
        <f t="shared" si="12"/>
        <v>4091782.3231867664</v>
      </c>
      <c r="N73" s="64">
        <f t="shared" si="13"/>
        <v>3214971.8253610302</v>
      </c>
      <c r="O73" s="145">
        <f t="shared" si="10"/>
        <v>0.2099999999999996</v>
      </c>
    </row>
    <row r="74" spans="1:15" x14ac:dyDescent="0.25">
      <c r="A74" s="61">
        <v>46053</v>
      </c>
      <c r="B74" s="30" t="s">
        <v>146</v>
      </c>
      <c r="C74" s="30"/>
      <c r="D74" s="63">
        <f t="shared" si="3"/>
        <v>8879093.6488682032</v>
      </c>
      <c r="E74" s="63">
        <f t="shared" si="0"/>
        <v>8879093.6488682032</v>
      </c>
      <c r="F74" s="124">
        <f t="shared" si="17"/>
        <v>184981.11768475422</v>
      </c>
      <c r="G74" s="63">
        <f t="shared" si="14"/>
        <v>-4994490.1774883643</v>
      </c>
      <c r="H74" s="63">
        <f t="shared" si="15"/>
        <v>-3884603.4713798384</v>
      </c>
      <c r="I74" s="63">
        <f t="shared" si="16"/>
        <v>4994490.1774883643</v>
      </c>
      <c r="J74" s="63">
        <f t="shared" si="1"/>
        <v>38846.034713798384</v>
      </c>
      <c r="K74" s="68">
        <f t="shared" si="2"/>
        <v>-815766.72898976458</v>
      </c>
      <c r="L74" s="63">
        <f t="shared" si="11"/>
        <v>-1048842.9372725552</v>
      </c>
      <c r="M74" s="69">
        <f t="shared" si="12"/>
        <v>3945647.2402158091</v>
      </c>
      <c r="N74" s="64">
        <f t="shared" si="13"/>
        <v>3068836.7423900743</v>
      </c>
      <c r="O74" s="145">
        <f t="shared" si="10"/>
        <v>0.2099999999999996</v>
      </c>
    </row>
    <row r="75" spans="1:15" x14ac:dyDescent="0.25">
      <c r="A75" s="61">
        <v>46081</v>
      </c>
      <c r="B75" s="30" t="s">
        <v>146</v>
      </c>
      <c r="C75" s="30"/>
      <c r="D75" s="63">
        <f t="shared" si="3"/>
        <v>8879093.6488682032</v>
      </c>
      <c r="E75" s="63">
        <f t="shared" si="0"/>
        <v>8879093.6488682032</v>
      </c>
      <c r="F75" s="124">
        <f t="shared" si="17"/>
        <v>184981.11768475422</v>
      </c>
      <c r="G75" s="63">
        <f t="shared" si="14"/>
        <v>-5179471.2951731188</v>
      </c>
      <c r="H75" s="63">
        <f t="shared" si="15"/>
        <v>-4069584.5890645925</v>
      </c>
      <c r="I75" s="63">
        <f t="shared" si="16"/>
        <v>4809509.0598036107</v>
      </c>
      <c r="J75" s="63">
        <f t="shared" si="1"/>
        <v>38846.034713798384</v>
      </c>
      <c r="K75" s="68">
        <f t="shared" si="2"/>
        <v>-776920.69427596615</v>
      </c>
      <c r="L75" s="63">
        <f t="shared" si="11"/>
        <v>-1009996.9025587569</v>
      </c>
      <c r="M75" s="69">
        <f t="shared" si="12"/>
        <v>3799512.1572448537</v>
      </c>
      <c r="N75" s="64">
        <f t="shared" si="13"/>
        <v>2922701.6594191184</v>
      </c>
      <c r="O75" s="145">
        <f t="shared" si="10"/>
        <v>0.20999999999999958</v>
      </c>
    </row>
    <row r="76" spans="1:15" x14ac:dyDescent="0.25">
      <c r="A76" s="61">
        <v>46112</v>
      </c>
      <c r="B76" s="30" t="s">
        <v>146</v>
      </c>
      <c r="C76" s="30"/>
      <c r="D76" s="63">
        <f t="shared" si="3"/>
        <v>8879093.6488682032</v>
      </c>
      <c r="E76" s="63">
        <f t="shared" si="0"/>
        <v>8879093.6488682032</v>
      </c>
      <c r="F76" s="124">
        <f t="shared" si="17"/>
        <v>184981.11768475422</v>
      </c>
      <c r="G76" s="63">
        <f t="shared" si="14"/>
        <v>-5364452.4128578734</v>
      </c>
      <c r="H76" s="63">
        <f t="shared" si="15"/>
        <v>-4254565.706749347</v>
      </c>
      <c r="I76" s="63">
        <f t="shared" si="16"/>
        <v>4624527.9421188561</v>
      </c>
      <c r="J76" s="63">
        <f t="shared" si="1"/>
        <v>38846.034713798384</v>
      </c>
      <c r="K76" s="68">
        <f t="shared" si="2"/>
        <v>-738074.65956216771</v>
      </c>
      <c r="L76" s="63">
        <f t="shared" si="11"/>
        <v>-971150.86784495832</v>
      </c>
      <c r="M76" s="69">
        <f t="shared" si="12"/>
        <v>3653377.0742738978</v>
      </c>
      <c r="N76" s="64">
        <f t="shared" si="13"/>
        <v>2776566.5764481621</v>
      </c>
      <c r="O76" s="145">
        <f t="shared" si="10"/>
        <v>0.20999999999999955</v>
      </c>
    </row>
    <row r="77" spans="1:15" x14ac:dyDescent="0.25">
      <c r="A77" s="61">
        <v>46142</v>
      </c>
      <c r="B77" s="30" t="s">
        <v>146</v>
      </c>
      <c r="C77" s="30"/>
      <c r="D77" s="63">
        <f t="shared" si="3"/>
        <v>8879093.6488682032</v>
      </c>
      <c r="E77" s="63">
        <f t="shared" si="0"/>
        <v>8879093.6488682032</v>
      </c>
      <c r="F77" s="124">
        <f t="shared" si="17"/>
        <v>184981.11768475422</v>
      </c>
      <c r="G77" s="63">
        <f t="shared" si="14"/>
        <v>-5549433.5305426279</v>
      </c>
      <c r="H77" s="63">
        <f t="shared" si="15"/>
        <v>-4439546.8244341007</v>
      </c>
      <c r="I77" s="63">
        <f t="shared" si="16"/>
        <v>4439546.8244341025</v>
      </c>
      <c r="J77" s="63">
        <f t="shared" si="1"/>
        <v>38846.034713798384</v>
      </c>
      <c r="K77" s="68">
        <f t="shared" si="2"/>
        <v>-699228.62484836928</v>
      </c>
      <c r="L77" s="63">
        <f t="shared" si="11"/>
        <v>-932304.83313116</v>
      </c>
      <c r="M77" s="69">
        <f t="shared" si="12"/>
        <v>3507241.9913029424</v>
      </c>
      <c r="N77" s="64">
        <f t="shared" si="13"/>
        <v>2630431.4934772057</v>
      </c>
      <c r="O77" s="145">
        <f t="shared" si="10"/>
        <v>0.20999999999999955</v>
      </c>
    </row>
    <row r="78" spans="1:15" x14ac:dyDescent="0.25">
      <c r="A78" s="61">
        <v>46173</v>
      </c>
      <c r="B78" s="30" t="s">
        <v>146</v>
      </c>
      <c r="C78" s="30"/>
      <c r="D78" s="63">
        <f t="shared" si="3"/>
        <v>8879093.6488682032</v>
      </c>
      <c r="E78" s="63">
        <f t="shared" si="0"/>
        <v>8879093.6488682032</v>
      </c>
      <c r="F78" s="124">
        <f t="shared" si="17"/>
        <v>184981.11768475422</v>
      </c>
      <c r="G78" s="63">
        <f t="shared" si="14"/>
        <v>-5734414.6482273825</v>
      </c>
      <c r="H78" s="63">
        <f t="shared" si="15"/>
        <v>-4624527.9421188552</v>
      </c>
      <c r="I78" s="63">
        <f t="shared" si="16"/>
        <v>4254565.706749348</v>
      </c>
      <c r="J78" s="63">
        <f t="shared" si="1"/>
        <v>38846.034713798384</v>
      </c>
      <c r="K78" s="68">
        <f t="shared" si="2"/>
        <v>-660382.59013457084</v>
      </c>
      <c r="L78" s="63">
        <f t="shared" si="11"/>
        <v>-893458.79841736157</v>
      </c>
      <c r="M78" s="69">
        <f t="shared" si="12"/>
        <v>3361106.9083319865</v>
      </c>
      <c r="N78" s="64">
        <f t="shared" si="13"/>
        <v>2484296.4105062499</v>
      </c>
      <c r="O78" s="145">
        <f t="shared" si="10"/>
        <v>0.20999999999999952</v>
      </c>
    </row>
    <row r="79" spans="1:15" x14ac:dyDescent="0.25">
      <c r="A79" s="61">
        <v>46203</v>
      </c>
      <c r="B79" s="30" t="s">
        <v>146</v>
      </c>
      <c r="D79" s="63">
        <f t="shared" si="3"/>
        <v>8879093.6488682032</v>
      </c>
      <c r="E79" s="63">
        <f t="shared" si="0"/>
        <v>8879093.6488682032</v>
      </c>
      <c r="F79" s="124">
        <f t="shared" si="17"/>
        <v>184981.11768475422</v>
      </c>
      <c r="G79" s="63">
        <f t="shared" si="14"/>
        <v>-5919395.765912137</v>
      </c>
      <c r="H79" s="63">
        <f t="shared" si="15"/>
        <v>-4809509.0598036107</v>
      </c>
      <c r="I79" s="63">
        <f t="shared" si="16"/>
        <v>4069584.5890645925</v>
      </c>
      <c r="J79" s="63">
        <f t="shared" si="1"/>
        <v>38846.034713798384</v>
      </c>
      <c r="K79" s="68">
        <f t="shared" si="2"/>
        <v>-621536.55542077241</v>
      </c>
      <c r="L79" s="63">
        <f t="shared" si="11"/>
        <v>-854612.76370356278</v>
      </c>
      <c r="M79" s="63">
        <f t="shared" si="12"/>
        <v>3214971.8253610297</v>
      </c>
      <c r="N79" s="64">
        <f t="shared" si="13"/>
        <v>2338161.327535294</v>
      </c>
      <c r="O79" s="145">
        <f t="shared" si="10"/>
        <v>0.20999999999999949</v>
      </c>
    </row>
    <row r="80" spans="1:15" x14ac:dyDescent="0.25">
      <c r="A80" s="61">
        <v>46234</v>
      </c>
      <c r="B80" s="30" t="s">
        <v>146</v>
      </c>
      <c r="D80" s="63">
        <f t="shared" si="3"/>
        <v>8879093.6488682032</v>
      </c>
      <c r="E80" s="63">
        <f t="shared" si="0"/>
        <v>8879093.6488682032</v>
      </c>
      <c r="F80" s="124">
        <f t="shared" si="17"/>
        <v>184981.11768475422</v>
      </c>
      <c r="G80" s="63">
        <f t="shared" si="14"/>
        <v>-6104376.8835968915</v>
      </c>
      <c r="H80" s="63">
        <f t="shared" si="15"/>
        <v>-4994490.1774883643</v>
      </c>
      <c r="I80" s="63">
        <f t="shared" si="16"/>
        <v>3884603.4713798389</v>
      </c>
      <c r="J80" s="63">
        <f t="shared" si="1"/>
        <v>38846.034713798384</v>
      </c>
      <c r="K80" s="68">
        <f t="shared" si="2"/>
        <v>-582690.52070697397</v>
      </c>
      <c r="L80" s="63">
        <f t="shared" si="11"/>
        <v>-815766.7289897647</v>
      </c>
      <c r="M80" s="63">
        <f t="shared" si="12"/>
        <v>3068836.7423900743</v>
      </c>
      <c r="N80" s="64">
        <f t="shared" si="13"/>
        <v>2192026.2445643377</v>
      </c>
      <c r="O80" s="145">
        <f t="shared" si="10"/>
        <v>0.20999999999999946</v>
      </c>
    </row>
    <row r="81" spans="1:15" x14ac:dyDescent="0.25">
      <c r="A81" s="61">
        <v>46265</v>
      </c>
      <c r="B81" s="30" t="s">
        <v>146</v>
      </c>
      <c r="D81" s="63">
        <f t="shared" si="3"/>
        <v>8879093.6488682032</v>
      </c>
      <c r="E81" s="63">
        <f t="shared" si="0"/>
        <v>8879093.6488682032</v>
      </c>
      <c r="F81" s="124">
        <f t="shared" si="17"/>
        <v>184981.11768475422</v>
      </c>
      <c r="G81" s="63">
        <f t="shared" si="14"/>
        <v>-6289358.0012816461</v>
      </c>
      <c r="H81" s="63">
        <f t="shared" si="15"/>
        <v>-5179471.2951731188</v>
      </c>
      <c r="I81" s="63">
        <f t="shared" si="16"/>
        <v>3699622.3536950843</v>
      </c>
      <c r="J81" s="63">
        <f t="shared" si="1"/>
        <v>38846.034713798384</v>
      </c>
      <c r="K81" s="68">
        <f t="shared" si="2"/>
        <v>-543844.48599317553</v>
      </c>
      <c r="L81" s="63">
        <f t="shared" si="11"/>
        <v>-776920.69427596603</v>
      </c>
      <c r="M81" s="63">
        <f t="shared" si="12"/>
        <v>2922701.6594191184</v>
      </c>
      <c r="N81" s="64">
        <f t="shared" si="13"/>
        <v>2045891.1615933815</v>
      </c>
      <c r="O81" s="145">
        <f t="shared" si="10"/>
        <v>0.20999999999999944</v>
      </c>
    </row>
    <row r="82" spans="1:15" x14ac:dyDescent="0.25">
      <c r="A82" s="61">
        <v>46295</v>
      </c>
      <c r="B82" s="30" t="s">
        <v>146</v>
      </c>
      <c r="D82" s="63">
        <f t="shared" si="3"/>
        <v>8879093.6488682032</v>
      </c>
      <c r="E82" s="63">
        <f t="shared" si="0"/>
        <v>8879093.6488682032</v>
      </c>
      <c r="F82" s="124">
        <f t="shared" si="17"/>
        <v>184981.11768475422</v>
      </c>
      <c r="G82" s="63">
        <f t="shared" si="14"/>
        <v>-6474339.1189664006</v>
      </c>
      <c r="H82" s="63">
        <f t="shared" si="15"/>
        <v>-5364452.4128578743</v>
      </c>
      <c r="I82" s="63">
        <f t="shared" si="16"/>
        <v>3514641.2360103289</v>
      </c>
      <c r="J82" s="63">
        <f t="shared" si="1"/>
        <v>38846.034713798384</v>
      </c>
      <c r="K82" s="68">
        <f t="shared" si="2"/>
        <v>-504998.45127937716</v>
      </c>
      <c r="L82" s="63">
        <f t="shared" si="11"/>
        <v>-738074.65956216771</v>
      </c>
      <c r="M82" s="63">
        <f t="shared" si="12"/>
        <v>2776566.5764481612</v>
      </c>
      <c r="N82" s="64">
        <f t="shared" si="13"/>
        <v>1899756.0786224254</v>
      </c>
      <c r="O82" s="145">
        <f t="shared" si="10"/>
        <v>0.20999999999999944</v>
      </c>
    </row>
    <row r="83" spans="1:15" ht="13.8" thickBot="1" x14ac:dyDescent="0.3">
      <c r="A83" s="61">
        <v>46326</v>
      </c>
      <c r="B83" s="30" t="s">
        <v>146</v>
      </c>
      <c r="D83" s="63">
        <f t="shared" si="3"/>
        <v>8879093.6488682032</v>
      </c>
      <c r="E83" s="63">
        <f t="shared" si="0"/>
        <v>8879093.6488682032</v>
      </c>
      <c r="F83" s="124">
        <f t="shared" si="17"/>
        <v>184981.11768475422</v>
      </c>
      <c r="G83" s="63">
        <f t="shared" si="14"/>
        <v>-6659320.2366511552</v>
      </c>
      <c r="H83" s="63">
        <f t="shared" si="15"/>
        <v>-5549433.5305426279</v>
      </c>
      <c r="I83" s="63">
        <f t="shared" si="16"/>
        <v>3329660.1183255753</v>
      </c>
      <c r="J83" s="63">
        <f t="shared" si="1"/>
        <v>38846.034713798384</v>
      </c>
      <c r="K83" s="68">
        <f t="shared" si="2"/>
        <v>-466152.41656557878</v>
      </c>
      <c r="L83" s="63">
        <f t="shared" si="11"/>
        <v>-699228.62484836939</v>
      </c>
      <c r="M83" s="63">
        <f t="shared" si="12"/>
        <v>2630431.4934772057</v>
      </c>
      <c r="N83" s="64">
        <f t="shared" si="13"/>
        <v>1753620.9956514691</v>
      </c>
      <c r="O83" s="145">
        <f t="shared" si="10"/>
        <v>0.20999999999999941</v>
      </c>
    </row>
    <row r="84" spans="1:15" x14ac:dyDescent="0.25">
      <c r="A84" s="134">
        <v>46356</v>
      </c>
      <c r="B84" s="141" t="s">
        <v>147</v>
      </c>
      <c r="C84" s="141"/>
      <c r="D84" s="136">
        <f t="shared" si="3"/>
        <v>8879093.6488682032</v>
      </c>
      <c r="E84" s="136">
        <f t="shared" si="0"/>
        <v>8879093.6488682032</v>
      </c>
      <c r="F84" s="137">
        <f t="shared" si="17"/>
        <v>184981.11768475422</v>
      </c>
      <c r="G84" s="136">
        <f t="shared" si="14"/>
        <v>-6844301.3543359097</v>
      </c>
      <c r="H84" s="136">
        <f t="shared" si="15"/>
        <v>-5734414.6482273825</v>
      </c>
      <c r="I84" s="136">
        <f t="shared" si="16"/>
        <v>3144679.0006408207</v>
      </c>
      <c r="J84" s="136">
        <f t="shared" si="1"/>
        <v>38846.034713798384</v>
      </c>
      <c r="K84" s="138">
        <f t="shared" si="2"/>
        <v>-427306.3818517804</v>
      </c>
      <c r="L84" s="136">
        <f t="shared" si="11"/>
        <v>-660382.59013457096</v>
      </c>
      <c r="M84" s="136">
        <f t="shared" si="12"/>
        <v>2484296.4105062499</v>
      </c>
      <c r="N84" s="140">
        <f t="shared" si="13"/>
        <v>1607485.912680513</v>
      </c>
      <c r="O84" s="145">
        <f t="shared" si="10"/>
        <v>0.20999999999999941</v>
      </c>
    </row>
    <row r="85" spans="1:15" x14ac:dyDescent="0.25">
      <c r="A85" s="61">
        <v>46387</v>
      </c>
      <c r="B85" s="30" t="s">
        <v>147</v>
      </c>
      <c r="D85" s="63">
        <f t="shared" si="3"/>
        <v>8879093.6488682032</v>
      </c>
      <c r="E85" s="63">
        <f t="shared" si="0"/>
        <v>8879093.6488682032</v>
      </c>
      <c r="F85" s="124">
        <f t="shared" si="17"/>
        <v>184981.11768475422</v>
      </c>
      <c r="G85" s="63">
        <f t="shared" si="14"/>
        <v>-7029282.4720206643</v>
      </c>
      <c r="H85" s="63">
        <f t="shared" si="15"/>
        <v>-5919395.765912137</v>
      </c>
      <c r="I85" s="63">
        <f t="shared" si="16"/>
        <v>2959697.8829560662</v>
      </c>
      <c r="J85" s="63">
        <f t="shared" si="1"/>
        <v>38846.034713798384</v>
      </c>
      <c r="K85" s="68">
        <f t="shared" si="2"/>
        <v>-388460.34713798203</v>
      </c>
      <c r="L85" s="63">
        <f t="shared" si="11"/>
        <v>-621536.55542077252</v>
      </c>
      <c r="M85" s="63">
        <f t="shared" si="12"/>
        <v>2338161.3275352935</v>
      </c>
      <c r="N85" s="64">
        <f t="shared" si="13"/>
        <v>1461350.8297095569</v>
      </c>
      <c r="O85" s="145">
        <f t="shared" si="10"/>
        <v>0.20999999999999938</v>
      </c>
    </row>
    <row r="86" spans="1:15" x14ac:dyDescent="0.25">
      <c r="A86" s="61">
        <v>46418</v>
      </c>
      <c r="B86" s="30" t="s">
        <v>147</v>
      </c>
      <c r="D86" s="63">
        <f t="shared" si="3"/>
        <v>8879093.6488682032</v>
      </c>
      <c r="E86" s="63">
        <f t="shared" si="0"/>
        <v>8879093.6488682032</v>
      </c>
      <c r="F86" s="124">
        <f t="shared" si="17"/>
        <v>184981.11768475422</v>
      </c>
      <c r="G86" s="63">
        <f t="shared" si="14"/>
        <v>-7214263.5897054188</v>
      </c>
      <c r="H86" s="63">
        <f t="shared" si="15"/>
        <v>-6104376.8835968925</v>
      </c>
      <c r="I86" s="63">
        <f t="shared" si="16"/>
        <v>2774716.7652713107</v>
      </c>
      <c r="J86" s="63">
        <f t="shared" si="1"/>
        <v>38846.034713798384</v>
      </c>
      <c r="K86" s="68">
        <f t="shared" si="2"/>
        <v>-349614.31242418365</v>
      </c>
      <c r="L86" s="63">
        <f t="shared" si="11"/>
        <v>-582690.52070697409</v>
      </c>
      <c r="M86" s="63">
        <f t="shared" si="12"/>
        <v>2192026.2445643367</v>
      </c>
      <c r="N86" s="64">
        <f t="shared" si="13"/>
        <v>1315215.7467386008</v>
      </c>
      <c r="O86" s="145">
        <f t="shared" si="10"/>
        <v>0.20999999999999935</v>
      </c>
    </row>
    <row r="87" spans="1:15" x14ac:dyDescent="0.25">
      <c r="A87" s="61">
        <v>46446</v>
      </c>
      <c r="B87" s="30" t="s">
        <v>147</v>
      </c>
      <c r="D87" s="63">
        <f t="shared" si="3"/>
        <v>8879093.6488682032</v>
      </c>
      <c r="E87" s="63">
        <f t="shared" si="0"/>
        <v>8879093.6488682032</v>
      </c>
      <c r="F87" s="124">
        <f t="shared" si="17"/>
        <v>184981.11768475422</v>
      </c>
      <c r="G87" s="63">
        <f t="shared" si="14"/>
        <v>-7399244.7073901733</v>
      </c>
      <c r="H87" s="63">
        <f t="shared" si="15"/>
        <v>-6289358.0012816461</v>
      </c>
      <c r="I87" s="63">
        <f t="shared" si="16"/>
        <v>2589735.6475865571</v>
      </c>
      <c r="J87" s="63">
        <f t="shared" si="1"/>
        <v>38846.034713798384</v>
      </c>
      <c r="K87" s="68">
        <f t="shared" si="2"/>
        <v>-310768.27771038527</v>
      </c>
      <c r="L87" s="63">
        <f t="shared" si="11"/>
        <v>-543844.48599317565</v>
      </c>
      <c r="M87" s="63">
        <f t="shared" si="12"/>
        <v>2045891.1615933813</v>
      </c>
      <c r="N87" s="64">
        <f t="shared" si="13"/>
        <v>1169080.6637676447</v>
      </c>
      <c r="O87" s="145">
        <f t="shared" si="10"/>
        <v>0.20999999999999933</v>
      </c>
    </row>
    <row r="88" spans="1:15" x14ac:dyDescent="0.25">
      <c r="A88" s="61">
        <v>46477</v>
      </c>
      <c r="B88" s="30" t="s">
        <v>147</v>
      </c>
      <c r="D88" s="63">
        <f t="shared" si="3"/>
        <v>8879093.6488682032</v>
      </c>
      <c r="E88" s="63">
        <f t="shared" ref="E88:E95" si="18">(D76+D88+SUM(D77:D87)*2)/24</f>
        <v>8879093.6488682032</v>
      </c>
      <c r="F88" s="124">
        <f t="shared" si="17"/>
        <v>184981.11768475422</v>
      </c>
      <c r="G88" s="63">
        <f t="shared" si="14"/>
        <v>-7584225.8250749279</v>
      </c>
      <c r="H88" s="63">
        <f t="shared" si="15"/>
        <v>-6474339.1189664006</v>
      </c>
      <c r="I88" s="63">
        <f t="shared" si="16"/>
        <v>2404754.5299018025</v>
      </c>
      <c r="J88" s="63">
        <f t="shared" ref="J88:J95" si="19">(-C88*0.21)+(F88*0.21)</f>
        <v>38846.034713798384</v>
      </c>
      <c r="K88" s="68">
        <f t="shared" ref="K88:K95" si="20">K87+J88</f>
        <v>-271922.24299658689</v>
      </c>
      <c r="L88" s="63">
        <f t="shared" si="11"/>
        <v>-504998.45127937727</v>
      </c>
      <c r="M88" s="63">
        <f t="shared" si="12"/>
        <v>1899756.0786224252</v>
      </c>
      <c r="N88" s="64">
        <f t="shared" si="13"/>
        <v>1022945.5807966883</v>
      </c>
      <c r="O88" s="145">
        <f t="shared" si="10"/>
        <v>0.2099999999999993</v>
      </c>
    </row>
    <row r="89" spans="1:15" x14ac:dyDescent="0.25">
      <c r="A89" s="61">
        <v>46507</v>
      </c>
      <c r="B89" s="30" t="s">
        <v>147</v>
      </c>
      <c r="D89" s="63">
        <f t="shared" ref="D89:D95" si="21">D88+C89</f>
        <v>8879093.6488682032</v>
      </c>
      <c r="E89" s="63">
        <f t="shared" si="18"/>
        <v>8879093.6488682032</v>
      </c>
      <c r="F89" s="124">
        <f t="shared" si="17"/>
        <v>184981.11768475422</v>
      </c>
      <c r="G89" s="63">
        <f t="shared" si="14"/>
        <v>-7769206.9427596824</v>
      </c>
      <c r="H89" s="63">
        <f t="shared" si="15"/>
        <v>-6659320.2366511552</v>
      </c>
      <c r="I89" s="63">
        <f t="shared" si="16"/>
        <v>2219773.412217048</v>
      </c>
      <c r="J89" s="63">
        <f t="shared" si="19"/>
        <v>38846.034713798384</v>
      </c>
      <c r="K89" s="68">
        <f t="shared" si="20"/>
        <v>-233076.20828278852</v>
      </c>
      <c r="L89" s="63">
        <f t="shared" si="11"/>
        <v>-466152.4165655789</v>
      </c>
      <c r="M89" s="63">
        <f t="shared" si="12"/>
        <v>1753620.9956514691</v>
      </c>
      <c r="N89" s="64">
        <f t="shared" si="13"/>
        <v>876810.49782573222</v>
      </c>
      <c r="O89" s="145">
        <f t="shared" si="10"/>
        <v>0.20999999999999924</v>
      </c>
    </row>
    <row r="90" spans="1:15" x14ac:dyDescent="0.25">
      <c r="A90" s="61">
        <v>46538</v>
      </c>
      <c r="B90" s="30" t="s">
        <v>147</v>
      </c>
      <c r="D90" s="63">
        <f t="shared" si="21"/>
        <v>8879093.6488682032</v>
      </c>
      <c r="E90" s="63">
        <f t="shared" si="18"/>
        <v>8879093.6488682032</v>
      </c>
      <c r="F90" s="124">
        <f t="shared" si="17"/>
        <v>184981.11768475422</v>
      </c>
      <c r="G90" s="63">
        <f t="shared" si="14"/>
        <v>-7954188.060444437</v>
      </c>
      <c r="H90" s="63">
        <f t="shared" si="15"/>
        <v>-6844301.3543359088</v>
      </c>
      <c r="I90" s="63">
        <f t="shared" si="16"/>
        <v>2034792.2945322944</v>
      </c>
      <c r="J90" s="63">
        <f t="shared" si="19"/>
        <v>38846.034713798384</v>
      </c>
      <c r="K90" s="68">
        <f t="shared" si="20"/>
        <v>-194230.17356899014</v>
      </c>
      <c r="L90" s="63">
        <f t="shared" si="11"/>
        <v>-427306.3818517804</v>
      </c>
      <c r="M90" s="63">
        <f t="shared" si="12"/>
        <v>1607485.9126805139</v>
      </c>
      <c r="N90" s="64">
        <f t="shared" si="13"/>
        <v>730675.41485477611</v>
      </c>
      <c r="O90" s="145">
        <f t="shared" si="10"/>
        <v>0.20999999999999919</v>
      </c>
    </row>
    <row r="91" spans="1:15" x14ac:dyDescent="0.25">
      <c r="A91" s="61">
        <v>46568</v>
      </c>
      <c r="B91" s="30" t="s">
        <v>147</v>
      </c>
      <c r="D91" s="63">
        <f t="shared" si="21"/>
        <v>8879093.6488682032</v>
      </c>
      <c r="E91" s="63">
        <f t="shared" si="18"/>
        <v>8879093.6488682032</v>
      </c>
      <c r="F91" s="124">
        <f t="shared" si="17"/>
        <v>184981.11768475422</v>
      </c>
      <c r="G91" s="63">
        <f t="shared" si="14"/>
        <v>-8139169.1781291915</v>
      </c>
      <c r="H91" s="63">
        <f t="shared" si="15"/>
        <v>-7029282.4720206643</v>
      </c>
      <c r="I91" s="63">
        <f t="shared" si="16"/>
        <v>1849811.1768475389</v>
      </c>
      <c r="J91" s="63">
        <f t="shared" si="19"/>
        <v>38846.034713798384</v>
      </c>
      <c r="K91" s="68">
        <f t="shared" si="20"/>
        <v>-155384.13885519176</v>
      </c>
      <c r="L91" s="63">
        <f t="shared" si="11"/>
        <v>-388460.34713798203</v>
      </c>
      <c r="M91" s="63">
        <f t="shared" si="12"/>
        <v>1461350.8297095569</v>
      </c>
      <c r="N91" s="64">
        <f t="shared" si="13"/>
        <v>584540.33188381989</v>
      </c>
      <c r="O91" s="145">
        <f t="shared" ref="O91:O94" si="22">-K91/(D91+G91)</f>
        <v>0.20999999999999908</v>
      </c>
    </row>
    <row r="92" spans="1:15" x14ac:dyDescent="0.25">
      <c r="A92" s="61">
        <v>46599</v>
      </c>
      <c r="B92" s="30" t="s">
        <v>147</v>
      </c>
      <c r="D92" s="63">
        <f t="shared" si="21"/>
        <v>8879093.6488682032</v>
      </c>
      <c r="E92" s="63">
        <f t="shared" si="18"/>
        <v>8879093.6488682032</v>
      </c>
      <c r="F92" s="124">
        <f t="shared" si="17"/>
        <v>184981.11768475422</v>
      </c>
      <c r="G92" s="63">
        <f t="shared" si="14"/>
        <v>-8324150.2958139461</v>
      </c>
      <c r="H92" s="63">
        <f t="shared" si="15"/>
        <v>-7214263.5897054197</v>
      </c>
      <c r="I92" s="63">
        <f t="shared" si="16"/>
        <v>1664830.0591627834</v>
      </c>
      <c r="J92" s="63">
        <f t="shared" si="19"/>
        <v>38846.034713798384</v>
      </c>
      <c r="K92" s="68">
        <f t="shared" si="20"/>
        <v>-116538.10414139339</v>
      </c>
      <c r="L92" s="63">
        <f t="shared" si="11"/>
        <v>-349614.31242418365</v>
      </c>
      <c r="M92" s="63">
        <f t="shared" si="12"/>
        <v>1315215.7467385998</v>
      </c>
      <c r="N92" s="64">
        <f t="shared" si="13"/>
        <v>438405.24891286372</v>
      </c>
      <c r="O92" s="145">
        <f t="shared" si="22"/>
        <v>0.20999999999999891</v>
      </c>
    </row>
    <row r="93" spans="1:15" x14ac:dyDescent="0.25">
      <c r="A93" s="61">
        <v>46630</v>
      </c>
      <c r="B93" s="30" t="s">
        <v>147</v>
      </c>
      <c r="D93" s="63">
        <f t="shared" si="21"/>
        <v>8879093.6488682032</v>
      </c>
      <c r="E93" s="63">
        <f t="shared" si="18"/>
        <v>8879093.6488682032</v>
      </c>
      <c r="F93" s="124">
        <f t="shared" si="17"/>
        <v>184981.11768475422</v>
      </c>
      <c r="G93" s="63">
        <f t="shared" si="14"/>
        <v>-8509131.4134986997</v>
      </c>
      <c r="H93" s="63">
        <f t="shared" si="15"/>
        <v>-7399244.7073901743</v>
      </c>
      <c r="I93" s="63">
        <f t="shared" si="16"/>
        <v>1479848.9414780289</v>
      </c>
      <c r="J93" s="63">
        <f t="shared" si="19"/>
        <v>38846.034713798384</v>
      </c>
      <c r="K93" s="68">
        <f t="shared" si="20"/>
        <v>-77692.069427595008</v>
      </c>
      <c r="L93" s="63">
        <f t="shared" si="11"/>
        <v>-310768.27771038521</v>
      </c>
      <c r="M93" s="63">
        <f t="shared" si="12"/>
        <v>1169080.6637676437</v>
      </c>
      <c r="N93" s="64">
        <f t="shared" si="13"/>
        <v>292270.16594190849</v>
      </c>
      <c r="O93" s="145">
        <f t="shared" si="22"/>
        <v>0.20999999999999805</v>
      </c>
    </row>
    <row r="94" spans="1:15" x14ac:dyDescent="0.25">
      <c r="A94" s="61">
        <v>46660</v>
      </c>
      <c r="B94" s="30" t="s">
        <v>147</v>
      </c>
      <c r="D94" s="63">
        <f t="shared" si="21"/>
        <v>8879093.6488682032</v>
      </c>
      <c r="E94" s="63">
        <f t="shared" si="18"/>
        <v>8879093.6488682032</v>
      </c>
      <c r="F94" s="124">
        <f t="shared" si="17"/>
        <v>184981.11768475422</v>
      </c>
      <c r="G94" s="63">
        <f t="shared" si="14"/>
        <v>-8694112.5311834533</v>
      </c>
      <c r="H94" s="63">
        <f t="shared" si="15"/>
        <v>-7584225.825074927</v>
      </c>
      <c r="I94" s="63">
        <f t="shared" si="16"/>
        <v>1294867.8237932762</v>
      </c>
      <c r="J94" s="63">
        <f t="shared" si="19"/>
        <v>38846.034713798384</v>
      </c>
      <c r="K94" s="68">
        <f t="shared" si="20"/>
        <v>-38846.034713796624</v>
      </c>
      <c r="L94" s="63">
        <f t="shared" si="11"/>
        <v>-271922.24299658689</v>
      </c>
      <c r="M94" s="63">
        <f t="shared" si="12"/>
        <v>1022945.5807966893</v>
      </c>
      <c r="N94" s="64">
        <f t="shared" si="13"/>
        <v>146135.08297095326</v>
      </c>
      <c r="O94" s="145">
        <f t="shared" si="22"/>
        <v>0.20999999999999538</v>
      </c>
    </row>
    <row r="95" spans="1:15" ht="13.8" thickBot="1" x14ac:dyDescent="0.3">
      <c r="A95" s="61">
        <v>46691</v>
      </c>
      <c r="B95" s="30" t="s">
        <v>147</v>
      </c>
      <c r="D95" s="63">
        <f t="shared" si="21"/>
        <v>8879093.6488682032</v>
      </c>
      <c r="E95" s="63">
        <f t="shared" si="18"/>
        <v>8879093.6488682032</v>
      </c>
      <c r="F95" s="124">
        <f t="shared" si="17"/>
        <v>184981.11768475422</v>
      </c>
      <c r="G95" s="63">
        <f t="shared" si="14"/>
        <v>-8879093.6488682069</v>
      </c>
      <c r="H95" s="63">
        <f t="shared" si="15"/>
        <v>-7769206.9427596815</v>
      </c>
      <c r="I95" s="63">
        <f t="shared" si="16"/>
        <v>1109886.7061085217</v>
      </c>
      <c r="J95" s="63">
        <f t="shared" si="19"/>
        <v>38846.034713798384</v>
      </c>
      <c r="K95" s="68">
        <f t="shared" si="20"/>
        <v>1.7607817426323891E-9</v>
      </c>
      <c r="L95" s="63">
        <f t="shared" si="11"/>
        <v>-233076.20828278852</v>
      </c>
      <c r="M95" s="63">
        <f t="shared" si="12"/>
        <v>876810.49782573315</v>
      </c>
      <c r="N95" s="64">
        <f t="shared" si="13"/>
        <v>-1.964508555829525E-9</v>
      </c>
      <c r="O95" s="145"/>
    </row>
    <row r="96" spans="1:15" x14ac:dyDescent="0.25">
      <c r="A96" s="134">
        <v>46721</v>
      </c>
      <c r="B96" s="141" t="s">
        <v>148</v>
      </c>
      <c r="C96" s="141"/>
      <c r="D96" s="136">
        <f t="shared" ref="D96:D98" si="23">D95+C96</f>
        <v>8879093.6488682032</v>
      </c>
      <c r="E96" s="136">
        <f t="shared" ref="E96:E98" si="24">(D84+D96+SUM(D85:D95)*2)/24</f>
        <v>8879093.6488682032</v>
      </c>
      <c r="F96" s="137"/>
      <c r="G96" s="136">
        <f t="shared" ref="G96:G98" si="25">G95-F96</f>
        <v>-8879093.6488682069</v>
      </c>
      <c r="H96" s="136">
        <f t="shared" ref="H96:H98" si="26">(G84+G96+SUM(G85:G95)*2)/24</f>
        <v>-7946480.5138742374</v>
      </c>
      <c r="I96" s="136">
        <f t="shared" ref="I96:I98" si="27">E96+H96</f>
        <v>932613.13499396574</v>
      </c>
      <c r="J96" s="136">
        <f t="shared" ref="J96:J98" si="28">(-C96*0.21)+(F96*0.21)</f>
        <v>0</v>
      </c>
      <c r="K96" s="138">
        <f t="shared" ref="K96:K98" si="29">K95+J96</f>
        <v>1.7607817426323891E-9</v>
      </c>
      <c r="L96" s="136">
        <f t="shared" ref="L96:L98" si="30">(K84+K96+SUM(K85:K95)*2)/24</f>
        <v>-195848.7583487317</v>
      </c>
      <c r="M96" s="136">
        <f t="shared" ref="M96:M98" si="31">L96+I96</f>
        <v>736764.37664523406</v>
      </c>
      <c r="N96" s="140">
        <f t="shared" ref="N96:N98" si="32">+D96+G96+K96</f>
        <v>-1.964508555829525E-9</v>
      </c>
      <c r="O96" s="145"/>
    </row>
    <row r="97" spans="1:15" x14ac:dyDescent="0.25">
      <c r="A97" s="61">
        <v>46752</v>
      </c>
      <c r="B97" s="30" t="s">
        <v>148</v>
      </c>
      <c r="D97" s="63">
        <f t="shared" si="23"/>
        <v>8879093.6488682032</v>
      </c>
      <c r="E97" s="63">
        <f t="shared" si="24"/>
        <v>8879093.6488682032</v>
      </c>
      <c r="F97" s="124"/>
      <c r="G97" s="63">
        <f t="shared" si="25"/>
        <v>-8879093.6488682069</v>
      </c>
      <c r="H97" s="63">
        <f t="shared" si="26"/>
        <v>-8108338.991848398</v>
      </c>
      <c r="I97" s="63">
        <f t="shared" si="27"/>
        <v>770754.65701980516</v>
      </c>
      <c r="J97" s="63">
        <f t="shared" si="28"/>
        <v>0</v>
      </c>
      <c r="K97" s="68">
        <f t="shared" si="29"/>
        <v>1.7607817426323891E-9</v>
      </c>
      <c r="L97" s="63">
        <f t="shared" si="30"/>
        <v>-161858.47797415813</v>
      </c>
      <c r="M97" s="63">
        <f t="shared" si="31"/>
        <v>608896.17904564703</v>
      </c>
      <c r="N97" s="64">
        <f t="shared" si="32"/>
        <v>-1.964508555829525E-9</v>
      </c>
      <c r="O97" s="145"/>
    </row>
    <row r="98" spans="1:15" x14ac:dyDescent="0.25">
      <c r="A98" s="61">
        <v>46783</v>
      </c>
      <c r="B98" s="30" t="s">
        <v>148</v>
      </c>
      <c r="D98" s="63">
        <f t="shared" si="23"/>
        <v>8879093.6488682032</v>
      </c>
      <c r="E98" s="63">
        <f t="shared" si="24"/>
        <v>8879093.6488682032</v>
      </c>
      <c r="F98" s="124"/>
      <c r="G98" s="63">
        <f t="shared" si="25"/>
        <v>-8879093.6488682069</v>
      </c>
      <c r="H98" s="63">
        <f t="shared" si="26"/>
        <v>-8254782.3766821623</v>
      </c>
      <c r="I98" s="63">
        <f t="shared" si="27"/>
        <v>624311.27218604088</v>
      </c>
      <c r="J98" s="63">
        <f t="shared" si="28"/>
        <v>0</v>
      </c>
      <c r="K98" s="68">
        <f t="shared" si="29"/>
        <v>1.7607817426323891E-9</v>
      </c>
      <c r="L98" s="63">
        <f t="shared" si="30"/>
        <v>-131105.36715906774</v>
      </c>
      <c r="M98" s="63">
        <f t="shared" si="31"/>
        <v>493205.90502697311</v>
      </c>
      <c r="N98" s="64">
        <f t="shared" si="32"/>
        <v>-1.964508555829525E-9</v>
      </c>
      <c r="O98" s="145"/>
    </row>
    <row r="99" spans="1:15" x14ac:dyDescent="0.25">
      <c r="A99" s="61">
        <v>46812</v>
      </c>
      <c r="B99" s="30" t="s">
        <v>148</v>
      </c>
      <c r="D99" s="63">
        <f t="shared" ref="D99:D107" si="33">D98+C99</f>
        <v>8879093.6488682032</v>
      </c>
      <c r="E99" s="63">
        <f t="shared" ref="E99:E107" si="34">(D87+D99+SUM(D88:D98)*2)/24</f>
        <v>8879093.6488682032</v>
      </c>
      <c r="F99" s="124"/>
      <c r="G99" s="63">
        <f t="shared" ref="G99:G107" si="35">G98-F99</f>
        <v>-8879093.6488682069</v>
      </c>
      <c r="H99" s="63">
        <f t="shared" ref="H99:H107" si="36">(G87+G99+SUM(G88:G98)*2)/24</f>
        <v>-8385810.6683755293</v>
      </c>
      <c r="I99" s="63">
        <f t="shared" ref="I99:I107" si="37">E99+H99</f>
        <v>493282.98049267381</v>
      </c>
      <c r="J99" s="63">
        <f t="shared" ref="J99:J107" si="38">(-C99*0.21)+(F99*0.21)</f>
        <v>0</v>
      </c>
      <c r="K99" s="68">
        <f t="shared" ref="K99:K107" si="39">K98+J99</f>
        <v>1.7607817426323891E-9</v>
      </c>
      <c r="L99" s="63">
        <f t="shared" ref="L99:L107" si="40">(K87+K99+SUM(K88:K98)*2)/24</f>
        <v>-103589.42590346055</v>
      </c>
      <c r="M99" s="63">
        <f t="shared" ref="M99:M107" si="41">L99+I99</f>
        <v>389693.55458921328</v>
      </c>
      <c r="N99" s="64">
        <f t="shared" ref="N99:N107" si="42">+D99+G99+K99</f>
        <v>-1.964508555829525E-9</v>
      </c>
      <c r="O99" s="145"/>
    </row>
    <row r="100" spans="1:15" x14ac:dyDescent="0.25">
      <c r="A100" s="61">
        <v>46843</v>
      </c>
      <c r="B100" s="30" t="s">
        <v>148</v>
      </c>
      <c r="D100" s="63">
        <f t="shared" si="33"/>
        <v>8879093.6488682032</v>
      </c>
      <c r="E100" s="63">
        <f t="shared" si="34"/>
        <v>8879093.6488682032</v>
      </c>
      <c r="F100" s="124"/>
      <c r="G100" s="63">
        <f t="shared" si="35"/>
        <v>-8879093.6488682069</v>
      </c>
      <c r="H100" s="63">
        <f t="shared" si="36"/>
        <v>-8501423.8669285011</v>
      </c>
      <c r="I100" s="63">
        <f t="shared" si="37"/>
        <v>377669.78193970211</v>
      </c>
      <c r="J100" s="63">
        <f t="shared" si="38"/>
        <v>0</v>
      </c>
      <c r="K100" s="68">
        <f t="shared" si="39"/>
        <v>1.7607817426323891E-9</v>
      </c>
      <c r="L100" s="63">
        <f t="shared" si="40"/>
        <v>-79310.654207336614</v>
      </c>
      <c r="M100" s="63">
        <f t="shared" si="41"/>
        <v>298359.12773236551</v>
      </c>
      <c r="N100" s="64">
        <f t="shared" si="42"/>
        <v>-1.964508555829525E-9</v>
      </c>
      <c r="O100" s="145"/>
    </row>
    <row r="101" spans="1:15" x14ac:dyDescent="0.25">
      <c r="A101" s="61">
        <v>46873</v>
      </c>
      <c r="B101" s="30" t="s">
        <v>148</v>
      </c>
      <c r="D101" s="63">
        <f t="shared" si="33"/>
        <v>8879093.6488682032</v>
      </c>
      <c r="E101" s="63">
        <f t="shared" si="34"/>
        <v>8879093.6488682032</v>
      </c>
      <c r="F101" s="124"/>
      <c r="G101" s="63">
        <f t="shared" si="35"/>
        <v>-8879093.6488682069</v>
      </c>
      <c r="H101" s="63">
        <f t="shared" si="36"/>
        <v>-8601621.9723410737</v>
      </c>
      <c r="I101" s="63">
        <f t="shared" si="37"/>
        <v>277471.67652712949</v>
      </c>
      <c r="J101" s="63">
        <f t="shared" si="38"/>
        <v>0</v>
      </c>
      <c r="K101" s="68">
        <f t="shared" si="39"/>
        <v>1.7607817426323891E-9</v>
      </c>
      <c r="L101" s="63">
        <f t="shared" si="40"/>
        <v>-58269.052070695812</v>
      </c>
      <c r="M101" s="63">
        <f t="shared" si="41"/>
        <v>219202.62445643367</v>
      </c>
      <c r="N101" s="64">
        <f t="shared" si="42"/>
        <v>-1.964508555829525E-9</v>
      </c>
      <c r="O101" s="145"/>
    </row>
    <row r="102" spans="1:15" x14ac:dyDescent="0.25">
      <c r="A102" s="61">
        <v>46904</v>
      </c>
      <c r="B102" s="30" t="s">
        <v>148</v>
      </c>
      <c r="D102" s="63">
        <f t="shared" si="33"/>
        <v>8879093.6488682032</v>
      </c>
      <c r="E102" s="63">
        <f t="shared" si="34"/>
        <v>8879093.6488682032</v>
      </c>
      <c r="F102" s="124"/>
      <c r="G102" s="63">
        <f t="shared" si="35"/>
        <v>-8879093.6488682069</v>
      </c>
      <c r="H102" s="63">
        <f t="shared" si="36"/>
        <v>-8686404.9846132528</v>
      </c>
      <c r="I102" s="63">
        <f t="shared" si="37"/>
        <v>192688.66425495036</v>
      </c>
      <c r="J102" s="63">
        <f t="shared" si="38"/>
        <v>0</v>
      </c>
      <c r="K102" s="68">
        <f t="shared" si="39"/>
        <v>1.7607817426323891E-9</v>
      </c>
      <c r="L102" s="63">
        <f t="shared" si="40"/>
        <v>-40464.61949353823</v>
      </c>
      <c r="M102" s="63">
        <f t="shared" si="41"/>
        <v>152224.04476141214</v>
      </c>
      <c r="N102" s="64">
        <f t="shared" si="42"/>
        <v>-1.964508555829525E-9</v>
      </c>
      <c r="O102" s="145"/>
    </row>
    <row r="103" spans="1:15" x14ac:dyDescent="0.25">
      <c r="A103" s="61">
        <v>46934</v>
      </c>
      <c r="B103" s="30" t="s">
        <v>148</v>
      </c>
      <c r="D103" s="63">
        <f t="shared" si="33"/>
        <v>8879093.6488682032</v>
      </c>
      <c r="E103" s="63">
        <f t="shared" si="34"/>
        <v>8879093.6488682032</v>
      </c>
      <c r="F103" s="124"/>
      <c r="G103" s="63">
        <f t="shared" si="35"/>
        <v>-8879093.6488682069</v>
      </c>
      <c r="H103" s="63">
        <f t="shared" si="36"/>
        <v>-8755772.9037450347</v>
      </c>
      <c r="I103" s="63">
        <f t="shared" si="37"/>
        <v>123320.74512316845</v>
      </c>
      <c r="J103" s="63">
        <f t="shared" si="38"/>
        <v>0</v>
      </c>
      <c r="K103" s="68">
        <f t="shared" si="39"/>
        <v>1.7607817426323891E-9</v>
      </c>
      <c r="L103" s="63">
        <f t="shared" si="40"/>
        <v>-25897.356475863839</v>
      </c>
      <c r="M103" s="63">
        <f t="shared" si="41"/>
        <v>97423.388647304615</v>
      </c>
      <c r="N103" s="64">
        <f t="shared" si="42"/>
        <v>-1.964508555829525E-9</v>
      </c>
      <c r="O103" s="145"/>
    </row>
    <row r="104" spans="1:15" x14ac:dyDescent="0.25">
      <c r="A104" s="61">
        <v>46965</v>
      </c>
      <c r="B104" s="30" t="s">
        <v>148</v>
      </c>
      <c r="D104" s="63">
        <f t="shared" si="33"/>
        <v>8879093.6488682032</v>
      </c>
      <c r="E104" s="63">
        <f t="shared" si="34"/>
        <v>8879093.6488682032</v>
      </c>
      <c r="F104" s="124"/>
      <c r="G104" s="63">
        <f t="shared" si="35"/>
        <v>-8879093.6488682069</v>
      </c>
      <c r="H104" s="63">
        <f t="shared" si="36"/>
        <v>-8809725.7297364231</v>
      </c>
      <c r="I104" s="63">
        <f t="shared" si="37"/>
        <v>69367.919131780043</v>
      </c>
      <c r="J104" s="63">
        <f t="shared" si="38"/>
        <v>0</v>
      </c>
      <c r="K104" s="68">
        <f t="shared" si="39"/>
        <v>1.7607817426323891E-9</v>
      </c>
      <c r="L104" s="63">
        <f t="shared" si="40"/>
        <v>-14567.263017672632</v>
      </c>
      <c r="M104" s="63">
        <f t="shared" si="41"/>
        <v>54800.656114107413</v>
      </c>
      <c r="N104" s="64">
        <f t="shared" si="42"/>
        <v>-1.964508555829525E-9</v>
      </c>
      <c r="O104" s="145"/>
    </row>
    <row r="105" spans="1:15" x14ac:dyDescent="0.25">
      <c r="A105" s="61">
        <v>46996</v>
      </c>
      <c r="B105" s="30" t="s">
        <v>148</v>
      </c>
      <c r="D105" s="63">
        <f t="shared" si="33"/>
        <v>8879093.6488682032</v>
      </c>
      <c r="E105" s="63">
        <f t="shared" si="34"/>
        <v>8879093.6488682032</v>
      </c>
      <c r="F105" s="124"/>
      <c r="G105" s="63">
        <f t="shared" si="35"/>
        <v>-8879093.6488682069</v>
      </c>
      <c r="H105" s="63">
        <f t="shared" si="36"/>
        <v>-8848263.4625874124</v>
      </c>
      <c r="I105" s="63">
        <f t="shared" si="37"/>
        <v>30830.186280790716</v>
      </c>
      <c r="J105" s="63">
        <f t="shared" si="38"/>
        <v>0</v>
      </c>
      <c r="K105" s="68">
        <f t="shared" si="39"/>
        <v>1.7607817426323891E-9</v>
      </c>
      <c r="L105" s="63">
        <f t="shared" si="40"/>
        <v>-6474.3391189646363</v>
      </c>
      <c r="M105" s="63">
        <f t="shared" si="41"/>
        <v>24355.847161826081</v>
      </c>
      <c r="N105" s="64">
        <f t="shared" si="42"/>
        <v>-1.964508555829525E-9</v>
      </c>
      <c r="O105" s="145"/>
    </row>
    <row r="106" spans="1:15" x14ac:dyDescent="0.25">
      <c r="A106" s="61">
        <v>47026</v>
      </c>
      <c r="B106" s="30" t="s">
        <v>148</v>
      </c>
      <c r="D106" s="63">
        <f t="shared" si="33"/>
        <v>8879093.6488682032</v>
      </c>
      <c r="E106" s="63">
        <f t="shared" si="34"/>
        <v>8879093.6488682032</v>
      </c>
      <c r="F106" s="124"/>
      <c r="G106" s="63">
        <f t="shared" si="35"/>
        <v>-8879093.6488682069</v>
      </c>
      <c r="H106" s="63">
        <f t="shared" si="36"/>
        <v>-8871386.1022980064</v>
      </c>
      <c r="I106" s="63">
        <f t="shared" si="37"/>
        <v>7707.5465701967478</v>
      </c>
      <c r="J106" s="63">
        <f t="shared" si="38"/>
        <v>0</v>
      </c>
      <c r="K106" s="68">
        <f t="shared" si="39"/>
        <v>1.7607817426323891E-9</v>
      </c>
      <c r="L106" s="63">
        <f t="shared" si="40"/>
        <v>-1618.5847797398385</v>
      </c>
      <c r="M106" s="63">
        <f t="shared" si="41"/>
        <v>6088.9617904569095</v>
      </c>
      <c r="N106" s="64">
        <f t="shared" si="42"/>
        <v>-1.964508555829525E-9</v>
      </c>
      <c r="O106" s="145"/>
    </row>
    <row r="107" spans="1:15" x14ac:dyDescent="0.25">
      <c r="A107" s="70">
        <v>47057</v>
      </c>
      <c r="B107" s="71" t="s">
        <v>148</v>
      </c>
      <c r="C107" s="71"/>
      <c r="D107" s="72">
        <f t="shared" si="33"/>
        <v>8879093.6488682032</v>
      </c>
      <c r="E107" s="72">
        <f t="shared" si="34"/>
        <v>8879093.6488682032</v>
      </c>
      <c r="F107" s="125"/>
      <c r="G107" s="72">
        <f t="shared" si="35"/>
        <v>-8879093.6488682069</v>
      </c>
      <c r="H107" s="72">
        <f t="shared" si="36"/>
        <v>-8879093.648868205</v>
      </c>
      <c r="I107" s="72">
        <f t="shared" si="37"/>
        <v>0</v>
      </c>
      <c r="J107" s="72">
        <f t="shared" si="38"/>
        <v>0</v>
      </c>
      <c r="K107" s="73">
        <f t="shared" si="39"/>
        <v>1.7607817426323891E-9</v>
      </c>
      <c r="L107" s="72">
        <f t="shared" si="40"/>
        <v>1.7607817426323891E-9</v>
      </c>
      <c r="M107" s="72">
        <f t="shared" si="41"/>
        <v>1.7607817426323891E-9</v>
      </c>
      <c r="N107" s="74">
        <f t="shared" si="42"/>
        <v>-1.964508555829525E-9</v>
      </c>
      <c r="O107" s="145"/>
    </row>
    <row r="110" spans="1:15" x14ac:dyDescent="0.25">
      <c r="A110" s="30" t="s">
        <v>185</v>
      </c>
      <c r="F110" s="130">
        <f>SUM(F48:F59)</f>
        <v>2219773.4122170513</v>
      </c>
    </row>
  </sheetData>
  <printOptions horizontalCentered="1"/>
  <pageMargins left="0.2" right="0.2" top="0.25" bottom="0.5" header="0.3" footer="0.3"/>
  <pageSetup scale="75" firstPageNumber="4" fitToHeight="0" orientation="landscape" useFirstPageNumber="1" r:id="rId1"/>
  <headerFooter>
    <oddFooter>&amp;R&amp;"Times New Roman,Regular"Exh. SEF-3 page &amp;P of 16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F0"/>
    <pageSetUpPr fitToPage="1"/>
  </sheetPr>
  <dimension ref="A1:Q120"/>
  <sheetViews>
    <sheetView workbookViewId="0">
      <pane xSplit="1" ySplit="9" topLeftCell="B50" activePane="bottomRight" state="frozen"/>
      <selection activeCell="F48" sqref="F48"/>
      <selection pane="topRight" activeCell="F48" sqref="F48"/>
      <selection pane="bottomLeft" activeCell="F48" sqref="F48"/>
      <selection pane="bottomRight" activeCell="F48" sqref="F48:F95"/>
    </sheetView>
  </sheetViews>
  <sheetFormatPr defaultColWidth="9.109375" defaultRowHeight="13.2" outlineLevelRow="1" x14ac:dyDescent="0.25"/>
  <cols>
    <col min="1" max="1" width="10.5546875" style="30" customWidth="1"/>
    <col min="2" max="2" width="8.88671875" style="66" bestFit="1" customWidth="1"/>
    <col min="3" max="3" width="14.6640625" style="66" bestFit="1" customWidth="1"/>
    <col min="4" max="4" width="11.33203125" style="66" bestFit="1" customWidth="1"/>
    <col min="5" max="5" width="13.6640625" style="66" customWidth="1"/>
    <col min="6" max="6" width="12.5546875" style="66" bestFit="1" customWidth="1"/>
    <col min="7" max="7" width="16.109375" style="66" bestFit="1" customWidth="1"/>
    <col min="8" max="8" width="12.109375" style="66" bestFit="1" customWidth="1"/>
    <col min="9" max="9" width="11.44140625" style="66" bestFit="1" customWidth="1"/>
    <col min="10" max="10" width="15" style="66" bestFit="1" customWidth="1"/>
    <col min="11" max="11" width="16.6640625" style="66" bestFit="1" customWidth="1"/>
    <col min="12" max="12" width="11.33203125" style="66" bestFit="1" customWidth="1"/>
    <col min="13" max="13" width="11.44140625" style="66" bestFit="1" customWidth="1"/>
    <col min="14" max="14" width="11.109375" style="66" bestFit="1" customWidth="1"/>
    <col min="15" max="15" width="10" style="30" customWidth="1"/>
    <col min="16" max="16384" width="9.109375" style="30"/>
  </cols>
  <sheetData>
    <row r="1" spans="1:17" x14ac:dyDescent="0.25">
      <c r="A1" s="27" t="s">
        <v>43</v>
      </c>
      <c r="B1" s="28"/>
      <c r="C1" s="28"/>
      <c r="D1" s="28"/>
      <c r="E1" s="28"/>
      <c r="F1" s="28"/>
      <c r="G1" s="28"/>
      <c r="H1" s="28"/>
      <c r="I1" s="28"/>
      <c r="J1" s="29"/>
      <c r="K1" s="29"/>
      <c r="L1" s="29"/>
      <c r="M1" s="29"/>
      <c r="N1" s="30"/>
    </row>
    <row r="2" spans="1:17" x14ac:dyDescent="0.25">
      <c r="A2" s="27" t="s">
        <v>44</v>
      </c>
      <c r="B2" s="28"/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29"/>
      <c r="O2" s="29"/>
      <c r="P2" s="29"/>
      <c r="Q2" s="29"/>
    </row>
    <row r="3" spans="1:17" x14ac:dyDescent="0.25">
      <c r="A3" s="27" t="s">
        <v>45</v>
      </c>
      <c r="B3" s="28"/>
      <c r="C3" s="28"/>
      <c r="D3" s="28"/>
      <c r="E3" s="28"/>
      <c r="F3" s="28"/>
      <c r="G3" s="28"/>
      <c r="H3" s="28"/>
      <c r="I3" s="28"/>
      <c r="J3" s="29"/>
      <c r="K3" s="29"/>
      <c r="L3" s="29"/>
      <c r="M3" s="29"/>
      <c r="N3" s="30"/>
    </row>
    <row r="4" spans="1:17" x14ac:dyDescent="0.25">
      <c r="A4" s="28"/>
      <c r="B4" s="28"/>
      <c r="C4" s="31"/>
      <c r="D4" s="32"/>
      <c r="E4" s="33"/>
      <c r="F4" s="34"/>
      <c r="G4" s="34"/>
      <c r="H4" s="34"/>
      <c r="I4" s="34"/>
      <c r="J4" s="35"/>
      <c r="K4" s="36"/>
      <c r="L4" s="35"/>
      <c r="M4" s="35"/>
      <c r="N4" s="30"/>
    </row>
    <row r="5" spans="1:17" x14ac:dyDescent="0.25">
      <c r="A5" s="29"/>
      <c r="B5" s="29"/>
      <c r="C5" s="37" t="s">
        <v>46</v>
      </c>
      <c r="D5" s="38"/>
      <c r="E5" s="35"/>
      <c r="F5" s="39"/>
      <c r="G5" s="39"/>
      <c r="H5" s="39"/>
      <c r="I5" s="39"/>
      <c r="J5" s="40"/>
      <c r="K5" s="39"/>
      <c r="L5" s="39"/>
      <c r="M5" s="39"/>
      <c r="N5" s="30"/>
    </row>
    <row r="6" spans="1:17" x14ac:dyDescent="0.25">
      <c r="A6" s="41"/>
      <c r="B6" s="41"/>
      <c r="C6" s="42" t="s">
        <v>47</v>
      </c>
      <c r="D6" s="42" t="s">
        <v>48</v>
      </c>
      <c r="E6" s="42" t="s">
        <v>49</v>
      </c>
      <c r="F6" s="42" t="s">
        <v>50</v>
      </c>
      <c r="G6" s="42" t="s">
        <v>51</v>
      </c>
      <c r="H6" s="42" t="s">
        <v>52</v>
      </c>
      <c r="I6" s="42" t="s">
        <v>41</v>
      </c>
      <c r="J6" s="42" t="s">
        <v>50</v>
      </c>
      <c r="K6" s="42" t="s">
        <v>51</v>
      </c>
      <c r="L6" s="42" t="s">
        <v>53</v>
      </c>
      <c r="M6" s="43" t="s">
        <v>54</v>
      </c>
      <c r="N6" s="44" t="s">
        <v>48</v>
      </c>
    </row>
    <row r="7" spans="1:17" x14ac:dyDescent="0.25">
      <c r="A7" s="39" t="s">
        <v>55</v>
      </c>
      <c r="B7" s="45"/>
      <c r="C7" s="39" t="s">
        <v>56</v>
      </c>
      <c r="D7" s="39"/>
      <c r="E7" s="39" t="s">
        <v>48</v>
      </c>
      <c r="F7" s="39" t="s">
        <v>57</v>
      </c>
      <c r="G7" s="39" t="s">
        <v>57</v>
      </c>
      <c r="H7" s="39" t="s">
        <v>57</v>
      </c>
      <c r="I7" s="39" t="s">
        <v>58</v>
      </c>
      <c r="J7" s="39" t="s">
        <v>59</v>
      </c>
      <c r="K7" s="39" t="s">
        <v>59</v>
      </c>
      <c r="L7" s="39" t="s">
        <v>41</v>
      </c>
      <c r="M7" s="46" t="s">
        <v>53</v>
      </c>
      <c r="N7" s="47" t="s">
        <v>60</v>
      </c>
    </row>
    <row r="8" spans="1:17" x14ac:dyDescent="0.25">
      <c r="A8" s="39" t="s">
        <v>61</v>
      </c>
      <c r="B8" s="45"/>
      <c r="C8" s="39" t="s">
        <v>62</v>
      </c>
      <c r="D8" s="39" t="s">
        <v>63</v>
      </c>
      <c r="E8" s="39" t="s">
        <v>64</v>
      </c>
      <c r="F8" s="39" t="s">
        <v>65</v>
      </c>
      <c r="G8" s="48" t="s">
        <v>66</v>
      </c>
      <c r="H8" s="39" t="s">
        <v>67</v>
      </c>
      <c r="I8" s="39" t="s">
        <v>68</v>
      </c>
      <c r="J8" s="39" t="s">
        <v>69</v>
      </c>
      <c r="K8" s="39" t="s">
        <v>70</v>
      </c>
      <c r="L8" s="39" t="s">
        <v>71</v>
      </c>
      <c r="M8" s="46" t="s">
        <v>72</v>
      </c>
      <c r="N8" s="47" t="s">
        <v>73</v>
      </c>
    </row>
    <row r="9" spans="1:17" x14ac:dyDescent="0.25">
      <c r="A9" s="49"/>
      <c r="B9" s="49"/>
      <c r="C9" s="50"/>
      <c r="D9" s="50"/>
      <c r="E9" s="50"/>
      <c r="F9" s="51" t="s">
        <v>74</v>
      </c>
      <c r="G9" s="50"/>
      <c r="H9" s="50"/>
      <c r="I9" s="50"/>
      <c r="J9" s="50" t="s">
        <v>75</v>
      </c>
      <c r="K9" s="52"/>
      <c r="L9" s="50"/>
      <c r="M9" s="53"/>
      <c r="N9" s="54"/>
    </row>
    <row r="10" spans="1:17" x14ac:dyDescent="0.25">
      <c r="A10" s="55"/>
      <c r="B10" s="29"/>
      <c r="C10" s="39"/>
      <c r="D10" s="56"/>
      <c r="E10" s="57"/>
      <c r="F10" s="121"/>
      <c r="G10" s="39"/>
      <c r="H10" s="56"/>
      <c r="I10" s="56"/>
      <c r="J10" s="58"/>
      <c r="K10" s="58"/>
      <c r="L10" s="58"/>
      <c r="M10" s="59"/>
      <c r="N10" s="60"/>
    </row>
    <row r="11" spans="1:17" x14ac:dyDescent="0.25">
      <c r="A11" s="61" t="s">
        <v>76</v>
      </c>
      <c r="B11" s="61"/>
      <c r="C11" s="62"/>
      <c r="D11" s="56"/>
      <c r="E11" s="63"/>
      <c r="F11" s="122"/>
      <c r="G11" s="56"/>
      <c r="H11" s="56"/>
      <c r="I11" s="56"/>
      <c r="J11" s="63"/>
      <c r="K11" s="63"/>
      <c r="L11" s="63"/>
      <c r="M11" s="59"/>
      <c r="N11" s="64"/>
    </row>
    <row r="12" spans="1:17" hidden="1" outlineLevel="1" x14ac:dyDescent="0.25">
      <c r="A12" s="61">
        <v>44165</v>
      </c>
      <c r="B12" s="61"/>
      <c r="C12" s="62"/>
      <c r="D12" s="56"/>
      <c r="E12" s="63"/>
      <c r="F12" s="122"/>
      <c r="G12" s="56"/>
      <c r="H12" s="56"/>
      <c r="I12" s="56"/>
      <c r="J12" s="63"/>
      <c r="K12" s="63"/>
      <c r="L12" s="63"/>
      <c r="M12" s="58"/>
      <c r="N12" s="64"/>
    </row>
    <row r="13" spans="1:17" hidden="1" outlineLevel="1" x14ac:dyDescent="0.25">
      <c r="A13" s="61">
        <v>44196</v>
      </c>
      <c r="B13" s="61"/>
      <c r="C13" s="62"/>
      <c r="D13" s="56"/>
      <c r="E13" s="63"/>
      <c r="F13" s="122"/>
      <c r="G13" s="56"/>
      <c r="H13" s="56"/>
      <c r="I13" s="56"/>
      <c r="J13" s="63"/>
      <c r="K13" s="63"/>
      <c r="L13" s="63"/>
      <c r="M13" s="58"/>
      <c r="N13" s="64"/>
    </row>
    <row r="14" spans="1:17" hidden="1" outlineLevel="1" x14ac:dyDescent="0.25">
      <c r="A14" s="61">
        <v>44227</v>
      </c>
      <c r="B14" s="61"/>
      <c r="C14" s="62"/>
      <c r="D14" s="56"/>
      <c r="E14" s="63"/>
      <c r="F14" s="122"/>
      <c r="G14" s="56"/>
      <c r="H14" s="56"/>
      <c r="I14" s="56"/>
      <c r="J14" s="63"/>
      <c r="K14" s="63"/>
      <c r="L14" s="63"/>
      <c r="M14" s="58"/>
      <c r="N14" s="64"/>
    </row>
    <row r="15" spans="1:17" hidden="1" outlineLevel="1" x14ac:dyDescent="0.25">
      <c r="A15" s="61">
        <v>44255</v>
      </c>
      <c r="B15" s="61"/>
      <c r="C15" s="62"/>
      <c r="D15" s="56"/>
      <c r="E15" s="63"/>
      <c r="F15" s="122"/>
      <c r="G15" s="56"/>
      <c r="H15" s="56"/>
      <c r="I15" s="56"/>
      <c r="J15" s="63"/>
      <c r="K15" s="63"/>
      <c r="L15" s="63"/>
      <c r="M15" s="58"/>
      <c r="N15" s="64"/>
    </row>
    <row r="16" spans="1:17" hidden="1" outlineLevel="1" x14ac:dyDescent="0.25">
      <c r="A16" s="61">
        <v>44286</v>
      </c>
      <c r="B16" s="61"/>
      <c r="C16" s="62"/>
      <c r="D16" s="56"/>
      <c r="E16" s="63"/>
      <c r="F16" s="122"/>
      <c r="G16" s="56"/>
      <c r="H16" s="56"/>
      <c r="I16" s="56"/>
      <c r="J16" s="63"/>
      <c r="K16" s="63"/>
      <c r="L16" s="63"/>
      <c r="M16" s="58"/>
      <c r="N16" s="64"/>
    </row>
    <row r="17" spans="1:14" hidden="1" outlineLevel="1" x14ac:dyDescent="0.25">
      <c r="A17" s="61">
        <v>44316</v>
      </c>
      <c r="B17" s="61"/>
      <c r="C17" s="62"/>
      <c r="D17" s="56"/>
      <c r="E17" s="63"/>
      <c r="F17" s="122"/>
      <c r="G17" s="56"/>
      <c r="H17" s="56"/>
      <c r="I17" s="56"/>
      <c r="J17" s="63"/>
      <c r="K17" s="63"/>
      <c r="L17" s="63"/>
      <c r="M17" s="58"/>
      <c r="N17" s="64"/>
    </row>
    <row r="18" spans="1:14" hidden="1" outlineLevel="1" x14ac:dyDescent="0.25">
      <c r="A18" s="61">
        <v>44347</v>
      </c>
      <c r="B18" s="61"/>
      <c r="C18" s="62"/>
      <c r="D18" s="56"/>
      <c r="E18" s="63"/>
      <c r="F18" s="122"/>
      <c r="G18" s="56"/>
      <c r="H18" s="56"/>
      <c r="I18" s="56"/>
      <c r="J18" s="63"/>
      <c r="K18" s="63"/>
      <c r="L18" s="63"/>
      <c r="M18" s="58"/>
      <c r="N18" s="64"/>
    </row>
    <row r="19" spans="1:14" hidden="1" outlineLevel="1" x14ac:dyDescent="0.25">
      <c r="A19" s="61">
        <v>44377</v>
      </c>
      <c r="B19" s="61"/>
      <c r="C19" s="62"/>
      <c r="D19" s="56"/>
      <c r="E19" s="63"/>
      <c r="F19" s="122"/>
      <c r="G19" s="56"/>
      <c r="H19" s="56"/>
      <c r="I19" s="56"/>
      <c r="J19" s="63"/>
      <c r="K19" s="63"/>
      <c r="L19" s="63"/>
      <c r="M19" s="58"/>
      <c r="N19" s="64"/>
    </row>
    <row r="20" spans="1:14" hidden="1" outlineLevel="1" x14ac:dyDescent="0.25">
      <c r="A20" s="61">
        <v>44408</v>
      </c>
      <c r="B20" s="61"/>
      <c r="C20" s="62"/>
      <c r="D20" s="56"/>
      <c r="E20" s="63"/>
      <c r="F20" s="122"/>
      <c r="G20" s="56"/>
      <c r="H20" s="56"/>
      <c r="I20" s="56"/>
      <c r="J20" s="63"/>
      <c r="K20" s="63"/>
      <c r="L20" s="63"/>
      <c r="M20" s="58"/>
      <c r="N20" s="64"/>
    </row>
    <row r="21" spans="1:14" hidden="1" outlineLevel="1" x14ac:dyDescent="0.25">
      <c r="A21" s="61">
        <v>44439</v>
      </c>
      <c r="B21" s="61"/>
      <c r="C21" s="62"/>
      <c r="D21" s="56"/>
      <c r="E21" s="63"/>
      <c r="F21" s="122"/>
      <c r="G21" s="56"/>
      <c r="H21" s="56"/>
      <c r="I21" s="56"/>
      <c r="J21" s="63"/>
      <c r="K21" s="63"/>
      <c r="L21" s="63"/>
      <c r="M21" s="58"/>
      <c r="N21" s="64"/>
    </row>
    <row r="22" spans="1:14" hidden="1" outlineLevel="1" x14ac:dyDescent="0.25">
      <c r="A22" s="61">
        <v>44469</v>
      </c>
      <c r="B22" s="61"/>
      <c r="C22" s="62"/>
      <c r="D22" s="56"/>
      <c r="E22" s="63"/>
      <c r="F22" s="122"/>
      <c r="G22" s="56"/>
      <c r="H22" s="56"/>
      <c r="I22" s="56"/>
      <c r="J22" s="63"/>
      <c r="K22" s="63"/>
      <c r="L22" s="63"/>
      <c r="M22" s="58"/>
      <c r="N22" s="64"/>
    </row>
    <row r="23" spans="1:14" hidden="1" outlineLevel="1" x14ac:dyDescent="0.25">
      <c r="A23" s="61">
        <v>44500</v>
      </c>
      <c r="B23" s="61"/>
      <c r="C23" s="62"/>
      <c r="D23" s="56"/>
      <c r="E23" s="63"/>
      <c r="F23" s="122"/>
      <c r="G23" s="56"/>
      <c r="H23" s="56"/>
      <c r="I23" s="56"/>
      <c r="J23" s="63"/>
      <c r="K23" s="63"/>
      <c r="L23" s="63"/>
      <c r="M23" s="58"/>
      <c r="N23" s="64"/>
    </row>
    <row r="24" spans="1:14" collapsed="1" x14ac:dyDescent="0.25">
      <c r="A24" s="61">
        <v>44530</v>
      </c>
      <c r="B24" s="61"/>
      <c r="C24" s="62"/>
      <c r="D24" s="63">
        <f>D11+C24</f>
        <v>0</v>
      </c>
      <c r="E24" s="63">
        <f t="shared" ref="E24:E25" si="0">(D12+D24+SUM(D13:D23)*2)/24</f>
        <v>0</v>
      </c>
      <c r="F24" s="122">
        <v>0</v>
      </c>
      <c r="G24" s="63">
        <v>0</v>
      </c>
      <c r="H24" s="63">
        <v>0</v>
      </c>
      <c r="I24" s="63">
        <v>0</v>
      </c>
      <c r="J24" s="63">
        <f t="shared" ref="J24:J87" si="1">(-C24*0.21)+(F24*0.21)</f>
        <v>0</v>
      </c>
      <c r="K24" s="63">
        <f t="shared" ref="K24:K87" si="2">K23+J24</f>
        <v>0</v>
      </c>
      <c r="L24" s="63">
        <v>0</v>
      </c>
      <c r="M24" s="63">
        <v>0</v>
      </c>
      <c r="N24" s="65">
        <v>0</v>
      </c>
    </row>
    <row r="25" spans="1:14" x14ac:dyDescent="0.25">
      <c r="A25" s="61">
        <v>44561</v>
      </c>
      <c r="B25" s="61"/>
      <c r="C25" s="62"/>
      <c r="D25" s="63">
        <f t="shared" ref="D25:D88" si="3">D24+C25</f>
        <v>0</v>
      </c>
      <c r="E25" s="63">
        <f t="shared" si="0"/>
        <v>0</v>
      </c>
      <c r="F25" s="122">
        <v>0</v>
      </c>
      <c r="G25" s="63">
        <v>0</v>
      </c>
      <c r="H25" s="63">
        <v>0</v>
      </c>
      <c r="I25" s="63">
        <v>0</v>
      </c>
      <c r="J25" s="63">
        <f t="shared" si="1"/>
        <v>0</v>
      </c>
      <c r="K25" s="63">
        <f t="shared" si="2"/>
        <v>0</v>
      </c>
      <c r="L25" s="63">
        <v>0</v>
      </c>
      <c r="M25" s="63">
        <v>0</v>
      </c>
      <c r="N25" s="65">
        <v>0</v>
      </c>
    </row>
    <row r="26" spans="1:14" x14ac:dyDescent="0.25">
      <c r="A26" s="61">
        <v>44592</v>
      </c>
      <c r="B26" s="61"/>
      <c r="C26" s="62">
        <f>'Plant Additions'!F11</f>
        <v>0</v>
      </c>
      <c r="D26" s="63">
        <f>D25+C26</f>
        <v>0</v>
      </c>
      <c r="E26" s="63">
        <f t="shared" ref="E26:E38" si="4">(D14+D26+SUM(D15:D25)*2)/24</f>
        <v>0</v>
      </c>
      <c r="F26" s="122"/>
      <c r="G26" s="63">
        <f>G25-F26</f>
        <v>0</v>
      </c>
      <c r="H26" s="63">
        <v>0</v>
      </c>
      <c r="I26" s="63">
        <v>0</v>
      </c>
      <c r="J26" s="63">
        <f t="shared" si="1"/>
        <v>0</v>
      </c>
      <c r="K26" s="63">
        <f>K25+J26</f>
        <v>0</v>
      </c>
      <c r="L26" s="63">
        <v>0</v>
      </c>
      <c r="M26" s="63">
        <v>0</v>
      </c>
      <c r="N26" s="65">
        <v>0</v>
      </c>
    </row>
    <row r="27" spans="1:14" x14ac:dyDescent="0.25">
      <c r="A27" s="61">
        <v>44620</v>
      </c>
      <c r="B27" s="61"/>
      <c r="C27" s="62">
        <f>'Plant Additions'!F12</f>
        <v>270345.88582345843</v>
      </c>
      <c r="D27" s="63">
        <f t="shared" si="3"/>
        <v>270345.88582345843</v>
      </c>
      <c r="E27" s="63">
        <f t="shared" si="4"/>
        <v>11264.411909310767</v>
      </c>
      <c r="F27" s="122"/>
      <c r="G27" s="63">
        <f t="shared" ref="G27:G37" si="5">G26-F27</f>
        <v>0</v>
      </c>
      <c r="H27" s="63">
        <f t="shared" ref="H27:H37" si="6">(G15+G27+SUM(G16:G26)*2)/24</f>
        <v>0</v>
      </c>
      <c r="I27" s="63">
        <f>H27</f>
        <v>0</v>
      </c>
      <c r="J27" s="63">
        <f t="shared" si="1"/>
        <v>-56772.636022926272</v>
      </c>
      <c r="K27" s="63">
        <f t="shared" si="2"/>
        <v>-56772.636022926272</v>
      </c>
      <c r="L27" s="63">
        <f t="shared" ref="L27:L37" si="7">(K15+K27+SUM(K16:K26)*2)/24</f>
        <v>-2365.5265009552613</v>
      </c>
      <c r="M27" s="63">
        <f>I27+L27</f>
        <v>-2365.5265009552613</v>
      </c>
      <c r="N27" s="65">
        <f t="shared" ref="N27:N36" si="8">+D27+G27+K27</f>
        <v>213573.24980053215</v>
      </c>
    </row>
    <row r="28" spans="1:14" x14ac:dyDescent="0.25">
      <c r="A28" s="61">
        <v>44651</v>
      </c>
      <c r="B28" s="61"/>
      <c r="C28" s="62">
        <f>'Plant Additions'!F13</f>
        <v>522406.7159037501</v>
      </c>
      <c r="D28" s="63">
        <f t="shared" si="3"/>
        <v>792752.60172720859</v>
      </c>
      <c r="E28" s="63">
        <f t="shared" si="4"/>
        <v>55560.182223921896</v>
      </c>
      <c r="F28" s="122"/>
      <c r="G28" s="63">
        <f t="shared" si="5"/>
        <v>0</v>
      </c>
      <c r="H28" s="63">
        <f t="shared" si="6"/>
        <v>0</v>
      </c>
      <c r="I28" s="63">
        <f t="shared" ref="I28:I37" si="9">H28</f>
        <v>0</v>
      </c>
      <c r="J28" s="63">
        <f t="shared" si="1"/>
        <v>-109705.41033978752</v>
      </c>
      <c r="K28" s="63">
        <f t="shared" si="2"/>
        <v>-166478.04636271379</v>
      </c>
      <c r="L28" s="63">
        <f t="shared" si="7"/>
        <v>-11667.638267023598</v>
      </c>
      <c r="M28" s="63">
        <f t="shared" ref="M28:M36" si="10">I28+L28</f>
        <v>-11667.638267023598</v>
      </c>
      <c r="N28" s="65">
        <f t="shared" si="8"/>
        <v>626274.55536449479</v>
      </c>
    </row>
    <row r="29" spans="1:14" x14ac:dyDescent="0.25">
      <c r="A29" s="61">
        <v>44681</v>
      </c>
      <c r="B29" s="61"/>
      <c r="C29" s="62">
        <f>'Plant Additions'!F14</f>
        <v>522679.15143962507</v>
      </c>
      <c r="D29" s="63">
        <f t="shared" si="3"/>
        <v>1315431.7531668337</v>
      </c>
      <c r="E29" s="63">
        <f t="shared" si="4"/>
        <v>143401.19701117367</v>
      </c>
      <c r="F29" s="122"/>
      <c r="G29" s="63">
        <f t="shared" si="5"/>
        <v>0</v>
      </c>
      <c r="H29" s="63">
        <f t="shared" si="6"/>
        <v>0</v>
      </c>
      <c r="I29" s="63">
        <f t="shared" si="9"/>
        <v>0</v>
      </c>
      <c r="J29" s="63">
        <f t="shared" si="1"/>
        <v>-109762.62180232126</v>
      </c>
      <c r="K29" s="63">
        <f t="shared" si="2"/>
        <v>-276240.66816503508</v>
      </c>
      <c r="L29" s="63">
        <f t="shared" si="7"/>
        <v>-30114.251372346469</v>
      </c>
      <c r="M29" s="63">
        <f t="shared" si="10"/>
        <v>-30114.251372346469</v>
      </c>
      <c r="N29" s="65">
        <f t="shared" si="8"/>
        <v>1039191.0850017986</v>
      </c>
    </row>
    <row r="30" spans="1:14" x14ac:dyDescent="0.25">
      <c r="A30" s="61">
        <v>44712</v>
      </c>
      <c r="B30" s="61"/>
      <c r="C30" s="62">
        <f>'Plant Additions'!F15</f>
        <v>522883.76147820853</v>
      </c>
      <c r="D30" s="63">
        <f t="shared" si="3"/>
        <v>1838315.5146450421</v>
      </c>
      <c r="E30" s="63">
        <f t="shared" si="4"/>
        <v>274807.3331700018</v>
      </c>
      <c r="F30" s="122"/>
      <c r="G30" s="63">
        <f t="shared" si="5"/>
        <v>0</v>
      </c>
      <c r="H30" s="63">
        <f t="shared" si="6"/>
        <v>0</v>
      </c>
      <c r="I30" s="63">
        <f t="shared" si="9"/>
        <v>0</v>
      </c>
      <c r="J30" s="63">
        <f t="shared" si="1"/>
        <v>-109805.58991042379</v>
      </c>
      <c r="K30" s="63">
        <f t="shared" si="2"/>
        <v>-386046.25807545887</v>
      </c>
      <c r="L30" s="63">
        <f t="shared" si="7"/>
        <v>-57709.539965700387</v>
      </c>
      <c r="M30" s="63">
        <f t="shared" si="10"/>
        <v>-57709.539965700387</v>
      </c>
      <c r="N30" s="65">
        <f t="shared" si="8"/>
        <v>1452269.2565695832</v>
      </c>
    </row>
    <row r="31" spans="1:14" x14ac:dyDescent="0.25">
      <c r="A31" s="61">
        <v>44742</v>
      </c>
      <c r="B31" s="61"/>
      <c r="C31" s="62">
        <f>'Plant Additions'!F16</f>
        <v>523072.99290333351</v>
      </c>
      <c r="D31" s="63">
        <f t="shared" si="3"/>
        <v>2361388.5075483755</v>
      </c>
      <c r="E31" s="63">
        <f t="shared" si="4"/>
        <v>449795.00076139416</v>
      </c>
      <c r="F31" s="122"/>
      <c r="G31" s="63">
        <f t="shared" si="5"/>
        <v>0</v>
      </c>
      <c r="H31" s="63">
        <f t="shared" si="6"/>
        <v>0</v>
      </c>
      <c r="I31" s="63">
        <f t="shared" si="9"/>
        <v>0</v>
      </c>
      <c r="J31" s="63">
        <f t="shared" si="1"/>
        <v>-109845.32850970003</v>
      </c>
      <c r="K31" s="63">
        <f t="shared" si="2"/>
        <v>-495891.58658515889</v>
      </c>
      <c r="L31" s="63">
        <f t="shared" si="7"/>
        <v>-94456.950159892789</v>
      </c>
      <c r="M31" s="63">
        <f t="shared" si="10"/>
        <v>-94456.950159892789</v>
      </c>
      <c r="N31" s="65">
        <f t="shared" si="8"/>
        <v>1865496.9209632166</v>
      </c>
    </row>
    <row r="32" spans="1:14" x14ac:dyDescent="0.25">
      <c r="A32" s="61">
        <v>44773</v>
      </c>
      <c r="C32" s="62">
        <f>'Plant Additions'!F17</f>
        <v>523191.38679333357</v>
      </c>
      <c r="D32" s="63">
        <f t="shared" si="3"/>
        <v>2884579.8943417091</v>
      </c>
      <c r="E32" s="63">
        <f t="shared" si="4"/>
        <v>668377.01750681433</v>
      </c>
      <c r="F32" s="122"/>
      <c r="G32" s="63">
        <f t="shared" si="5"/>
        <v>0</v>
      </c>
      <c r="H32" s="63">
        <f t="shared" si="6"/>
        <v>0</v>
      </c>
      <c r="I32" s="63">
        <f t="shared" si="9"/>
        <v>0</v>
      </c>
      <c r="J32" s="63">
        <f t="shared" si="1"/>
        <v>-109870.19122660004</v>
      </c>
      <c r="K32" s="63">
        <f t="shared" si="2"/>
        <v>-605761.77781175892</v>
      </c>
      <c r="L32" s="63">
        <f t="shared" si="7"/>
        <v>-140359.17367643103</v>
      </c>
      <c r="M32" s="63">
        <f t="shared" si="10"/>
        <v>-140359.17367643103</v>
      </c>
      <c r="N32" s="65">
        <f t="shared" si="8"/>
        <v>2278818.1165299499</v>
      </c>
    </row>
    <row r="33" spans="1:15" x14ac:dyDescent="0.25">
      <c r="A33" s="61">
        <v>44804</v>
      </c>
      <c r="C33" s="62">
        <f>'Plant Additions'!F18</f>
        <v>523328.00430545851</v>
      </c>
      <c r="D33" s="63">
        <f t="shared" si="3"/>
        <v>3407907.8986471677</v>
      </c>
      <c r="E33" s="63">
        <f t="shared" si="4"/>
        <v>930564.00888135086</v>
      </c>
      <c r="F33" s="122"/>
      <c r="G33" s="63">
        <f t="shared" si="5"/>
        <v>0</v>
      </c>
      <c r="H33" s="63">
        <f t="shared" si="6"/>
        <v>0</v>
      </c>
      <c r="I33" s="63">
        <f t="shared" si="9"/>
        <v>0</v>
      </c>
      <c r="J33" s="63">
        <f t="shared" si="1"/>
        <v>-109898.88090414628</v>
      </c>
      <c r="K33" s="63">
        <f t="shared" si="2"/>
        <v>-715660.65871590516</v>
      </c>
      <c r="L33" s="63">
        <f t="shared" si="7"/>
        <v>-195418.44186508367</v>
      </c>
      <c r="M33" s="63">
        <f t="shared" si="10"/>
        <v>-195418.44186508367</v>
      </c>
      <c r="N33" s="65">
        <f t="shared" si="8"/>
        <v>2692247.2399312626</v>
      </c>
    </row>
    <row r="34" spans="1:15" x14ac:dyDescent="0.25">
      <c r="A34" s="61">
        <v>44834</v>
      </c>
      <c r="C34" s="62">
        <f>'Plant Additions'!F19</f>
        <v>523575.05969275022</v>
      </c>
      <c r="D34" s="63">
        <f t="shared" si="3"/>
        <v>3931482.9583399179</v>
      </c>
      <c r="E34" s="63">
        <f t="shared" si="4"/>
        <v>1236371.9612558128</v>
      </c>
      <c r="F34" s="122"/>
      <c r="G34" s="63">
        <f t="shared" si="5"/>
        <v>0</v>
      </c>
      <c r="H34" s="63">
        <f t="shared" si="6"/>
        <v>0</v>
      </c>
      <c r="I34" s="63">
        <f t="shared" si="9"/>
        <v>0</v>
      </c>
      <c r="J34" s="63">
        <f t="shared" si="1"/>
        <v>-109950.76253547754</v>
      </c>
      <c r="K34" s="63">
        <f t="shared" si="2"/>
        <v>-825611.42125138268</v>
      </c>
      <c r="L34" s="63">
        <f t="shared" si="7"/>
        <v>-259638.1118637207</v>
      </c>
      <c r="M34" s="63">
        <f t="shared" si="10"/>
        <v>-259638.1118637207</v>
      </c>
      <c r="N34" s="65">
        <f t="shared" si="8"/>
        <v>3105871.5370885353</v>
      </c>
    </row>
    <row r="35" spans="1:15" x14ac:dyDescent="0.25">
      <c r="A35" s="61">
        <v>44865</v>
      </c>
      <c r="C35" s="62">
        <f>'Plant Additions'!F20</f>
        <v>523800.61537508352</v>
      </c>
      <c r="D35" s="63">
        <f t="shared" si="3"/>
        <v>4455283.5737150013</v>
      </c>
      <c r="E35" s="63">
        <f t="shared" si="4"/>
        <v>1585820.5667581011</v>
      </c>
      <c r="F35" s="122"/>
      <c r="G35" s="63">
        <f t="shared" si="5"/>
        <v>0</v>
      </c>
      <c r="H35" s="63">
        <f t="shared" si="6"/>
        <v>0</v>
      </c>
      <c r="I35" s="63">
        <f t="shared" si="9"/>
        <v>0</v>
      </c>
      <c r="J35" s="63">
        <f t="shared" si="1"/>
        <v>-109998.12922876753</v>
      </c>
      <c r="K35" s="63">
        <f t="shared" si="2"/>
        <v>-935609.55048015015</v>
      </c>
      <c r="L35" s="63">
        <f t="shared" si="7"/>
        <v>-333022.31901920121</v>
      </c>
      <c r="M35" s="63">
        <f t="shared" si="10"/>
        <v>-333022.31901920121</v>
      </c>
      <c r="N35" s="65">
        <f t="shared" si="8"/>
        <v>3519674.0232348512</v>
      </c>
    </row>
    <row r="36" spans="1:15" x14ac:dyDescent="0.25">
      <c r="A36" s="61">
        <v>44895</v>
      </c>
      <c r="C36" s="62">
        <f>'Plant Additions'!F21</f>
        <v>523928.52790887526</v>
      </c>
      <c r="D36" s="63">
        <f t="shared" si="3"/>
        <v>4979212.101623877</v>
      </c>
      <c r="E36" s="63">
        <f t="shared" si="4"/>
        <v>1978924.5532305546</v>
      </c>
      <c r="F36" s="122"/>
      <c r="G36" s="63">
        <f t="shared" si="5"/>
        <v>0</v>
      </c>
      <c r="H36" s="63">
        <f t="shared" si="6"/>
        <v>0</v>
      </c>
      <c r="I36" s="63">
        <f t="shared" si="9"/>
        <v>0</v>
      </c>
      <c r="J36" s="63">
        <f t="shared" si="1"/>
        <v>-110024.99086086381</v>
      </c>
      <c r="K36" s="63">
        <f t="shared" si="2"/>
        <v>-1045634.541341014</v>
      </c>
      <c r="L36" s="63">
        <f t="shared" si="7"/>
        <v>-415574.15617841639</v>
      </c>
      <c r="M36" s="63">
        <f t="shared" si="10"/>
        <v>-415574.15617841639</v>
      </c>
      <c r="N36" s="65">
        <f t="shared" si="8"/>
        <v>3933577.5602828627</v>
      </c>
    </row>
    <row r="37" spans="1:15" x14ac:dyDescent="0.25">
      <c r="A37" s="61">
        <v>44926</v>
      </c>
      <c r="C37" s="62">
        <f>'Plant Additions'!F22</f>
        <v>524108.3233011252</v>
      </c>
      <c r="D37" s="63">
        <f t="shared" si="3"/>
        <v>5503320.4249250023</v>
      </c>
      <c r="E37" s="63">
        <f t="shared" si="4"/>
        <v>2415696.7418367579</v>
      </c>
      <c r="F37" s="122"/>
      <c r="G37" s="63">
        <f t="shared" si="5"/>
        <v>0</v>
      </c>
      <c r="H37" s="63">
        <f t="shared" si="6"/>
        <v>0</v>
      </c>
      <c r="I37" s="63">
        <f t="shared" si="9"/>
        <v>0</v>
      </c>
      <c r="J37" s="63">
        <f t="shared" si="1"/>
        <v>-110062.74789323629</v>
      </c>
      <c r="K37" s="63">
        <f t="shared" si="2"/>
        <v>-1155697.2892342503</v>
      </c>
      <c r="L37" s="63">
        <f t="shared" si="7"/>
        <v>-507296.31578571908</v>
      </c>
      <c r="M37" s="63">
        <f t="shared" ref="M37:M97" si="11">L37+I37</f>
        <v>-507296.31578571908</v>
      </c>
      <c r="N37" s="64">
        <f t="shared" ref="N37:N97" si="12">+D37+G37+K37</f>
        <v>4347623.1356907524</v>
      </c>
    </row>
    <row r="38" spans="1:15" x14ac:dyDescent="0.25">
      <c r="A38" s="61">
        <v>44957</v>
      </c>
      <c r="B38" s="61"/>
      <c r="C38" s="62">
        <f>'Plant Additions'!F23</f>
        <v>524202.83662783355</v>
      </c>
      <c r="D38" s="63">
        <f t="shared" si="3"/>
        <v>6027523.2615528358</v>
      </c>
      <c r="E38" s="63">
        <f t="shared" si="4"/>
        <v>2896148.5621066676</v>
      </c>
      <c r="F38" s="122"/>
      <c r="G38" s="63">
        <f t="shared" ref="G38:G97" si="13">G37-F38</f>
        <v>0</v>
      </c>
      <c r="H38" s="63">
        <f t="shared" ref="H38:H97" si="14">(G26+G38+SUM(G27:G37)*2)/24</f>
        <v>0</v>
      </c>
      <c r="I38" s="63">
        <f t="shared" ref="I38:I97" si="15">E38+H38</f>
        <v>2896148.5621066676</v>
      </c>
      <c r="J38" s="63">
        <f t="shared" si="1"/>
        <v>-110082.59569184504</v>
      </c>
      <c r="K38" s="68">
        <f t="shared" si="2"/>
        <v>-1265779.8849260954</v>
      </c>
      <c r="L38" s="63">
        <f t="shared" ref="L38:L97" si="16">(K26+K38+SUM(K27:K37)*2)/24</f>
        <v>-608191.19804240018</v>
      </c>
      <c r="M38" s="69">
        <f t="shared" si="11"/>
        <v>2287957.3640642674</v>
      </c>
      <c r="N38" s="64">
        <f t="shared" si="12"/>
        <v>4761743.3766267402</v>
      </c>
    </row>
    <row r="39" spans="1:15" x14ac:dyDescent="0.25">
      <c r="A39" s="61">
        <v>44985</v>
      </c>
      <c r="B39" s="61"/>
      <c r="C39" s="62">
        <f>'Plant Additions'!F24</f>
        <v>524215.85926104197</v>
      </c>
      <c r="D39" s="63">
        <f t="shared" si="3"/>
        <v>6551739.1208138783</v>
      </c>
      <c r="E39" s="63">
        <f t="shared" ref="E39:E97" si="17">(D27+D39+SUM(D28:D38)*2)/24</f>
        <v>3409020.0827959701</v>
      </c>
      <c r="F39" s="122"/>
      <c r="G39" s="63">
        <f t="shared" si="13"/>
        <v>0</v>
      </c>
      <c r="H39" s="63">
        <f t="shared" si="14"/>
        <v>0</v>
      </c>
      <c r="I39" s="63">
        <f t="shared" si="15"/>
        <v>3409020.0827959701</v>
      </c>
      <c r="J39" s="63">
        <f t="shared" si="1"/>
        <v>-110085.33044481881</v>
      </c>
      <c r="K39" s="68">
        <f t="shared" si="2"/>
        <v>-1375865.2153709142</v>
      </c>
      <c r="L39" s="63">
        <f t="shared" si="16"/>
        <v>-715894.21738715377</v>
      </c>
      <c r="M39" s="69">
        <f t="shared" si="11"/>
        <v>2693125.8654088164</v>
      </c>
      <c r="N39" s="64">
        <f t="shared" si="12"/>
        <v>5175873.9054429643</v>
      </c>
    </row>
    <row r="40" spans="1:15" x14ac:dyDescent="0.25">
      <c r="A40" s="61">
        <v>45016</v>
      </c>
      <c r="B40" s="61"/>
      <c r="C40" s="62">
        <f>'Plant Additions'!F25</f>
        <v>524251.06391937518</v>
      </c>
      <c r="D40" s="63">
        <f t="shared" si="3"/>
        <v>7075990.184733253</v>
      </c>
      <c r="E40" s="63">
        <f t="shared" si="17"/>
        <v>3932546.3668791559</v>
      </c>
      <c r="F40" s="122"/>
      <c r="G40" s="63">
        <f t="shared" si="13"/>
        <v>0</v>
      </c>
      <c r="H40" s="63">
        <f t="shared" si="14"/>
        <v>0</v>
      </c>
      <c r="I40" s="63">
        <f t="shared" si="15"/>
        <v>3932546.3668791559</v>
      </c>
      <c r="J40" s="63">
        <f t="shared" si="1"/>
        <v>-110092.72342306879</v>
      </c>
      <c r="K40" s="68">
        <f t="shared" si="2"/>
        <v>-1485957.9387939831</v>
      </c>
      <c r="L40" s="63">
        <f t="shared" si="16"/>
        <v>-825834.73704462266</v>
      </c>
      <c r="M40" s="69">
        <f t="shared" si="11"/>
        <v>3106711.6298345332</v>
      </c>
      <c r="N40" s="64">
        <f t="shared" si="12"/>
        <v>5590032.2459392697</v>
      </c>
    </row>
    <row r="41" spans="1:15" x14ac:dyDescent="0.25">
      <c r="A41" s="61">
        <v>45046</v>
      </c>
      <c r="B41" s="61"/>
      <c r="C41" s="62">
        <f>'Plant Additions'!F26</f>
        <v>524291.50587108359</v>
      </c>
      <c r="D41" s="63">
        <f t="shared" si="3"/>
        <v>7600281.6906043366</v>
      </c>
      <c r="E41" s="63">
        <f t="shared" si="17"/>
        <v>4456216.6802309705</v>
      </c>
      <c r="F41" s="122"/>
      <c r="G41" s="63">
        <f t="shared" si="13"/>
        <v>0</v>
      </c>
      <c r="H41" s="63">
        <f t="shared" si="14"/>
        <v>0</v>
      </c>
      <c r="I41" s="63">
        <f t="shared" si="15"/>
        <v>4456216.6802309705</v>
      </c>
      <c r="J41" s="63">
        <f t="shared" si="1"/>
        <v>-110101.21623292755</v>
      </c>
      <c r="K41" s="68">
        <f t="shared" si="2"/>
        <v>-1596059.1550269106</v>
      </c>
      <c r="L41" s="63">
        <f t="shared" si="16"/>
        <v>-935805.50284850365</v>
      </c>
      <c r="M41" s="69">
        <f t="shared" si="11"/>
        <v>3520411.1773824668</v>
      </c>
      <c r="N41" s="64">
        <f t="shared" si="12"/>
        <v>6004222.5355774257</v>
      </c>
    </row>
    <row r="42" spans="1:15" x14ac:dyDescent="0.25">
      <c r="A42" s="61">
        <v>45077</v>
      </c>
      <c r="B42" s="61"/>
      <c r="C42" s="62">
        <f>'Plant Additions'!F27</f>
        <v>524291.50587108359</v>
      </c>
      <c r="D42" s="63">
        <f t="shared" si="3"/>
        <v>8124573.1964754201</v>
      </c>
      <c r="E42" s="63">
        <f t="shared" si="17"/>
        <v>4980012.8310337989</v>
      </c>
      <c r="F42" s="122"/>
      <c r="G42" s="63">
        <f t="shared" si="13"/>
        <v>0</v>
      </c>
      <c r="H42" s="63">
        <f t="shared" si="14"/>
        <v>0</v>
      </c>
      <c r="I42" s="63">
        <f t="shared" si="15"/>
        <v>4980012.8310337989</v>
      </c>
      <c r="J42" s="63">
        <f t="shared" si="1"/>
        <v>-110101.21623292755</v>
      </c>
      <c r="K42" s="68">
        <f t="shared" si="2"/>
        <v>-1706160.3712598381</v>
      </c>
      <c r="L42" s="63">
        <f t="shared" si="16"/>
        <v>-1045802.6945170976</v>
      </c>
      <c r="M42" s="69">
        <f t="shared" si="11"/>
        <v>3934210.1365167014</v>
      </c>
      <c r="N42" s="64">
        <f t="shared" si="12"/>
        <v>6418412.8252155818</v>
      </c>
    </row>
    <row r="43" spans="1:15" x14ac:dyDescent="0.25">
      <c r="A43" s="61">
        <v>45107</v>
      </c>
      <c r="B43" s="61"/>
      <c r="C43" s="62">
        <f>'Plant Additions'!F28</f>
        <v>524291.50587108359</v>
      </c>
      <c r="D43" s="63">
        <f t="shared" si="3"/>
        <v>8648864.7023465037</v>
      </c>
      <c r="E43" s="63">
        <f t="shared" si="17"/>
        <v>5503918.4092266541</v>
      </c>
      <c r="F43" s="122"/>
      <c r="G43" s="63">
        <f t="shared" si="13"/>
        <v>0</v>
      </c>
      <c r="H43" s="63">
        <f t="shared" si="14"/>
        <v>0</v>
      </c>
      <c r="I43" s="63">
        <f t="shared" si="15"/>
        <v>5503918.4092266541</v>
      </c>
      <c r="J43" s="63">
        <f t="shared" si="1"/>
        <v>-110101.21623292755</v>
      </c>
      <c r="K43" s="68">
        <f t="shared" si="2"/>
        <v>-1816261.5874927656</v>
      </c>
      <c r="L43" s="63">
        <f t="shared" si="16"/>
        <v>-1155822.8659375971</v>
      </c>
      <c r="M43" s="69">
        <f t="shared" si="11"/>
        <v>4348095.543289057</v>
      </c>
      <c r="N43" s="64">
        <f t="shared" si="12"/>
        <v>6832603.1148537379</v>
      </c>
    </row>
    <row r="44" spans="1:15" x14ac:dyDescent="0.25">
      <c r="A44" s="61">
        <v>45138</v>
      </c>
      <c r="B44" s="61"/>
      <c r="C44" s="62">
        <f>'Plant Additions'!F29</f>
        <v>524291.50587108359</v>
      </c>
      <c r="D44" s="63">
        <f t="shared" si="3"/>
        <v>9173156.2082175873</v>
      </c>
      <c r="E44" s="63">
        <f t="shared" si="17"/>
        <v>6027920.5970880715</v>
      </c>
      <c r="F44" s="122"/>
      <c r="G44" s="63">
        <f t="shared" si="13"/>
        <v>0</v>
      </c>
      <c r="H44" s="63">
        <f t="shared" si="14"/>
        <v>0</v>
      </c>
      <c r="I44" s="63">
        <f t="shared" si="15"/>
        <v>6027920.5970880715</v>
      </c>
      <c r="J44" s="63">
        <f t="shared" si="1"/>
        <v>-110101.21623292755</v>
      </c>
      <c r="K44" s="68">
        <f t="shared" si="2"/>
        <v>-1926362.8037256931</v>
      </c>
      <c r="L44" s="63">
        <f t="shared" si="16"/>
        <v>-1265863.3253884946</v>
      </c>
      <c r="M44" s="69">
        <f t="shared" si="11"/>
        <v>4762057.2716995766</v>
      </c>
      <c r="N44" s="64">
        <f t="shared" si="12"/>
        <v>7246793.4044918939</v>
      </c>
    </row>
    <row r="45" spans="1:15" x14ac:dyDescent="0.25">
      <c r="A45" s="61">
        <v>45169</v>
      </c>
      <c r="B45" s="61"/>
      <c r="C45" s="62">
        <f>'Plant Additions'!F30</f>
        <v>524291.50587108359</v>
      </c>
      <c r="D45" s="63">
        <f t="shared" si="3"/>
        <v>9697447.7140886709</v>
      </c>
      <c r="E45" s="63">
        <f t="shared" si="17"/>
        <v>6552008.7691429621</v>
      </c>
      <c r="F45" s="122"/>
      <c r="G45" s="63">
        <f t="shared" si="13"/>
        <v>0</v>
      </c>
      <c r="H45" s="63">
        <f t="shared" si="14"/>
        <v>0</v>
      </c>
      <c r="I45" s="63">
        <f t="shared" si="15"/>
        <v>6552008.7691429621</v>
      </c>
      <c r="J45" s="63">
        <f t="shared" si="1"/>
        <v>-110101.21623292755</v>
      </c>
      <c r="K45" s="68">
        <f t="shared" si="2"/>
        <v>-2036464.0199586207</v>
      </c>
      <c r="L45" s="63">
        <f t="shared" si="16"/>
        <v>-1375921.8415200217</v>
      </c>
      <c r="M45" s="69">
        <f t="shared" si="11"/>
        <v>5176086.9276229404</v>
      </c>
      <c r="N45" s="64">
        <f t="shared" si="12"/>
        <v>7660983.69413005</v>
      </c>
    </row>
    <row r="46" spans="1:15" x14ac:dyDescent="0.25">
      <c r="A46" s="61">
        <v>45199</v>
      </c>
      <c r="B46" s="61"/>
      <c r="C46" s="62">
        <f>'Plant Additions'!F31</f>
        <v>524291.50587108359</v>
      </c>
      <c r="D46" s="63">
        <f t="shared" si="3"/>
        <v>10221739.219959754</v>
      </c>
      <c r="E46" s="63">
        <f t="shared" si="17"/>
        <v>7076166.9390205173</v>
      </c>
      <c r="F46" s="122"/>
      <c r="G46" s="63">
        <f t="shared" si="13"/>
        <v>0</v>
      </c>
      <c r="H46" s="63">
        <f t="shared" si="14"/>
        <v>0</v>
      </c>
      <c r="I46" s="63">
        <f t="shared" si="15"/>
        <v>7076166.9390205173</v>
      </c>
      <c r="J46" s="63">
        <f t="shared" si="1"/>
        <v>-110101.21623292755</v>
      </c>
      <c r="K46" s="68">
        <f t="shared" si="2"/>
        <v>-2146565.2361915484</v>
      </c>
      <c r="L46" s="63">
        <f t="shared" si="16"/>
        <v>-1485995.0571943086</v>
      </c>
      <c r="M46" s="69">
        <f t="shared" si="11"/>
        <v>5590171.8818262089</v>
      </c>
      <c r="N46" s="64">
        <f t="shared" si="12"/>
        <v>8075173.9837682061</v>
      </c>
    </row>
    <row r="47" spans="1:15" ht="13.8" thickBot="1" x14ac:dyDescent="0.3">
      <c r="A47" s="61">
        <v>45230</v>
      </c>
      <c r="B47" s="61"/>
      <c r="C47" s="62">
        <f>'Plant Additions'!F32</f>
        <v>524291.50587108359</v>
      </c>
      <c r="D47" s="63">
        <f t="shared" si="3"/>
        <v>10746030.725830838</v>
      </c>
      <c r="E47" s="63">
        <f t="shared" si="17"/>
        <v>7600375.414592837</v>
      </c>
      <c r="F47" s="122"/>
      <c r="G47" s="63">
        <f t="shared" si="13"/>
        <v>0</v>
      </c>
      <c r="H47" s="63">
        <f t="shared" si="14"/>
        <v>0</v>
      </c>
      <c r="I47" s="63">
        <f t="shared" si="15"/>
        <v>7600375.414592837</v>
      </c>
      <c r="J47" s="63">
        <f t="shared" si="1"/>
        <v>-110101.21623292755</v>
      </c>
      <c r="K47" s="68">
        <f t="shared" si="2"/>
        <v>-2256666.4524244759</v>
      </c>
      <c r="L47" s="63">
        <f t="shared" si="16"/>
        <v>-1596078.8370644953</v>
      </c>
      <c r="M47" s="69">
        <f t="shared" si="11"/>
        <v>6004296.5775283417</v>
      </c>
      <c r="N47" s="64">
        <f t="shared" si="12"/>
        <v>8489364.2734063622</v>
      </c>
    </row>
    <row r="48" spans="1:15" x14ac:dyDescent="0.25">
      <c r="A48" s="134">
        <v>45260</v>
      </c>
      <c r="B48" s="134" t="s">
        <v>144</v>
      </c>
      <c r="C48" s="136"/>
      <c r="D48" s="136">
        <f t="shared" si="3"/>
        <v>10746030.725830838</v>
      </c>
      <c r="E48" s="136">
        <f t="shared" si="17"/>
        <v>8102773.9886062853</v>
      </c>
      <c r="F48" s="148">
        <f t="shared" ref="F48:F95" si="18">D48/48</f>
        <v>223875.64012147579</v>
      </c>
      <c r="G48" s="136">
        <f t="shared" si="13"/>
        <v>-223875.64012147579</v>
      </c>
      <c r="H48" s="136">
        <f t="shared" si="14"/>
        <v>-9328.1516717281575</v>
      </c>
      <c r="I48" s="136">
        <f t="shared" si="15"/>
        <v>8093445.8369345572</v>
      </c>
      <c r="J48" s="136">
        <f t="shared" si="1"/>
        <v>47013.884425509917</v>
      </c>
      <c r="K48" s="138">
        <f t="shared" si="2"/>
        <v>-2209652.5679989662</v>
      </c>
      <c r="L48" s="136">
        <f t="shared" si="16"/>
        <v>-1699623.6257562572</v>
      </c>
      <c r="M48" s="139">
        <f t="shared" si="11"/>
        <v>6393822.2111783</v>
      </c>
      <c r="N48" s="140">
        <f t="shared" si="12"/>
        <v>8312502.517710397</v>
      </c>
      <c r="O48" s="128"/>
    </row>
    <row r="49" spans="1:15" x14ac:dyDescent="0.25">
      <c r="A49" s="61">
        <v>45291</v>
      </c>
      <c r="B49" s="61" t="s">
        <v>144</v>
      </c>
      <c r="C49" s="63"/>
      <c r="D49" s="63">
        <f t="shared" si="3"/>
        <v>10746030.725830838</v>
      </c>
      <c r="E49" s="63">
        <f t="shared" si="17"/>
        <v>8561504.3604859877</v>
      </c>
      <c r="F49" s="122">
        <f t="shared" si="18"/>
        <v>223875.64012147579</v>
      </c>
      <c r="G49" s="63">
        <f t="shared" si="13"/>
        <v>-447751.28024295159</v>
      </c>
      <c r="H49" s="63">
        <f t="shared" si="14"/>
        <v>-37312.60668691263</v>
      </c>
      <c r="I49" s="63">
        <f t="shared" si="15"/>
        <v>8524191.7537990753</v>
      </c>
      <c r="J49" s="63">
        <f t="shared" si="1"/>
        <v>47013.884425509917</v>
      </c>
      <c r="K49" s="68">
        <f t="shared" si="2"/>
        <v>-2162638.6835734565</v>
      </c>
      <c r="L49" s="63">
        <f t="shared" si="16"/>
        <v>-1790080.2682978057</v>
      </c>
      <c r="M49" s="69">
        <f t="shared" si="11"/>
        <v>6734111.4855012698</v>
      </c>
      <c r="N49" s="64">
        <f t="shared" si="12"/>
        <v>8135640.76201443</v>
      </c>
      <c r="O49" s="128"/>
    </row>
    <row r="50" spans="1:15" x14ac:dyDescent="0.25">
      <c r="A50" s="61">
        <v>45322</v>
      </c>
      <c r="B50" s="61" t="s">
        <v>144</v>
      </c>
      <c r="C50" s="63"/>
      <c r="D50" s="63">
        <f t="shared" si="3"/>
        <v>10746030.725830838</v>
      </c>
      <c r="E50" s="63">
        <f t="shared" si="17"/>
        <v>8976555.1007019803</v>
      </c>
      <c r="F50" s="122">
        <f t="shared" si="18"/>
        <v>223875.64012147579</v>
      </c>
      <c r="G50" s="63">
        <f t="shared" si="13"/>
        <v>-671626.92036442738</v>
      </c>
      <c r="H50" s="63">
        <f t="shared" si="14"/>
        <v>-83953.365045553423</v>
      </c>
      <c r="I50" s="63">
        <f t="shared" si="15"/>
        <v>8892601.7356564272</v>
      </c>
      <c r="J50" s="63">
        <f t="shared" si="1"/>
        <v>47013.884425509917</v>
      </c>
      <c r="K50" s="68">
        <f t="shared" si="2"/>
        <v>-2115624.7991479468</v>
      </c>
      <c r="L50" s="63">
        <f t="shared" si="16"/>
        <v>-1867446.3644878499</v>
      </c>
      <c r="M50" s="69">
        <f t="shared" si="11"/>
        <v>7025155.3711685771</v>
      </c>
      <c r="N50" s="64">
        <f t="shared" si="12"/>
        <v>7958779.006318463</v>
      </c>
      <c r="O50" s="128"/>
    </row>
    <row r="51" spans="1:15" x14ac:dyDescent="0.25">
      <c r="A51" s="61">
        <v>45351</v>
      </c>
      <c r="B51" s="61" t="s">
        <v>144</v>
      </c>
      <c r="C51" s="63"/>
      <c r="D51" s="63">
        <f t="shared" si="3"/>
        <v>10746030.725830838</v>
      </c>
      <c r="E51" s="63">
        <f t="shared" si="17"/>
        <v>9347921.7285892684</v>
      </c>
      <c r="F51" s="122">
        <f t="shared" si="18"/>
        <v>223875.64012147579</v>
      </c>
      <c r="G51" s="63">
        <f t="shared" si="13"/>
        <v>-895502.56048590317</v>
      </c>
      <c r="H51" s="63">
        <f t="shared" si="14"/>
        <v>-149250.42674765052</v>
      </c>
      <c r="I51" s="63">
        <f t="shared" si="15"/>
        <v>9198671.3018416185</v>
      </c>
      <c r="J51" s="63">
        <f t="shared" si="1"/>
        <v>47013.884425509917</v>
      </c>
      <c r="K51" s="68">
        <f t="shared" si="2"/>
        <v>-2068610.9147224368</v>
      </c>
      <c r="L51" s="63">
        <f t="shared" si="16"/>
        <v>-1931720.9733867403</v>
      </c>
      <c r="M51" s="69">
        <f t="shared" si="11"/>
        <v>7266950.3284548782</v>
      </c>
      <c r="N51" s="64">
        <f t="shared" si="12"/>
        <v>7781917.2506224979</v>
      </c>
      <c r="O51" s="128"/>
    </row>
    <row r="52" spans="1:15" x14ac:dyDescent="0.25">
      <c r="A52" s="61">
        <v>45382</v>
      </c>
      <c r="B52" s="61" t="s">
        <v>144</v>
      </c>
      <c r="C52" s="63"/>
      <c r="D52" s="63">
        <f t="shared" si="3"/>
        <v>10746030.725830838</v>
      </c>
      <c r="E52" s="63">
        <f t="shared" si="17"/>
        <v>9675602.2346773762</v>
      </c>
      <c r="F52" s="122">
        <f t="shared" si="18"/>
        <v>223875.64012147579</v>
      </c>
      <c r="G52" s="63">
        <f t="shared" si="13"/>
        <v>-1119378.200607379</v>
      </c>
      <c r="H52" s="63">
        <f t="shared" si="14"/>
        <v>-233203.79179320394</v>
      </c>
      <c r="I52" s="63">
        <f t="shared" si="15"/>
        <v>9442398.4428841714</v>
      </c>
      <c r="J52" s="63">
        <f t="shared" si="1"/>
        <v>47013.884425509917</v>
      </c>
      <c r="K52" s="68">
        <f t="shared" si="2"/>
        <v>-2021597.0302969269</v>
      </c>
      <c r="L52" s="63">
        <f t="shared" si="16"/>
        <v>-1982903.6730056759</v>
      </c>
      <c r="M52" s="69">
        <f t="shared" si="11"/>
        <v>7459494.7698784955</v>
      </c>
      <c r="N52" s="64">
        <f t="shared" si="12"/>
        <v>7605055.4949265327</v>
      </c>
      <c r="O52" s="128"/>
    </row>
    <row r="53" spans="1:15" x14ac:dyDescent="0.25">
      <c r="A53" s="61">
        <v>45412</v>
      </c>
      <c r="B53" s="61" t="s">
        <v>144</v>
      </c>
      <c r="C53" s="63"/>
      <c r="D53" s="63">
        <f t="shared" si="3"/>
        <v>10746030.725830838</v>
      </c>
      <c r="E53" s="63">
        <f t="shared" si="17"/>
        <v>9959593.4670242127</v>
      </c>
      <c r="F53" s="122">
        <f t="shared" si="18"/>
        <v>223875.64012147579</v>
      </c>
      <c r="G53" s="63">
        <f t="shared" si="13"/>
        <v>-1343253.8407288548</v>
      </c>
      <c r="H53" s="63">
        <f t="shared" si="14"/>
        <v>-335813.46018221369</v>
      </c>
      <c r="I53" s="63">
        <f t="shared" si="15"/>
        <v>9623780.0068419985</v>
      </c>
      <c r="J53" s="63">
        <f t="shared" si="1"/>
        <v>47013.884425509917</v>
      </c>
      <c r="K53" s="68">
        <f t="shared" si="2"/>
        <v>-1974583.1458714169</v>
      </c>
      <c r="L53" s="63">
        <f t="shared" si="16"/>
        <v>-2020993.8014368198</v>
      </c>
      <c r="M53" s="69">
        <f t="shared" si="11"/>
        <v>7602786.2054051785</v>
      </c>
      <c r="N53" s="64">
        <f t="shared" si="12"/>
        <v>7428193.7392305667</v>
      </c>
      <c r="O53" s="128"/>
    </row>
    <row r="54" spans="1:15" x14ac:dyDescent="0.25">
      <c r="A54" s="61">
        <v>45443</v>
      </c>
      <c r="B54" s="61" t="s">
        <v>144</v>
      </c>
      <c r="C54" s="63"/>
      <c r="D54" s="63">
        <f t="shared" si="3"/>
        <v>10746030.725830838</v>
      </c>
      <c r="E54" s="63">
        <f t="shared" si="17"/>
        <v>10199893.74054846</v>
      </c>
      <c r="F54" s="122">
        <f t="shared" si="18"/>
        <v>223875.64012147579</v>
      </c>
      <c r="G54" s="63">
        <f t="shared" si="13"/>
        <v>-1567129.4808503306</v>
      </c>
      <c r="H54" s="63">
        <f t="shared" si="14"/>
        <v>-457079.43191467971</v>
      </c>
      <c r="I54" s="63">
        <f t="shared" si="15"/>
        <v>9742814.3086337801</v>
      </c>
      <c r="J54" s="63">
        <f t="shared" si="1"/>
        <v>47013.884425509917</v>
      </c>
      <c r="K54" s="68">
        <f t="shared" si="2"/>
        <v>-1927569.2614459069</v>
      </c>
      <c r="L54" s="63">
        <f t="shared" si="16"/>
        <v>-2045991.0048130937</v>
      </c>
      <c r="M54" s="69">
        <f t="shared" si="11"/>
        <v>7696823.3038206864</v>
      </c>
      <c r="N54" s="64">
        <f t="shared" si="12"/>
        <v>7251331.9835345997</v>
      </c>
      <c r="O54" s="128"/>
    </row>
    <row r="55" spans="1:15" x14ac:dyDescent="0.25">
      <c r="A55" s="61">
        <v>45473</v>
      </c>
      <c r="B55" s="61" t="s">
        <v>144</v>
      </c>
      <c r="C55" s="63"/>
      <c r="D55" s="63">
        <f t="shared" si="3"/>
        <v>10746030.725830838</v>
      </c>
      <c r="E55" s="63">
        <f t="shared" si="17"/>
        <v>10396503.055250116</v>
      </c>
      <c r="F55" s="122">
        <f t="shared" si="18"/>
        <v>223875.64012147579</v>
      </c>
      <c r="G55" s="63">
        <f t="shared" si="13"/>
        <v>-1791005.1209718063</v>
      </c>
      <c r="H55" s="63">
        <f t="shared" si="14"/>
        <v>-597001.70699060208</v>
      </c>
      <c r="I55" s="63">
        <f t="shared" si="15"/>
        <v>9799501.3482595142</v>
      </c>
      <c r="J55" s="63">
        <f t="shared" si="1"/>
        <v>47013.884425509917</v>
      </c>
      <c r="K55" s="68">
        <f t="shared" si="2"/>
        <v>-1880555.377020397</v>
      </c>
      <c r="L55" s="63">
        <f t="shared" si="16"/>
        <v>-2057895.2831344977</v>
      </c>
      <c r="M55" s="69">
        <f t="shared" si="11"/>
        <v>7741606.0651250165</v>
      </c>
      <c r="N55" s="64">
        <f t="shared" si="12"/>
        <v>7074470.2278386345</v>
      </c>
      <c r="O55" s="128"/>
    </row>
    <row r="56" spans="1:15" x14ac:dyDescent="0.25">
      <c r="A56" s="61">
        <v>45504</v>
      </c>
      <c r="B56" s="61" t="s">
        <v>144</v>
      </c>
      <c r="C56" s="63"/>
      <c r="D56" s="63">
        <f t="shared" si="3"/>
        <v>10746030.725830838</v>
      </c>
      <c r="E56" s="63">
        <f t="shared" si="17"/>
        <v>10549421.411129182</v>
      </c>
      <c r="F56" s="122">
        <f t="shared" si="18"/>
        <v>223875.64012147579</v>
      </c>
      <c r="G56" s="63">
        <f t="shared" si="13"/>
        <v>-2014880.7610932821</v>
      </c>
      <c r="H56" s="63">
        <f t="shared" si="14"/>
        <v>-755580.2854099808</v>
      </c>
      <c r="I56" s="63">
        <f t="shared" si="15"/>
        <v>9793841.1257192008</v>
      </c>
      <c r="J56" s="63">
        <f t="shared" si="1"/>
        <v>47013.884425509917</v>
      </c>
      <c r="K56" s="68">
        <f t="shared" si="2"/>
        <v>-1833541.492594887</v>
      </c>
      <c r="L56" s="63">
        <f t="shared" si="16"/>
        <v>-2056706.6364010321</v>
      </c>
      <c r="M56" s="69">
        <f t="shared" si="11"/>
        <v>7737134.4893181687</v>
      </c>
      <c r="N56" s="64">
        <f t="shared" si="12"/>
        <v>6897608.4721426703</v>
      </c>
      <c r="O56" s="128"/>
    </row>
    <row r="57" spans="1:15" x14ac:dyDescent="0.25">
      <c r="A57" s="61">
        <v>45535</v>
      </c>
      <c r="B57" s="61" t="s">
        <v>144</v>
      </c>
      <c r="C57" s="63"/>
      <c r="D57" s="63">
        <f t="shared" si="3"/>
        <v>10746030.725830838</v>
      </c>
      <c r="E57" s="63">
        <f t="shared" si="17"/>
        <v>10658648.808185657</v>
      </c>
      <c r="F57" s="122">
        <f t="shared" si="18"/>
        <v>223875.64012147579</v>
      </c>
      <c r="G57" s="63">
        <f t="shared" si="13"/>
        <v>-2238756.4012147579</v>
      </c>
      <c r="H57" s="63">
        <f t="shared" si="14"/>
        <v>-932815.16717281565</v>
      </c>
      <c r="I57" s="63">
        <f t="shared" si="15"/>
        <v>9725833.6410128418</v>
      </c>
      <c r="J57" s="63">
        <f t="shared" si="1"/>
        <v>47013.884425509917</v>
      </c>
      <c r="K57" s="68">
        <f t="shared" si="2"/>
        <v>-1786527.6081693771</v>
      </c>
      <c r="L57" s="63">
        <f t="shared" si="16"/>
        <v>-2042425.0646126969</v>
      </c>
      <c r="M57" s="69">
        <f t="shared" si="11"/>
        <v>7683408.576400145</v>
      </c>
      <c r="N57" s="64">
        <f t="shared" si="12"/>
        <v>6720746.7164467033</v>
      </c>
      <c r="O57" s="128"/>
    </row>
    <row r="58" spans="1:15" x14ac:dyDescent="0.25">
      <c r="A58" s="61">
        <v>45565</v>
      </c>
      <c r="B58" s="61" t="s">
        <v>144</v>
      </c>
      <c r="C58" s="63"/>
      <c r="D58" s="63">
        <f t="shared" si="3"/>
        <v>10746030.725830838</v>
      </c>
      <c r="E58" s="63">
        <f t="shared" si="17"/>
        <v>10724185.246419543</v>
      </c>
      <c r="F58" s="122">
        <f t="shared" si="18"/>
        <v>223875.64012147579</v>
      </c>
      <c r="G58" s="63">
        <f t="shared" si="13"/>
        <v>-2462632.0413362337</v>
      </c>
      <c r="H58" s="63">
        <f t="shared" si="14"/>
        <v>-1128706.3522791071</v>
      </c>
      <c r="I58" s="63">
        <f t="shared" si="15"/>
        <v>9595478.8941404372</v>
      </c>
      <c r="J58" s="63">
        <f t="shared" si="1"/>
        <v>47013.884425509917</v>
      </c>
      <c r="K58" s="68">
        <f t="shared" si="2"/>
        <v>-1739513.7237438671</v>
      </c>
      <c r="L58" s="63">
        <f t="shared" si="16"/>
        <v>-2015050.567769492</v>
      </c>
      <c r="M58" s="69">
        <f t="shared" si="11"/>
        <v>7580428.3263709452</v>
      </c>
      <c r="N58" s="64">
        <f t="shared" si="12"/>
        <v>6543884.9607507372</v>
      </c>
      <c r="O58" s="128"/>
    </row>
    <row r="59" spans="1:15" ht="13.8" thickBot="1" x14ac:dyDescent="0.3">
      <c r="A59" s="61">
        <v>45596</v>
      </c>
      <c r="B59" s="61" t="s">
        <v>144</v>
      </c>
      <c r="C59" s="63"/>
      <c r="D59" s="63">
        <f t="shared" si="3"/>
        <v>10746030.725830838</v>
      </c>
      <c r="E59" s="199">
        <f t="shared" si="17"/>
        <v>10746030.725830838</v>
      </c>
      <c r="F59" s="122">
        <f t="shared" si="18"/>
        <v>223875.64012147579</v>
      </c>
      <c r="G59" s="63">
        <f t="shared" si="13"/>
        <v>-2686507.6814577095</v>
      </c>
      <c r="H59" s="199">
        <f>(G47+G59+SUM(G48:G58)*2)/24</f>
        <v>-1343253.8407288545</v>
      </c>
      <c r="I59" s="63">
        <f t="shared" si="15"/>
        <v>9402776.8851019833</v>
      </c>
      <c r="J59" s="63">
        <f t="shared" si="1"/>
        <v>47013.884425509917</v>
      </c>
      <c r="K59" s="68">
        <f t="shared" si="2"/>
        <v>-1692499.8393183572</v>
      </c>
      <c r="L59" s="63">
        <f t="shared" si="16"/>
        <v>-1974583.1458714167</v>
      </c>
      <c r="M59" s="217">
        <f t="shared" si="11"/>
        <v>7428193.7392305667</v>
      </c>
      <c r="N59" s="64">
        <f t="shared" si="12"/>
        <v>6367023.2050547712</v>
      </c>
      <c r="O59" s="128"/>
    </row>
    <row r="60" spans="1:15" x14ac:dyDescent="0.25">
      <c r="A60" s="134">
        <v>45626</v>
      </c>
      <c r="B60" s="141" t="s">
        <v>145</v>
      </c>
      <c r="C60" s="136"/>
      <c r="D60" s="136">
        <f t="shared" si="3"/>
        <v>10746030.725830838</v>
      </c>
      <c r="E60" s="136">
        <f t="shared" si="17"/>
        <v>10746030.725830838</v>
      </c>
      <c r="F60" s="148">
        <f t="shared" si="18"/>
        <v>223875.64012147579</v>
      </c>
      <c r="G60" s="136">
        <f t="shared" si="13"/>
        <v>-2910383.3215791853</v>
      </c>
      <c r="H60" s="136">
        <f t="shared" si="14"/>
        <v>-1567129.4808503306</v>
      </c>
      <c r="I60" s="136">
        <f t="shared" si="15"/>
        <v>9178901.2449805066</v>
      </c>
      <c r="J60" s="136">
        <f t="shared" si="1"/>
        <v>47013.884425509917</v>
      </c>
      <c r="K60" s="138">
        <f t="shared" si="2"/>
        <v>-1645485.9548928472</v>
      </c>
      <c r="L60" s="136">
        <f t="shared" si="16"/>
        <v>-1927569.2614459069</v>
      </c>
      <c r="M60" s="139">
        <f t="shared" si="11"/>
        <v>7251331.9835345997</v>
      </c>
      <c r="N60" s="140">
        <f t="shared" si="12"/>
        <v>6190161.449358806</v>
      </c>
      <c r="O60" s="128"/>
    </row>
    <row r="61" spans="1:15" x14ac:dyDescent="0.25">
      <c r="A61" s="61">
        <v>45657</v>
      </c>
      <c r="B61" s="30" t="s">
        <v>145</v>
      </c>
      <c r="C61" s="63"/>
      <c r="D61" s="63">
        <f t="shared" si="3"/>
        <v>10746030.725830838</v>
      </c>
      <c r="E61" s="63">
        <f t="shared" si="17"/>
        <v>10746030.725830838</v>
      </c>
      <c r="F61" s="122">
        <f t="shared" si="18"/>
        <v>223875.64012147579</v>
      </c>
      <c r="G61" s="63">
        <f t="shared" si="13"/>
        <v>-3134258.9617006611</v>
      </c>
      <c r="H61" s="63">
        <f t="shared" si="14"/>
        <v>-1791005.1209718063</v>
      </c>
      <c r="I61" s="63">
        <f t="shared" si="15"/>
        <v>8955025.6048590317</v>
      </c>
      <c r="J61" s="63">
        <f t="shared" si="1"/>
        <v>47013.884425509917</v>
      </c>
      <c r="K61" s="68">
        <f t="shared" si="2"/>
        <v>-1598472.0704673373</v>
      </c>
      <c r="L61" s="63">
        <f t="shared" si="16"/>
        <v>-1880555.377020397</v>
      </c>
      <c r="M61" s="69">
        <f t="shared" si="11"/>
        <v>7074470.2278386345</v>
      </c>
      <c r="N61" s="64">
        <f t="shared" si="12"/>
        <v>6013299.6936628399</v>
      </c>
      <c r="O61" s="128"/>
    </row>
    <row r="62" spans="1:15" x14ac:dyDescent="0.25">
      <c r="A62" s="61">
        <v>45688</v>
      </c>
      <c r="B62" s="30" t="s">
        <v>145</v>
      </c>
      <c r="C62" s="63"/>
      <c r="D62" s="63">
        <f t="shared" si="3"/>
        <v>10746030.725830838</v>
      </c>
      <c r="E62" s="63">
        <f t="shared" si="17"/>
        <v>10746030.725830838</v>
      </c>
      <c r="F62" s="122">
        <f t="shared" si="18"/>
        <v>223875.64012147579</v>
      </c>
      <c r="G62" s="63">
        <f t="shared" si="13"/>
        <v>-3358134.6018221369</v>
      </c>
      <c r="H62" s="63">
        <f t="shared" si="14"/>
        <v>-2014880.7610932819</v>
      </c>
      <c r="I62" s="63">
        <f t="shared" si="15"/>
        <v>8731149.9647375569</v>
      </c>
      <c r="J62" s="63">
        <f t="shared" si="1"/>
        <v>47013.884425509917</v>
      </c>
      <c r="K62" s="68">
        <f t="shared" si="2"/>
        <v>-1551458.1860418273</v>
      </c>
      <c r="L62" s="63">
        <f t="shared" si="16"/>
        <v>-1833541.4925948868</v>
      </c>
      <c r="M62" s="69">
        <f t="shared" si="11"/>
        <v>6897608.4721426703</v>
      </c>
      <c r="N62" s="64">
        <f t="shared" si="12"/>
        <v>5836437.9379668739</v>
      </c>
    </row>
    <row r="63" spans="1:15" x14ac:dyDescent="0.25">
      <c r="A63" s="61">
        <v>45716</v>
      </c>
      <c r="B63" s="30" t="s">
        <v>145</v>
      </c>
      <c r="C63" s="63"/>
      <c r="D63" s="63">
        <f t="shared" si="3"/>
        <v>10746030.725830838</v>
      </c>
      <c r="E63" s="63">
        <f t="shared" si="17"/>
        <v>10746030.725830838</v>
      </c>
      <c r="F63" s="122">
        <f t="shared" si="18"/>
        <v>223875.64012147579</v>
      </c>
      <c r="G63" s="63">
        <f t="shared" si="13"/>
        <v>-3582010.2419436127</v>
      </c>
      <c r="H63" s="63">
        <f t="shared" si="14"/>
        <v>-2238756.4012147579</v>
      </c>
      <c r="I63" s="63">
        <f t="shared" si="15"/>
        <v>8507274.3246160802</v>
      </c>
      <c r="J63" s="63">
        <f t="shared" si="1"/>
        <v>47013.884425509917</v>
      </c>
      <c r="K63" s="68">
        <f t="shared" si="2"/>
        <v>-1504444.3016163174</v>
      </c>
      <c r="L63" s="63">
        <f t="shared" si="16"/>
        <v>-1786527.6081693771</v>
      </c>
      <c r="M63" s="69">
        <f t="shared" si="11"/>
        <v>6720746.7164467033</v>
      </c>
      <c r="N63" s="64">
        <f t="shared" si="12"/>
        <v>5659576.1822709078</v>
      </c>
    </row>
    <row r="64" spans="1:15" x14ac:dyDescent="0.25">
      <c r="A64" s="61">
        <v>45747</v>
      </c>
      <c r="B64" s="30" t="s">
        <v>145</v>
      </c>
      <c r="C64" s="63"/>
      <c r="D64" s="63">
        <f t="shared" si="3"/>
        <v>10746030.725830838</v>
      </c>
      <c r="E64" s="63">
        <f t="shared" si="17"/>
        <v>10746030.725830838</v>
      </c>
      <c r="F64" s="122">
        <f t="shared" si="18"/>
        <v>223875.64012147579</v>
      </c>
      <c r="G64" s="63">
        <f t="shared" si="13"/>
        <v>-3805885.8820650885</v>
      </c>
      <c r="H64" s="63">
        <f t="shared" si="14"/>
        <v>-2462632.0413362337</v>
      </c>
      <c r="I64" s="63">
        <f t="shared" si="15"/>
        <v>8283398.6844946044</v>
      </c>
      <c r="J64" s="63">
        <f t="shared" si="1"/>
        <v>47013.884425509917</v>
      </c>
      <c r="K64" s="68">
        <f t="shared" si="2"/>
        <v>-1457430.4171908074</v>
      </c>
      <c r="L64" s="63">
        <f t="shared" si="16"/>
        <v>-1739513.7237438674</v>
      </c>
      <c r="M64" s="69">
        <f t="shared" si="11"/>
        <v>6543884.9607507372</v>
      </c>
      <c r="N64" s="64">
        <f t="shared" si="12"/>
        <v>5482714.4265749417</v>
      </c>
    </row>
    <row r="65" spans="1:14" x14ac:dyDescent="0.25">
      <c r="A65" s="61">
        <v>45777</v>
      </c>
      <c r="B65" s="30" t="s">
        <v>145</v>
      </c>
      <c r="C65" s="63"/>
      <c r="D65" s="63">
        <f t="shared" si="3"/>
        <v>10746030.725830838</v>
      </c>
      <c r="E65" s="63">
        <f t="shared" si="17"/>
        <v>10746030.725830838</v>
      </c>
      <c r="F65" s="122">
        <f t="shared" si="18"/>
        <v>223875.64012147579</v>
      </c>
      <c r="G65" s="63">
        <f t="shared" si="13"/>
        <v>-4029761.5221865643</v>
      </c>
      <c r="H65" s="63">
        <f t="shared" si="14"/>
        <v>-2686507.6814577091</v>
      </c>
      <c r="I65" s="63">
        <f t="shared" si="15"/>
        <v>8059523.0443731286</v>
      </c>
      <c r="J65" s="63">
        <f t="shared" si="1"/>
        <v>47013.884425509917</v>
      </c>
      <c r="K65" s="68">
        <f t="shared" si="2"/>
        <v>-1410416.5327652975</v>
      </c>
      <c r="L65" s="63">
        <f t="shared" si="16"/>
        <v>-1692499.8393183574</v>
      </c>
      <c r="M65" s="69">
        <f t="shared" si="11"/>
        <v>6367023.2050547712</v>
      </c>
      <c r="N65" s="64">
        <f t="shared" si="12"/>
        <v>5305852.6708789766</v>
      </c>
    </row>
    <row r="66" spans="1:14" x14ac:dyDescent="0.25">
      <c r="A66" s="61">
        <v>45808</v>
      </c>
      <c r="B66" s="30" t="s">
        <v>145</v>
      </c>
      <c r="C66" s="63"/>
      <c r="D66" s="63">
        <f t="shared" si="3"/>
        <v>10746030.725830838</v>
      </c>
      <c r="E66" s="63">
        <f t="shared" si="17"/>
        <v>10746030.725830838</v>
      </c>
      <c r="F66" s="122">
        <f t="shared" si="18"/>
        <v>223875.64012147579</v>
      </c>
      <c r="G66" s="63">
        <f t="shared" si="13"/>
        <v>-4253637.1623080401</v>
      </c>
      <c r="H66" s="63">
        <f t="shared" si="14"/>
        <v>-2910383.3215791858</v>
      </c>
      <c r="I66" s="63">
        <f t="shared" si="15"/>
        <v>7835647.4042516518</v>
      </c>
      <c r="J66" s="63">
        <f t="shared" si="1"/>
        <v>47013.884425509917</v>
      </c>
      <c r="K66" s="68">
        <f t="shared" si="2"/>
        <v>-1363402.6483397875</v>
      </c>
      <c r="L66" s="63">
        <f t="shared" si="16"/>
        <v>-1645485.9548928475</v>
      </c>
      <c r="M66" s="69">
        <f t="shared" si="11"/>
        <v>6190161.4493588042</v>
      </c>
      <c r="N66" s="64">
        <f t="shared" si="12"/>
        <v>5128990.9151830105</v>
      </c>
    </row>
    <row r="67" spans="1:14" x14ac:dyDescent="0.25">
      <c r="A67" s="61">
        <v>45838</v>
      </c>
      <c r="B67" s="30" t="s">
        <v>145</v>
      </c>
      <c r="C67" s="63"/>
      <c r="D67" s="63">
        <f t="shared" si="3"/>
        <v>10746030.725830838</v>
      </c>
      <c r="E67" s="63">
        <f t="shared" si="17"/>
        <v>10746030.725830838</v>
      </c>
      <c r="F67" s="122">
        <f t="shared" si="18"/>
        <v>223875.64012147579</v>
      </c>
      <c r="G67" s="63">
        <f t="shared" si="13"/>
        <v>-4477512.8024295159</v>
      </c>
      <c r="H67" s="63">
        <f t="shared" si="14"/>
        <v>-3134258.9617006611</v>
      </c>
      <c r="I67" s="63">
        <f t="shared" si="15"/>
        <v>7611771.764130177</v>
      </c>
      <c r="J67" s="63">
        <f t="shared" si="1"/>
        <v>47013.884425509917</v>
      </c>
      <c r="K67" s="68">
        <f t="shared" si="2"/>
        <v>-1316388.7639142775</v>
      </c>
      <c r="L67" s="63">
        <f t="shared" si="16"/>
        <v>-1598472.0704673373</v>
      </c>
      <c r="M67" s="69">
        <f t="shared" si="11"/>
        <v>6013299.6936628399</v>
      </c>
      <c r="N67" s="64">
        <f t="shared" si="12"/>
        <v>4952129.1594870444</v>
      </c>
    </row>
    <row r="68" spans="1:14" x14ac:dyDescent="0.25">
      <c r="A68" s="61">
        <v>45869</v>
      </c>
      <c r="B68" s="30" t="s">
        <v>145</v>
      </c>
      <c r="C68" s="63"/>
      <c r="D68" s="63">
        <f t="shared" si="3"/>
        <v>10746030.725830838</v>
      </c>
      <c r="E68" s="63">
        <f t="shared" si="17"/>
        <v>10746030.725830838</v>
      </c>
      <c r="F68" s="122">
        <f t="shared" si="18"/>
        <v>223875.64012147579</v>
      </c>
      <c r="G68" s="63">
        <f t="shared" si="13"/>
        <v>-4701388.4425509917</v>
      </c>
      <c r="H68" s="63">
        <f t="shared" si="14"/>
        <v>-3358134.6018221374</v>
      </c>
      <c r="I68" s="63">
        <f t="shared" si="15"/>
        <v>7387896.1240087003</v>
      </c>
      <c r="J68" s="63">
        <f t="shared" si="1"/>
        <v>47013.884425509917</v>
      </c>
      <c r="K68" s="68">
        <f t="shared" si="2"/>
        <v>-1269374.8794887676</v>
      </c>
      <c r="L68" s="63">
        <f t="shared" si="16"/>
        <v>-1551458.1860418273</v>
      </c>
      <c r="M68" s="69">
        <f t="shared" si="11"/>
        <v>5836437.9379668729</v>
      </c>
      <c r="N68" s="64">
        <f t="shared" si="12"/>
        <v>4775267.4037910793</v>
      </c>
    </row>
    <row r="69" spans="1:14" x14ac:dyDescent="0.25">
      <c r="A69" s="61">
        <v>45900</v>
      </c>
      <c r="B69" s="30" t="s">
        <v>145</v>
      </c>
      <c r="C69" s="63"/>
      <c r="D69" s="63">
        <f t="shared" si="3"/>
        <v>10746030.725830838</v>
      </c>
      <c r="E69" s="63">
        <f t="shared" si="17"/>
        <v>10746030.725830838</v>
      </c>
      <c r="F69" s="122">
        <f t="shared" si="18"/>
        <v>223875.64012147579</v>
      </c>
      <c r="G69" s="63">
        <f t="shared" si="13"/>
        <v>-4925264.0826724675</v>
      </c>
      <c r="H69" s="63">
        <f t="shared" si="14"/>
        <v>-3582010.2419436127</v>
      </c>
      <c r="I69" s="63">
        <f t="shared" si="15"/>
        <v>7164020.4838872254</v>
      </c>
      <c r="J69" s="63">
        <f t="shared" si="1"/>
        <v>47013.884425509917</v>
      </c>
      <c r="K69" s="68">
        <f t="shared" si="2"/>
        <v>-1222360.9950632576</v>
      </c>
      <c r="L69" s="63">
        <f t="shared" si="16"/>
        <v>-1504444.3016163174</v>
      </c>
      <c r="M69" s="69">
        <f t="shared" si="11"/>
        <v>5659576.1822709078</v>
      </c>
      <c r="N69" s="64">
        <f t="shared" si="12"/>
        <v>4598405.6480951132</v>
      </c>
    </row>
    <row r="70" spans="1:14" x14ac:dyDescent="0.25">
      <c r="A70" s="61">
        <v>45930</v>
      </c>
      <c r="B70" s="30" t="s">
        <v>145</v>
      </c>
      <c r="C70" s="63"/>
      <c r="D70" s="63">
        <f t="shared" si="3"/>
        <v>10746030.725830838</v>
      </c>
      <c r="E70" s="63">
        <f t="shared" si="17"/>
        <v>10746030.725830838</v>
      </c>
      <c r="F70" s="122">
        <f t="shared" si="18"/>
        <v>223875.64012147579</v>
      </c>
      <c r="G70" s="63">
        <f t="shared" si="13"/>
        <v>-5149139.7227939432</v>
      </c>
      <c r="H70" s="63">
        <f t="shared" si="14"/>
        <v>-3805885.882065089</v>
      </c>
      <c r="I70" s="63">
        <f t="shared" si="15"/>
        <v>6940144.8437657487</v>
      </c>
      <c r="J70" s="63">
        <f t="shared" si="1"/>
        <v>47013.884425509917</v>
      </c>
      <c r="K70" s="68">
        <f t="shared" si="2"/>
        <v>-1175347.1106377477</v>
      </c>
      <c r="L70" s="63">
        <f t="shared" si="16"/>
        <v>-1457430.4171908076</v>
      </c>
      <c r="M70" s="69">
        <f t="shared" si="11"/>
        <v>5482714.4265749408</v>
      </c>
      <c r="N70" s="64">
        <f t="shared" si="12"/>
        <v>4421543.8923991472</v>
      </c>
    </row>
    <row r="71" spans="1:14" ht="13.8" thickBot="1" x14ac:dyDescent="0.3">
      <c r="A71" s="61">
        <v>45961</v>
      </c>
      <c r="B71" s="30" t="s">
        <v>145</v>
      </c>
      <c r="C71" s="63"/>
      <c r="D71" s="63">
        <f t="shared" si="3"/>
        <v>10746030.725830838</v>
      </c>
      <c r="E71" s="63">
        <f t="shared" si="17"/>
        <v>10746030.725830838</v>
      </c>
      <c r="F71" s="122">
        <f t="shared" si="18"/>
        <v>223875.64012147579</v>
      </c>
      <c r="G71" s="63">
        <f t="shared" si="13"/>
        <v>-5373015.362915419</v>
      </c>
      <c r="H71" s="63">
        <f t="shared" si="14"/>
        <v>-4029761.5221865647</v>
      </c>
      <c r="I71" s="63">
        <f t="shared" si="15"/>
        <v>6716269.2036442738</v>
      </c>
      <c r="J71" s="63">
        <f t="shared" si="1"/>
        <v>47013.884425509917</v>
      </c>
      <c r="K71" s="68">
        <f t="shared" si="2"/>
        <v>-1128333.2262122377</v>
      </c>
      <c r="L71" s="63">
        <f t="shared" si="16"/>
        <v>-1410416.5327652979</v>
      </c>
      <c r="M71" s="69">
        <f t="shared" si="11"/>
        <v>5305852.6708789757</v>
      </c>
      <c r="N71" s="64">
        <f t="shared" si="12"/>
        <v>4244682.1367031811</v>
      </c>
    </row>
    <row r="72" spans="1:14" x14ac:dyDescent="0.25">
      <c r="A72" s="134">
        <v>45991</v>
      </c>
      <c r="B72" s="141" t="s">
        <v>146</v>
      </c>
      <c r="C72" s="136"/>
      <c r="D72" s="136">
        <f t="shared" si="3"/>
        <v>10746030.725830838</v>
      </c>
      <c r="E72" s="136">
        <f t="shared" si="17"/>
        <v>10746030.725830838</v>
      </c>
      <c r="F72" s="148">
        <f t="shared" si="18"/>
        <v>223875.64012147579</v>
      </c>
      <c r="G72" s="136">
        <f t="shared" si="13"/>
        <v>-5596891.0030368948</v>
      </c>
      <c r="H72" s="136">
        <f t="shared" si="14"/>
        <v>-4253637.1623080401</v>
      </c>
      <c r="I72" s="136">
        <f t="shared" si="15"/>
        <v>6492393.563522798</v>
      </c>
      <c r="J72" s="136">
        <f t="shared" si="1"/>
        <v>47013.884425509917</v>
      </c>
      <c r="K72" s="138">
        <f t="shared" si="2"/>
        <v>-1081319.3417867278</v>
      </c>
      <c r="L72" s="136">
        <f t="shared" si="16"/>
        <v>-1363402.6483397877</v>
      </c>
      <c r="M72" s="139">
        <f t="shared" si="11"/>
        <v>5128990.9151830105</v>
      </c>
      <c r="N72" s="140">
        <f t="shared" si="12"/>
        <v>4067820.3810072155</v>
      </c>
    </row>
    <row r="73" spans="1:14" x14ac:dyDescent="0.25">
      <c r="A73" s="61">
        <v>46022</v>
      </c>
      <c r="B73" s="30" t="s">
        <v>146</v>
      </c>
      <c r="C73" s="63"/>
      <c r="D73" s="63">
        <f t="shared" si="3"/>
        <v>10746030.725830838</v>
      </c>
      <c r="E73" s="63">
        <f t="shared" si="17"/>
        <v>10746030.725830838</v>
      </c>
      <c r="F73" s="122">
        <f t="shared" si="18"/>
        <v>223875.64012147579</v>
      </c>
      <c r="G73" s="63">
        <f t="shared" si="13"/>
        <v>-5820766.6431583706</v>
      </c>
      <c r="H73" s="63">
        <f t="shared" si="14"/>
        <v>-4477512.8024295159</v>
      </c>
      <c r="I73" s="63">
        <f t="shared" si="15"/>
        <v>6268517.9234013222</v>
      </c>
      <c r="J73" s="63">
        <f t="shared" si="1"/>
        <v>47013.884425509917</v>
      </c>
      <c r="K73" s="68">
        <f t="shared" si="2"/>
        <v>-1034305.4573612178</v>
      </c>
      <c r="L73" s="63">
        <f t="shared" si="16"/>
        <v>-1316388.7639142775</v>
      </c>
      <c r="M73" s="69">
        <f t="shared" si="11"/>
        <v>4952129.1594870444</v>
      </c>
      <c r="N73" s="64">
        <f t="shared" si="12"/>
        <v>3890958.6253112499</v>
      </c>
    </row>
    <row r="74" spans="1:14" x14ac:dyDescent="0.25">
      <c r="A74" s="61">
        <v>46053</v>
      </c>
      <c r="B74" s="30" t="s">
        <v>146</v>
      </c>
      <c r="C74" s="30"/>
      <c r="D74" s="63">
        <f t="shared" si="3"/>
        <v>10746030.725830838</v>
      </c>
      <c r="E74" s="63">
        <f t="shared" si="17"/>
        <v>10746030.725830838</v>
      </c>
      <c r="F74" s="122">
        <f t="shared" si="18"/>
        <v>223875.64012147579</v>
      </c>
      <c r="G74" s="63">
        <f t="shared" si="13"/>
        <v>-6044642.2832798464</v>
      </c>
      <c r="H74" s="63">
        <f t="shared" si="14"/>
        <v>-4701388.4425509917</v>
      </c>
      <c r="I74" s="63">
        <f t="shared" si="15"/>
        <v>6044642.2832798464</v>
      </c>
      <c r="J74" s="63">
        <f t="shared" si="1"/>
        <v>47013.884425509917</v>
      </c>
      <c r="K74" s="68">
        <f t="shared" si="2"/>
        <v>-987291.57293570787</v>
      </c>
      <c r="L74" s="63">
        <f t="shared" si="16"/>
        <v>-1269374.8794887676</v>
      </c>
      <c r="M74" s="69">
        <f t="shared" si="11"/>
        <v>4775267.4037910793</v>
      </c>
      <c r="N74" s="64">
        <f t="shared" si="12"/>
        <v>3714096.8696152838</v>
      </c>
    </row>
    <row r="75" spans="1:14" x14ac:dyDescent="0.25">
      <c r="A75" s="61">
        <v>46081</v>
      </c>
      <c r="B75" s="30" t="s">
        <v>146</v>
      </c>
      <c r="C75" s="30"/>
      <c r="D75" s="63">
        <f t="shared" si="3"/>
        <v>10746030.725830838</v>
      </c>
      <c r="E75" s="63">
        <f t="shared" si="17"/>
        <v>10746030.725830838</v>
      </c>
      <c r="F75" s="122">
        <f t="shared" si="18"/>
        <v>223875.64012147579</v>
      </c>
      <c r="G75" s="63">
        <f t="shared" si="13"/>
        <v>-6268517.9234013222</v>
      </c>
      <c r="H75" s="63">
        <f t="shared" si="14"/>
        <v>-4925264.0826724675</v>
      </c>
      <c r="I75" s="63">
        <f t="shared" si="15"/>
        <v>5820766.6431583706</v>
      </c>
      <c r="J75" s="63">
        <f t="shared" si="1"/>
        <v>47013.884425509917</v>
      </c>
      <c r="K75" s="68">
        <f t="shared" si="2"/>
        <v>-940277.68851019791</v>
      </c>
      <c r="L75" s="63">
        <f t="shared" si="16"/>
        <v>-1222360.9950632576</v>
      </c>
      <c r="M75" s="69">
        <f t="shared" si="11"/>
        <v>4598405.6480951132</v>
      </c>
      <c r="N75" s="64">
        <f t="shared" si="12"/>
        <v>3537235.1139193177</v>
      </c>
    </row>
    <row r="76" spans="1:14" x14ac:dyDescent="0.25">
      <c r="A76" s="61">
        <v>46112</v>
      </c>
      <c r="B76" s="30" t="s">
        <v>146</v>
      </c>
      <c r="C76" s="30"/>
      <c r="D76" s="63">
        <f t="shared" si="3"/>
        <v>10746030.725830838</v>
      </c>
      <c r="E76" s="63">
        <f t="shared" si="17"/>
        <v>10746030.725830838</v>
      </c>
      <c r="F76" s="122">
        <f t="shared" si="18"/>
        <v>223875.64012147579</v>
      </c>
      <c r="G76" s="63">
        <f t="shared" si="13"/>
        <v>-6492393.563522798</v>
      </c>
      <c r="H76" s="63">
        <f t="shared" si="14"/>
        <v>-5149139.7227939423</v>
      </c>
      <c r="I76" s="63">
        <f t="shared" si="15"/>
        <v>5596891.0030368958</v>
      </c>
      <c r="J76" s="63">
        <f t="shared" si="1"/>
        <v>47013.884425509917</v>
      </c>
      <c r="K76" s="68">
        <f t="shared" si="2"/>
        <v>-893263.80408468796</v>
      </c>
      <c r="L76" s="63">
        <f t="shared" si="16"/>
        <v>-1175347.1106377477</v>
      </c>
      <c r="M76" s="69">
        <f t="shared" si="11"/>
        <v>4421543.8923991481</v>
      </c>
      <c r="N76" s="64">
        <f t="shared" si="12"/>
        <v>3360373.3582233521</v>
      </c>
    </row>
    <row r="77" spans="1:14" x14ac:dyDescent="0.25">
      <c r="A77" s="61">
        <v>46142</v>
      </c>
      <c r="B77" s="30" t="s">
        <v>146</v>
      </c>
      <c r="C77" s="30"/>
      <c r="D77" s="63">
        <f t="shared" si="3"/>
        <v>10746030.725830838</v>
      </c>
      <c r="E77" s="63">
        <f t="shared" si="17"/>
        <v>10746030.725830838</v>
      </c>
      <c r="F77" s="122">
        <f t="shared" si="18"/>
        <v>223875.64012147579</v>
      </c>
      <c r="G77" s="63">
        <f t="shared" si="13"/>
        <v>-6716269.2036442738</v>
      </c>
      <c r="H77" s="63">
        <f t="shared" si="14"/>
        <v>-5373015.3629154181</v>
      </c>
      <c r="I77" s="63">
        <f t="shared" si="15"/>
        <v>5373015.36291542</v>
      </c>
      <c r="J77" s="63">
        <f t="shared" si="1"/>
        <v>47013.884425509917</v>
      </c>
      <c r="K77" s="68">
        <f t="shared" si="2"/>
        <v>-846249.91965917801</v>
      </c>
      <c r="L77" s="63">
        <f t="shared" si="16"/>
        <v>-1128333.2262122377</v>
      </c>
      <c r="M77" s="69">
        <f t="shared" si="11"/>
        <v>4244682.136703182</v>
      </c>
      <c r="N77" s="64">
        <f t="shared" si="12"/>
        <v>3183511.6025273865</v>
      </c>
    </row>
    <row r="78" spans="1:14" x14ac:dyDescent="0.25">
      <c r="A78" s="61">
        <v>46173</v>
      </c>
      <c r="B78" s="30" t="s">
        <v>146</v>
      </c>
      <c r="C78" s="30"/>
      <c r="D78" s="63">
        <f t="shared" si="3"/>
        <v>10746030.725830838</v>
      </c>
      <c r="E78" s="63">
        <f t="shared" si="17"/>
        <v>10746030.725830838</v>
      </c>
      <c r="F78" s="122">
        <f t="shared" si="18"/>
        <v>223875.64012147579</v>
      </c>
      <c r="G78" s="63">
        <f t="shared" si="13"/>
        <v>-6940144.8437657496</v>
      </c>
      <c r="H78" s="63">
        <f t="shared" si="14"/>
        <v>-5596891.0030368948</v>
      </c>
      <c r="I78" s="63">
        <f t="shared" si="15"/>
        <v>5149139.7227939432</v>
      </c>
      <c r="J78" s="63">
        <f t="shared" si="1"/>
        <v>47013.884425509917</v>
      </c>
      <c r="K78" s="68">
        <f t="shared" si="2"/>
        <v>-799236.03523366805</v>
      </c>
      <c r="L78" s="63">
        <f t="shared" si="16"/>
        <v>-1081319.3417867278</v>
      </c>
      <c r="M78" s="69">
        <f t="shared" si="11"/>
        <v>4067820.3810072155</v>
      </c>
      <c r="N78" s="64">
        <f t="shared" si="12"/>
        <v>3006649.8468314204</v>
      </c>
    </row>
    <row r="79" spans="1:14" x14ac:dyDescent="0.25">
      <c r="A79" s="61">
        <v>46203</v>
      </c>
      <c r="B79" s="30" t="s">
        <v>146</v>
      </c>
      <c r="D79" s="63">
        <f t="shared" si="3"/>
        <v>10746030.725830838</v>
      </c>
      <c r="E79" s="63">
        <f t="shared" si="17"/>
        <v>10746030.725830838</v>
      </c>
      <c r="F79" s="122">
        <f t="shared" si="18"/>
        <v>223875.64012147579</v>
      </c>
      <c r="G79" s="63">
        <f t="shared" si="13"/>
        <v>-7164020.4838872254</v>
      </c>
      <c r="H79" s="63">
        <f t="shared" si="14"/>
        <v>-5820766.6431583716</v>
      </c>
      <c r="I79" s="63">
        <f t="shared" si="15"/>
        <v>4925264.0826724665</v>
      </c>
      <c r="J79" s="63">
        <f t="shared" si="1"/>
        <v>47013.884425509917</v>
      </c>
      <c r="K79" s="68">
        <f t="shared" si="2"/>
        <v>-752222.1508081581</v>
      </c>
      <c r="L79" s="63">
        <f t="shared" si="16"/>
        <v>-1034305.4573612179</v>
      </c>
      <c r="M79" s="63">
        <f t="shared" si="11"/>
        <v>3890958.6253112485</v>
      </c>
      <c r="N79" s="64">
        <f t="shared" si="12"/>
        <v>2829788.0911354544</v>
      </c>
    </row>
    <row r="80" spans="1:14" x14ac:dyDescent="0.25">
      <c r="A80" s="61">
        <v>46234</v>
      </c>
      <c r="B80" s="30" t="s">
        <v>146</v>
      </c>
      <c r="D80" s="63">
        <f t="shared" si="3"/>
        <v>10746030.725830838</v>
      </c>
      <c r="E80" s="63">
        <f t="shared" si="17"/>
        <v>10746030.725830838</v>
      </c>
      <c r="F80" s="122">
        <f t="shared" si="18"/>
        <v>223875.64012147579</v>
      </c>
      <c r="G80" s="63">
        <f t="shared" si="13"/>
        <v>-7387896.1240087012</v>
      </c>
      <c r="H80" s="63">
        <f t="shared" si="14"/>
        <v>-6044642.2832798474</v>
      </c>
      <c r="I80" s="63">
        <f t="shared" si="15"/>
        <v>4701388.4425509907</v>
      </c>
      <c r="J80" s="63">
        <f t="shared" si="1"/>
        <v>47013.884425509917</v>
      </c>
      <c r="K80" s="68">
        <f t="shared" si="2"/>
        <v>-705208.26638264814</v>
      </c>
      <c r="L80" s="63">
        <f t="shared" si="16"/>
        <v>-987291.57293570798</v>
      </c>
      <c r="M80" s="63">
        <f t="shared" si="11"/>
        <v>3714096.8696152829</v>
      </c>
      <c r="N80" s="64">
        <f t="shared" si="12"/>
        <v>2652926.3354394888</v>
      </c>
    </row>
    <row r="81" spans="1:14" x14ac:dyDescent="0.25">
      <c r="A81" s="61">
        <v>46265</v>
      </c>
      <c r="B81" s="30" t="s">
        <v>146</v>
      </c>
      <c r="D81" s="63">
        <f t="shared" si="3"/>
        <v>10746030.725830838</v>
      </c>
      <c r="E81" s="63">
        <f t="shared" si="17"/>
        <v>10746030.725830838</v>
      </c>
      <c r="F81" s="122">
        <f t="shared" si="18"/>
        <v>223875.64012147579</v>
      </c>
      <c r="G81" s="63">
        <f t="shared" si="13"/>
        <v>-7611771.764130177</v>
      </c>
      <c r="H81" s="63">
        <f t="shared" si="14"/>
        <v>-6268517.9234013231</v>
      </c>
      <c r="I81" s="63">
        <f t="shared" si="15"/>
        <v>4477512.8024295149</v>
      </c>
      <c r="J81" s="63">
        <f t="shared" si="1"/>
        <v>47013.884425509917</v>
      </c>
      <c r="K81" s="68">
        <f t="shared" si="2"/>
        <v>-658194.38195713819</v>
      </c>
      <c r="L81" s="63">
        <f t="shared" si="16"/>
        <v>-940277.6885101978</v>
      </c>
      <c r="M81" s="63">
        <f t="shared" si="11"/>
        <v>3537235.1139193173</v>
      </c>
      <c r="N81" s="64">
        <f t="shared" si="12"/>
        <v>2476064.5797435232</v>
      </c>
    </row>
    <row r="82" spans="1:14" x14ac:dyDescent="0.25">
      <c r="A82" s="61">
        <v>46295</v>
      </c>
      <c r="B82" s="30" t="s">
        <v>146</v>
      </c>
      <c r="D82" s="63">
        <f t="shared" si="3"/>
        <v>10746030.725830838</v>
      </c>
      <c r="E82" s="63">
        <f t="shared" si="17"/>
        <v>10746030.725830838</v>
      </c>
      <c r="F82" s="122">
        <f t="shared" si="18"/>
        <v>223875.64012147579</v>
      </c>
      <c r="G82" s="63">
        <f t="shared" si="13"/>
        <v>-7835647.4042516528</v>
      </c>
      <c r="H82" s="63">
        <f t="shared" si="14"/>
        <v>-6492393.563522798</v>
      </c>
      <c r="I82" s="63">
        <f t="shared" si="15"/>
        <v>4253637.1623080401</v>
      </c>
      <c r="J82" s="63">
        <f t="shared" si="1"/>
        <v>47013.884425509917</v>
      </c>
      <c r="K82" s="68">
        <f t="shared" si="2"/>
        <v>-611180.49753162824</v>
      </c>
      <c r="L82" s="63">
        <f t="shared" si="16"/>
        <v>-893263.80408468784</v>
      </c>
      <c r="M82" s="63">
        <f t="shared" si="11"/>
        <v>3360373.3582233521</v>
      </c>
      <c r="N82" s="64">
        <f t="shared" si="12"/>
        <v>2299202.8240475571</v>
      </c>
    </row>
    <row r="83" spans="1:14" ht="13.8" thickBot="1" x14ac:dyDescent="0.3">
      <c r="A83" s="61">
        <v>46326</v>
      </c>
      <c r="B83" s="30" t="s">
        <v>146</v>
      </c>
      <c r="D83" s="63">
        <f t="shared" si="3"/>
        <v>10746030.725830838</v>
      </c>
      <c r="E83" s="63">
        <f t="shared" si="17"/>
        <v>10746030.725830838</v>
      </c>
      <c r="F83" s="122">
        <f t="shared" si="18"/>
        <v>223875.64012147579</v>
      </c>
      <c r="G83" s="63">
        <f t="shared" si="13"/>
        <v>-8059523.0443731286</v>
      </c>
      <c r="H83" s="63">
        <f t="shared" si="14"/>
        <v>-6716269.2036442747</v>
      </c>
      <c r="I83" s="63">
        <f t="shared" si="15"/>
        <v>4029761.5221865634</v>
      </c>
      <c r="J83" s="63">
        <f t="shared" si="1"/>
        <v>47013.884425509917</v>
      </c>
      <c r="K83" s="68">
        <f t="shared" si="2"/>
        <v>-564166.61310611828</v>
      </c>
      <c r="L83" s="63">
        <f t="shared" si="16"/>
        <v>-846249.91965917812</v>
      </c>
      <c r="M83" s="63">
        <f t="shared" si="11"/>
        <v>3183511.6025273851</v>
      </c>
      <c r="N83" s="64">
        <f t="shared" si="12"/>
        <v>2122341.068351591</v>
      </c>
    </row>
    <row r="84" spans="1:14" x14ac:dyDescent="0.25">
      <c r="A84" s="134">
        <v>46356</v>
      </c>
      <c r="B84" s="141" t="s">
        <v>147</v>
      </c>
      <c r="C84" s="141"/>
      <c r="D84" s="136">
        <f t="shared" si="3"/>
        <v>10746030.725830838</v>
      </c>
      <c r="E84" s="136">
        <f t="shared" si="17"/>
        <v>10746030.725830838</v>
      </c>
      <c r="F84" s="148">
        <f t="shared" si="18"/>
        <v>223875.64012147579</v>
      </c>
      <c r="G84" s="136">
        <f t="shared" si="13"/>
        <v>-8283398.6844946044</v>
      </c>
      <c r="H84" s="136">
        <f t="shared" si="14"/>
        <v>-6940144.8437657496</v>
      </c>
      <c r="I84" s="136">
        <f t="shared" si="15"/>
        <v>3805885.8820650885</v>
      </c>
      <c r="J84" s="136">
        <f t="shared" si="1"/>
        <v>47013.884425509917</v>
      </c>
      <c r="K84" s="138">
        <f t="shared" si="2"/>
        <v>-517152.72868060839</v>
      </c>
      <c r="L84" s="136">
        <f t="shared" si="16"/>
        <v>-799236.03523366805</v>
      </c>
      <c r="M84" s="136">
        <f t="shared" si="11"/>
        <v>3006649.8468314204</v>
      </c>
      <c r="N84" s="140">
        <f t="shared" si="12"/>
        <v>1945479.3126556254</v>
      </c>
    </row>
    <row r="85" spans="1:14" x14ac:dyDescent="0.25">
      <c r="A85" s="61">
        <v>46387</v>
      </c>
      <c r="B85" s="66" t="s">
        <v>147</v>
      </c>
      <c r="D85" s="63">
        <f t="shared" si="3"/>
        <v>10746030.725830838</v>
      </c>
      <c r="E85" s="63">
        <f t="shared" si="17"/>
        <v>10746030.725830838</v>
      </c>
      <c r="F85" s="122">
        <f t="shared" si="18"/>
        <v>223875.64012147579</v>
      </c>
      <c r="G85" s="63">
        <f t="shared" si="13"/>
        <v>-8507274.3246160802</v>
      </c>
      <c r="H85" s="63">
        <f t="shared" si="14"/>
        <v>-7164020.4838872245</v>
      </c>
      <c r="I85" s="63">
        <f t="shared" si="15"/>
        <v>3582010.2419436136</v>
      </c>
      <c r="J85" s="63">
        <f t="shared" si="1"/>
        <v>47013.884425509917</v>
      </c>
      <c r="K85" s="68">
        <f t="shared" si="2"/>
        <v>-470138.84425509849</v>
      </c>
      <c r="L85" s="63">
        <f t="shared" si="16"/>
        <v>-752222.15080815798</v>
      </c>
      <c r="M85" s="63">
        <f t="shared" si="11"/>
        <v>2829788.0911354558</v>
      </c>
      <c r="N85" s="64">
        <f t="shared" si="12"/>
        <v>1768617.5569596593</v>
      </c>
    </row>
    <row r="86" spans="1:14" x14ac:dyDescent="0.25">
      <c r="A86" s="61">
        <v>46418</v>
      </c>
      <c r="B86" s="66" t="s">
        <v>147</v>
      </c>
      <c r="D86" s="63">
        <f t="shared" si="3"/>
        <v>10746030.725830838</v>
      </c>
      <c r="E86" s="63">
        <f t="shared" si="17"/>
        <v>10746030.725830838</v>
      </c>
      <c r="F86" s="122">
        <f t="shared" si="18"/>
        <v>223875.64012147579</v>
      </c>
      <c r="G86" s="63">
        <f t="shared" si="13"/>
        <v>-8731149.9647375569</v>
      </c>
      <c r="H86" s="63">
        <f t="shared" si="14"/>
        <v>-7387896.1240087003</v>
      </c>
      <c r="I86" s="63">
        <f t="shared" si="15"/>
        <v>3358134.6018221378</v>
      </c>
      <c r="J86" s="63">
        <f t="shared" si="1"/>
        <v>47013.884425509917</v>
      </c>
      <c r="K86" s="68">
        <f t="shared" si="2"/>
        <v>-423124.9598295886</v>
      </c>
      <c r="L86" s="63">
        <f t="shared" si="16"/>
        <v>-705208.26638264814</v>
      </c>
      <c r="M86" s="63">
        <f t="shared" si="11"/>
        <v>2652926.3354394897</v>
      </c>
      <c r="N86" s="64">
        <f t="shared" si="12"/>
        <v>1591755.8012636926</v>
      </c>
    </row>
    <row r="87" spans="1:14" x14ac:dyDescent="0.25">
      <c r="A87" s="61">
        <v>46446</v>
      </c>
      <c r="B87" s="66" t="s">
        <v>147</v>
      </c>
      <c r="D87" s="63">
        <f t="shared" si="3"/>
        <v>10746030.725830838</v>
      </c>
      <c r="E87" s="63">
        <f t="shared" si="17"/>
        <v>10746030.725830838</v>
      </c>
      <c r="F87" s="122">
        <f t="shared" si="18"/>
        <v>223875.64012147579</v>
      </c>
      <c r="G87" s="63">
        <f t="shared" si="13"/>
        <v>-8955025.6048590317</v>
      </c>
      <c r="H87" s="63">
        <f t="shared" si="14"/>
        <v>-7611771.7641301779</v>
      </c>
      <c r="I87" s="63">
        <f t="shared" si="15"/>
        <v>3134258.9617006602</v>
      </c>
      <c r="J87" s="63">
        <f t="shared" si="1"/>
        <v>47013.884425509917</v>
      </c>
      <c r="K87" s="68">
        <f t="shared" si="2"/>
        <v>-376111.0754040787</v>
      </c>
      <c r="L87" s="63">
        <f t="shared" si="16"/>
        <v>-658194.38195713831</v>
      </c>
      <c r="M87" s="63">
        <f t="shared" si="11"/>
        <v>2476064.5797435218</v>
      </c>
      <c r="N87" s="64">
        <f t="shared" si="12"/>
        <v>1414894.0455677276</v>
      </c>
    </row>
    <row r="88" spans="1:14" x14ac:dyDescent="0.25">
      <c r="A88" s="61">
        <v>46477</v>
      </c>
      <c r="B88" s="66" t="s">
        <v>147</v>
      </c>
      <c r="D88" s="63">
        <f t="shared" si="3"/>
        <v>10746030.725830838</v>
      </c>
      <c r="E88" s="63">
        <f t="shared" si="17"/>
        <v>10746030.725830838</v>
      </c>
      <c r="F88" s="122">
        <f t="shared" si="18"/>
        <v>223875.64012147579</v>
      </c>
      <c r="G88" s="63">
        <f t="shared" si="13"/>
        <v>-9178901.2449805066</v>
      </c>
      <c r="H88" s="63">
        <f t="shared" si="14"/>
        <v>-7835647.4042516509</v>
      </c>
      <c r="I88" s="63">
        <f t="shared" si="15"/>
        <v>2910383.3215791872</v>
      </c>
      <c r="J88" s="63">
        <f t="shared" ref="J88:J97" si="19">(-C88*0.21)+(F88*0.21)</f>
        <v>47013.884425509917</v>
      </c>
      <c r="K88" s="68">
        <f t="shared" ref="K88:K97" si="20">K87+J88</f>
        <v>-329097.1909785688</v>
      </c>
      <c r="L88" s="63">
        <f t="shared" si="16"/>
        <v>-611180.49753162835</v>
      </c>
      <c r="M88" s="63">
        <f t="shared" si="11"/>
        <v>2299202.8240475589</v>
      </c>
      <c r="N88" s="64">
        <f t="shared" si="12"/>
        <v>1238032.2898717627</v>
      </c>
    </row>
    <row r="89" spans="1:14" x14ac:dyDescent="0.25">
      <c r="A89" s="61">
        <v>46507</v>
      </c>
      <c r="B89" s="66" t="s">
        <v>147</v>
      </c>
      <c r="D89" s="63">
        <f t="shared" ref="D89:D97" si="21">D88+C89</f>
        <v>10746030.725830838</v>
      </c>
      <c r="E89" s="63">
        <f t="shared" si="17"/>
        <v>10746030.725830838</v>
      </c>
      <c r="F89" s="122">
        <f t="shared" si="18"/>
        <v>223875.64012147579</v>
      </c>
      <c r="G89" s="63">
        <f t="shared" si="13"/>
        <v>-9402776.8851019815</v>
      </c>
      <c r="H89" s="63">
        <f t="shared" si="14"/>
        <v>-8059523.0443731276</v>
      </c>
      <c r="I89" s="63">
        <f t="shared" si="15"/>
        <v>2686507.6814577105</v>
      </c>
      <c r="J89" s="63">
        <f t="shared" si="19"/>
        <v>47013.884425509917</v>
      </c>
      <c r="K89" s="68">
        <f t="shared" si="20"/>
        <v>-282083.30655305891</v>
      </c>
      <c r="L89" s="63">
        <f t="shared" si="16"/>
        <v>-564166.6131061184</v>
      </c>
      <c r="M89" s="63">
        <f t="shared" si="11"/>
        <v>2122341.0683515919</v>
      </c>
      <c r="N89" s="64">
        <f t="shared" si="12"/>
        <v>1061170.5341757978</v>
      </c>
    </row>
    <row r="90" spans="1:14" x14ac:dyDescent="0.25">
      <c r="A90" s="61">
        <v>46538</v>
      </c>
      <c r="B90" s="66" t="s">
        <v>147</v>
      </c>
      <c r="D90" s="63">
        <f t="shared" si="21"/>
        <v>10746030.725830838</v>
      </c>
      <c r="E90" s="63">
        <f t="shared" si="17"/>
        <v>10746030.725830838</v>
      </c>
      <c r="F90" s="122">
        <f t="shared" si="18"/>
        <v>223875.64012147579</v>
      </c>
      <c r="G90" s="63">
        <f t="shared" si="13"/>
        <v>-9626652.5252234563</v>
      </c>
      <c r="H90" s="63">
        <f t="shared" si="14"/>
        <v>-8283398.6844946034</v>
      </c>
      <c r="I90" s="63">
        <f t="shared" si="15"/>
        <v>2462632.0413362347</v>
      </c>
      <c r="J90" s="63">
        <f t="shared" si="19"/>
        <v>47013.884425509917</v>
      </c>
      <c r="K90" s="68">
        <f t="shared" si="20"/>
        <v>-235069.42212754898</v>
      </c>
      <c r="L90" s="63">
        <f t="shared" si="16"/>
        <v>-517152.7286806085</v>
      </c>
      <c r="M90" s="63">
        <f t="shared" si="11"/>
        <v>1945479.3126556261</v>
      </c>
      <c r="N90" s="64">
        <f t="shared" si="12"/>
        <v>884308.77847983281</v>
      </c>
    </row>
    <row r="91" spans="1:14" x14ac:dyDescent="0.25">
      <c r="A91" s="61">
        <v>46568</v>
      </c>
      <c r="B91" s="66" t="s">
        <v>147</v>
      </c>
      <c r="D91" s="63">
        <f t="shared" si="21"/>
        <v>10746030.725830838</v>
      </c>
      <c r="E91" s="63">
        <f t="shared" si="17"/>
        <v>10746030.725830838</v>
      </c>
      <c r="F91" s="122">
        <f t="shared" si="18"/>
        <v>223875.64012147579</v>
      </c>
      <c r="G91" s="63">
        <f t="shared" si="13"/>
        <v>-9850528.1653449312</v>
      </c>
      <c r="H91" s="63">
        <f t="shared" si="14"/>
        <v>-8507274.3246160802</v>
      </c>
      <c r="I91" s="63">
        <f t="shared" si="15"/>
        <v>2238756.4012147579</v>
      </c>
      <c r="J91" s="63">
        <f t="shared" si="19"/>
        <v>47013.884425509917</v>
      </c>
      <c r="K91" s="68">
        <f t="shared" si="20"/>
        <v>-188055.53770203906</v>
      </c>
      <c r="L91" s="63">
        <f t="shared" si="16"/>
        <v>-470138.84425509861</v>
      </c>
      <c r="M91" s="63">
        <f t="shared" si="11"/>
        <v>1768617.5569596593</v>
      </c>
      <c r="N91" s="64">
        <f t="shared" si="12"/>
        <v>707447.02278386778</v>
      </c>
    </row>
    <row r="92" spans="1:14" x14ac:dyDescent="0.25">
      <c r="A92" s="61">
        <v>46599</v>
      </c>
      <c r="B92" s="66" t="s">
        <v>147</v>
      </c>
      <c r="D92" s="63">
        <f t="shared" si="21"/>
        <v>10746030.725830838</v>
      </c>
      <c r="E92" s="63">
        <f t="shared" si="17"/>
        <v>10746030.725830838</v>
      </c>
      <c r="F92" s="122">
        <f t="shared" si="18"/>
        <v>223875.64012147579</v>
      </c>
      <c r="G92" s="63">
        <f t="shared" si="13"/>
        <v>-10074403.805466406</v>
      </c>
      <c r="H92" s="63">
        <f t="shared" si="14"/>
        <v>-8731149.9647375531</v>
      </c>
      <c r="I92" s="63">
        <f t="shared" si="15"/>
        <v>2014880.7610932849</v>
      </c>
      <c r="J92" s="63">
        <f t="shared" si="19"/>
        <v>47013.884425509917</v>
      </c>
      <c r="K92" s="68">
        <f t="shared" si="20"/>
        <v>-141041.65327652913</v>
      </c>
      <c r="L92" s="63">
        <f t="shared" si="16"/>
        <v>-423124.9598295886</v>
      </c>
      <c r="M92" s="63">
        <f t="shared" si="11"/>
        <v>1591755.8012636963</v>
      </c>
      <c r="N92" s="64">
        <f t="shared" si="12"/>
        <v>530585.26708790287</v>
      </c>
    </row>
    <row r="93" spans="1:14" x14ac:dyDescent="0.25">
      <c r="A93" s="61">
        <v>46630</v>
      </c>
      <c r="B93" s="66" t="s">
        <v>147</v>
      </c>
      <c r="D93" s="63">
        <f t="shared" si="21"/>
        <v>10746030.725830838</v>
      </c>
      <c r="E93" s="63">
        <f t="shared" si="17"/>
        <v>10746030.725830838</v>
      </c>
      <c r="F93" s="122">
        <f t="shared" si="18"/>
        <v>223875.64012147579</v>
      </c>
      <c r="G93" s="63">
        <f t="shared" si="13"/>
        <v>-10298279.445587881</v>
      </c>
      <c r="H93" s="63">
        <f t="shared" si="14"/>
        <v>-8955025.6048590299</v>
      </c>
      <c r="I93" s="63">
        <f t="shared" si="15"/>
        <v>1791005.1209718082</v>
      </c>
      <c r="J93" s="63">
        <f t="shared" si="19"/>
        <v>47013.884425509917</v>
      </c>
      <c r="K93" s="68">
        <f t="shared" si="20"/>
        <v>-94027.768851019209</v>
      </c>
      <c r="L93" s="63">
        <f t="shared" si="16"/>
        <v>-376111.0754040787</v>
      </c>
      <c r="M93" s="63">
        <f t="shared" si="11"/>
        <v>1414894.0455677295</v>
      </c>
      <c r="N93" s="64">
        <f t="shared" si="12"/>
        <v>353723.51139193797</v>
      </c>
    </row>
    <row r="94" spans="1:14" x14ac:dyDescent="0.25">
      <c r="A94" s="61">
        <v>46660</v>
      </c>
      <c r="B94" s="66" t="s">
        <v>147</v>
      </c>
      <c r="D94" s="63">
        <f t="shared" si="21"/>
        <v>10746030.725830838</v>
      </c>
      <c r="E94" s="63">
        <f t="shared" si="17"/>
        <v>10746030.725830838</v>
      </c>
      <c r="F94" s="122">
        <f t="shared" si="18"/>
        <v>223875.64012147579</v>
      </c>
      <c r="G94" s="63">
        <f t="shared" si="13"/>
        <v>-10522155.085709356</v>
      </c>
      <c r="H94" s="63">
        <f t="shared" si="14"/>
        <v>-9178901.2449805047</v>
      </c>
      <c r="I94" s="63">
        <f t="shared" si="15"/>
        <v>1567129.4808503333</v>
      </c>
      <c r="J94" s="63">
        <f t="shared" si="19"/>
        <v>47013.884425509917</v>
      </c>
      <c r="K94" s="68">
        <f t="shared" si="20"/>
        <v>-47013.884425509292</v>
      </c>
      <c r="L94" s="63">
        <f t="shared" si="16"/>
        <v>-329097.1909785688</v>
      </c>
      <c r="M94" s="63">
        <f t="shared" si="11"/>
        <v>1238032.2898717646</v>
      </c>
      <c r="N94" s="64">
        <f t="shared" si="12"/>
        <v>176861.75569597303</v>
      </c>
    </row>
    <row r="95" spans="1:14" ht="13.8" thickBot="1" x14ac:dyDescent="0.3">
      <c r="A95" s="61">
        <v>46691</v>
      </c>
      <c r="B95" s="30" t="s">
        <v>147</v>
      </c>
      <c r="D95" s="63">
        <f t="shared" si="21"/>
        <v>10746030.725830838</v>
      </c>
      <c r="E95" s="63">
        <f t="shared" si="17"/>
        <v>10746030.725830838</v>
      </c>
      <c r="F95" s="122">
        <f t="shared" si="18"/>
        <v>223875.64012147579</v>
      </c>
      <c r="G95" s="63">
        <f t="shared" si="13"/>
        <v>-10746030.725830831</v>
      </c>
      <c r="H95" s="63">
        <f t="shared" si="14"/>
        <v>-9402776.8851019815</v>
      </c>
      <c r="I95" s="63">
        <f t="shared" si="15"/>
        <v>1343253.8407288566</v>
      </c>
      <c r="J95" s="63">
        <f t="shared" si="19"/>
        <v>47013.884425509917</v>
      </c>
      <c r="K95" s="68">
        <f t="shared" si="20"/>
        <v>6.2573235481977463E-10</v>
      </c>
      <c r="L95" s="63">
        <f t="shared" si="16"/>
        <v>-282083.30655305885</v>
      </c>
      <c r="M95" s="63">
        <f t="shared" si="11"/>
        <v>1061170.5341757978</v>
      </c>
      <c r="N95" s="64">
        <f t="shared" si="12"/>
        <v>8.0763129517436028E-9</v>
      </c>
    </row>
    <row r="96" spans="1:14" x14ac:dyDescent="0.25">
      <c r="A96" s="134">
        <v>46721</v>
      </c>
      <c r="B96" s="141" t="s">
        <v>148</v>
      </c>
      <c r="C96" s="141"/>
      <c r="D96" s="136">
        <f t="shared" si="21"/>
        <v>10746030.725830838</v>
      </c>
      <c r="E96" s="136">
        <f t="shared" si="17"/>
        <v>10746030.725830838</v>
      </c>
      <c r="F96" s="148"/>
      <c r="G96" s="136">
        <f t="shared" si="13"/>
        <v>-10746030.725830831</v>
      </c>
      <c r="H96" s="136">
        <f t="shared" si="14"/>
        <v>-9617324.3735517282</v>
      </c>
      <c r="I96" s="136">
        <f t="shared" si="15"/>
        <v>1128706.3522791099</v>
      </c>
      <c r="J96" s="136">
        <f t="shared" si="19"/>
        <v>0</v>
      </c>
      <c r="K96" s="138">
        <f t="shared" si="20"/>
        <v>6.2573235481977463E-10</v>
      </c>
      <c r="L96" s="136">
        <f t="shared" si="16"/>
        <v>-237028.33397861186</v>
      </c>
      <c r="M96" s="136">
        <f t="shared" si="11"/>
        <v>891678.01830049802</v>
      </c>
      <c r="N96" s="140">
        <f t="shared" si="12"/>
        <v>8.0763129517436028E-9</v>
      </c>
    </row>
    <row r="97" spans="1:14" x14ac:dyDescent="0.25">
      <c r="A97" s="61">
        <v>46752</v>
      </c>
      <c r="B97" s="66" t="s">
        <v>148</v>
      </c>
      <c r="D97" s="63">
        <f t="shared" si="21"/>
        <v>10746030.725830838</v>
      </c>
      <c r="E97" s="63">
        <f t="shared" si="17"/>
        <v>10746030.725830838</v>
      </c>
      <c r="F97" s="122"/>
      <c r="G97" s="63">
        <f t="shared" si="13"/>
        <v>-10746030.725830831</v>
      </c>
      <c r="H97" s="63">
        <f t="shared" si="14"/>
        <v>-9813215.5586580187</v>
      </c>
      <c r="I97" s="63">
        <f t="shared" si="15"/>
        <v>932815.16717281938</v>
      </c>
      <c r="J97" s="63">
        <f t="shared" si="19"/>
        <v>0</v>
      </c>
      <c r="K97" s="68">
        <f t="shared" si="20"/>
        <v>6.2573235481977463E-10</v>
      </c>
      <c r="L97" s="63">
        <f t="shared" si="16"/>
        <v>-195891.18510629074</v>
      </c>
      <c r="M97" s="63">
        <f t="shared" si="11"/>
        <v>736923.98206652864</v>
      </c>
      <c r="N97" s="64">
        <f t="shared" si="12"/>
        <v>8.0763129517436028E-9</v>
      </c>
    </row>
    <row r="98" spans="1:14" x14ac:dyDescent="0.25">
      <c r="A98" s="61">
        <v>46783</v>
      </c>
      <c r="B98" s="66" t="s">
        <v>148</v>
      </c>
      <c r="D98" s="63">
        <f t="shared" ref="D98:D102" si="22">D97+C98</f>
        <v>10746030.725830838</v>
      </c>
      <c r="E98" s="63">
        <f t="shared" ref="E98:E102" si="23">(D86+D98+SUM(D87:D97)*2)/24</f>
        <v>10746030.725830838</v>
      </c>
      <c r="F98" s="122"/>
      <c r="G98" s="63">
        <f t="shared" ref="G98:G102" si="24">G97-F98</f>
        <v>-10746030.725830831</v>
      </c>
      <c r="H98" s="63">
        <f t="shared" ref="H98:H102" si="25">(G86+G98+SUM(G87:G97)*2)/24</f>
        <v>-9990450.4404208511</v>
      </c>
      <c r="I98" s="63">
        <f t="shared" ref="I98:I102" si="26">E98+H98</f>
        <v>755580.28540998697</v>
      </c>
      <c r="J98" s="63">
        <f t="shared" ref="J98:J102" si="27">(-C98*0.21)+(F98*0.21)</f>
        <v>0</v>
      </c>
      <c r="K98" s="68">
        <f t="shared" ref="K98:K102" si="28">K97+J98</f>
        <v>6.2573235481977463E-10</v>
      </c>
      <c r="L98" s="63">
        <f t="shared" ref="L98:L102" si="29">(K86+K98+SUM(K87:K97)*2)/24</f>
        <v>-158671.85993609534</v>
      </c>
      <c r="M98" s="63">
        <f t="shared" ref="M98:M102" si="30">L98+I98</f>
        <v>596908.42547389166</v>
      </c>
      <c r="N98" s="64">
        <f t="shared" ref="N98:N102" si="31">+D98+G98+K98</f>
        <v>8.0763129517436028E-9</v>
      </c>
    </row>
    <row r="99" spans="1:14" x14ac:dyDescent="0.25">
      <c r="A99" s="61">
        <v>46812</v>
      </c>
      <c r="B99" s="66" t="s">
        <v>148</v>
      </c>
      <c r="D99" s="63">
        <f t="shared" si="22"/>
        <v>10746030.725830838</v>
      </c>
      <c r="E99" s="63">
        <f t="shared" si="23"/>
        <v>10746030.725830838</v>
      </c>
      <c r="F99" s="122"/>
      <c r="G99" s="63">
        <f t="shared" si="24"/>
        <v>-10746030.725830831</v>
      </c>
      <c r="H99" s="63">
        <f t="shared" si="25"/>
        <v>-10149029.018840229</v>
      </c>
      <c r="I99" s="63">
        <f t="shared" si="26"/>
        <v>597001.70699060895</v>
      </c>
      <c r="J99" s="63">
        <f t="shared" si="27"/>
        <v>0</v>
      </c>
      <c r="K99" s="68">
        <f t="shared" si="28"/>
        <v>6.2573235481977463E-10</v>
      </c>
      <c r="L99" s="63">
        <f t="shared" si="29"/>
        <v>-125370.35846802581</v>
      </c>
      <c r="M99" s="63">
        <f t="shared" si="30"/>
        <v>471631.34852258314</v>
      </c>
      <c r="N99" s="64">
        <f t="shared" si="31"/>
        <v>8.0763129517436028E-9</v>
      </c>
    </row>
    <row r="100" spans="1:14" x14ac:dyDescent="0.25">
      <c r="A100" s="61">
        <v>46843</v>
      </c>
      <c r="B100" s="66" t="s">
        <v>148</v>
      </c>
      <c r="D100" s="63">
        <f t="shared" si="22"/>
        <v>10746030.725830838</v>
      </c>
      <c r="E100" s="63">
        <f t="shared" si="23"/>
        <v>10746030.725830838</v>
      </c>
      <c r="F100" s="122"/>
      <c r="G100" s="63">
        <f t="shared" si="24"/>
        <v>-10746030.725830831</v>
      </c>
      <c r="H100" s="63">
        <f t="shared" si="25"/>
        <v>-10288951.293916149</v>
      </c>
      <c r="I100" s="63">
        <f t="shared" si="26"/>
        <v>457079.43191468902</v>
      </c>
      <c r="J100" s="63">
        <f t="shared" si="27"/>
        <v>0</v>
      </c>
      <c r="K100" s="68">
        <f t="shared" si="28"/>
        <v>6.2573235481977463E-10</v>
      </c>
      <c r="L100" s="63">
        <f t="shared" si="29"/>
        <v>-95986.680702082158</v>
      </c>
      <c r="M100" s="63">
        <f t="shared" si="30"/>
        <v>361092.75121260685</v>
      </c>
      <c r="N100" s="64">
        <f t="shared" si="31"/>
        <v>8.0763129517436028E-9</v>
      </c>
    </row>
    <row r="101" spans="1:14" x14ac:dyDescent="0.25">
      <c r="A101" s="61">
        <v>46873</v>
      </c>
      <c r="B101" s="66" t="s">
        <v>148</v>
      </c>
      <c r="D101" s="63">
        <f t="shared" si="22"/>
        <v>10746030.725830838</v>
      </c>
      <c r="E101" s="63">
        <f t="shared" si="23"/>
        <v>10746030.725830838</v>
      </c>
      <c r="F101" s="122"/>
      <c r="G101" s="63">
        <f t="shared" si="24"/>
        <v>-10746030.725830831</v>
      </c>
      <c r="H101" s="63">
        <f t="shared" si="25"/>
        <v>-10410217.265648616</v>
      </c>
      <c r="I101" s="63">
        <f t="shared" si="26"/>
        <v>335813.46018222161</v>
      </c>
      <c r="J101" s="63">
        <f t="shared" si="27"/>
        <v>0</v>
      </c>
      <c r="K101" s="68">
        <f t="shared" si="28"/>
        <v>6.2573235481977463E-10</v>
      </c>
      <c r="L101" s="63">
        <f t="shared" si="29"/>
        <v>-70520.826638264276</v>
      </c>
      <c r="M101" s="63">
        <f t="shared" si="30"/>
        <v>265292.63354395732</v>
      </c>
      <c r="N101" s="64">
        <f t="shared" si="31"/>
        <v>8.0763129517436028E-9</v>
      </c>
    </row>
    <row r="102" spans="1:14" x14ac:dyDescent="0.25">
      <c r="A102" s="61">
        <v>46904</v>
      </c>
      <c r="B102" s="66" t="s">
        <v>148</v>
      </c>
      <c r="D102" s="63">
        <f t="shared" si="22"/>
        <v>10746030.725830838</v>
      </c>
      <c r="E102" s="63">
        <f t="shared" si="23"/>
        <v>10746030.725830838</v>
      </c>
      <c r="F102" s="122"/>
      <c r="G102" s="63">
        <f t="shared" si="24"/>
        <v>-10746030.725830831</v>
      </c>
      <c r="H102" s="63">
        <f t="shared" si="25"/>
        <v>-10512826.934037626</v>
      </c>
      <c r="I102" s="63">
        <f t="shared" si="26"/>
        <v>233203.79179321229</v>
      </c>
      <c r="J102" s="63">
        <f t="shared" si="27"/>
        <v>0</v>
      </c>
      <c r="K102" s="68">
        <f t="shared" si="28"/>
        <v>6.2573235481977463E-10</v>
      </c>
      <c r="L102" s="63">
        <f t="shared" si="29"/>
        <v>-48972.796276572197</v>
      </c>
      <c r="M102" s="63">
        <f t="shared" si="30"/>
        <v>184230.99551664011</v>
      </c>
      <c r="N102" s="64">
        <f t="shared" si="31"/>
        <v>8.0763129517436028E-9</v>
      </c>
    </row>
    <row r="103" spans="1:14" x14ac:dyDescent="0.25">
      <c r="A103" s="61">
        <v>46934</v>
      </c>
      <c r="B103" s="66" t="s">
        <v>148</v>
      </c>
      <c r="D103" s="63">
        <f t="shared" ref="D103:D105" si="32">D102+C103</f>
        <v>10746030.725830838</v>
      </c>
      <c r="E103" s="63">
        <f t="shared" ref="E103:E105" si="33">(D91+D103+SUM(D92:D102)*2)/24</f>
        <v>10746030.725830838</v>
      </c>
      <c r="F103" s="122"/>
      <c r="G103" s="63">
        <f t="shared" ref="G103:G105" si="34">G102-F103</f>
        <v>-10746030.725830831</v>
      </c>
      <c r="H103" s="63">
        <f t="shared" ref="H103:H105" si="35">(G91+G103+SUM(G92:G102)*2)/24</f>
        <v>-10596780.299083179</v>
      </c>
      <c r="I103" s="63">
        <f t="shared" ref="I103:I105" si="36">E103+H103</f>
        <v>149250.42674765922</v>
      </c>
      <c r="J103" s="63">
        <f t="shared" ref="J103:J105" si="37">(-C103*0.21)+(F103*0.21)</f>
        <v>0</v>
      </c>
      <c r="K103" s="68">
        <f t="shared" ref="K103:K105" si="38">K102+J103</f>
        <v>6.2573235481977463E-10</v>
      </c>
      <c r="L103" s="63">
        <f t="shared" ref="L103:L105" si="39">(K91+K103+SUM(K92:K102)*2)/24</f>
        <v>-31342.589617005975</v>
      </c>
      <c r="M103" s="63">
        <f t="shared" ref="M103:M105" si="40">L103+I103</f>
        <v>117907.83713065325</v>
      </c>
      <c r="N103" s="64">
        <f t="shared" ref="N103:N105" si="41">+D103+G103+K103</f>
        <v>8.0763129517436028E-9</v>
      </c>
    </row>
    <row r="104" spans="1:14" x14ac:dyDescent="0.25">
      <c r="A104" s="61">
        <v>46965</v>
      </c>
      <c r="B104" s="66" t="s">
        <v>148</v>
      </c>
      <c r="D104" s="63">
        <f t="shared" si="32"/>
        <v>10746030.725830838</v>
      </c>
      <c r="E104" s="63">
        <f t="shared" si="33"/>
        <v>10746030.725830838</v>
      </c>
      <c r="F104" s="122"/>
      <c r="G104" s="63">
        <f t="shared" si="34"/>
        <v>-10746030.725830831</v>
      </c>
      <c r="H104" s="63">
        <f t="shared" si="35"/>
        <v>-10662077.360785274</v>
      </c>
      <c r="I104" s="63">
        <f t="shared" si="36"/>
        <v>83953.365045564249</v>
      </c>
      <c r="J104" s="63">
        <f t="shared" si="37"/>
        <v>0</v>
      </c>
      <c r="K104" s="68">
        <f t="shared" si="38"/>
        <v>6.2573235481977463E-10</v>
      </c>
      <c r="L104" s="63">
        <f t="shared" si="39"/>
        <v>-17630.206659565585</v>
      </c>
      <c r="M104" s="63">
        <f t="shared" si="40"/>
        <v>66323.158385998657</v>
      </c>
      <c r="N104" s="64">
        <f t="shared" si="41"/>
        <v>8.0763129517436028E-9</v>
      </c>
    </row>
    <row r="105" spans="1:14" x14ac:dyDescent="0.25">
      <c r="A105" s="61">
        <v>46996</v>
      </c>
      <c r="B105" s="66" t="s">
        <v>148</v>
      </c>
      <c r="D105" s="63">
        <f t="shared" si="32"/>
        <v>10746030.725830838</v>
      </c>
      <c r="E105" s="63">
        <f t="shared" si="33"/>
        <v>10746030.725830838</v>
      </c>
      <c r="F105" s="122"/>
      <c r="G105" s="63">
        <f t="shared" si="34"/>
        <v>-10746030.725830831</v>
      </c>
      <c r="H105" s="63">
        <f t="shared" si="35"/>
        <v>-10708718.119143916</v>
      </c>
      <c r="I105" s="63">
        <f t="shared" si="36"/>
        <v>37312.60668692179</v>
      </c>
      <c r="J105" s="63">
        <f t="shared" si="37"/>
        <v>0</v>
      </c>
      <c r="K105" s="68">
        <f t="shared" si="38"/>
        <v>6.2573235481977463E-10</v>
      </c>
      <c r="L105" s="63">
        <f t="shared" si="39"/>
        <v>-7835.6474042510272</v>
      </c>
      <c r="M105" s="63">
        <f t="shared" si="40"/>
        <v>29476.959282670763</v>
      </c>
      <c r="N105" s="64">
        <f t="shared" si="41"/>
        <v>8.0763129517436028E-9</v>
      </c>
    </row>
    <row r="106" spans="1:14" x14ac:dyDescent="0.25">
      <c r="A106" s="61">
        <v>47026</v>
      </c>
      <c r="B106" s="66" t="s">
        <v>148</v>
      </c>
      <c r="D106" s="63">
        <f t="shared" ref="D106:D107" si="42">D105+C106</f>
        <v>10746030.725830838</v>
      </c>
      <c r="E106" s="63">
        <f t="shared" ref="E106:E107" si="43">(D94+D106+SUM(D95:D105)*2)/24</f>
        <v>10746030.725830838</v>
      </c>
      <c r="F106" s="122"/>
      <c r="G106" s="63">
        <f t="shared" ref="G106:G107" si="44">G105-F106</f>
        <v>-10746030.725830831</v>
      </c>
      <c r="H106" s="63">
        <f t="shared" ref="H106:H107" si="45">(G94+G106+SUM(G95:G105)*2)/24</f>
        <v>-10736702.574159101</v>
      </c>
      <c r="I106" s="63">
        <f t="shared" ref="I106:I107" si="46">E106+H106</f>
        <v>9328.1516717374325</v>
      </c>
      <c r="J106" s="63">
        <f t="shared" ref="J106:J107" si="47">(-C106*0.21)+(F106*0.21)</f>
        <v>0</v>
      </c>
      <c r="K106" s="68">
        <f t="shared" ref="K106:K107" si="48">K105+J106</f>
        <v>6.2573235481977463E-10</v>
      </c>
      <c r="L106" s="63">
        <f t="shared" ref="L106:L107" si="49">(K94+K106+SUM(K95:K105)*2)/24</f>
        <v>-1958.9118510622875</v>
      </c>
      <c r="M106" s="63">
        <f t="shared" ref="M106:M107" si="50">L106+I106</f>
        <v>7369.239820675145</v>
      </c>
      <c r="N106" s="64">
        <f t="shared" ref="N106:N107" si="51">+D106+G106+K106</f>
        <v>8.0763129517436028E-9</v>
      </c>
    </row>
    <row r="107" spans="1:14" x14ac:dyDescent="0.25">
      <c r="A107" s="70">
        <v>47057</v>
      </c>
      <c r="B107" s="71" t="s">
        <v>148</v>
      </c>
      <c r="C107" s="71"/>
      <c r="D107" s="72">
        <f t="shared" si="42"/>
        <v>10746030.725830838</v>
      </c>
      <c r="E107" s="72">
        <f t="shared" si="43"/>
        <v>10746030.725830838</v>
      </c>
      <c r="F107" s="123"/>
      <c r="G107" s="72">
        <f t="shared" si="44"/>
        <v>-10746030.725830831</v>
      </c>
      <c r="H107" s="72">
        <f t="shared" si="45"/>
        <v>-10746030.725830829</v>
      </c>
      <c r="I107" s="72">
        <f t="shared" si="46"/>
        <v>0</v>
      </c>
      <c r="J107" s="72">
        <f t="shared" si="47"/>
        <v>0</v>
      </c>
      <c r="K107" s="73">
        <f t="shared" si="48"/>
        <v>6.2573235481977463E-10</v>
      </c>
      <c r="L107" s="72">
        <f t="shared" si="49"/>
        <v>6.2573235481977463E-10</v>
      </c>
      <c r="M107" s="72">
        <f t="shared" si="50"/>
        <v>6.2573235481977463E-10</v>
      </c>
      <c r="N107" s="74">
        <f t="shared" si="51"/>
        <v>8.0763129517436028E-9</v>
      </c>
    </row>
    <row r="108" spans="1:14" x14ac:dyDescent="0.25">
      <c r="A108" s="150"/>
      <c r="B108" s="151"/>
      <c r="C108" s="151"/>
      <c r="D108" s="152"/>
      <c r="E108" s="152"/>
      <c r="F108" s="153"/>
      <c r="G108" s="152"/>
      <c r="H108" s="152"/>
      <c r="I108" s="152"/>
      <c r="J108" s="152"/>
      <c r="K108" s="154"/>
      <c r="L108" s="152"/>
      <c r="M108" s="152"/>
      <c r="N108" s="155"/>
    </row>
    <row r="109" spans="1:14" x14ac:dyDescent="0.25">
      <c r="A109" s="30" t="s">
        <v>186</v>
      </c>
      <c r="F109" s="130">
        <f>SUM(F48:F59)</f>
        <v>2686507.6814577095</v>
      </c>
    </row>
    <row r="120" spans="8:8" x14ac:dyDescent="0.25">
      <c r="H120" s="66" t="s">
        <v>190</v>
      </c>
    </row>
  </sheetData>
  <printOptions horizontalCentered="1"/>
  <pageMargins left="0.2" right="0.2" top="0.25" bottom="0.5" header="0.3" footer="0.3"/>
  <pageSetup scale="76" firstPageNumber="6" fitToHeight="0" orientation="landscape" useFirstPageNumber="1" r:id="rId1"/>
  <headerFooter>
    <oddFooter>&amp;R&amp;"Times New Roman,Regular"Exh. SEF-3 page &amp;P of 16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F0"/>
    <pageSetUpPr fitToPage="1"/>
  </sheetPr>
  <dimension ref="A1:O111"/>
  <sheetViews>
    <sheetView zoomScale="95" zoomScaleNormal="95" workbookViewId="0">
      <pane xSplit="1" ySplit="9" topLeftCell="B34" activePane="bottomRight" state="frozen"/>
      <selection activeCell="F48" sqref="F48"/>
      <selection pane="topRight" activeCell="F48" sqref="F48"/>
      <selection pane="bottomLeft" activeCell="F48" sqref="F48"/>
      <selection pane="bottomRight" activeCell="D59" sqref="D59"/>
    </sheetView>
  </sheetViews>
  <sheetFormatPr defaultColWidth="9.109375" defaultRowHeight="13.2" outlineLevelRow="1" x14ac:dyDescent="0.25"/>
  <cols>
    <col min="1" max="1" width="17.33203125" style="30" customWidth="1"/>
    <col min="2" max="2" width="8.88671875" style="66" bestFit="1" customWidth="1"/>
    <col min="3" max="3" width="14.6640625" style="66" bestFit="1" customWidth="1"/>
    <col min="4" max="5" width="16.109375" style="66" bestFit="1" customWidth="1"/>
    <col min="6" max="6" width="13.33203125" style="66" bestFit="1" customWidth="1"/>
    <col min="7" max="7" width="17" style="66" bestFit="1" customWidth="1"/>
    <col min="8" max="8" width="12.6640625" style="66" bestFit="1" customWidth="1"/>
    <col min="9" max="9" width="12" style="66" bestFit="1" customWidth="1"/>
    <col min="10" max="10" width="15.6640625" style="66" bestFit="1" customWidth="1"/>
    <col min="11" max="11" width="17.5546875" style="66" bestFit="1" customWidth="1"/>
    <col min="12" max="12" width="11.88671875" style="66" bestFit="1" customWidth="1"/>
    <col min="13" max="13" width="12" style="66" bestFit="1" customWidth="1"/>
    <col min="14" max="14" width="11.88671875" style="66" bestFit="1" customWidth="1"/>
    <col min="15" max="15" width="10.88671875" style="30" bestFit="1" customWidth="1"/>
    <col min="16" max="16" width="9.6640625" style="30" bestFit="1" customWidth="1"/>
    <col min="17" max="16384" width="9.109375" style="30"/>
  </cols>
  <sheetData>
    <row r="1" spans="1:14" x14ac:dyDescent="0.25">
      <c r="A1" s="27" t="s">
        <v>43</v>
      </c>
      <c r="B1" s="28"/>
      <c r="C1" s="247" t="s">
        <v>201</v>
      </c>
      <c r="D1" s="247"/>
      <c r="E1" s="247"/>
      <c r="F1" s="28"/>
      <c r="G1" s="28"/>
      <c r="H1" s="28"/>
      <c r="I1" s="28"/>
      <c r="J1" s="29"/>
      <c r="K1" s="29"/>
      <c r="L1" s="29"/>
      <c r="M1" s="29"/>
      <c r="N1" s="30"/>
    </row>
    <row r="2" spans="1:14" x14ac:dyDescent="0.25">
      <c r="A2" s="27" t="s">
        <v>78</v>
      </c>
      <c r="B2" s="28"/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30"/>
    </row>
    <row r="3" spans="1:14" x14ac:dyDescent="0.25">
      <c r="A3" s="27" t="s">
        <v>45</v>
      </c>
      <c r="B3" s="28"/>
      <c r="C3" s="28"/>
      <c r="D3" s="28"/>
      <c r="E3" s="28"/>
      <c r="F3" s="28"/>
      <c r="G3" s="28"/>
      <c r="H3" s="28"/>
      <c r="I3" s="28"/>
      <c r="J3" s="29"/>
      <c r="K3" s="29"/>
      <c r="L3" s="29"/>
      <c r="M3" s="29"/>
      <c r="N3" s="30"/>
    </row>
    <row r="4" spans="1:14" x14ac:dyDescent="0.25">
      <c r="A4" s="28"/>
      <c r="B4" s="28"/>
      <c r="C4" s="31"/>
      <c r="D4" s="32"/>
      <c r="E4" s="33"/>
      <c r="F4" s="34"/>
      <c r="G4" s="34"/>
      <c r="H4" s="34"/>
      <c r="I4" s="34"/>
      <c r="J4" s="35"/>
      <c r="K4" s="36"/>
      <c r="L4" s="35"/>
      <c r="M4" s="35"/>
      <c r="N4" s="30"/>
    </row>
    <row r="5" spans="1:14" x14ac:dyDescent="0.25">
      <c r="A5" s="29"/>
      <c r="B5" s="29"/>
      <c r="C5" s="37" t="s">
        <v>46</v>
      </c>
      <c r="D5" s="38"/>
      <c r="E5" s="35"/>
      <c r="F5" s="39"/>
      <c r="G5" s="39"/>
      <c r="H5" s="39"/>
      <c r="I5" s="39"/>
      <c r="J5" s="40"/>
      <c r="K5" s="39"/>
      <c r="L5" s="39"/>
      <c r="M5" s="39"/>
      <c r="N5" s="30"/>
    </row>
    <row r="6" spans="1:14" x14ac:dyDescent="0.25">
      <c r="A6" s="41"/>
      <c r="B6" s="41"/>
      <c r="C6" s="42" t="s">
        <v>47</v>
      </c>
      <c r="D6" s="42" t="s">
        <v>48</v>
      </c>
      <c r="E6" s="42" t="s">
        <v>49</v>
      </c>
      <c r="F6" s="42" t="s">
        <v>50</v>
      </c>
      <c r="G6" s="42" t="s">
        <v>51</v>
      </c>
      <c r="H6" s="42" t="s">
        <v>52</v>
      </c>
      <c r="I6" s="42" t="s">
        <v>41</v>
      </c>
      <c r="J6" s="42" t="s">
        <v>50</v>
      </c>
      <c r="K6" s="42" t="s">
        <v>51</v>
      </c>
      <c r="L6" s="42" t="s">
        <v>53</v>
      </c>
      <c r="M6" s="43" t="s">
        <v>54</v>
      </c>
      <c r="N6" s="44" t="s">
        <v>48</v>
      </c>
    </row>
    <row r="7" spans="1:14" x14ac:dyDescent="0.25">
      <c r="A7" s="39" t="s">
        <v>55</v>
      </c>
      <c r="B7" s="45"/>
      <c r="C7" s="39" t="s">
        <v>56</v>
      </c>
      <c r="D7" s="39"/>
      <c r="E7" s="39" t="s">
        <v>48</v>
      </c>
      <c r="F7" s="39" t="s">
        <v>57</v>
      </c>
      <c r="G7" s="39" t="s">
        <v>57</v>
      </c>
      <c r="H7" s="39" t="s">
        <v>57</v>
      </c>
      <c r="I7" s="39" t="s">
        <v>58</v>
      </c>
      <c r="J7" s="39" t="s">
        <v>59</v>
      </c>
      <c r="K7" s="39" t="s">
        <v>59</v>
      </c>
      <c r="L7" s="39" t="s">
        <v>41</v>
      </c>
      <c r="M7" s="46" t="s">
        <v>53</v>
      </c>
      <c r="N7" s="47" t="s">
        <v>60</v>
      </c>
    </row>
    <row r="8" spans="1:14" x14ac:dyDescent="0.25">
      <c r="A8" s="39" t="s">
        <v>61</v>
      </c>
      <c r="B8" s="45"/>
      <c r="C8" s="39" t="s">
        <v>62</v>
      </c>
      <c r="D8" s="39" t="s">
        <v>63</v>
      </c>
      <c r="E8" s="39" t="s">
        <v>64</v>
      </c>
      <c r="F8" s="39" t="s">
        <v>65</v>
      </c>
      <c r="G8" s="48" t="s">
        <v>66</v>
      </c>
      <c r="H8" s="39" t="s">
        <v>67</v>
      </c>
      <c r="I8" s="39" t="s">
        <v>68</v>
      </c>
      <c r="J8" s="39" t="s">
        <v>69</v>
      </c>
      <c r="K8" s="39" t="s">
        <v>70</v>
      </c>
      <c r="L8" s="39" t="s">
        <v>71</v>
      </c>
      <c r="M8" s="46" t="s">
        <v>72</v>
      </c>
      <c r="N8" s="47" t="s">
        <v>73</v>
      </c>
    </row>
    <row r="9" spans="1:14" x14ac:dyDescent="0.25">
      <c r="A9" s="49"/>
      <c r="B9" s="49"/>
      <c r="C9" s="50"/>
      <c r="D9" s="50"/>
      <c r="E9" s="50"/>
      <c r="F9" s="51" t="s">
        <v>74</v>
      </c>
      <c r="G9" s="50"/>
      <c r="H9" s="50"/>
      <c r="I9" s="50"/>
      <c r="J9" s="50" t="s">
        <v>75</v>
      </c>
      <c r="K9" s="52"/>
      <c r="L9" s="50"/>
      <c r="M9" s="53"/>
      <c r="N9" s="54"/>
    </row>
    <row r="10" spans="1:14" x14ac:dyDescent="0.25">
      <c r="A10" s="55"/>
      <c r="B10" s="29"/>
      <c r="C10" s="39"/>
      <c r="D10" s="56"/>
      <c r="E10" s="57"/>
      <c r="F10" s="39"/>
      <c r="G10" s="39"/>
      <c r="H10" s="56"/>
      <c r="I10" s="56"/>
      <c r="J10" s="58"/>
      <c r="K10" s="58"/>
      <c r="L10" s="58"/>
      <c r="M10" s="59"/>
      <c r="N10" s="60"/>
    </row>
    <row r="11" spans="1:14" x14ac:dyDescent="0.25">
      <c r="A11" s="61" t="s">
        <v>76</v>
      </c>
      <c r="B11" s="61"/>
      <c r="C11" s="62"/>
      <c r="D11" s="56"/>
      <c r="E11" s="63"/>
      <c r="F11" s="56"/>
      <c r="G11" s="56"/>
      <c r="H11" s="56"/>
      <c r="I11" s="56"/>
      <c r="J11" s="63"/>
      <c r="K11" s="63"/>
      <c r="L11" s="63"/>
      <c r="M11" s="59"/>
      <c r="N11" s="64"/>
    </row>
    <row r="12" spans="1:14" hidden="1" outlineLevel="1" x14ac:dyDescent="0.25">
      <c r="A12" s="61">
        <v>44165</v>
      </c>
      <c r="B12" s="61"/>
      <c r="C12" s="62"/>
      <c r="D12" s="56"/>
      <c r="E12" s="63"/>
      <c r="F12" s="56"/>
      <c r="G12" s="56"/>
      <c r="H12" s="56"/>
      <c r="I12" s="56"/>
      <c r="J12" s="63"/>
      <c r="K12" s="63"/>
      <c r="L12" s="63"/>
      <c r="M12" s="58"/>
      <c r="N12" s="64"/>
    </row>
    <row r="13" spans="1:14" hidden="1" outlineLevel="1" x14ac:dyDescent="0.25">
      <c r="A13" s="61">
        <v>44196</v>
      </c>
      <c r="B13" s="61"/>
      <c r="C13" s="62"/>
      <c r="D13" s="56"/>
      <c r="E13" s="63"/>
      <c r="F13" s="56"/>
      <c r="G13" s="56"/>
      <c r="H13" s="56"/>
      <c r="I13" s="56"/>
      <c r="J13" s="63"/>
      <c r="K13" s="63"/>
      <c r="L13" s="63"/>
      <c r="M13" s="58"/>
      <c r="N13" s="64"/>
    </row>
    <row r="14" spans="1:14" hidden="1" outlineLevel="1" x14ac:dyDescent="0.25">
      <c r="A14" s="61">
        <v>44227</v>
      </c>
      <c r="B14" s="61"/>
      <c r="C14" s="62"/>
      <c r="D14" s="56"/>
      <c r="E14" s="63"/>
      <c r="F14" s="56"/>
      <c r="G14" s="56"/>
      <c r="H14" s="56"/>
      <c r="I14" s="56"/>
      <c r="J14" s="63"/>
      <c r="K14" s="63"/>
      <c r="L14" s="63"/>
      <c r="M14" s="58"/>
      <c r="N14" s="64"/>
    </row>
    <row r="15" spans="1:14" hidden="1" outlineLevel="1" x14ac:dyDescent="0.25">
      <c r="A15" s="61">
        <v>44255</v>
      </c>
      <c r="B15" s="61"/>
      <c r="C15" s="62"/>
      <c r="D15" s="56"/>
      <c r="E15" s="63"/>
      <c r="F15" s="56"/>
      <c r="G15" s="56"/>
      <c r="H15" s="56"/>
      <c r="I15" s="56"/>
      <c r="J15" s="63"/>
      <c r="K15" s="63"/>
      <c r="L15" s="63"/>
      <c r="M15" s="58"/>
      <c r="N15" s="64"/>
    </row>
    <row r="16" spans="1:14" hidden="1" outlineLevel="1" x14ac:dyDescent="0.25">
      <c r="A16" s="61">
        <v>44286</v>
      </c>
      <c r="B16" s="61"/>
      <c r="C16" s="62"/>
      <c r="D16" s="56"/>
      <c r="E16" s="63"/>
      <c r="F16" s="56"/>
      <c r="G16" s="56"/>
      <c r="H16" s="56"/>
      <c r="I16" s="56"/>
      <c r="J16" s="63"/>
      <c r="K16" s="63"/>
      <c r="L16" s="63"/>
      <c r="M16" s="58"/>
      <c r="N16" s="64"/>
    </row>
    <row r="17" spans="1:14" hidden="1" outlineLevel="1" x14ac:dyDescent="0.25">
      <c r="A17" s="61">
        <v>44316</v>
      </c>
      <c r="B17" s="61"/>
      <c r="C17" s="62"/>
      <c r="D17" s="56"/>
      <c r="E17" s="63"/>
      <c r="F17" s="56"/>
      <c r="G17" s="56"/>
      <c r="H17" s="56"/>
      <c r="I17" s="56"/>
      <c r="J17" s="63"/>
      <c r="K17" s="63"/>
      <c r="L17" s="63"/>
      <c r="M17" s="58"/>
      <c r="N17" s="64"/>
    </row>
    <row r="18" spans="1:14" hidden="1" outlineLevel="1" x14ac:dyDescent="0.25">
      <c r="A18" s="61">
        <v>44347</v>
      </c>
      <c r="B18" s="61"/>
      <c r="C18" s="62"/>
      <c r="D18" s="56"/>
      <c r="E18" s="63"/>
      <c r="F18" s="56"/>
      <c r="G18" s="56"/>
      <c r="H18" s="56"/>
      <c r="I18" s="56"/>
      <c r="J18" s="63"/>
      <c r="K18" s="63"/>
      <c r="L18" s="63"/>
      <c r="M18" s="58"/>
      <c r="N18" s="64"/>
    </row>
    <row r="19" spans="1:14" hidden="1" outlineLevel="1" x14ac:dyDescent="0.25">
      <c r="A19" s="61">
        <v>44377</v>
      </c>
      <c r="B19" s="61"/>
      <c r="C19" s="62"/>
      <c r="D19" s="56"/>
      <c r="E19" s="63"/>
      <c r="F19" s="56"/>
      <c r="G19" s="56"/>
      <c r="H19" s="56"/>
      <c r="I19" s="56"/>
      <c r="J19" s="63"/>
      <c r="K19" s="63"/>
      <c r="L19" s="63"/>
      <c r="M19" s="58"/>
      <c r="N19" s="64"/>
    </row>
    <row r="20" spans="1:14" hidden="1" outlineLevel="1" x14ac:dyDescent="0.25">
      <c r="A20" s="61">
        <v>44408</v>
      </c>
      <c r="B20" s="61"/>
      <c r="C20" s="62"/>
      <c r="D20" s="56"/>
      <c r="E20" s="63"/>
      <c r="F20" s="56"/>
      <c r="G20" s="56"/>
      <c r="H20" s="56"/>
      <c r="I20" s="56"/>
      <c r="J20" s="63"/>
      <c r="K20" s="63"/>
      <c r="L20" s="63"/>
      <c r="M20" s="58"/>
      <c r="N20" s="64"/>
    </row>
    <row r="21" spans="1:14" hidden="1" outlineLevel="1" x14ac:dyDescent="0.25">
      <c r="A21" s="61">
        <v>44439</v>
      </c>
      <c r="B21" s="61"/>
      <c r="C21" s="62"/>
      <c r="D21" s="56"/>
      <c r="E21" s="63"/>
      <c r="F21" s="56"/>
      <c r="G21" s="56"/>
      <c r="H21" s="56"/>
      <c r="I21" s="56"/>
      <c r="J21" s="63"/>
      <c r="K21" s="63"/>
      <c r="L21" s="63"/>
      <c r="M21" s="58"/>
      <c r="N21" s="64"/>
    </row>
    <row r="22" spans="1:14" hidden="1" outlineLevel="1" x14ac:dyDescent="0.25">
      <c r="A22" s="61">
        <v>44469</v>
      </c>
      <c r="B22" s="61"/>
      <c r="C22" s="62"/>
      <c r="D22" s="56"/>
      <c r="E22" s="63"/>
      <c r="F22" s="56"/>
      <c r="G22" s="56"/>
      <c r="H22" s="56"/>
      <c r="I22" s="56"/>
      <c r="J22" s="63"/>
      <c r="K22" s="63"/>
      <c r="L22" s="63"/>
      <c r="M22" s="58"/>
      <c r="N22" s="64"/>
    </row>
    <row r="23" spans="1:14" hidden="1" outlineLevel="1" x14ac:dyDescent="0.25">
      <c r="A23" s="61">
        <v>44500</v>
      </c>
      <c r="B23" s="61"/>
      <c r="C23" s="62"/>
      <c r="D23" s="56"/>
      <c r="E23" s="63"/>
      <c r="F23" s="56"/>
      <c r="G23" s="56"/>
      <c r="H23" s="56"/>
      <c r="I23" s="56"/>
      <c r="J23" s="63"/>
      <c r="K23" s="63"/>
      <c r="L23" s="63"/>
      <c r="M23" s="58"/>
      <c r="N23" s="64"/>
    </row>
    <row r="24" spans="1:14" collapsed="1" x14ac:dyDescent="0.25">
      <c r="A24" s="61">
        <v>44530</v>
      </c>
      <c r="B24" s="61"/>
      <c r="C24" s="62"/>
      <c r="D24" s="63">
        <f>D11+C24</f>
        <v>0</v>
      </c>
      <c r="E24" s="63">
        <f t="shared" ref="E24:E37" si="0">(D12+D24+SUM(D13:D23)*2)/24</f>
        <v>0</v>
      </c>
      <c r="F24" s="63">
        <v>0</v>
      </c>
      <c r="G24" s="63">
        <v>0</v>
      </c>
      <c r="H24" s="63">
        <v>0</v>
      </c>
      <c r="I24" s="63">
        <v>0</v>
      </c>
      <c r="J24" s="63">
        <f t="shared" ref="J24:J87" si="1">(-C24*0.21)+(F24*0.21)</f>
        <v>0</v>
      </c>
      <c r="K24" s="63">
        <f t="shared" ref="K24:K87" si="2">K23+J24</f>
        <v>0</v>
      </c>
      <c r="L24" s="63">
        <v>0</v>
      </c>
      <c r="M24" s="63">
        <v>0</v>
      </c>
      <c r="N24" s="65">
        <v>0</v>
      </c>
    </row>
    <row r="25" spans="1:14" x14ac:dyDescent="0.25">
      <c r="A25" s="61">
        <v>44561</v>
      </c>
      <c r="B25" s="61"/>
      <c r="C25" s="62"/>
      <c r="D25" s="63">
        <f t="shared" ref="D25:D88" si="3">D24+C25</f>
        <v>0</v>
      </c>
      <c r="E25" s="63">
        <f t="shared" si="0"/>
        <v>0</v>
      </c>
      <c r="F25" s="63">
        <v>0</v>
      </c>
      <c r="G25" s="63">
        <v>0</v>
      </c>
      <c r="H25" s="63">
        <v>0</v>
      </c>
      <c r="I25" s="63">
        <v>0</v>
      </c>
      <c r="J25" s="63">
        <f t="shared" si="1"/>
        <v>0</v>
      </c>
      <c r="K25" s="63">
        <f t="shared" si="2"/>
        <v>0</v>
      </c>
      <c r="L25" s="63">
        <v>0</v>
      </c>
      <c r="M25" s="63">
        <v>0</v>
      </c>
      <c r="N25" s="65">
        <v>0</v>
      </c>
    </row>
    <row r="26" spans="1:14" x14ac:dyDescent="0.25">
      <c r="A26" s="61">
        <v>44592</v>
      </c>
      <c r="B26" s="61"/>
      <c r="C26" s="62"/>
      <c r="D26" s="63">
        <f t="shared" si="3"/>
        <v>0</v>
      </c>
      <c r="E26" s="63">
        <f t="shared" si="0"/>
        <v>0</v>
      </c>
      <c r="F26" s="122"/>
      <c r="G26" s="63">
        <f t="shared" ref="G26:G37" si="4">G25-F26</f>
        <v>0</v>
      </c>
      <c r="H26" s="63">
        <f t="shared" ref="H26:H37" si="5">(G14+G26+SUM(G15:G25)*2)/24</f>
        <v>0</v>
      </c>
      <c r="I26" s="63">
        <f>E26+H26</f>
        <v>0</v>
      </c>
      <c r="J26" s="63">
        <f t="shared" si="1"/>
        <v>0</v>
      </c>
      <c r="K26" s="63">
        <f t="shared" si="2"/>
        <v>0</v>
      </c>
      <c r="L26" s="63">
        <f t="shared" ref="L26:L36" si="6">(K14+K26+SUM(K15:K25)*2)/24</f>
        <v>0</v>
      </c>
      <c r="M26" s="63">
        <f>I26+L26</f>
        <v>0</v>
      </c>
      <c r="N26" s="65">
        <f t="shared" ref="N26:N35" si="7">+D26+G26+K26</f>
        <v>0</v>
      </c>
    </row>
    <row r="27" spans="1:14" x14ac:dyDescent="0.25">
      <c r="A27" s="61">
        <v>44620</v>
      </c>
      <c r="B27" s="61"/>
      <c r="C27" s="62"/>
      <c r="D27" s="63">
        <f t="shared" si="3"/>
        <v>0</v>
      </c>
      <c r="E27" s="63">
        <f t="shared" si="0"/>
        <v>0</v>
      </c>
      <c r="F27" s="122"/>
      <c r="G27" s="63">
        <f t="shared" si="4"/>
        <v>0</v>
      </c>
      <c r="H27" s="63">
        <f t="shared" si="5"/>
        <v>0</v>
      </c>
      <c r="I27" s="63">
        <f t="shared" ref="I27:I37" si="8">E27+H27</f>
        <v>0</v>
      </c>
      <c r="J27" s="63">
        <f t="shared" si="1"/>
        <v>0</v>
      </c>
      <c r="K27" s="63">
        <f t="shared" si="2"/>
        <v>0</v>
      </c>
      <c r="L27" s="63">
        <f t="shared" si="6"/>
        <v>0</v>
      </c>
      <c r="M27" s="63">
        <f t="shared" ref="M27:M36" si="9">I27+L27</f>
        <v>0</v>
      </c>
      <c r="N27" s="65">
        <f t="shared" si="7"/>
        <v>0</v>
      </c>
    </row>
    <row r="28" spans="1:14" x14ac:dyDescent="0.25">
      <c r="A28" s="61">
        <v>44651</v>
      </c>
      <c r="B28" s="61"/>
      <c r="C28" s="62"/>
      <c r="D28" s="63">
        <f t="shared" si="3"/>
        <v>0</v>
      </c>
      <c r="E28" s="63">
        <f t="shared" si="0"/>
        <v>0</v>
      </c>
      <c r="F28" s="122"/>
      <c r="G28" s="63">
        <f t="shared" si="4"/>
        <v>0</v>
      </c>
      <c r="H28" s="63">
        <f t="shared" si="5"/>
        <v>0</v>
      </c>
      <c r="I28" s="63">
        <f t="shared" si="8"/>
        <v>0</v>
      </c>
      <c r="J28" s="63">
        <f t="shared" si="1"/>
        <v>0</v>
      </c>
      <c r="K28" s="63">
        <f t="shared" si="2"/>
        <v>0</v>
      </c>
      <c r="L28" s="63">
        <f t="shared" si="6"/>
        <v>0</v>
      </c>
      <c r="M28" s="63">
        <f t="shared" si="9"/>
        <v>0</v>
      </c>
      <c r="N28" s="65">
        <f t="shared" si="7"/>
        <v>0</v>
      </c>
    </row>
    <row r="29" spans="1:14" x14ac:dyDescent="0.25">
      <c r="A29" s="61">
        <v>44681</v>
      </c>
      <c r="B29" s="61"/>
      <c r="C29" s="62"/>
      <c r="D29" s="63">
        <f t="shared" si="3"/>
        <v>0</v>
      </c>
      <c r="E29" s="63">
        <f t="shared" si="0"/>
        <v>0</v>
      </c>
      <c r="F29" s="122"/>
      <c r="G29" s="63">
        <f t="shared" si="4"/>
        <v>0</v>
      </c>
      <c r="H29" s="63">
        <f t="shared" si="5"/>
        <v>0</v>
      </c>
      <c r="I29" s="63">
        <f t="shared" si="8"/>
        <v>0</v>
      </c>
      <c r="J29" s="63">
        <f t="shared" si="1"/>
        <v>0</v>
      </c>
      <c r="K29" s="63">
        <f t="shared" si="2"/>
        <v>0</v>
      </c>
      <c r="L29" s="63">
        <f t="shared" si="6"/>
        <v>0</v>
      </c>
      <c r="M29" s="63">
        <f t="shared" si="9"/>
        <v>0</v>
      </c>
      <c r="N29" s="65">
        <f t="shared" si="7"/>
        <v>0</v>
      </c>
    </row>
    <row r="30" spans="1:14" x14ac:dyDescent="0.25">
      <c r="A30" s="61">
        <v>44712</v>
      </c>
      <c r="B30" s="61"/>
      <c r="C30" s="62"/>
      <c r="D30" s="63">
        <f t="shared" si="3"/>
        <v>0</v>
      </c>
      <c r="E30" s="63">
        <f t="shared" si="0"/>
        <v>0</v>
      </c>
      <c r="F30" s="122"/>
      <c r="G30" s="63">
        <f t="shared" si="4"/>
        <v>0</v>
      </c>
      <c r="H30" s="63">
        <f t="shared" si="5"/>
        <v>0</v>
      </c>
      <c r="I30" s="63">
        <f t="shared" si="8"/>
        <v>0</v>
      </c>
      <c r="J30" s="63">
        <f t="shared" si="1"/>
        <v>0</v>
      </c>
      <c r="K30" s="63">
        <f t="shared" si="2"/>
        <v>0</v>
      </c>
      <c r="L30" s="63">
        <f t="shared" si="6"/>
        <v>0</v>
      </c>
      <c r="M30" s="63">
        <f t="shared" si="9"/>
        <v>0</v>
      </c>
      <c r="N30" s="65">
        <f t="shared" si="7"/>
        <v>0</v>
      </c>
    </row>
    <row r="31" spans="1:14" x14ac:dyDescent="0.25">
      <c r="A31" s="61">
        <v>44742</v>
      </c>
      <c r="B31" s="61"/>
      <c r="C31" s="62"/>
      <c r="D31" s="63">
        <f t="shared" si="3"/>
        <v>0</v>
      </c>
      <c r="E31" s="63">
        <f t="shared" si="0"/>
        <v>0</v>
      </c>
      <c r="F31" s="122"/>
      <c r="G31" s="63">
        <f t="shared" si="4"/>
        <v>0</v>
      </c>
      <c r="H31" s="63">
        <f t="shared" si="5"/>
        <v>0</v>
      </c>
      <c r="I31" s="63">
        <f t="shared" si="8"/>
        <v>0</v>
      </c>
      <c r="J31" s="63">
        <f t="shared" si="1"/>
        <v>0</v>
      </c>
      <c r="K31" s="63">
        <f t="shared" si="2"/>
        <v>0</v>
      </c>
      <c r="L31" s="63">
        <f t="shared" si="6"/>
        <v>0</v>
      </c>
      <c r="M31" s="63">
        <f t="shared" si="9"/>
        <v>0</v>
      </c>
      <c r="N31" s="65">
        <f t="shared" si="7"/>
        <v>0</v>
      </c>
    </row>
    <row r="32" spans="1:14" x14ac:dyDescent="0.25">
      <c r="A32" s="61">
        <v>44773</v>
      </c>
      <c r="C32" s="62"/>
      <c r="D32" s="63">
        <f t="shared" si="3"/>
        <v>0</v>
      </c>
      <c r="E32" s="63">
        <f t="shared" si="0"/>
        <v>0</v>
      </c>
      <c r="F32" s="122"/>
      <c r="G32" s="63">
        <f t="shared" si="4"/>
        <v>0</v>
      </c>
      <c r="H32" s="63">
        <f t="shared" si="5"/>
        <v>0</v>
      </c>
      <c r="I32" s="63">
        <f t="shared" si="8"/>
        <v>0</v>
      </c>
      <c r="J32" s="63">
        <f t="shared" si="1"/>
        <v>0</v>
      </c>
      <c r="K32" s="63">
        <f t="shared" si="2"/>
        <v>0</v>
      </c>
      <c r="L32" s="63">
        <f t="shared" si="6"/>
        <v>0</v>
      </c>
      <c r="M32" s="63">
        <f t="shared" si="9"/>
        <v>0</v>
      </c>
      <c r="N32" s="65">
        <f t="shared" si="7"/>
        <v>0</v>
      </c>
    </row>
    <row r="33" spans="1:15" x14ac:dyDescent="0.25">
      <c r="A33" s="61">
        <v>44804</v>
      </c>
      <c r="C33" s="62"/>
      <c r="D33" s="63">
        <f t="shared" si="3"/>
        <v>0</v>
      </c>
      <c r="E33" s="63">
        <f t="shared" si="0"/>
        <v>0</v>
      </c>
      <c r="F33" s="122"/>
      <c r="G33" s="63">
        <f t="shared" si="4"/>
        <v>0</v>
      </c>
      <c r="H33" s="63">
        <f t="shared" si="5"/>
        <v>0</v>
      </c>
      <c r="I33" s="63">
        <f t="shared" si="8"/>
        <v>0</v>
      </c>
      <c r="J33" s="63">
        <f t="shared" si="1"/>
        <v>0</v>
      </c>
      <c r="K33" s="63">
        <f t="shared" si="2"/>
        <v>0</v>
      </c>
      <c r="L33" s="63">
        <f t="shared" si="6"/>
        <v>0</v>
      </c>
      <c r="M33" s="63">
        <f t="shared" si="9"/>
        <v>0</v>
      </c>
      <c r="N33" s="65">
        <f t="shared" si="7"/>
        <v>0</v>
      </c>
    </row>
    <row r="34" spans="1:15" x14ac:dyDescent="0.25">
      <c r="A34" s="61">
        <v>44834</v>
      </c>
      <c r="C34" s="62"/>
      <c r="D34" s="63">
        <f t="shared" si="3"/>
        <v>0</v>
      </c>
      <c r="E34" s="63">
        <f t="shared" si="0"/>
        <v>0</v>
      </c>
      <c r="F34" s="122"/>
      <c r="G34" s="63">
        <f t="shared" si="4"/>
        <v>0</v>
      </c>
      <c r="H34" s="63">
        <f t="shared" si="5"/>
        <v>0</v>
      </c>
      <c r="I34" s="63">
        <f t="shared" si="8"/>
        <v>0</v>
      </c>
      <c r="J34" s="63">
        <f t="shared" si="1"/>
        <v>0</v>
      </c>
      <c r="K34" s="63">
        <f t="shared" si="2"/>
        <v>0</v>
      </c>
      <c r="L34" s="63">
        <f t="shared" si="6"/>
        <v>0</v>
      </c>
      <c r="M34" s="63">
        <f t="shared" si="9"/>
        <v>0</v>
      </c>
      <c r="N34" s="65">
        <f t="shared" si="7"/>
        <v>0</v>
      </c>
    </row>
    <row r="35" spans="1:15" x14ac:dyDescent="0.25">
      <c r="A35" s="61">
        <v>44865</v>
      </c>
      <c r="C35" s="62"/>
      <c r="D35" s="63">
        <f t="shared" si="3"/>
        <v>0</v>
      </c>
      <c r="E35" s="63">
        <f t="shared" si="0"/>
        <v>0</v>
      </c>
      <c r="F35" s="122"/>
      <c r="G35" s="63">
        <f t="shared" si="4"/>
        <v>0</v>
      </c>
      <c r="H35" s="63">
        <f t="shared" si="5"/>
        <v>0</v>
      </c>
      <c r="I35" s="63">
        <f t="shared" si="8"/>
        <v>0</v>
      </c>
      <c r="J35" s="63">
        <f t="shared" si="1"/>
        <v>0</v>
      </c>
      <c r="K35" s="63">
        <f t="shared" si="2"/>
        <v>0</v>
      </c>
      <c r="L35" s="63">
        <f t="shared" si="6"/>
        <v>0</v>
      </c>
      <c r="M35" s="63">
        <f t="shared" si="9"/>
        <v>0</v>
      </c>
      <c r="N35" s="65">
        <f t="shared" si="7"/>
        <v>0</v>
      </c>
    </row>
    <row r="36" spans="1:15" x14ac:dyDescent="0.25">
      <c r="A36" s="61">
        <v>44895</v>
      </c>
      <c r="C36" s="62"/>
      <c r="D36" s="63">
        <f t="shared" si="3"/>
        <v>0</v>
      </c>
      <c r="E36" s="63">
        <f t="shared" si="0"/>
        <v>0</v>
      </c>
      <c r="F36" s="122"/>
      <c r="G36" s="63">
        <f t="shared" si="4"/>
        <v>0</v>
      </c>
      <c r="H36" s="63">
        <f t="shared" si="5"/>
        <v>0</v>
      </c>
      <c r="I36" s="63">
        <f t="shared" si="8"/>
        <v>0</v>
      </c>
      <c r="J36" s="63">
        <f t="shared" si="1"/>
        <v>0</v>
      </c>
      <c r="K36" s="63">
        <f t="shared" si="2"/>
        <v>0</v>
      </c>
      <c r="L36" s="63">
        <f t="shared" si="6"/>
        <v>0</v>
      </c>
      <c r="M36" s="63">
        <f t="shared" si="9"/>
        <v>0</v>
      </c>
      <c r="N36" s="65">
        <f t="shared" ref="N36:N96" si="10">+D36+G36+K36</f>
        <v>0</v>
      </c>
    </row>
    <row r="37" spans="1:15" x14ac:dyDescent="0.25">
      <c r="A37" s="61">
        <v>44926</v>
      </c>
      <c r="C37" s="62"/>
      <c r="D37" s="63">
        <f t="shared" si="3"/>
        <v>0</v>
      </c>
      <c r="E37" s="63">
        <f t="shared" si="0"/>
        <v>0</v>
      </c>
      <c r="F37" s="122"/>
      <c r="G37" s="63">
        <f t="shared" si="4"/>
        <v>0</v>
      </c>
      <c r="H37" s="63">
        <f t="shared" si="5"/>
        <v>0</v>
      </c>
      <c r="I37" s="63">
        <f t="shared" si="8"/>
        <v>0</v>
      </c>
      <c r="J37" s="63">
        <f t="shared" si="1"/>
        <v>0</v>
      </c>
      <c r="K37" s="63">
        <f t="shared" si="2"/>
        <v>0</v>
      </c>
      <c r="L37" s="63">
        <f t="shared" ref="L37" si="11">(K25+K37+SUM(K26:K36)*2)/24</f>
        <v>0</v>
      </c>
      <c r="M37" s="63">
        <f t="shared" ref="M37:M96" si="12">L37+I37</f>
        <v>0</v>
      </c>
      <c r="N37" s="64">
        <f t="shared" si="10"/>
        <v>0</v>
      </c>
    </row>
    <row r="38" spans="1:15" x14ac:dyDescent="0.25">
      <c r="A38" s="61">
        <v>44957</v>
      </c>
      <c r="B38" s="61"/>
      <c r="C38" s="62">
        <v>1658331.0333887211</v>
      </c>
      <c r="D38" s="63">
        <f t="shared" si="3"/>
        <v>1658331.0333887211</v>
      </c>
      <c r="E38" s="63">
        <f>(D26+D38+SUM(D27:D37)*2)/24</f>
        <v>69097.126391196711</v>
      </c>
      <c r="F38" s="122"/>
      <c r="G38" s="63">
        <f t="shared" ref="G38:G96" si="13">G37-F38</f>
        <v>0</v>
      </c>
      <c r="H38" s="63">
        <f t="shared" ref="H38:H96" si="14">(G26+G38+SUM(G27:G37)*2)/24</f>
        <v>0</v>
      </c>
      <c r="I38" s="63">
        <f t="shared" ref="I38:I96" si="15">E38+H38</f>
        <v>69097.126391196711</v>
      </c>
      <c r="J38" s="63">
        <f t="shared" si="1"/>
        <v>-348249.5170116314</v>
      </c>
      <c r="K38" s="68">
        <f t="shared" si="2"/>
        <v>-348249.5170116314</v>
      </c>
      <c r="L38" s="63">
        <f t="shared" ref="L38:L96" si="16">(K26+K38+SUM(K27:K37)*2)/24</f>
        <v>-14510.396542151308</v>
      </c>
      <c r="M38" s="69">
        <f t="shared" si="12"/>
        <v>54586.729849045405</v>
      </c>
      <c r="N38" s="64">
        <f t="shared" si="10"/>
        <v>1310081.5163770895</v>
      </c>
    </row>
    <row r="39" spans="1:15" x14ac:dyDescent="0.25">
      <c r="A39" s="61">
        <v>44985</v>
      </c>
      <c r="B39" s="61"/>
      <c r="C39" s="62">
        <v>1645181.6462852815</v>
      </c>
      <c r="D39" s="63">
        <f t="shared" si="3"/>
        <v>3303512.6796740023</v>
      </c>
      <c r="E39" s="63">
        <f t="shared" ref="E39:E96" si="17">(D27+D39+SUM(D28:D38)*2)/24</f>
        <v>275840.61443547689</v>
      </c>
      <c r="F39" s="122"/>
      <c r="G39" s="63">
        <f t="shared" si="13"/>
        <v>0</v>
      </c>
      <c r="H39" s="63">
        <f t="shared" si="14"/>
        <v>0</v>
      </c>
      <c r="I39" s="63">
        <f t="shared" si="15"/>
        <v>275840.61443547689</v>
      </c>
      <c r="J39" s="63">
        <f t="shared" si="1"/>
        <v>-345488.14571990911</v>
      </c>
      <c r="K39" s="68">
        <f t="shared" si="2"/>
        <v>-693737.66273154051</v>
      </c>
      <c r="L39" s="63">
        <f t="shared" si="16"/>
        <v>-57926.52903145014</v>
      </c>
      <c r="M39" s="69">
        <f t="shared" si="12"/>
        <v>217914.08540402676</v>
      </c>
      <c r="N39" s="64">
        <f t="shared" si="10"/>
        <v>2609775.016942462</v>
      </c>
    </row>
    <row r="40" spans="1:15" x14ac:dyDescent="0.25">
      <c r="A40" s="61">
        <v>45016</v>
      </c>
      <c r="B40" s="61"/>
      <c r="C40" s="62">
        <v>1640175.3164569223</v>
      </c>
      <c r="D40" s="63">
        <f t="shared" si="3"/>
        <v>4943687.9961309247</v>
      </c>
      <c r="E40" s="63">
        <f t="shared" si="17"/>
        <v>619473.97592734883</v>
      </c>
      <c r="F40" s="122"/>
      <c r="G40" s="63">
        <f t="shared" si="13"/>
        <v>0</v>
      </c>
      <c r="H40" s="63">
        <f t="shared" si="14"/>
        <v>0</v>
      </c>
      <c r="I40" s="63">
        <f t="shared" si="15"/>
        <v>619473.97592734883</v>
      </c>
      <c r="J40" s="63">
        <f t="shared" si="1"/>
        <v>-344436.8164559537</v>
      </c>
      <c r="K40" s="68">
        <f t="shared" si="2"/>
        <v>-1038174.4791874941</v>
      </c>
      <c r="L40" s="63">
        <f t="shared" si="16"/>
        <v>-130089.53494474325</v>
      </c>
      <c r="M40" s="69">
        <f t="shared" si="12"/>
        <v>489384.44098260556</v>
      </c>
      <c r="N40" s="64">
        <f t="shared" si="10"/>
        <v>3905513.5169434305</v>
      </c>
    </row>
    <row r="41" spans="1:15" x14ac:dyDescent="0.25">
      <c r="A41" s="61">
        <v>45046</v>
      </c>
      <c r="B41" s="61"/>
      <c r="C41" s="62">
        <v>1635104.7957885899</v>
      </c>
      <c r="D41" s="63">
        <f t="shared" si="3"/>
        <v>6578792.7919195145</v>
      </c>
      <c r="E41" s="63">
        <f t="shared" si="17"/>
        <v>1099577.3420961171</v>
      </c>
      <c r="F41" s="122"/>
      <c r="G41" s="63">
        <f t="shared" si="13"/>
        <v>0</v>
      </c>
      <c r="H41" s="63">
        <f t="shared" si="14"/>
        <v>0</v>
      </c>
      <c r="I41" s="63">
        <f t="shared" si="15"/>
        <v>1099577.3420961171</v>
      </c>
      <c r="J41" s="63">
        <f t="shared" si="1"/>
        <v>-343372.00711560383</v>
      </c>
      <c r="K41" s="68">
        <f t="shared" si="2"/>
        <v>-1381546.486303098</v>
      </c>
      <c r="L41" s="63">
        <f t="shared" si="16"/>
        <v>-230911.24184018458</v>
      </c>
      <c r="M41" s="69">
        <f t="shared" si="12"/>
        <v>868666.10025593254</v>
      </c>
      <c r="N41" s="64">
        <f t="shared" si="10"/>
        <v>5197246.305616416</v>
      </c>
    </row>
    <row r="42" spans="1:15" x14ac:dyDescent="0.25">
      <c r="A42" s="61">
        <v>45077</v>
      </c>
      <c r="B42" s="61"/>
      <c r="C42" s="62">
        <v>1630034.2751202572</v>
      </c>
      <c r="D42" s="63">
        <f t="shared" si="3"/>
        <v>8208827.0670397719</v>
      </c>
      <c r="E42" s="63">
        <f t="shared" si="17"/>
        <v>1715728.1695527539</v>
      </c>
      <c r="F42" s="122"/>
      <c r="G42" s="63">
        <f t="shared" si="13"/>
        <v>0</v>
      </c>
      <c r="H42" s="63">
        <f t="shared" si="14"/>
        <v>0</v>
      </c>
      <c r="I42" s="63">
        <f t="shared" si="15"/>
        <v>1715728.1695527539</v>
      </c>
      <c r="J42" s="63">
        <f t="shared" si="1"/>
        <v>-342307.19777525397</v>
      </c>
      <c r="K42" s="68">
        <f t="shared" si="2"/>
        <v>-1723853.6840783521</v>
      </c>
      <c r="L42" s="63">
        <f t="shared" si="16"/>
        <v>-360302.9156060784</v>
      </c>
      <c r="M42" s="69">
        <f t="shared" si="12"/>
        <v>1355425.2539466755</v>
      </c>
      <c r="N42" s="64">
        <f t="shared" si="10"/>
        <v>6484973.3829614203</v>
      </c>
    </row>
    <row r="43" spans="1:15" x14ac:dyDescent="0.25">
      <c r="A43" s="61">
        <v>45107</v>
      </c>
      <c r="B43" s="61"/>
      <c r="C43" s="62">
        <v>1624963.754451924</v>
      </c>
      <c r="D43" s="63">
        <f t="shared" si="3"/>
        <v>9833790.8214916959</v>
      </c>
      <c r="E43" s="63">
        <f t="shared" si="17"/>
        <v>2467503.9149082317</v>
      </c>
      <c r="F43" s="122"/>
      <c r="G43" s="63">
        <f t="shared" si="13"/>
        <v>0</v>
      </c>
      <c r="H43" s="63">
        <f t="shared" si="14"/>
        <v>0</v>
      </c>
      <c r="I43" s="63">
        <f t="shared" si="15"/>
        <v>2467503.9149082317</v>
      </c>
      <c r="J43" s="63">
        <f t="shared" si="1"/>
        <v>-341242.38843490405</v>
      </c>
      <c r="K43" s="68">
        <f t="shared" si="2"/>
        <v>-2065096.0725132562</v>
      </c>
      <c r="L43" s="63">
        <f t="shared" si="16"/>
        <v>-518175.82213072869</v>
      </c>
      <c r="M43" s="69">
        <f t="shared" si="12"/>
        <v>1949328.092777503</v>
      </c>
      <c r="N43" s="64">
        <f t="shared" si="10"/>
        <v>7768694.7489784397</v>
      </c>
      <c r="O43" s="63"/>
    </row>
    <row r="44" spans="1:15" x14ac:dyDescent="0.25">
      <c r="A44" s="61">
        <v>45138</v>
      </c>
      <c r="B44" s="61"/>
      <c r="C44" s="62">
        <v>1619893.2337835913</v>
      </c>
      <c r="D44" s="63">
        <f t="shared" si="3"/>
        <v>11453684.055275287</v>
      </c>
      <c r="E44" s="63">
        <f t="shared" si="17"/>
        <v>3354482.034773523</v>
      </c>
      <c r="F44" s="122"/>
      <c r="G44" s="63">
        <f t="shared" si="13"/>
        <v>0</v>
      </c>
      <c r="H44" s="63">
        <f t="shared" si="14"/>
        <v>0</v>
      </c>
      <c r="I44" s="63">
        <f t="shared" si="15"/>
        <v>3354482.034773523</v>
      </c>
      <c r="J44" s="63">
        <f t="shared" si="1"/>
        <v>-340177.57909455418</v>
      </c>
      <c r="K44" s="68">
        <f t="shared" si="2"/>
        <v>-2405273.6516078105</v>
      </c>
      <c r="L44" s="63">
        <f t="shared" si="16"/>
        <v>-704441.22730243986</v>
      </c>
      <c r="M44" s="69">
        <f t="shared" si="12"/>
        <v>2650040.807471083</v>
      </c>
      <c r="N44" s="64">
        <f t="shared" si="10"/>
        <v>9048410.403667476</v>
      </c>
      <c r="O44" s="63"/>
    </row>
    <row r="45" spans="1:15" x14ac:dyDescent="0.25">
      <c r="A45" s="61">
        <v>45169</v>
      </c>
      <c r="B45" s="61"/>
      <c r="C45" s="62">
        <v>1614822.7131152584</v>
      </c>
      <c r="D45" s="63">
        <f t="shared" si="3"/>
        <v>13068506.768390546</v>
      </c>
      <c r="E45" s="63">
        <f t="shared" si="17"/>
        <v>4376239.9857595991</v>
      </c>
      <c r="F45" s="122"/>
      <c r="G45" s="63">
        <f t="shared" si="13"/>
        <v>0</v>
      </c>
      <c r="H45" s="63">
        <f t="shared" si="14"/>
        <v>0</v>
      </c>
      <c r="I45" s="63">
        <f t="shared" si="15"/>
        <v>4376239.9857595991</v>
      </c>
      <c r="J45" s="63">
        <f t="shared" si="1"/>
        <v>-339112.76975420426</v>
      </c>
      <c r="K45" s="68">
        <f t="shared" si="2"/>
        <v>-2744386.421362015</v>
      </c>
      <c r="L45" s="63">
        <f t="shared" si="16"/>
        <v>-919010.39700951602</v>
      </c>
      <c r="M45" s="69">
        <f t="shared" si="12"/>
        <v>3457229.588750083</v>
      </c>
      <c r="N45" s="64">
        <f t="shared" si="10"/>
        <v>10324120.347028531</v>
      </c>
      <c r="O45" s="63"/>
    </row>
    <row r="46" spans="1:15" x14ac:dyDescent="0.25">
      <c r="A46" s="61">
        <v>45199</v>
      </c>
      <c r="B46" s="61"/>
      <c r="C46" s="62">
        <v>1609752.1924469257</v>
      </c>
      <c r="D46" s="63">
        <f t="shared" si="3"/>
        <v>14678258.960837472</v>
      </c>
      <c r="E46" s="63">
        <f t="shared" si="17"/>
        <v>5532355.2244774327</v>
      </c>
      <c r="F46" s="122"/>
      <c r="G46" s="63">
        <f t="shared" si="13"/>
        <v>0</v>
      </c>
      <c r="H46" s="63">
        <f t="shared" si="14"/>
        <v>0</v>
      </c>
      <c r="I46" s="63">
        <f t="shared" si="15"/>
        <v>5532355.2244774327</v>
      </c>
      <c r="J46" s="63">
        <f t="shared" si="1"/>
        <v>-338047.96041385439</v>
      </c>
      <c r="K46" s="68">
        <f t="shared" si="2"/>
        <v>-3082434.3817758695</v>
      </c>
      <c r="L46" s="63">
        <f t="shared" si="16"/>
        <v>-1161794.5971402612</v>
      </c>
      <c r="M46" s="69">
        <f t="shared" si="12"/>
        <v>4370560.6273371717</v>
      </c>
      <c r="N46" s="64">
        <f t="shared" si="10"/>
        <v>11595824.579061603</v>
      </c>
      <c r="O46" s="63"/>
    </row>
    <row r="47" spans="1:15" ht="13.8" thickBot="1" x14ac:dyDescent="0.3">
      <c r="A47" s="61">
        <v>45230</v>
      </c>
      <c r="B47" s="61"/>
      <c r="C47" s="62">
        <v>1604681.671778593</v>
      </c>
      <c r="D47" s="63">
        <f t="shared" si="3"/>
        <v>16282940.632616065</v>
      </c>
      <c r="E47" s="63">
        <f t="shared" si="17"/>
        <v>6822405.2075379975</v>
      </c>
      <c r="F47" s="122"/>
      <c r="G47" s="63">
        <f t="shared" si="13"/>
        <v>0</v>
      </c>
      <c r="H47" s="63">
        <f t="shared" si="14"/>
        <v>0</v>
      </c>
      <c r="I47" s="63">
        <f t="shared" si="15"/>
        <v>6822405.2075379975</v>
      </c>
      <c r="J47" s="63">
        <f t="shared" si="1"/>
        <v>-336983.15107350453</v>
      </c>
      <c r="K47" s="68">
        <f t="shared" si="2"/>
        <v>-3419417.5328493742</v>
      </c>
      <c r="L47" s="63">
        <f t="shared" si="16"/>
        <v>-1432705.0935829794</v>
      </c>
      <c r="M47" s="69">
        <f t="shared" si="12"/>
        <v>5389700.1139550181</v>
      </c>
      <c r="N47" s="64">
        <f t="shared" si="10"/>
        <v>12863523.09976669</v>
      </c>
      <c r="O47" s="63"/>
    </row>
    <row r="48" spans="1:15" x14ac:dyDescent="0.25">
      <c r="A48" s="134">
        <v>45260</v>
      </c>
      <c r="B48" s="134" t="s">
        <v>144</v>
      </c>
      <c r="C48" s="135"/>
      <c r="D48" s="136">
        <f t="shared" si="3"/>
        <v>16282940.632616065</v>
      </c>
      <c r="E48" s="136">
        <f t="shared" si="17"/>
        <v>8179316.9269226706</v>
      </c>
      <c r="F48" s="148">
        <f t="shared" ref="F48:F95" si="18">D48/48</f>
        <v>339227.92984616803</v>
      </c>
      <c r="G48" s="136">
        <f t="shared" si="13"/>
        <v>-339227.92984616803</v>
      </c>
      <c r="H48" s="136">
        <f t="shared" si="14"/>
        <v>-14134.497076923668</v>
      </c>
      <c r="I48" s="136">
        <f t="shared" si="15"/>
        <v>8165182.4298457466</v>
      </c>
      <c r="J48" s="136">
        <f t="shared" si="1"/>
        <v>71237.865267695277</v>
      </c>
      <c r="K48" s="138">
        <f t="shared" si="2"/>
        <v>-3348179.6675816788</v>
      </c>
      <c r="L48" s="136">
        <f t="shared" si="16"/>
        <v>-1714688.3102676068</v>
      </c>
      <c r="M48" s="139">
        <f t="shared" si="12"/>
        <v>6450494.1195781399</v>
      </c>
      <c r="N48" s="140">
        <f t="shared" si="10"/>
        <v>12595533.035188219</v>
      </c>
      <c r="O48" s="63"/>
    </row>
    <row r="49" spans="1:15" x14ac:dyDescent="0.25">
      <c r="A49" s="61">
        <v>45291</v>
      </c>
      <c r="B49" s="61" t="s">
        <v>144</v>
      </c>
      <c r="C49" s="63"/>
      <c r="D49" s="63">
        <f t="shared" si="3"/>
        <v>16282940.632616065</v>
      </c>
      <c r="E49" s="63">
        <f t="shared" si="17"/>
        <v>9536228.6463073436</v>
      </c>
      <c r="F49" s="122">
        <f t="shared" si="18"/>
        <v>339227.92984616803</v>
      </c>
      <c r="G49" s="63">
        <f t="shared" si="13"/>
        <v>-678455.85969233606</v>
      </c>
      <c r="H49" s="63">
        <f t="shared" si="14"/>
        <v>-56537.988307694672</v>
      </c>
      <c r="I49" s="63">
        <f t="shared" si="15"/>
        <v>9479690.6579996496</v>
      </c>
      <c r="J49" s="63">
        <f t="shared" si="1"/>
        <v>71237.865267695277</v>
      </c>
      <c r="K49" s="68">
        <f t="shared" si="2"/>
        <v>-3276941.8023139834</v>
      </c>
      <c r="L49" s="63">
        <f t="shared" si="16"/>
        <v>-1990735.0381799259</v>
      </c>
      <c r="M49" s="69">
        <f t="shared" si="12"/>
        <v>7488955.619819724</v>
      </c>
      <c r="N49" s="64">
        <f t="shared" si="10"/>
        <v>12327542.970609747</v>
      </c>
      <c r="O49" s="63"/>
    </row>
    <row r="50" spans="1:15" x14ac:dyDescent="0.25">
      <c r="A50" s="61">
        <v>45322</v>
      </c>
      <c r="B50" s="61" t="s">
        <v>144</v>
      </c>
      <c r="C50" s="63"/>
      <c r="D50" s="63">
        <f t="shared" si="3"/>
        <v>16282940.632616065</v>
      </c>
      <c r="E50" s="63">
        <f t="shared" si="17"/>
        <v>10824043.239300817</v>
      </c>
      <c r="F50" s="122">
        <f t="shared" si="18"/>
        <v>339227.92984616803</v>
      </c>
      <c r="G50" s="63">
        <f t="shared" si="13"/>
        <v>-1017683.7895385041</v>
      </c>
      <c r="H50" s="63">
        <f t="shared" si="14"/>
        <v>-127210.47369231301</v>
      </c>
      <c r="I50" s="63">
        <f t="shared" si="15"/>
        <v>10696832.765608504</v>
      </c>
      <c r="J50" s="63">
        <f t="shared" si="1"/>
        <v>71237.865267695277</v>
      </c>
      <c r="K50" s="68">
        <f t="shared" si="2"/>
        <v>-3205703.937046288</v>
      </c>
      <c r="L50" s="63">
        <f t="shared" si="16"/>
        <v>-2246334.880777786</v>
      </c>
      <c r="M50" s="69">
        <f t="shared" si="12"/>
        <v>8450497.8848307189</v>
      </c>
      <c r="N50" s="64">
        <f t="shared" si="10"/>
        <v>12059552.906031273</v>
      </c>
      <c r="O50" s="63"/>
    </row>
    <row r="51" spans="1:15" x14ac:dyDescent="0.25">
      <c r="A51" s="61">
        <v>45351</v>
      </c>
      <c r="B51" s="61" t="s">
        <v>144</v>
      </c>
      <c r="C51" s="63"/>
      <c r="D51" s="63">
        <f t="shared" si="3"/>
        <v>16282940.632616065</v>
      </c>
      <c r="E51" s="63">
        <f t="shared" si="17"/>
        <v>11974211.470641211</v>
      </c>
      <c r="F51" s="122">
        <f t="shared" si="18"/>
        <v>339227.92984616803</v>
      </c>
      <c r="G51" s="63">
        <f t="shared" si="13"/>
        <v>-1356911.7193846721</v>
      </c>
      <c r="H51" s="63">
        <f t="shared" si="14"/>
        <v>-226151.95323077869</v>
      </c>
      <c r="I51" s="63">
        <f t="shared" si="15"/>
        <v>11748059.517410431</v>
      </c>
      <c r="J51" s="63">
        <f t="shared" si="1"/>
        <v>71237.865267695277</v>
      </c>
      <c r="K51" s="68">
        <f t="shared" si="2"/>
        <v>-3134466.0717785927</v>
      </c>
      <c r="L51" s="63">
        <f t="shared" si="16"/>
        <v>-2467092.4986561905</v>
      </c>
      <c r="M51" s="69">
        <f t="shared" si="12"/>
        <v>9280967.0187542401</v>
      </c>
      <c r="N51" s="64">
        <f t="shared" si="10"/>
        <v>11791562.8414528</v>
      </c>
    </row>
    <row r="52" spans="1:15" x14ac:dyDescent="0.25">
      <c r="A52" s="61">
        <v>45382</v>
      </c>
      <c r="B52" s="61" t="s">
        <v>144</v>
      </c>
      <c r="C52" s="63"/>
      <c r="D52" s="63">
        <f t="shared" si="3"/>
        <v>16282940.632616065</v>
      </c>
      <c r="E52" s="63">
        <f t="shared" si="17"/>
        <v>12987489.828534013</v>
      </c>
      <c r="F52" s="122">
        <f t="shared" si="18"/>
        <v>339227.92984616803</v>
      </c>
      <c r="G52" s="63">
        <f t="shared" si="13"/>
        <v>-1696139.6492308402</v>
      </c>
      <c r="H52" s="63">
        <f t="shared" si="14"/>
        <v>-353362.4269230917</v>
      </c>
      <c r="I52" s="63">
        <f t="shared" si="15"/>
        <v>12634127.40161092</v>
      </c>
      <c r="J52" s="63">
        <f t="shared" si="1"/>
        <v>71237.865267695277</v>
      </c>
      <c r="K52" s="68">
        <f t="shared" si="2"/>
        <v>-3063228.2065108973</v>
      </c>
      <c r="L52" s="63">
        <f t="shared" si="16"/>
        <v>-2653166.7543382929</v>
      </c>
      <c r="M52" s="69">
        <f t="shared" si="12"/>
        <v>9980960.6472726278</v>
      </c>
      <c r="N52" s="64">
        <f t="shared" si="10"/>
        <v>11523572.776874328</v>
      </c>
    </row>
    <row r="53" spans="1:15" x14ac:dyDescent="0.25">
      <c r="A53" s="61">
        <v>45412</v>
      </c>
      <c r="B53" s="61" t="s">
        <v>144</v>
      </c>
      <c r="C53" s="63"/>
      <c r="D53" s="63">
        <f t="shared" si="3"/>
        <v>16282940.632616065</v>
      </c>
      <c r="E53" s="63">
        <f t="shared" si="17"/>
        <v>13864298.181749916</v>
      </c>
      <c r="F53" s="122">
        <f t="shared" si="18"/>
        <v>339227.92984616803</v>
      </c>
      <c r="G53" s="63">
        <f t="shared" si="13"/>
        <v>-2035367.5790770082</v>
      </c>
      <c r="H53" s="63">
        <f t="shared" si="14"/>
        <v>-508841.8947692521</v>
      </c>
      <c r="I53" s="63">
        <f t="shared" si="15"/>
        <v>13355456.286980664</v>
      </c>
      <c r="J53" s="63">
        <f t="shared" si="1"/>
        <v>71237.865267695277</v>
      </c>
      <c r="K53" s="68">
        <f t="shared" si="2"/>
        <v>-2991990.3412432019</v>
      </c>
      <c r="L53" s="63">
        <f t="shared" si="16"/>
        <v>-2804645.820265939</v>
      </c>
      <c r="M53" s="69">
        <f t="shared" si="12"/>
        <v>10550810.466714725</v>
      </c>
      <c r="N53" s="64">
        <f t="shared" si="10"/>
        <v>11255582.712295854</v>
      </c>
    </row>
    <row r="54" spans="1:15" x14ac:dyDescent="0.25">
      <c r="A54" s="61">
        <v>45443</v>
      </c>
      <c r="B54" s="61" t="s">
        <v>144</v>
      </c>
      <c r="C54" s="63"/>
      <c r="D54" s="63">
        <f t="shared" si="3"/>
        <v>16282940.632616065</v>
      </c>
      <c r="E54" s="63">
        <f t="shared" si="17"/>
        <v>14605059.07367795</v>
      </c>
      <c r="F54" s="122">
        <f t="shared" si="18"/>
        <v>339227.92984616803</v>
      </c>
      <c r="G54" s="63">
        <f t="shared" si="13"/>
        <v>-2374595.5089231762</v>
      </c>
      <c r="H54" s="63">
        <f t="shared" si="14"/>
        <v>-692590.35676925979</v>
      </c>
      <c r="I54" s="63">
        <f t="shared" si="15"/>
        <v>13912468.71690869</v>
      </c>
      <c r="J54" s="63">
        <f t="shared" si="1"/>
        <v>71237.865267695277</v>
      </c>
      <c r="K54" s="68">
        <f t="shared" si="2"/>
        <v>-2920752.4759755065</v>
      </c>
      <c r="L54" s="63">
        <f t="shared" si="16"/>
        <v>-2921618.4305508249</v>
      </c>
      <c r="M54" s="69">
        <f t="shared" si="12"/>
        <v>10990850.286357865</v>
      </c>
      <c r="N54" s="64">
        <f t="shared" si="10"/>
        <v>10987592.647717383</v>
      </c>
    </row>
    <row r="55" spans="1:15" x14ac:dyDescent="0.25">
      <c r="A55" s="61">
        <v>45473</v>
      </c>
      <c r="B55" s="61" t="s">
        <v>144</v>
      </c>
      <c r="C55" s="63"/>
      <c r="D55" s="63">
        <f t="shared" si="3"/>
        <v>16282940.632616065</v>
      </c>
      <c r="E55" s="63">
        <f t="shared" si="17"/>
        <v>15210195.047707146</v>
      </c>
      <c r="F55" s="122">
        <f t="shared" si="18"/>
        <v>339227.92984616803</v>
      </c>
      <c r="G55" s="63">
        <f t="shared" si="13"/>
        <v>-2713823.4387693442</v>
      </c>
      <c r="H55" s="63">
        <f t="shared" si="14"/>
        <v>-904607.81292311475</v>
      </c>
      <c r="I55" s="63">
        <f t="shared" si="15"/>
        <v>14305587.234784031</v>
      </c>
      <c r="J55" s="63">
        <f t="shared" si="1"/>
        <v>71237.865267695277</v>
      </c>
      <c r="K55" s="68">
        <f t="shared" si="2"/>
        <v>-2849514.6107078111</v>
      </c>
      <c r="L55" s="63">
        <f t="shared" si="16"/>
        <v>-3004173.3193046465</v>
      </c>
      <c r="M55" s="69">
        <f t="shared" si="12"/>
        <v>11301413.915479384</v>
      </c>
      <c r="N55" s="64">
        <f t="shared" si="10"/>
        <v>10719602.583138909</v>
      </c>
    </row>
    <row r="56" spans="1:15" x14ac:dyDescent="0.25">
      <c r="A56" s="61">
        <v>45504</v>
      </c>
      <c r="B56" s="61" t="s">
        <v>144</v>
      </c>
      <c r="C56" s="63"/>
      <c r="D56" s="63">
        <f t="shared" si="3"/>
        <v>16282940.632616065</v>
      </c>
      <c r="E56" s="63">
        <f t="shared" si="17"/>
        <v>15680128.647226527</v>
      </c>
      <c r="F56" s="122">
        <f t="shared" si="18"/>
        <v>339227.92984616803</v>
      </c>
      <c r="G56" s="63">
        <f t="shared" si="13"/>
        <v>-3053051.3686155123</v>
      </c>
      <c r="H56" s="63">
        <f t="shared" si="14"/>
        <v>-1144894.2632308172</v>
      </c>
      <c r="I56" s="63">
        <f t="shared" si="15"/>
        <v>14535234.38399571</v>
      </c>
      <c r="J56" s="63">
        <f t="shared" si="1"/>
        <v>71237.865267695277</v>
      </c>
      <c r="K56" s="68">
        <f t="shared" si="2"/>
        <v>-2778276.7454401157</v>
      </c>
      <c r="L56" s="63">
        <f t="shared" si="16"/>
        <v>-3052399.2206390984</v>
      </c>
      <c r="M56" s="69">
        <f t="shared" si="12"/>
        <v>11482835.163356612</v>
      </c>
      <c r="N56" s="64">
        <f t="shared" si="10"/>
        <v>10451612.518560437</v>
      </c>
    </row>
    <row r="57" spans="1:15" x14ac:dyDescent="0.25">
      <c r="A57" s="61">
        <v>45535</v>
      </c>
      <c r="B57" s="61" t="s">
        <v>144</v>
      </c>
      <c r="C57" s="63"/>
      <c r="D57" s="63">
        <f t="shared" si="3"/>
        <v>16282940.632616065</v>
      </c>
      <c r="E57" s="63">
        <f t="shared" si="17"/>
        <v>16015282.41562512</v>
      </c>
      <c r="F57" s="122">
        <f t="shared" si="18"/>
        <v>339227.92984616803</v>
      </c>
      <c r="G57" s="63">
        <f t="shared" si="13"/>
        <v>-3392279.2984616803</v>
      </c>
      <c r="H57" s="63">
        <f t="shared" si="14"/>
        <v>-1413449.7076923668</v>
      </c>
      <c r="I57" s="63">
        <f t="shared" si="15"/>
        <v>14601832.707932753</v>
      </c>
      <c r="J57" s="63">
        <f t="shared" si="1"/>
        <v>71237.865267695277</v>
      </c>
      <c r="K57" s="68">
        <f t="shared" si="2"/>
        <v>-2707038.8801724203</v>
      </c>
      <c r="L57" s="63">
        <f t="shared" si="16"/>
        <v>-3066384.8686658782</v>
      </c>
      <c r="M57" s="69">
        <f t="shared" si="12"/>
        <v>11535447.839266876</v>
      </c>
      <c r="N57" s="64">
        <f t="shared" si="10"/>
        <v>10183622.453981966</v>
      </c>
    </row>
    <row r="58" spans="1:15" x14ac:dyDescent="0.25">
      <c r="A58" s="61">
        <v>45565</v>
      </c>
      <c r="B58" s="61" t="s">
        <v>144</v>
      </c>
      <c r="C58" s="63"/>
      <c r="D58" s="63">
        <f t="shared" si="3"/>
        <v>16282940.632616065</v>
      </c>
      <c r="E58" s="63">
        <f t="shared" si="17"/>
        <v>16216078.896291962</v>
      </c>
      <c r="F58" s="122">
        <f t="shared" si="18"/>
        <v>339227.92984616803</v>
      </c>
      <c r="G58" s="63">
        <f t="shared" si="13"/>
        <v>-3731507.2283078483</v>
      </c>
      <c r="H58" s="63">
        <f t="shared" si="14"/>
        <v>-1710274.1463077639</v>
      </c>
      <c r="I58" s="63">
        <f t="shared" si="15"/>
        <v>14505804.749984197</v>
      </c>
      <c r="J58" s="63">
        <f t="shared" si="1"/>
        <v>71237.865267695277</v>
      </c>
      <c r="K58" s="68">
        <f t="shared" si="2"/>
        <v>-2635801.0149047249</v>
      </c>
      <c r="L58" s="63">
        <f t="shared" si="16"/>
        <v>-3046218.9974966808</v>
      </c>
      <c r="M58" s="69">
        <f t="shared" si="12"/>
        <v>11459585.752487516</v>
      </c>
      <c r="N58" s="64">
        <f t="shared" si="10"/>
        <v>9915632.3894034922</v>
      </c>
    </row>
    <row r="59" spans="1:15" ht="13.8" thickBot="1" x14ac:dyDescent="0.3">
      <c r="A59" s="61">
        <v>45596</v>
      </c>
      <c r="B59" s="61" t="s">
        <v>144</v>
      </c>
      <c r="C59" s="63"/>
      <c r="D59" s="63">
        <f t="shared" si="3"/>
        <v>16282940.632616065</v>
      </c>
      <c r="E59" s="63">
        <f t="shared" si="17"/>
        <v>16282940.632616071</v>
      </c>
      <c r="F59" s="122">
        <f t="shared" si="18"/>
        <v>339227.92984616803</v>
      </c>
      <c r="G59" s="63">
        <f t="shared" si="13"/>
        <v>-4070735.1581540164</v>
      </c>
      <c r="H59" s="63">
        <f t="shared" si="14"/>
        <v>-2035367.5790770082</v>
      </c>
      <c r="I59" s="63">
        <f t="shared" si="15"/>
        <v>14247573.053539064</v>
      </c>
      <c r="J59" s="63">
        <f t="shared" si="1"/>
        <v>71237.865267695277</v>
      </c>
      <c r="K59" s="68">
        <f t="shared" si="2"/>
        <v>-2564563.1496370295</v>
      </c>
      <c r="L59" s="63">
        <f t="shared" si="16"/>
        <v>-2991990.3412432019</v>
      </c>
      <c r="M59" s="69">
        <f t="shared" si="12"/>
        <v>11255582.712295862</v>
      </c>
      <c r="N59" s="64">
        <f t="shared" si="10"/>
        <v>9647642.3248250186</v>
      </c>
    </row>
    <row r="60" spans="1:15" x14ac:dyDescent="0.25">
      <c r="A60" s="134">
        <v>45626</v>
      </c>
      <c r="B60" s="141" t="s">
        <v>145</v>
      </c>
      <c r="C60" s="136"/>
      <c r="D60" s="136">
        <f t="shared" si="3"/>
        <v>16282940.632616065</v>
      </c>
      <c r="E60" s="136">
        <f t="shared" si="17"/>
        <v>16282940.632616071</v>
      </c>
      <c r="F60" s="148">
        <f t="shared" si="18"/>
        <v>339227.92984616803</v>
      </c>
      <c r="G60" s="136">
        <f t="shared" si="13"/>
        <v>-4409963.0880001839</v>
      </c>
      <c r="H60" s="136">
        <f t="shared" si="14"/>
        <v>-2374595.5089231762</v>
      </c>
      <c r="I60" s="136">
        <f t="shared" si="15"/>
        <v>13908345.123692894</v>
      </c>
      <c r="J60" s="136">
        <f t="shared" si="1"/>
        <v>71237.865267695277</v>
      </c>
      <c r="K60" s="138">
        <f t="shared" si="2"/>
        <v>-2493325.2843693341</v>
      </c>
      <c r="L60" s="136">
        <f t="shared" si="16"/>
        <v>-2920752.4759755065</v>
      </c>
      <c r="M60" s="139">
        <f t="shared" si="12"/>
        <v>10987592.647717388</v>
      </c>
      <c r="N60" s="140">
        <f t="shared" si="10"/>
        <v>9379652.2602465469</v>
      </c>
    </row>
    <row r="61" spans="1:15" x14ac:dyDescent="0.25">
      <c r="A61" s="61">
        <v>45657</v>
      </c>
      <c r="B61" s="30" t="s">
        <v>145</v>
      </c>
      <c r="C61" s="63"/>
      <c r="D61" s="63">
        <f t="shared" si="3"/>
        <v>16282940.632616065</v>
      </c>
      <c r="E61" s="63">
        <f t="shared" si="17"/>
        <v>16282940.632616071</v>
      </c>
      <c r="F61" s="122">
        <f t="shared" si="18"/>
        <v>339227.92984616803</v>
      </c>
      <c r="G61" s="63">
        <f t="shared" si="13"/>
        <v>-4749191.0178463515</v>
      </c>
      <c r="H61" s="63">
        <f t="shared" si="14"/>
        <v>-2713823.4387693438</v>
      </c>
      <c r="I61" s="63">
        <f t="shared" si="15"/>
        <v>13569117.193846727</v>
      </c>
      <c r="J61" s="63">
        <f t="shared" si="1"/>
        <v>71237.865267695277</v>
      </c>
      <c r="K61" s="68">
        <f t="shared" si="2"/>
        <v>-2422087.4191016387</v>
      </c>
      <c r="L61" s="63">
        <f t="shared" si="16"/>
        <v>-2849514.6107078106</v>
      </c>
      <c r="M61" s="69">
        <f t="shared" si="12"/>
        <v>10719602.583138917</v>
      </c>
      <c r="N61" s="64">
        <f t="shared" si="10"/>
        <v>9111662.1956680752</v>
      </c>
    </row>
    <row r="62" spans="1:15" x14ac:dyDescent="0.25">
      <c r="A62" s="61">
        <v>45688</v>
      </c>
      <c r="B62" s="30" t="s">
        <v>145</v>
      </c>
      <c r="C62" s="63"/>
      <c r="D62" s="63">
        <f t="shared" si="3"/>
        <v>16282940.632616065</v>
      </c>
      <c r="E62" s="63">
        <f t="shared" si="17"/>
        <v>16282940.632616071</v>
      </c>
      <c r="F62" s="122">
        <f t="shared" si="18"/>
        <v>339227.92984616803</v>
      </c>
      <c r="G62" s="63">
        <f t="shared" si="13"/>
        <v>-5088418.9476925191</v>
      </c>
      <c r="H62" s="63">
        <f t="shared" si="14"/>
        <v>-3053051.3686155118</v>
      </c>
      <c r="I62" s="63">
        <f t="shared" si="15"/>
        <v>13229889.264000559</v>
      </c>
      <c r="J62" s="63">
        <f t="shared" si="1"/>
        <v>71237.865267695277</v>
      </c>
      <c r="K62" s="68">
        <f t="shared" si="2"/>
        <v>-2350849.5538339433</v>
      </c>
      <c r="L62" s="63">
        <f t="shared" si="16"/>
        <v>-2778276.7454401152</v>
      </c>
      <c r="M62" s="69">
        <f t="shared" si="12"/>
        <v>10451612.518560443</v>
      </c>
      <c r="N62" s="64">
        <f t="shared" si="10"/>
        <v>8843672.1310896035</v>
      </c>
    </row>
    <row r="63" spans="1:15" x14ac:dyDescent="0.25">
      <c r="A63" s="61">
        <v>45716</v>
      </c>
      <c r="B63" s="30" t="s">
        <v>145</v>
      </c>
      <c r="C63" s="63"/>
      <c r="D63" s="63">
        <f t="shared" si="3"/>
        <v>16282940.632616065</v>
      </c>
      <c r="E63" s="63">
        <f t="shared" si="17"/>
        <v>16282940.632616071</v>
      </c>
      <c r="F63" s="122">
        <f t="shared" si="18"/>
        <v>339227.92984616803</v>
      </c>
      <c r="G63" s="63">
        <f t="shared" si="13"/>
        <v>-5427646.8775386866</v>
      </c>
      <c r="H63" s="63">
        <f t="shared" si="14"/>
        <v>-3392279.2984616808</v>
      </c>
      <c r="I63" s="63">
        <f t="shared" si="15"/>
        <v>12890661.33415439</v>
      </c>
      <c r="J63" s="63">
        <f t="shared" si="1"/>
        <v>71237.865267695277</v>
      </c>
      <c r="K63" s="68">
        <f t="shared" si="2"/>
        <v>-2279611.6885662479</v>
      </c>
      <c r="L63" s="63">
        <f t="shared" si="16"/>
        <v>-2707038.8801724203</v>
      </c>
      <c r="M63" s="69">
        <f t="shared" si="12"/>
        <v>10183622.45398197</v>
      </c>
      <c r="N63" s="64">
        <f t="shared" si="10"/>
        <v>8575682.0665111318</v>
      </c>
    </row>
    <row r="64" spans="1:15" x14ac:dyDescent="0.25">
      <c r="A64" s="61">
        <v>45747</v>
      </c>
      <c r="B64" s="30" t="s">
        <v>145</v>
      </c>
      <c r="C64" s="63"/>
      <c r="D64" s="63">
        <f t="shared" si="3"/>
        <v>16282940.632616065</v>
      </c>
      <c r="E64" s="63">
        <f t="shared" si="17"/>
        <v>16282940.632616071</v>
      </c>
      <c r="F64" s="122">
        <f t="shared" si="18"/>
        <v>339227.92984616803</v>
      </c>
      <c r="G64" s="63">
        <f t="shared" si="13"/>
        <v>-5766874.8073848542</v>
      </c>
      <c r="H64" s="63">
        <f t="shared" si="14"/>
        <v>-3731507.2283078483</v>
      </c>
      <c r="I64" s="63">
        <f t="shared" si="15"/>
        <v>12551433.404308222</v>
      </c>
      <c r="J64" s="63">
        <f t="shared" si="1"/>
        <v>71237.865267695277</v>
      </c>
      <c r="K64" s="68">
        <f t="shared" si="2"/>
        <v>-2208373.8232985525</v>
      </c>
      <c r="L64" s="63">
        <f t="shared" si="16"/>
        <v>-2635801.0149047249</v>
      </c>
      <c r="M64" s="69">
        <f t="shared" si="12"/>
        <v>9915632.3894034978</v>
      </c>
      <c r="N64" s="64">
        <f t="shared" si="10"/>
        <v>8307692.0019326583</v>
      </c>
    </row>
    <row r="65" spans="1:14" x14ac:dyDescent="0.25">
      <c r="A65" s="61">
        <v>45777</v>
      </c>
      <c r="B65" s="30" t="s">
        <v>145</v>
      </c>
      <c r="C65" s="63"/>
      <c r="D65" s="63">
        <f t="shared" si="3"/>
        <v>16282940.632616065</v>
      </c>
      <c r="E65" s="63">
        <f t="shared" si="17"/>
        <v>16282940.632616071</v>
      </c>
      <c r="F65" s="122">
        <f t="shared" si="18"/>
        <v>339227.92984616803</v>
      </c>
      <c r="G65" s="63">
        <f t="shared" si="13"/>
        <v>-6106102.7372310217</v>
      </c>
      <c r="H65" s="63">
        <f t="shared" si="14"/>
        <v>-4070735.1581540164</v>
      </c>
      <c r="I65" s="63">
        <f t="shared" si="15"/>
        <v>12212205.474462055</v>
      </c>
      <c r="J65" s="63">
        <f t="shared" si="1"/>
        <v>71237.865267695277</v>
      </c>
      <c r="K65" s="68">
        <f t="shared" si="2"/>
        <v>-2137135.9580308571</v>
      </c>
      <c r="L65" s="63">
        <f t="shared" si="16"/>
        <v>-2564563.149637029</v>
      </c>
      <c r="M65" s="69">
        <f t="shared" si="12"/>
        <v>9647642.3248250261</v>
      </c>
      <c r="N65" s="64">
        <f t="shared" si="10"/>
        <v>8039701.9373541865</v>
      </c>
    </row>
    <row r="66" spans="1:14" x14ac:dyDescent="0.25">
      <c r="A66" s="61">
        <v>45808</v>
      </c>
      <c r="B66" s="30" t="s">
        <v>145</v>
      </c>
      <c r="C66" s="63"/>
      <c r="D66" s="63">
        <f t="shared" si="3"/>
        <v>16282940.632616065</v>
      </c>
      <c r="E66" s="63">
        <f t="shared" si="17"/>
        <v>16282940.632616071</v>
      </c>
      <c r="F66" s="122">
        <f t="shared" si="18"/>
        <v>339227.92984616803</v>
      </c>
      <c r="G66" s="63">
        <f t="shared" si="13"/>
        <v>-6445330.6670771893</v>
      </c>
      <c r="H66" s="63">
        <f t="shared" si="14"/>
        <v>-4409963.0880001849</v>
      </c>
      <c r="I66" s="63">
        <f t="shared" si="15"/>
        <v>11872977.544615887</v>
      </c>
      <c r="J66" s="63">
        <f t="shared" si="1"/>
        <v>71237.865267695277</v>
      </c>
      <c r="K66" s="68">
        <f t="shared" si="2"/>
        <v>-2065898.0927631618</v>
      </c>
      <c r="L66" s="63">
        <f t="shared" si="16"/>
        <v>-2493325.2843693341</v>
      </c>
      <c r="M66" s="69">
        <f t="shared" si="12"/>
        <v>9379652.2602465525</v>
      </c>
      <c r="N66" s="64">
        <f t="shared" si="10"/>
        <v>7771711.8727757148</v>
      </c>
    </row>
    <row r="67" spans="1:14" x14ac:dyDescent="0.25">
      <c r="A67" s="61">
        <v>45838</v>
      </c>
      <c r="B67" s="30" t="s">
        <v>145</v>
      </c>
      <c r="C67" s="63"/>
      <c r="D67" s="63">
        <f t="shared" si="3"/>
        <v>16282940.632616065</v>
      </c>
      <c r="E67" s="63">
        <f t="shared" si="17"/>
        <v>16282940.632616071</v>
      </c>
      <c r="F67" s="122">
        <f t="shared" si="18"/>
        <v>339227.92984616803</v>
      </c>
      <c r="G67" s="63">
        <f t="shared" si="13"/>
        <v>-6784558.5969233569</v>
      </c>
      <c r="H67" s="63">
        <f t="shared" si="14"/>
        <v>-4749191.0178463524</v>
      </c>
      <c r="I67" s="63">
        <f t="shared" si="15"/>
        <v>11533749.61476972</v>
      </c>
      <c r="J67" s="63">
        <f t="shared" si="1"/>
        <v>71237.865267695277</v>
      </c>
      <c r="K67" s="68">
        <f t="shared" si="2"/>
        <v>-1994660.2274954664</v>
      </c>
      <c r="L67" s="63">
        <f t="shared" si="16"/>
        <v>-2422087.4191016387</v>
      </c>
      <c r="M67" s="69">
        <f t="shared" si="12"/>
        <v>9111662.1956680808</v>
      </c>
      <c r="N67" s="64">
        <f t="shared" si="10"/>
        <v>7503721.8081972422</v>
      </c>
    </row>
    <row r="68" spans="1:14" x14ac:dyDescent="0.25">
      <c r="A68" s="61">
        <v>45869</v>
      </c>
      <c r="B68" s="30" t="s">
        <v>145</v>
      </c>
      <c r="C68" s="63"/>
      <c r="D68" s="63">
        <f t="shared" si="3"/>
        <v>16282940.632616065</v>
      </c>
      <c r="E68" s="63">
        <f t="shared" si="17"/>
        <v>16282940.632616071</v>
      </c>
      <c r="F68" s="122">
        <f t="shared" si="18"/>
        <v>339227.92984616803</v>
      </c>
      <c r="G68" s="63">
        <f t="shared" si="13"/>
        <v>-7123786.5267695244</v>
      </c>
      <c r="H68" s="63">
        <f t="shared" si="14"/>
        <v>-5088418.94769252</v>
      </c>
      <c r="I68" s="63">
        <f t="shared" si="15"/>
        <v>11194521.684923552</v>
      </c>
      <c r="J68" s="63">
        <f t="shared" si="1"/>
        <v>71237.865267695277</v>
      </c>
      <c r="K68" s="68">
        <f t="shared" si="2"/>
        <v>-1923422.362227771</v>
      </c>
      <c r="L68" s="63">
        <f t="shared" si="16"/>
        <v>-2350849.5538339433</v>
      </c>
      <c r="M68" s="69">
        <f t="shared" si="12"/>
        <v>8843672.1310896091</v>
      </c>
      <c r="N68" s="64">
        <f t="shared" si="10"/>
        <v>7235731.7436187696</v>
      </c>
    </row>
    <row r="69" spans="1:14" x14ac:dyDescent="0.25">
      <c r="A69" s="61">
        <v>45900</v>
      </c>
      <c r="B69" s="30" t="s">
        <v>145</v>
      </c>
      <c r="C69" s="63"/>
      <c r="D69" s="63">
        <f t="shared" si="3"/>
        <v>16282940.632616065</v>
      </c>
      <c r="E69" s="63">
        <f t="shared" si="17"/>
        <v>16282940.632616071</v>
      </c>
      <c r="F69" s="122">
        <f t="shared" si="18"/>
        <v>339227.92984616803</v>
      </c>
      <c r="G69" s="63">
        <f t="shared" si="13"/>
        <v>-7463014.456615692</v>
      </c>
      <c r="H69" s="63">
        <f t="shared" si="14"/>
        <v>-5427646.8775386875</v>
      </c>
      <c r="I69" s="63">
        <f t="shared" si="15"/>
        <v>10855293.755077384</v>
      </c>
      <c r="J69" s="63">
        <f t="shared" si="1"/>
        <v>71237.865267695277</v>
      </c>
      <c r="K69" s="68">
        <f t="shared" si="2"/>
        <v>-1852184.4969600756</v>
      </c>
      <c r="L69" s="63">
        <f t="shared" si="16"/>
        <v>-2279611.6885662479</v>
      </c>
      <c r="M69" s="69">
        <f t="shared" si="12"/>
        <v>8575682.0665111355</v>
      </c>
      <c r="N69" s="64">
        <f t="shared" si="10"/>
        <v>6967741.6790402979</v>
      </c>
    </row>
    <row r="70" spans="1:14" x14ac:dyDescent="0.25">
      <c r="A70" s="61">
        <v>45930</v>
      </c>
      <c r="B70" s="30" t="s">
        <v>145</v>
      </c>
      <c r="C70" s="63"/>
      <c r="D70" s="63">
        <f t="shared" si="3"/>
        <v>16282940.632616065</v>
      </c>
      <c r="E70" s="63">
        <f t="shared" si="17"/>
        <v>16282940.632616071</v>
      </c>
      <c r="F70" s="122">
        <f t="shared" si="18"/>
        <v>339227.92984616803</v>
      </c>
      <c r="G70" s="63">
        <f t="shared" si="13"/>
        <v>-7802242.3864618596</v>
      </c>
      <c r="H70" s="63">
        <f t="shared" si="14"/>
        <v>-5766874.8073848551</v>
      </c>
      <c r="I70" s="63">
        <f t="shared" si="15"/>
        <v>10516065.825231217</v>
      </c>
      <c r="J70" s="63">
        <f t="shared" si="1"/>
        <v>71237.865267695277</v>
      </c>
      <c r="K70" s="68">
        <f t="shared" si="2"/>
        <v>-1780946.6316923802</v>
      </c>
      <c r="L70" s="63">
        <f t="shared" si="16"/>
        <v>-2208373.8232985525</v>
      </c>
      <c r="M70" s="69">
        <f t="shared" si="12"/>
        <v>8307692.0019326638</v>
      </c>
      <c r="N70" s="64">
        <f t="shared" si="10"/>
        <v>6699751.6144618262</v>
      </c>
    </row>
    <row r="71" spans="1:14" ht="13.8" thickBot="1" x14ac:dyDescent="0.3">
      <c r="A71" s="61">
        <v>45961</v>
      </c>
      <c r="B71" s="30" t="s">
        <v>145</v>
      </c>
      <c r="C71" s="63"/>
      <c r="D71" s="63">
        <f t="shared" si="3"/>
        <v>16282940.632616065</v>
      </c>
      <c r="E71" s="63">
        <f t="shared" si="17"/>
        <v>16282940.632616071</v>
      </c>
      <c r="F71" s="122">
        <f t="shared" si="18"/>
        <v>339227.92984616803</v>
      </c>
      <c r="G71" s="63">
        <f t="shared" si="13"/>
        <v>-8141470.3163080271</v>
      </c>
      <c r="H71" s="63">
        <f t="shared" si="14"/>
        <v>-6106102.7372310227</v>
      </c>
      <c r="I71" s="63">
        <f t="shared" si="15"/>
        <v>10176837.895385049</v>
      </c>
      <c r="J71" s="63">
        <f t="shared" si="1"/>
        <v>71237.865267695277</v>
      </c>
      <c r="K71" s="68">
        <f t="shared" si="2"/>
        <v>-1709708.7664246848</v>
      </c>
      <c r="L71" s="63">
        <f t="shared" si="16"/>
        <v>-2137135.9580308571</v>
      </c>
      <c r="M71" s="69">
        <f t="shared" si="12"/>
        <v>8039701.9373541921</v>
      </c>
      <c r="N71" s="64">
        <f t="shared" si="10"/>
        <v>6431761.5498833535</v>
      </c>
    </row>
    <row r="72" spans="1:14" x14ac:dyDescent="0.25">
      <c r="A72" s="134">
        <v>45991</v>
      </c>
      <c r="B72" s="141" t="s">
        <v>146</v>
      </c>
      <c r="C72" s="136"/>
      <c r="D72" s="136">
        <f t="shared" si="3"/>
        <v>16282940.632616065</v>
      </c>
      <c r="E72" s="136">
        <f t="shared" si="17"/>
        <v>16282940.632616071</v>
      </c>
      <c r="F72" s="148">
        <f t="shared" si="18"/>
        <v>339227.92984616803</v>
      </c>
      <c r="G72" s="136">
        <f t="shared" si="13"/>
        <v>-8480698.2461541947</v>
      </c>
      <c r="H72" s="136">
        <f t="shared" si="14"/>
        <v>-6445330.6670771902</v>
      </c>
      <c r="I72" s="136">
        <f t="shared" si="15"/>
        <v>9837609.9655388817</v>
      </c>
      <c r="J72" s="136">
        <f t="shared" si="1"/>
        <v>71237.865267695277</v>
      </c>
      <c r="K72" s="138">
        <f t="shared" si="2"/>
        <v>-1638470.9011569894</v>
      </c>
      <c r="L72" s="136">
        <f t="shared" si="16"/>
        <v>-2065898.092763162</v>
      </c>
      <c r="M72" s="139">
        <f t="shared" si="12"/>
        <v>7771711.8727757195</v>
      </c>
      <c r="N72" s="140">
        <f t="shared" si="10"/>
        <v>6163771.4853048809</v>
      </c>
    </row>
    <row r="73" spans="1:14" x14ac:dyDescent="0.25">
      <c r="A73" s="61">
        <v>46022</v>
      </c>
      <c r="B73" s="30" t="s">
        <v>146</v>
      </c>
      <c r="C73" s="63"/>
      <c r="D73" s="63">
        <f t="shared" si="3"/>
        <v>16282940.632616065</v>
      </c>
      <c r="E73" s="63">
        <f t="shared" si="17"/>
        <v>16282940.632616071</v>
      </c>
      <c r="F73" s="122">
        <f t="shared" si="18"/>
        <v>339227.92984616803</v>
      </c>
      <c r="G73" s="63">
        <f t="shared" si="13"/>
        <v>-8819926.1760003623</v>
      </c>
      <c r="H73" s="63">
        <f t="shared" si="14"/>
        <v>-6784558.5969233578</v>
      </c>
      <c r="I73" s="63">
        <f t="shared" si="15"/>
        <v>9498382.0356927142</v>
      </c>
      <c r="J73" s="63">
        <f t="shared" si="1"/>
        <v>71237.865267695277</v>
      </c>
      <c r="K73" s="68">
        <f t="shared" si="2"/>
        <v>-1567233.035889294</v>
      </c>
      <c r="L73" s="63">
        <f t="shared" si="16"/>
        <v>-1994660.2274954661</v>
      </c>
      <c r="M73" s="69">
        <f t="shared" si="12"/>
        <v>7503721.8081972478</v>
      </c>
      <c r="N73" s="64">
        <f t="shared" si="10"/>
        <v>5895781.4207264092</v>
      </c>
    </row>
    <row r="74" spans="1:14" x14ac:dyDescent="0.25">
      <c r="A74" s="61">
        <v>46053</v>
      </c>
      <c r="B74" s="30" t="s">
        <v>146</v>
      </c>
      <c r="C74" s="30"/>
      <c r="D74" s="63">
        <f t="shared" si="3"/>
        <v>16282940.632616065</v>
      </c>
      <c r="E74" s="63">
        <f t="shared" si="17"/>
        <v>16282940.632616071</v>
      </c>
      <c r="F74" s="122">
        <f t="shared" si="18"/>
        <v>339227.92984616803</v>
      </c>
      <c r="G74" s="63">
        <f t="shared" si="13"/>
        <v>-9159154.1058465298</v>
      </c>
      <c r="H74" s="63">
        <f t="shared" si="14"/>
        <v>-7123786.5267695235</v>
      </c>
      <c r="I74" s="63">
        <f t="shared" si="15"/>
        <v>9159154.1058465466</v>
      </c>
      <c r="J74" s="63">
        <f t="shared" si="1"/>
        <v>71237.865267695277</v>
      </c>
      <c r="K74" s="68">
        <f t="shared" si="2"/>
        <v>-1495995.1706215986</v>
      </c>
      <c r="L74" s="63">
        <f t="shared" si="16"/>
        <v>-1923422.3622277707</v>
      </c>
      <c r="M74" s="69">
        <f t="shared" si="12"/>
        <v>7235731.7436187761</v>
      </c>
      <c r="N74" s="64">
        <f t="shared" si="10"/>
        <v>5627791.3561479375</v>
      </c>
    </row>
    <row r="75" spans="1:14" x14ac:dyDescent="0.25">
      <c r="A75" s="61">
        <v>46081</v>
      </c>
      <c r="B75" s="30" t="s">
        <v>146</v>
      </c>
      <c r="C75" s="30"/>
      <c r="D75" s="63">
        <f t="shared" si="3"/>
        <v>16282940.632616065</v>
      </c>
      <c r="E75" s="63">
        <f t="shared" si="17"/>
        <v>16282940.632616071</v>
      </c>
      <c r="F75" s="122">
        <f t="shared" si="18"/>
        <v>339227.92984616803</v>
      </c>
      <c r="G75" s="63">
        <f t="shared" si="13"/>
        <v>-9498382.0356926974</v>
      </c>
      <c r="H75" s="63">
        <f t="shared" si="14"/>
        <v>-7463014.4566156911</v>
      </c>
      <c r="I75" s="63">
        <f t="shared" si="15"/>
        <v>8819926.176000379</v>
      </c>
      <c r="J75" s="63">
        <f t="shared" si="1"/>
        <v>71237.865267695277</v>
      </c>
      <c r="K75" s="68">
        <f t="shared" si="2"/>
        <v>-1424757.3053539032</v>
      </c>
      <c r="L75" s="63">
        <f t="shared" si="16"/>
        <v>-1852184.4969600756</v>
      </c>
      <c r="M75" s="69">
        <f t="shared" si="12"/>
        <v>6967741.6790403035</v>
      </c>
      <c r="N75" s="64">
        <f t="shared" si="10"/>
        <v>5359801.2915694648</v>
      </c>
    </row>
    <row r="76" spans="1:14" x14ac:dyDescent="0.25">
      <c r="A76" s="61">
        <v>46112</v>
      </c>
      <c r="B76" s="30" t="s">
        <v>146</v>
      </c>
      <c r="C76" s="30"/>
      <c r="D76" s="63">
        <f t="shared" si="3"/>
        <v>16282940.632616065</v>
      </c>
      <c r="E76" s="63">
        <f t="shared" si="17"/>
        <v>16282940.632616071</v>
      </c>
      <c r="F76" s="122">
        <f t="shared" si="18"/>
        <v>339227.92984616803</v>
      </c>
      <c r="G76" s="63">
        <f t="shared" si="13"/>
        <v>-9837609.965538865</v>
      </c>
      <c r="H76" s="63">
        <f t="shared" si="14"/>
        <v>-7802242.3864618586</v>
      </c>
      <c r="I76" s="63">
        <f t="shared" si="15"/>
        <v>8480698.2461542115</v>
      </c>
      <c r="J76" s="63">
        <f t="shared" si="1"/>
        <v>71237.865267695277</v>
      </c>
      <c r="K76" s="68">
        <f t="shared" si="2"/>
        <v>-1353519.4400862078</v>
      </c>
      <c r="L76" s="63">
        <f t="shared" si="16"/>
        <v>-1780946.6316923799</v>
      </c>
      <c r="M76" s="69">
        <f t="shared" si="12"/>
        <v>6699751.6144618317</v>
      </c>
      <c r="N76" s="64">
        <f t="shared" si="10"/>
        <v>5091811.2269909922</v>
      </c>
    </row>
    <row r="77" spans="1:14" x14ac:dyDescent="0.25">
      <c r="A77" s="61">
        <v>46142</v>
      </c>
      <c r="B77" s="30" t="s">
        <v>146</v>
      </c>
      <c r="C77" s="30"/>
      <c r="D77" s="63">
        <f t="shared" si="3"/>
        <v>16282940.632616065</v>
      </c>
      <c r="E77" s="63">
        <f t="shared" si="17"/>
        <v>16282940.632616071</v>
      </c>
      <c r="F77" s="122">
        <f t="shared" si="18"/>
        <v>339227.92984616803</v>
      </c>
      <c r="G77" s="63">
        <f t="shared" si="13"/>
        <v>-10176837.895385033</v>
      </c>
      <c r="H77" s="63">
        <f t="shared" si="14"/>
        <v>-8141470.3163080262</v>
      </c>
      <c r="I77" s="63">
        <f t="shared" si="15"/>
        <v>8141470.3163080448</v>
      </c>
      <c r="J77" s="63">
        <f t="shared" si="1"/>
        <v>71237.865267695277</v>
      </c>
      <c r="K77" s="68">
        <f t="shared" si="2"/>
        <v>-1282281.5748185124</v>
      </c>
      <c r="L77" s="63">
        <f t="shared" si="16"/>
        <v>-1709708.7664246848</v>
      </c>
      <c r="M77" s="69">
        <f t="shared" si="12"/>
        <v>6431761.54988336</v>
      </c>
      <c r="N77" s="64">
        <f t="shared" si="10"/>
        <v>4823821.1624125205</v>
      </c>
    </row>
    <row r="78" spans="1:14" x14ac:dyDescent="0.25">
      <c r="A78" s="61">
        <v>46173</v>
      </c>
      <c r="B78" s="30" t="s">
        <v>146</v>
      </c>
      <c r="C78" s="30"/>
      <c r="D78" s="63">
        <f t="shared" si="3"/>
        <v>16282940.632616065</v>
      </c>
      <c r="E78" s="63">
        <f t="shared" si="17"/>
        <v>16282940.632616071</v>
      </c>
      <c r="F78" s="122">
        <f t="shared" si="18"/>
        <v>339227.92984616803</v>
      </c>
      <c r="G78" s="63">
        <f t="shared" si="13"/>
        <v>-10516065.8252312</v>
      </c>
      <c r="H78" s="63">
        <f t="shared" si="14"/>
        <v>-8480698.2461541947</v>
      </c>
      <c r="I78" s="63">
        <f t="shared" si="15"/>
        <v>7802242.3864618763</v>
      </c>
      <c r="J78" s="63">
        <f t="shared" si="1"/>
        <v>71237.865267695277</v>
      </c>
      <c r="K78" s="68">
        <f t="shared" si="2"/>
        <v>-1211043.709550817</v>
      </c>
      <c r="L78" s="63">
        <f t="shared" si="16"/>
        <v>-1638470.9011569889</v>
      </c>
      <c r="M78" s="69">
        <f t="shared" si="12"/>
        <v>6163771.4853048874</v>
      </c>
      <c r="N78" s="64">
        <f t="shared" si="10"/>
        <v>4555831.0978340488</v>
      </c>
    </row>
    <row r="79" spans="1:14" x14ac:dyDescent="0.25">
      <c r="A79" s="61">
        <v>46203</v>
      </c>
      <c r="B79" s="30" t="s">
        <v>146</v>
      </c>
      <c r="D79" s="63">
        <f t="shared" si="3"/>
        <v>16282940.632616065</v>
      </c>
      <c r="E79" s="63">
        <f t="shared" si="17"/>
        <v>16282940.632616071</v>
      </c>
      <c r="F79" s="122">
        <f t="shared" si="18"/>
        <v>339227.92984616803</v>
      </c>
      <c r="G79" s="63">
        <f t="shared" si="13"/>
        <v>-10855293.755077368</v>
      </c>
      <c r="H79" s="63">
        <f t="shared" si="14"/>
        <v>-8819926.1760003623</v>
      </c>
      <c r="I79" s="63">
        <f t="shared" si="15"/>
        <v>7463014.4566157088</v>
      </c>
      <c r="J79" s="63">
        <f t="shared" si="1"/>
        <v>71237.865267695277</v>
      </c>
      <c r="K79" s="68">
        <f t="shared" si="2"/>
        <v>-1139805.8442831216</v>
      </c>
      <c r="L79" s="63">
        <f t="shared" si="16"/>
        <v>-1567233.035889294</v>
      </c>
      <c r="M79" s="63">
        <f t="shared" si="12"/>
        <v>5895781.4207264148</v>
      </c>
      <c r="N79" s="64">
        <f t="shared" si="10"/>
        <v>4287841.0332555762</v>
      </c>
    </row>
    <row r="80" spans="1:14" x14ac:dyDescent="0.25">
      <c r="A80" s="61">
        <v>46234</v>
      </c>
      <c r="B80" s="30" t="s">
        <v>146</v>
      </c>
      <c r="D80" s="63">
        <f t="shared" si="3"/>
        <v>16282940.632616065</v>
      </c>
      <c r="E80" s="63">
        <f t="shared" si="17"/>
        <v>16282940.632616071</v>
      </c>
      <c r="F80" s="122">
        <f t="shared" si="18"/>
        <v>339227.92984616803</v>
      </c>
      <c r="G80" s="63">
        <f t="shared" si="13"/>
        <v>-11194521.684923535</v>
      </c>
      <c r="H80" s="63">
        <f t="shared" si="14"/>
        <v>-9159154.105846528</v>
      </c>
      <c r="I80" s="63">
        <f t="shared" si="15"/>
        <v>7123786.5267695431</v>
      </c>
      <c r="J80" s="63">
        <f t="shared" si="1"/>
        <v>71237.865267695277</v>
      </c>
      <c r="K80" s="68">
        <f t="shared" si="2"/>
        <v>-1068567.9790154262</v>
      </c>
      <c r="L80" s="63">
        <f t="shared" si="16"/>
        <v>-1495995.1706215988</v>
      </c>
      <c r="M80" s="63">
        <f t="shared" si="12"/>
        <v>5627791.356147944</v>
      </c>
      <c r="N80" s="64">
        <f t="shared" si="10"/>
        <v>4019850.968677104</v>
      </c>
    </row>
    <row r="81" spans="1:14" x14ac:dyDescent="0.25">
      <c r="A81" s="61">
        <v>46265</v>
      </c>
      <c r="B81" s="30" t="s">
        <v>146</v>
      </c>
      <c r="D81" s="63">
        <f t="shared" si="3"/>
        <v>16282940.632616065</v>
      </c>
      <c r="E81" s="63">
        <f t="shared" si="17"/>
        <v>16282940.632616071</v>
      </c>
      <c r="F81" s="122">
        <f t="shared" si="18"/>
        <v>339227.92984616803</v>
      </c>
      <c r="G81" s="63">
        <f t="shared" si="13"/>
        <v>-11533749.614769703</v>
      </c>
      <c r="H81" s="63">
        <f t="shared" si="14"/>
        <v>-9498382.0356926955</v>
      </c>
      <c r="I81" s="63">
        <f t="shared" si="15"/>
        <v>6784558.5969233755</v>
      </c>
      <c r="J81" s="63">
        <f t="shared" si="1"/>
        <v>71237.865267695277</v>
      </c>
      <c r="K81" s="68">
        <f t="shared" si="2"/>
        <v>-997330.11374773097</v>
      </c>
      <c r="L81" s="63">
        <f t="shared" si="16"/>
        <v>-1424757.3053539032</v>
      </c>
      <c r="M81" s="63">
        <f t="shared" si="12"/>
        <v>5359801.2915694723</v>
      </c>
      <c r="N81" s="64">
        <f t="shared" si="10"/>
        <v>3751860.9040986318</v>
      </c>
    </row>
    <row r="82" spans="1:14" x14ac:dyDescent="0.25">
      <c r="A82" s="61">
        <v>46295</v>
      </c>
      <c r="B82" s="30" t="s">
        <v>146</v>
      </c>
      <c r="D82" s="63">
        <f t="shared" si="3"/>
        <v>16282940.632616065</v>
      </c>
      <c r="E82" s="63">
        <f t="shared" si="17"/>
        <v>16282940.632616071</v>
      </c>
      <c r="F82" s="122">
        <f t="shared" si="18"/>
        <v>339227.92984616803</v>
      </c>
      <c r="G82" s="63">
        <f t="shared" si="13"/>
        <v>-11872977.54461587</v>
      </c>
      <c r="H82" s="63">
        <f t="shared" si="14"/>
        <v>-9837609.9655388631</v>
      </c>
      <c r="I82" s="63">
        <f t="shared" si="15"/>
        <v>6445330.6670772079</v>
      </c>
      <c r="J82" s="63">
        <f t="shared" si="1"/>
        <v>71237.865267695277</v>
      </c>
      <c r="K82" s="68">
        <f t="shared" si="2"/>
        <v>-926092.24848003569</v>
      </c>
      <c r="L82" s="63">
        <f t="shared" si="16"/>
        <v>-1353519.4400862078</v>
      </c>
      <c r="M82" s="63">
        <f t="shared" si="12"/>
        <v>5091811.2269909997</v>
      </c>
      <c r="N82" s="64">
        <f t="shared" si="10"/>
        <v>3483870.8395201592</v>
      </c>
    </row>
    <row r="83" spans="1:14" ht="13.8" thickBot="1" x14ac:dyDescent="0.3">
      <c r="A83" s="61">
        <v>46326</v>
      </c>
      <c r="B83" s="30" t="s">
        <v>146</v>
      </c>
      <c r="D83" s="63">
        <f t="shared" si="3"/>
        <v>16282940.632616065</v>
      </c>
      <c r="E83" s="63">
        <f t="shared" si="17"/>
        <v>16282940.632616071</v>
      </c>
      <c r="F83" s="122">
        <f t="shared" si="18"/>
        <v>339227.92984616803</v>
      </c>
      <c r="G83" s="63">
        <f t="shared" si="13"/>
        <v>-12212205.474462038</v>
      </c>
      <c r="H83" s="63">
        <f t="shared" si="14"/>
        <v>-10176837.895385031</v>
      </c>
      <c r="I83" s="63">
        <f t="shared" si="15"/>
        <v>6106102.7372310404</v>
      </c>
      <c r="J83" s="63">
        <f t="shared" si="1"/>
        <v>71237.865267695277</v>
      </c>
      <c r="K83" s="68">
        <f t="shared" si="2"/>
        <v>-854854.38321234041</v>
      </c>
      <c r="L83" s="63">
        <f t="shared" si="16"/>
        <v>-1282281.5748185122</v>
      </c>
      <c r="M83" s="63">
        <f t="shared" si="12"/>
        <v>4823821.1624125279</v>
      </c>
      <c r="N83" s="64">
        <f t="shared" si="10"/>
        <v>3215880.774941687</v>
      </c>
    </row>
    <row r="84" spans="1:14" x14ac:dyDescent="0.25">
      <c r="A84" s="134">
        <v>46356</v>
      </c>
      <c r="B84" s="141" t="s">
        <v>147</v>
      </c>
      <c r="C84" s="141"/>
      <c r="D84" s="136">
        <f t="shared" si="3"/>
        <v>16282940.632616065</v>
      </c>
      <c r="E84" s="136">
        <f t="shared" si="17"/>
        <v>16282940.632616071</v>
      </c>
      <c r="F84" s="148">
        <f t="shared" si="18"/>
        <v>339227.92984616803</v>
      </c>
      <c r="G84" s="136">
        <f t="shared" si="13"/>
        <v>-12551433.404308205</v>
      </c>
      <c r="H84" s="136">
        <f t="shared" si="14"/>
        <v>-10516065.825231198</v>
      </c>
      <c r="I84" s="136">
        <f t="shared" si="15"/>
        <v>5766874.8073848728</v>
      </c>
      <c r="J84" s="136">
        <f t="shared" si="1"/>
        <v>71237.865267695277</v>
      </c>
      <c r="K84" s="138">
        <f t="shared" si="2"/>
        <v>-783616.51794464514</v>
      </c>
      <c r="L84" s="136">
        <f t="shared" si="16"/>
        <v>-1211043.709550817</v>
      </c>
      <c r="M84" s="136">
        <f t="shared" si="12"/>
        <v>4555831.0978340562</v>
      </c>
      <c r="N84" s="140">
        <f t="shared" si="10"/>
        <v>2947890.7103632148</v>
      </c>
    </row>
    <row r="85" spans="1:14" x14ac:dyDescent="0.25">
      <c r="A85" s="61">
        <v>46387</v>
      </c>
      <c r="B85" s="66" t="s">
        <v>147</v>
      </c>
      <c r="D85" s="63">
        <f t="shared" si="3"/>
        <v>16282940.632616065</v>
      </c>
      <c r="E85" s="63">
        <f t="shared" si="17"/>
        <v>16282940.632616071</v>
      </c>
      <c r="F85" s="122">
        <f t="shared" si="18"/>
        <v>339227.92984616803</v>
      </c>
      <c r="G85" s="63">
        <f t="shared" si="13"/>
        <v>-12890661.334154373</v>
      </c>
      <c r="H85" s="63">
        <f t="shared" si="14"/>
        <v>-10855293.755077366</v>
      </c>
      <c r="I85" s="63">
        <f t="shared" si="15"/>
        <v>5427646.8775387052</v>
      </c>
      <c r="J85" s="63">
        <f t="shared" si="1"/>
        <v>71237.865267695277</v>
      </c>
      <c r="K85" s="68">
        <f t="shared" si="2"/>
        <v>-712378.65267694986</v>
      </c>
      <c r="L85" s="63">
        <f t="shared" si="16"/>
        <v>-1139805.8442831219</v>
      </c>
      <c r="M85" s="63">
        <f t="shared" si="12"/>
        <v>4287841.0332555836</v>
      </c>
      <c r="N85" s="64">
        <f t="shared" si="10"/>
        <v>2679900.6457847427</v>
      </c>
    </row>
    <row r="86" spans="1:14" x14ac:dyDescent="0.25">
      <c r="A86" s="61">
        <v>46418</v>
      </c>
      <c r="B86" s="66" t="s">
        <v>147</v>
      </c>
      <c r="D86" s="63">
        <f t="shared" si="3"/>
        <v>16282940.632616065</v>
      </c>
      <c r="E86" s="63">
        <f t="shared" si="17"/>
        <v>16282940.632616071</v>
      </c>
      <c r="F86" s="122">
        <f t="shared" si="18"/>
        <v>339227.92984616803</v>
      </c>
      <c r="G86" s="63">
        <f t="shared" si="13"/>
        <v>-13229889.264000541</v>
      </c>
      <c r="H86" s="63">
        <f t="shared" si="14"/>
        <v>-11194521.684923535</v>
      </c>
      <c r="I86" s="63">
        <f t="shared" si="15"/>
        <v>5088418.9476925358</v>
      </c>
      <c r="J86" s="63">
        <f t="shared" si="1"/>
        <v>71237.865267695277</v>
      </c>
      <c r="K86" s="68">
        <f t="shared" si="2"/>
        <v>-641140.78740925458</v>
      </c>
      <c r="L86" s="63">
        <f t="shared" si="16"/>
        <v>-1068567.9790154265</v>
      </c>
      <c r="M86" s="63">
        <f t="shared" si="12"/>
        <v>4019850.9686771091</v>
      </c>
      <c r="N86" s="64">
        <f t="shared" si="10"/>
        <v>2411910.5812062705</v>
      </c>
    </row>
    <row r="87" spans="1:14" x14ac:dyDescent="0.25">
      <c r="A87" s="61">
        <v>46446</v>
      </c>
      <c r="B87" s="66" t="s">
        <v>147</v>
      </c>
      <c r="D87" s="63">
        <f t="shared" si="3"/>
        <v>16282940.632616065</v>
      </c>
      <c r="E87" s="63">
        <f t="shared" si="17"/>
        <v>16282940.632616071</v>
      </c>
      <c r="F87" s="122">
        <f t="shared" si="18"/>
        <v>339227.92984616803</v>
      </c>
      <c r="G87" s="63">
        <f t="shared" si="13"/>
        <v>-13569117.193846708</v>
      </c>
      <c r="H87" s="63">
        <f t="shared" si="14"/>
        <v>-11533749.614769703</v>
      </c>
      <c r="I87" s="63">
        <f t="shared" si="15"/>
        <v>4749191.0178463683</v>
      </c>
      <c r="J87" s="63">
        <f t="shared" si="1"/>
        <v>71237.865267695277</v>
      </c>
      <c r="K87" s="68">
        <f t="shared" si="2"/>
        <v>-569902.92214155931</v>
      </c>
      <c r="L87" s="63">
        <f t="shared" si="16"/>
        <v>-997330.11374773097</v>
      </c>
      <c r="M87" s="63">
        <f t="shared" si="12"/>
        <v>3751860.9040986374</v>
      </c>
      <c r="N87" s="64">
        <f t="shared" si="10"/>
        <v>2143920.5166277979</v>
      </c>
    </row>
    <row r="88" spans="1:14" x14ac:dyDescent="0.25">
      <c r="A88" s="61">
        <v>46477</v>
      </c>
      <c r="B88" s="66" t="s">
        <v>147</v>
      </c>
      <c r="D88" s="63">
        <f t="shared" si="3"/>
        <v>16282940.632616065</v>
      </c>
      <c r="E88" s="63">
        <f t="shared" si="17"/>
        <v>16282940.632616071</v>
      </c>
      <c r="F88" s="122">
        <f t="shared" si="18"/>
        <v>339227.92984616803</v>
      </c>
      <c r="G88" s="63">
        <f t="shared" si="13"/>
        <v>-13908345.123692876</v>
      </c>
      <c r="H88" s="63">
        <f t="shared" si="14"/>
        <v>-11872977.54461587</v>
      </c>
      <c r="I88" s="63">
        <f t="shared" si="15"/>
        <v>4409963.0880002007</v>
      </c>
      <c r="J88" s="63">
        <f t="shared" ref="J88:J96" si="19">(-C88*0.21)+(F88*0.21)</f>
        <v>71237.865267695277</v>
      </c>
      <c r="K88" s="68">
        <f t="shared" ref="K88:K96" si="20">K87+J88</f>
        <v>-498665.05687386403</v>
      </c>
      <c r="L88" s="63">
        <f t="shared" si="16"/>
        <v>-926092.24848003592</v>
      </c>
      <c r="M88" s="63">
        <f t="shared" si="12"/>
        <v>3483870.8395201648</v>
      </c>
      <c r="N88" s="64">
        <f t="shared" si="10"/>
        <v>1875930.4520493257</v>
      </c>
    </row>
    <row r="89" spans="1:14" x14ac:dyDescent="0.25">
      <c r="A89" s="61">
        <v>46507</v>
      </c>
      <c r="B89" s="66" t="s">
        <v>147</v>
      </c>
      <c r="D89" s="63">
        <f t="shared" ref="D89:D96" si="21">D88+C89</f>
        <v>16282940.632616065</v>
      </c>
      <c r="E89" s="63">
        <f t="shared" si="17"/>
        <v>16282940.632616071</v>
      </c>
      <c r="F89" s="122">
        <f t="shared" si="18"/>
        <v>339227.92984616803</v>
      </c>
      <c r="G89" s="63">
        <f t="shared" si="13"/>
        <v>-14247573.053539043</v>
      </c>
      <c r="H89" s="63">
        <f t="shared" si="14"/>
        <v>-12212205.474462034</v>
      </c>
      <c r="I89" s="63">
        <f t="shared" si="15"/>
        <v>4070735.1581540368</v>
      </c>
      <c r="J89" s="63">
        <f t="shared" si="19"/>
        <v>71237.865267695277</v>
      </c>
      <c r="K89" s="68">
        <f t="shared" si="20"/>
        <v>-427427.19160616875</v>
      </c>
      <c r="L89" s="63">
        <f t="shared" si="16"/>
        <v>-854854.38321234041</v>
      </c>
      <c r="M89" s="63">
        <f t="shared" si="12"/>
        <v>3215880.7749416963</v>
      </c>
      <c r="N89" s="64">
        <f t="shared" si="10"/>
        <v>1607940.3874708535</v>
      </c>
    </row>
    <row r="90" spans="1:14" x14ac:dyDescent="0.25">
      <c r="A90" s="61">
        <v>46538</v>
      </c>
      <c r="B90" s="66" t="s">
        <v>147</v>
      </c>
      <c r="D90" s="63">
        <f t="shared" si="21"/>
        <v>16282940.632616065</v>
      </c>
      <c r="E90" s="63">
        <f t="shared" si="17"/>
        <v>16282940.632616071</v>
      </c>
      <c r="F90" s="122">
        <f t="shared" si="18"/>
        <v>339227.92984616803</v>
      </c>
      <c r="G90" s="63">
        <f t="shared" si="13"/>
        <v>-14586800.983385211</v>
      </c>
      <c r="H90" s="63">
        <f t="shared" si="14"/>
        <v>-12551433.404308202</v>
      </c>
      <c r="I90" s="63">
        <f t="shared" si="15"/>
        <v>3731507.2283078693</v>
      </c>
      <c r="J90" s="63">
        <f t="shared" si="19"/>
        <v>71237.865267695277</v>
      </c>
      <c r="K90" s="68">
        <f t="shared" si="20"/>
        <v>-356189.32633847347</v>
      </c>
      <c r="L90" s="63">
        <f t="shared" si="16"/>
        <v>-783616.51794464514</v>
      </c>
      <c r="M90" s="63">
        <f t="shared" si="12"/>
        <v>2947890.7103632241</v>
      </c>
      <c r="N90" s="64">
        <f t="shared" si="10"/>
        <v>1339950.3228923811</v>
      </c>
    </row>
    <row r="91" spans="1:14" x14ac:dyDescent="0.25">
      <c r="A91" s="61">
        <v>46568</v>
      </c>
      <c r="B91" s="66" t="s">
        <v>147</v>
      </c>
      <c r="D91" s="63">
        <f t="shared" si="21"/>
        <v>16282940.632616065</v>
      </c>
      <c r="E91" s="63">
        <f t="shared" si="17"/>
        <v>16282940.632616071</v>
      </c>
      <c r="F91" s="122">
        <f t="shared" si="18"/>
        <v>339227.92984616803</v>
      </c>
      <c r="G91" s="63">
        <f t="shared" si="13"/>
        <v>-14926028.913231378</v>
      </c>
      <c r="H91" s="63">
        <f t="shared" si="14"/>
        <v>-12890661.334154369</v>
      </c>
      <c r="I91" s="63">
        <f t="shared" si="15"/>
        <v>3392279.2984617017</v>
      </c>
      <c r="J91" s="63">
        <f t="shared" si="19"/>
        <v>71237.865267695277</v>
      </c>
      <c r="K91" s="68">
        <f t="shared" si="20"/>
        <v>-284951.4610707782</v>
      </c>
      <c r="L91" s="63">
        <f t="shared" si="16"/>
        <v>-712378.65267694986</v>
      </c>
      <c r="M91" s="63">
        <f t="shared" si="12"/>
        <v>2679900.645784752</v>
      </c>
      <c r="N91" s="64">
        <f t="shared" si="10"/>
        <v>1071960.2583139087</v>
      </c>
    </row>
    <row r="92" spans="1:14" x14ac:dyDescent="0.25">
      <c r="A92" s="61">
        <v>46599</v>
      </c>
      <c r="B92" s="66" t="s">
        <v>147</v>
      </c>
      <c r="D92" s="63">
        <f t="shared" si="21"/>
        <v>16282940.632616065</v>
      </c>
      <c r="E92" s="63">
        <f t="shared" si="17"/>
        <v>16282940.632616071</v>
      </c>
      <c r="F92" s="122">
        <f t="shared" si="18"/>
        <v>339227.92984616803</v>
      </c>
      <c r="G92" s="63">
        <f t="shared" si="13"/>
        <v>-15265256.843077546</v>
      </c>
      <c r="H92" s="63">
        <f t="shared" si="14"/>
        <v>-13229889.264000537</v>
      </c>
      <c r="I92" s="63">
        <f t="shared" si="15"/>
        <v>3053051.3686155342</v>
      </c>
      <c r="J92" s="63">
        <f t="shared" si="19"/>
        <v>71237.865267695277</v>
      </c>
      <c r="K92" s="68">
        <f t="shared" si="20"/>
        <v>-213713.59580308292</v>
      </c>
      <c r="L92" s="63">
        <f t="shared" si="16"/>
        <v>-641140.78740925447</v>
      </c>
      <c r="M92" s="63">
        <f t="shared" si="12"/>
        <v>2411910.5812062798</v>
      </c>
      <c r="N92" s="64">
        <f t="shared" si="10"/>
        <v>803970.19373543654</v>
      </c>
    </row>
    <row r="93" spans="1:14" x14ac:dyDescent="0.25">
      <c r="A93" s="61">
        <v>46630</v>
      </c>
      <c r="B93" s="66" t="s">
        <v>147</v>
      </c>
      <c r="D93" s="63">
        <f t="shared" si="21"/>
        <v>16282940.632616065</v>
      </c>
      <c r="E93" s="63">
        <f t="shared" si="17"/>
        <v>16282940.632616071</v>
      </c>
      <c r="F93" s="122">
        <f t="shared" si="18"/>
        <v>339227.92984616803</v>
      </c>
      <c r="G93" s="63">
        <f t="shared" si="13"/>
        <v>-15604484.772923714</v>
      </c>
      <c r="H93" s="63">
        <f t="shared" si="14"/>
        <v>-13569117.193846704</v>
      </c>
      <c r="I93" s="63">
        <f t="shared" si="15"/>
        <v>2713823.4387693666</v>
      </c>
      <c r="J93" s="63">
        <f t="shared" si="19"/>
        <v>71237.865267695277</v>
      </c>
      <c r="K93" s="68">
        <f t="shared" si="20"/>
        <v>-142475.73053538764</v>
      </c>
      <c r="L93" s="63">
        <f t="shared" si="16"/>
        <v>-569902.92214155931</v>
      </c>
      <c r="M93" s="63">
        <f t="shared" si="12"/>
        <v>2143920.5166278072</v>
      </c>
      <c r="N93" s="64">
        <f t="shared" si="10"/>
        <v>535980.12915696425</v>
      </c>
    </row>
    <row r="94" spans="1:14" x14ac:dyDescent="0.25">
      <c r="A94" s="61">
        <v>46660</v>
      </c>
      <c r="B94" s="66" t="s">
        <v>147</v>
      </c>
      <c r="D94" s="63">
        <f t="shared" si="21"/>
        <v>16282940.632616065</v>
      </c>
      <c r="E94" s="63">
        <f t="shared" si="17"/>
        <v>16282940.632616071</v>
      </c>
      <c r="F94" s="122">
        <f t="shared" si="18"/>
        <v>339227.92984616803</v>
      </c>
      <c r="G94" s="63">
        <f t="shared" si="13"/>
        <v>-15943712.702769881</v>
      </c>
      <c r="H94" s="63">
        <f t="shared" si="14"/>
        <v>-13908345.123692872</v>
      </c>
      <c r="I94" s="63">
        <f t="shared" si="15"/>
        <v>2374595.508923199</v>
      </c>
      <c r="J94" s="63">
        <f t="shared" si="19"/>
        <v>71237.865267695277</v>
      </c>
      <c r="K94" s="68">
        <f t="shared" si="20"/>
        <v>-71237.865267692367</v>
      </c>
      <c r="L94" s="63">
        <f t="shared" si="16"/>
        <v>-498665.05687386403</v>
      </c>
      <c r="M94" s="63">
        <f t="shared" si="12"/>
        <v>1875930.452049335</v>
      </c>
      <c r="N94" s="64">
        <f t="shared" si="10"/>
        <v>267990.06457849196</v>
      </c>
    </row>
    <row r="95" spans="1:14" ht="13.8" thickBot="1" x14ac:dyDescent="0.3">
      <c r="A95" s="61">
        <v>46691</v>
      </c>
      <c r="B95" s="66" t="s">
        <v>147</v>
      </c>
      <c r="D95" s="63">
        <f t="shared" si="21"/>
        <v>16282940.632616065</v>
      </c>
      <c r="E95" s="63">
        <f t="shared" si="17"/>
        <v>16282940.632616071</v>
      </c>
      <c r="F95" s="122">
        <f t="shared" si="18"/>
        <v>339227.92984616803</v>
      </c>
      <c r="G95" s="63">
        <f t="shared" si="13"/>
        <v>-16282940.632616049</v>
      </c>
      <c r="H95" s="63">
        <f t="shared" si="14"/>
        <v>-14247573.05353904</v>
      </c>
      <c r="I95" s="63">
        <f t="shared" si="15"/>
        <v>2035367.5790770315</v>
      </c>
      <c r="J95" s="63">
        <f t="shared" si="19"/>
        <v>71237.865267695277</v>
      </c>
      <c r="K95" s="68">
        <f t="shared" si="20"/>
        <v>2.9103830456733704E-9</v>
      </c>
      <c r="L95" s="63">
        <f t="shared" si="16"/>
        <v>-427427.19160616869</v>
      </c>
      <c r="M95" s="63">
        <f t="shared" si="12"/>
        <v>1607940.3874708628</v>
      </c>
      <c r="N95" s="64">
        <f t="shared" si="10"/>
        <v>1.9674189388751984E-8</v>
      </c>
    </row>
    <row r="96" spans="1:14" x14ac:dyDescent="0.25">
      <c r="A96" s="134">
        <v>46721</v>
      </c>
      <c r="B96" s="141" t="s">
        <v>148</v>
      </c>
      <c r="C96" s="141"/>
      <c r="D96" s="136">
        <f t="shared" si="21"/>
        <v>16282940.632616065</v>
      </c>
      <c r="E96" s="136">
        <f t="shared" si="17"/>
        <v>16282940.632616071</v>
      </c>
      <c r="F96" s="169"/>
      <c r="G96" s="136">
        <f t="shared" si="13"/>
        <v>-16282940.632616049</v>
      </c>
      <c r="H96" s="136">
        <f t="shared" si="14"/>
        <v>-14572666.486308284</v>
      </c>
      <c r="I96" s="136">
        <f t="shared" si="15"/>
        <v>1710274.1463077869</v>
      </c>
      <c r="J96" s="136">
        <f t="shared" si="19"/>
        <v>0</v>
      </c>
      <c r="K96" s="138">
        <f t="shared" si="20"/>
        <v>2.9103830456733704E-9</v>
      </c>
      <c r="L96" s="136">
        <f t="shared" si="16"/>
        <v>-359157.57072462741</v>
      </c>
      <c r="M96" s="136">
        <f t="shared" si="12"/>
        <v>1351116.5755831595</v>
      </c>
      <c r="N96" s="140">
        <f t="shared" si="10"/>
        <v>1.9674189388751984E-8</v>
      </c>
    </row>
    <row r="97" spans="1:14" x14ac:dyDescent="0.25">
      <c r="A97" s="61">
        <v>46752</v>
      </c>
      <c r="B97" s="66" t="s">
        <v>148</v>
      </c>
      <c r="D97" s="63">
        <f t="shared" ref="D97:D106" si="22">D96+C97</f>
        <v>16282940.632616065</v>
      </c>
      <c r="E97" s="63">
        <f t="shared" ref="E97:E106" si="23">(D85+D97+SUM(D86:D96)*2)/24</f>
        <v>16282940.632616071</v>
      </c>
      <c r="F97" s="67"/>
      <c r="G97" s="63">
        <f t="shared" ref="G97:G106" si="24">G96-F97</f>
        <v>-16282940.632616049</v>
      </c>
      <c r="H97" s="63">
        <f t="shared" ref="H97:H106" si="25">(G85+G97+SUM(G86:G96)*2)/24</f>
        <v>-14869490.924923681</v>
      </c>
      <c r="I97" s="63">
        <f t="shared" ref="I97:I106" si="26">E97+H97</f>
        <v>1413449.7076923903</v>
      </c>
      <c r="J97" s="63">
        <f t="shared" ref="J97:J106" si="27">(-C97*0.21)+(F97*0.21)</f>
        <v>0</v>
      </c>
      <c r="K97" s="68">
        <f t="shared" ref="K97:K106" si="28">K96+J97</f>
        <v>2.9103830456733704E-9</v>
      </c>
      <c r="L97" s="63">
        <f t="shared" ref="L97:L106" si="29">(K85+K97+SUM(K86:K96)*2)/24</f>
        <v>-296824.43861539406</v>
      </c>
      <c r="M97" s="63">
        <f t="shared" ref="M97:M106" si="30">L97+I97</f>
        <v>1116625.2690769963</v>
      </c>
      <c r="N97" s="64">
        <f t="shared" ref="N97:N106" si="31">+D97+G97+K97</f>
        <v>1.9674189388751984E-8</v>
      </c>
    </row>
    <row r="98" spans="1:14" x14ac:dyDescent="0.25">
      <c r="A98" s="61">
        <v>46783</v>
      </c>
      <c r="B98" s="66" t="s">
        <v>148</v>
      </c>
      <c r="D98" s="63">
        <f t="shared" si="22"/>
        <v>16282940.632616065</v>
      </c>
      <c r="E98" s="63">
        <f t="shared" si="23"/>
        <v>16282940.632616071</v>
      </c>
      <c r="F98" s="67"/>
      <c r="G98" s="63">
        <f t="shared" si="24"/>
        <v>-16282940.632616049</v>
      </c>
      <c r="H98" s="63">
        <f t="shared" si="25"/>
        <v>-15138046.369385229</v>
      </c>
      <c r="I98" s="63">
        <f t="shared" si="26"/>
        <v>1144894.2632308416</v>
      </c>
      <c r="J98" s="63">
        <f t="shared" si="27"/>
        <v>0</v>
      </c>
      <c r="K98" s="68">
        <f t="shared" si="28"/>
        <v>2.9103830456733704E-9</v>
      </c>
      <c r="L98" s="63">
        <f t="shared" si="29"/>
        <v>-240427.79527846863</v>
      </c>
      <c r="M98" s="63">
        <f t="shared" si="30"/>
        <v>904466.46795237297</v>
      </c>
      <c r="N98" s="64">
        <f t="shared" si="31"/>
        <v>1.9674189388751984E-8</v>
      </c>
    </row>
    <row r="99" spans="1:14" x14ac:dyDescent="0.25">
      <c r="A99" s="61">
        <v>46812</v>
      </c>
      <c r="B99" s="66" t="s">
        <v>148</v>
      </c>
      <c r="D99" s="63">
        <f t="shared" si="22"/>
        <v>16282940.632616065</v>
      </c>
      <c r="E99" s="63">
        <f t="shared" si="23"/>
        <v>16282940.632616071</v>
      </c>
      <c r="F99" s="67"/>
      <c r="G99" s="63">
        <f t="shared" si="24"/>
        <v>-16282940.632616049</v>
      </c>
      <c r="H99" s="63">
        <f t="shared" si="25"/>
        <v>-15378332.819692932</v>
      </c>
      <c r="I99" s="63">
        <f t="shared" si="26"/>
        <v>904607.81292313896</v>
      </c>
      <c r="J99" s="63">
        <f t="shared" si="27"/>
        <v>0</v>
      </c>
      <c r="K99" s="68">
        <f t="shared" si="28"/>
        <v>2.9103830456733704E-9</v>
      </c>
      <c r="L99" s="63">
        <f t="shared" si="29"/>
        <v>-189967.6407138512</v>
      </c>
      <c r="M99" s="63">
        <f t="shared" si="30"/>
        <v>714640.17220928776</v>
      </c>
      <c r="N99" s="64">
        <f t="shared" si="31"/>
        <v>1.9674189388751984E-8</v>
      </c>
    </row>
    <row r="100" spans="1:14" x14ac:dyDescent="0.25">
      <c r="A100" s="61">
        <v>46843</v>
      </c>
      <c r="B100" s="66" t="s">
        <v>148</v>
      </c>
      <c r="D100" s="63">
        <f t="shared" si="22"/>
        <v>16282940.632616065</v>
      </c>
      <c r="E100" s="63">
        <f t="shared" si="23"/>
        <v>16282940.632616071</v>
      </c>
      <c r="F100" s="67"/>
      <c r="G100" s="63">
        <f t="shared" si="24"/>
        <v>-16282940.632616049</v>
      </c>
      <c r="H100" s="63">
        <f t="shared" si="25"/>
        <v>-15590350.275846787</v>
      </c>
      <c r="I100" s="63">
        <f t="shared" si="26"/>
        <v>692590.35676928423</v>
      </c>
      <c r="J100" s="63">
        <f t="shared" si="27"/>
        <v>0</v>
      </c>
      <c r="K100" s="68">
        <f t="shared" si="28"/>
        <v>2.9103830456733704E-9</v>
      </c>
      <c r="L100" s="63">
        <f t="shared" si="29"/>
        <v>-145443.97492154167</v>
      </c>
      <c r="M100" s="63">
        <f t="shared" si="30"/>
        <v>547146.3818477426</v>
      </c>
      <c r="N100" s="64">
        <f t="shared" si="31"/>
        <v>1.9674189388751984E-8</v>
      </c>
    </row>
    <row r="101" spans="1:14" x14ac:dyDescent="0.25">
      <c r="A101" s="61">
        <v>46873</v>
      </c>
      <c r="B101" s="66" t="s">
        <v>148</v>
      </c>
      <c r="D101" s="63">
        <f t="shared" si="22"/>
        <v>16282940.632616065</v>
      </c>
      <c r="E101" s="63">
        <f t="shared" si="23"/>
        <v>16282940.632616071</v>
      </c>
      <c r="F101" s="67"/>
      <c r="G101" s="63">
        <f t="shared" si="24"/>
        <v>-16282940.632616049</v>
      </c>
      <c r="H101" s="63">
        <f t="shared" si="25"/>
        <v>-15774098.737846794</v>
      </c>
      <c r="I101" s="63">
        <f t="shared" si="26"/>
        <v>508841.89476927742</v>
      </c>
      <c r="J101" s="63">
        <f t="shared" si="27"/>
        <v>0</v>
      </c>
      <c r="K101" s="68">
        <f t="shared" si="28"/>
        <v>2.9103830456733704E-9</v>
      </c>
      <c r="L101" s="63">
        <f t="shared" si="29"/>
        <v>-106856.79790154006</v>
      </c>
      <c r="M101" s="63">
        <f t="shared" si="30"/>
        <v>401985.09686773736</v>
      </c>
      <c r="N101" s="64">
        <f t="shared" si="31"/>
        <v>1.9674189388751984E-8</v>
      </c>
    </row>
    <row r="102" spans="1:14" x14ac:dyDescent="0.25">
      <c r="A102" s="61">
        <v>46904</v>
      </c>
      <c r="B102" s="66" t="s">
        <v>148</v>
      </c>
      <c r="D102" s="63">
        <f t="shared" si="22"/>
        <v>16282940.632616065</v>
      </c>
      <c r="E102" s="63">
        <f t="shared" si="23"/>
        <v>16282940.632616071</v>
      </c>
      <c r="F102" s="67"/>
      <c r="G102" s="63">
        <f t="shared" si="24"/>
        <v>-16282940.632616049</v>
      </c>
      <c r="H102" s="63">
        <f t="shared" si="25"/>
        <v>-15929578.205692954</v>
      </c>
      <c r="I102" s="63">
        <f t="shared" si="26"/>
        <v>353362.42692311667</v>
      </c>
      <c r="J102" s="63">
        <f t="shared" si="27"/>
        <v>0</v>
      </c>
      <c r="K102" s="68">
        <f t="shared" si="28"/>
        <v>2.9103830456733704E-9</v>
      </c>
      <c r="L102" s="63">
        <f t="shared" si="29"/>
        <v>-74206.109653846346</v>
      </c>
      <c r="M102" s="63">
        <f t="shared" si="30"/>
        <v>279156.31726927031</v>
      </c>
      <c r="N102" s="64">
        <f t="shared" si="31"/>
        <v>1.9674189388751984E-8</v>
      </c>
    </row>
    <row r="103" spans="1:14" x14ac:dyDescent="0.25">
      <c r="A103" s="61">
        <v>46934</v>
      </c>
      <c r="B103" s="66" t="s">
        <v>148</v>
      </c>
      <c r="D103" s="63">
        <f t="shared" si="22"/>
        <v>16282940.632616065</v>
      </c>
      <c r="E103" s="63">
        <f t="shared" si="23"/>
        <v>16282940.632616071</v>
      </c>
      <c r="F103" s="67"/>
      <c r="G103" s="63">
        <f t="shared" si="24"/>
        <v>-16282940.632616049</v>
      </c>
      <c r="H103" s="63">
        <f t="shared" si="25"/>
        <v>-16056788.679385267</v>
      </c>
      <c r="I103" s="63">
        <f t="shared" si="26"/>
        <v>226151.95323080383</v>
      </c>
      <c r="J103" s="63">
        <f t="shared" si="27"/>
        <v>0</v>
      </c>
      <c r="K103" s="68">
        <f t="shared" si="28"/>
        <v>2.9103830456733704E-9</v>
      </c>
      <c r="L103" s="63">
        <f t="shared" si="29"/>
        <v>-47491.91017846061</v>
      </c>
      <c r="M103" s="63">
        <f t="shared" si="30"/>
        <v>178660.04305234322</v>
      </c>
      <c r="N103" s="64">
        <f t="shared" si="31"/>
        <v>1.9674189388751984E-8</v>
      </c>
    </row>
    <row r="104" spans="1:14" x14ac:dyDescent="0.25">
      <c r="A104" s="61">
        <v>46965</v>
      </c>
      <c r="B104" s="66" t="s">
        <v>148</v>
      </c>
      <c r="D104" s="63">
        <f t="shared" si="22"/>
        <v>16282940.632616065</v>
      </c>
      <c r="E104" s="63">
        <f t="shared" si="23"/>
        <v>16282940.632616071</v>
      </c>
      <c r="F104" s="67"/>
      <c r="G104" s="63">
        <f t="shared" si="24"/>
        <v>-16282940.632616049</v>
      </c>
      <c r="H104" s="63">
        <f t="shared" si="25"/>
        <v>-16155730.158923732</v>
      </c>
      <c r="I104" s="63">
        <f t="shared" si="26"/>
        <v>127210.47369233891</v>
      </c>
      <c r="J104" s="63">
        <f t="shared" si="27"/>
        <v>0</v>
      </c>
      <c r="K104" s="68">
        <f t="shared" si="28"/>
        <v>2.9103830456733704E-9</v>
      </c>
      <c r="L104" s="63">
        <f t="shared" si="29"/>
        <v>-26714.199475382818</v>
      </c>
      <c r="M104" s="63">
        <f t="shared" si="30"/>
        <v>100496.2742169561</v>
      </c>
      <c r="N104" s="64">
        <f t="shared" si="31"/>
        <v>1.9674189388751984E-8</v>
      </c>
    </row>
    <row r="105" spans="1:14" x14ac:dyDescent="0.25">
      <c r="A105" s="61">
        <v>46996</v>
      </c>
      <c r="B105" s="66" t="s">
        <v>148</v>
      </c>
      <c r="D105" s="63">
        <f t="shared" si="22"/>
        <v>16282940.632616065</v>
      </c>
      <c r="E105" s="63">
        <f t="shared" si="23"/>
        <v>16282940.632616071</v>
      </c>
      <c r="F105" s="67"/>
      <c r="G105" s="63">
        <f t="shared" si="24"/>
        <v>-16282940.632616049</v>
      </c>
      <c r="H105" s="63">
        <f t="shared" si="25"/>
        <v>-16226402.644308351</v>
      </c>
      <c r="I105" s="63">
        <f t="shared" si="26"/>
        <v>56537.98830772005</v>
      </c>
      <c r="J105" s="63">
        <f t="shared" si="27"/>
        <v>0</v>
      </c>
      <c r="K105" s="68">
        <f t="shared" si="28"/>
        <v>2.9103830456733704E-9</v>
      </c>
      <c r="L105" s="63">
        <f t="shared" si="29"/>
        <v>-11872.97754461297</v>
      </c>
      <c r="M105" s="63">
        <f t="shared" si="30"/>
        <v>44665.010763107079</v>
      </c>
      <c r="N105" s="64">
        <f t="shared" si="31"/>
        <v>1.9674189388751984E-8</v>
      </c>
    </row>
    <row r="106" spans="1:14" x14ac:dyDescent="0.25">
      <c r="A106" s="61">
        <v>47026</v>
      </c>
      <c r="B106" s="66" t="s">
        <v>148</v>
      </c>
      <c r="D106" s="63">
        <f t="shared" si="22"/>
        <v>16282940.632616065</v>
      </c>
      <c r="E106" s="63">
        <f t="shared" si="23"/>
        <v>16282940.632616071</v>
      </c>
      <c r="F106" s="67"/>
      <c r="G106" s="63">
        <f t="shared" si="24"/>
        <v>-16282940.632616049</v>
      </c>
      <c r="H106" s="63">
        <f t="shared" si="25"/>
        <v>-16268806.135539122</v>
      </c>
      <c r="I106" s="63">
        <f t="shared" si="26"/>
        <v>14134.497076949105</v>
      </c>
      <c r="J106" s="63">
        <f t="shared" si="27"/>
        <v>0</v>
      </c>
      <c r="K106" s="68">
        <f t="shared" si="28"/>
        <v>2.9103830456733704E-9</v>
      </c>
      <c r="L106" s="63">
        <f t="shared" si="29"/>
        <v>-2968.2443861510596</v>
      </c>
      <c r="M106" s="63">
        <f t="shared" si="30"/>
        <v>11166.252690798045</v>
      </c>
      <c r="N106" s="64">
        <f t="shared" si="31"/>
        <v>1.9674189388751984E-8</v>
      </c>
    </row>
    <row r="107" spans="1:14" x14ac:dyDescent="0.25">
      <c r="A107" s="70">
        <v>47057</v>
      </c>
      <c r="B107" s="71" t="s">
        <v>148</v>
      </c>
      <c r="C107" s="71"/>
      <c r="D107" s="72">
        <f t="shared" ref="D107" si="32">D106+C107</f>
        <v>16282940.632616065</v>
      </c>
      <c r="E107" s="72">
        <f t="shared" ref="E107" si="33">(D95+D107+SUM(D96:D106)*2)/24</f>
        <v>16282940.632616071</v>
      </c>
      <c r="F107" s="75"/>
      <c r="G107" s="72">
        <f t="shared" ref="G107" si="34">G106-F107</f>
        <v>-16282940.632616049</v>
      </c>
      <c r="H107" s="72">
        <f t="shared" ref="H107" si="35">(G95+G107+SUM(G96:G106)*2)/24</f>
        <v>-16282940.632616045</v>
      </c>
      <c r="I107" s="72">
        <f t="shared" ref="I107" si="36">E107+H107</f>
        <v>2.6077032089233398E-8</v>
      </c>
      <c r="J107" s="72">
        <f t="shared" ref="J107" si="37">(-C107*0.21)+(F107*0.21)</f>
        <v>0</v>
      </c>
      <c r="K107" s="73">
        <f t="shared" ref="K107" si="38">K106+J107</f>
        <v>2.9103830456733704E-9</v>
      </c>
      <c r="L107" s="72">
        <f t="shared" ref="L107" si="39">(K95+K107+SUM(K96:K106)*2)/24</f>
        <v>2.9103830456733704E-9</v>
      </c>
      <c r="M107" s="72">
        <f t="shared" ref="M107" si="40">L107+I107</f>
        <v>2.8987415134906769E-8</v>
      </c>
      <c r="N107" s="74">
        <f t="shared" ref="N107" si="41">+D107+G107+K107</f>
        <v>1.9674189388751984E-8</v>
      </c>
    </row>
    <row r="108" spans="1:14" x14ac:dyDescent="0.25">
      <c r="A108" s="150"/>
      <c r="B108" s="151"/>
      <c r="C108" s="151"/>
      <c r="D108" s="152"/>
      <c r="E108" s="152"/>
      <c r="F108" s="168"/>
      <c r="G108" s="152"/>
      <c r="H108" s="152"/>
      <c r="I108" s="152"/>
      <c r="J108" s="152"/>
      <c r="K108" s="154"/>
      <c r="L108" s="152"/>
      <c r="M108" s="152"/>
      <c r="N108" s="155"/>
    </row>
    <row r="109" spans="1:14" x14ac:dyDescent="0.25">
      <c r="A109" s="61"/>
      <c r="D109" s="63"/>
      <c r="E109" s="63"/>
      <c r="F109" s="67"/>
      <c r="G109" s="63"/>
      <c r="H109" s="63"/>
      <c r="I109" s="63"/>
      <c r="J109" s="63"/>
      <c r="K109" s="68"/>
      <c r="L109" s="63"/>
      <c r="M109" s="63"/>
      <c r="N109" s="149"/>
    </row>
    <row r="110" spans="1:14" x14ac:dyDescent="0.25">
      <c r="A110" s="66"/>
    </row>
    <row r="111" spans="1:14" x14ac:dyDescent="0.25">
      <c r="A111" s="30" t="s">
        <v>137</v>
      </c>
      <c r="F111" s="130">
        <f>SUM(F48:F59)</f>
        <v>4070735.1581540164</v>
      </c>
      <c r="G111" s="130">
        <v>8788337.428970933</v>
      </c>
      <c r="H111" s="130">
        <f>G111-F111</f>
        <v>4717602.2708169166</v>
      </c>
    </row>
  </sheetData>
  <printOptions horizontalCentered="1"/>
  <pageMargins left="0.2" right="0.2" top="0.5" bottom="0.5" header="0.3" footer="0.3"/>
  <pageSetup scale="69" firstPageNumber="8" fitToHeight="0" orientation="landscape" useFirstPageNumber="1" r:id="rId1"/>
  <headerFooter>
    <oddFooter>&amp;R&amp;"Times New Roman,Regular"Exh. SEF-3 page &amp;P of 16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F0"/>
  </sheetPr>
  <dimension ref="B3:E6"/>
  <sheetViews>
    <sheetView workbookViewId="0">
      <selection activeCell="E4" sqref="E4"/>
    </sheetView>
  </sheetViews>
  <sheetFormatPr defaultRowHeight="14.4" x14ac:dyDescent="0.3"/>
  <sheetData>
    <row r="3" spans="2:5" x14ac:dyDescent="0.3">
      <c r="B3" s="1"/>
      <c r="C3" s="2" t="s">
        <v>19</v>
      </c>
      <c r="D3" s="2" t="s">
        <v>20</v>
      </c>
      <c r="E3" s="2" t="s">
        <v>21</v>
      </c>
    </row>
    <row r="4" spans="2:5" x14ac:dyDescent="0.3">
      <c r="B4" s="5" t="s">
        <v>22</v>
      </c>
      <c r="C4" s="6">
        <v>0.51</v>
      </c>
      <c r="D4" s="6">
        <v>0.05</v>
      </c>
      <c r="E4" s="7">
        <f>+C4*D4</f>
        <v>2.5500000000000002E-2</v>
      </c>
    </row>
    <row r="5" spans="2:5" x14ac:dyDescent="0.3">
      <c r="B5" s="5" t="s">
        <v>23</v>
      </c>
      <c r="C5" s="11">
        <v>0.49</v>
      </c>
      <c r="D5" s="8">
        <v>9.4E-2</v>
      </c>
      <c r="E5" s="9">
        <f>+C5*D5</f>
        <v>4.6059999999999997E-2</v>
      </c>
    </row>
    <row r="6" spans="2:5" x14ac:dyDescent="0.3">
      <c r="C6" s="10">
        <f>+SUM(C4:C5)</f>
        <v>1</v>
      </c>
      <c r="E6" s="10">
        <f>+SUM(E4:E5)</f>
        <v>7.1559999999999999E-2</v>
      </c>
    </row>
  </sheetData>
  <printOptions horizontalCentered="1"/>
  <pageMargins left="0.2" right="0.2" top="0.75" bottom="0.75" header="0.3" footer="0.3"/>
  <pageSetup orientation="portrait" horizontalDpi="1200" verticalDpi="1200" r:id="rId1"/>
  <headerFooter>
    <oddFooter>&amp;R&amp;"Times New Roman,Regular"Exh. SEF-3 page 10 of 16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F0"/>
  </sheetPr>
  <dimension ref="A2:U28"/>
  <sheetViews>
    <sheetView workbookViewId="0">
      <pane xSplit="1" ySplit="3" topLeftCell="B4" activePane="bottomRight" state="frozen"/>
      <selection activeCell="C50" sqref="C50"/>
      <selection pane="topRight" activeCell="C50" sqref="C50"/>
      <selection pane="bottomLeft" activeCell="C50" sqref="C50"/>
      <selection pane="bottomRight" activeCell="A51" sqref="A51"/>
    </sheetView>
  </sheetViews>
  <sheetFormatPr defaultRowHeight="14.4" x14ac:dyDescent="0.3"/>
  <cols>
    <col min="1" max="1" width="69" style="80" bestFit="1" customWidth="1"/>
    <col min="2" max="10" width="14.88671875" customWidth="1"/>
    <col min="11" max="11" width="11.5546875" bestFit="1" customWidth="1"/>
    <col min="12" max="21" width="14.88671875" bestFit="1" customWidth="1"/>
  </cols>
  <sheetData>
    <row r="2" spans="1:21" s="80" customFormat="1" x14ac:dyDescent="0.3">
      <c r="A2" s="83"/>
      <c r="B2" s="83" t="s">
        <v>109</v>
      </c>
      <c r="C2" s="83" t="s">
        <v>110</v>
      </c>
      <c r="D2" s="83" t="s">
        <v>111</v>
      </c>
      <c r="E2" s="83" t="s">
        <v>112</v>
      </c>
      <c r="F2" s="83" t="s">
        <v>113</v>
      </c>
      <c r="G2" s="83" t="s">
        <v>114</v>
      </c>
      <c r="H2" s="83" t="s">
        <v>115</v>
      </c>
      <c r="I2" s="83" t="s">
        <v>116</v>
      </c>
      <c r="J2" s="83" t="s">
        <v>117</v>
      </c>
      <c r="K2" s="83">
        <v>2023</v>
      </c>
      <c r="L2" s="83" t="s">
        <v>118</v>
      </c>
      <c r="M2" s="83" t="s">
        <v>119</v>
      </c>
      <c r="N2" s="83" t="s">
        <v>120</v>
      </c>
      <c r="O2" s="83" t="s">
        <v>121</v>
      </c>
      <c r="P2" s="83" t="s">
        <v>122</v>
      </c>
      <c r="Q2" s="83" t="s">
        <v>123</v>
      </c>
      <c r="R2" s="83" t="s">
        <v>124</v>
      </c>
      <c r="S2" s="83" t="s">
        <v>125</v>
      </c>
      <c r="T2" s="83" t="s">
        <v>126</v>
      </c>
      <c r="U2" s="83" t="s">
        <v>127</v>
      </c>
    </row>
    <row r="3" spans="1:21" s="80" customFormat="1" x14ac:dyDescent="0.3">
      <c r="A3" s="83" t="s">
        <v>178</v>
      </c>
      <c r="B3" s="83" t="s">
        <v>105</v>
      </c>
      <c r="C3" s="83" t="s">
        <v>105</v>
      </c>
      <c r="D3" s="83" t="s">
        <v>105</v>
      </c>
      <c r="E3" s="83" t="s">
        <v>105</v>
      </c>
      <c r="F3" s="83" t="s">
        <v>105</v>
      </c>
      <c r="G3" s="83" t="s">
        <v>105</v>
      </c>
      <c r="H3" s="83" t="s">
        <v>105</v>
      </c>
      <c r="I3" s="83" t="s">
        <v>105</v>
      </c>
      <c r="J3" s="83" t="s">
        <v>105</v>
      </c>
      <c r="K3" s="83" t="s">
        <v>21</v>
      </c>
      <c r="L3" s="83" t="s">
        <v>105</v>
      </c>
      <c r="M3" s="83" t="s">
        <v>105</v>
      </c>
      <c r="N3" s="83" t="s">
        <v>105</v>
      </c>
      <c r="O3" s="83" t="s">
        <v>105</v>
      </c>
      <c r="P3" s="83" t="s">
        <v>105</v>
      </c>
      <c r="Q3" s="83" t="s">
        <v>105</v>
      </c>
      <c r="R3" s="83" t="s">
        <v>105</v>
      </c>
      <c r="S3" s="83" t="s">
        <v>105</v>
      </c>
      <c r="T3" s="83" t="s">
        <v>105</v>
      </c>
      <c r="U3" s="83" t="s">
        <v>105</v>
      </c>
    </row>
    <row r="4" spans="1:21" x14ac:dyDescent="0.3">
      <c r="A4" s="82" t="s">
        <v>0</v>
      </c>
      <c r="B4" s="81">
        <v>46351.824999999997</v>
      </c>
      <c r="C4" s="81">
        <v>46351.824999999997</v>
      </c>
      <c r="D4" s="81">
        <v>60434.214999999997</v>
      </c>
      <c r="E4" s="81">
        <v>46351.824999999997</v>
      </c>
      <c r="F4" s="81">
        <v>46351.824999999997</v>
      </c>
      <c r="G4" s="81">
        <v>46351.824999999997</v>
      </c>
      <c r="H4" s="81">
        <v>46351.824999999997</v>
      </c>
      <c r="I4" s="81">
        <v>46351.824999999997</v>
      </c>
      <c r="J4" s="81">
        <v>60434.214999999997</v>
      </c>
      <c r="K4" s="81">
        <f t="shared" ref="K4:K21" si="0">SUM(B4:J4)</f>
        <v>445331.20500000007</v>
      </c>
      <c r="L4" s="81">
        <v>48614.004249999998</v>
      </c>
      <c r="M4" s="81">
        <v>48614.004249999998</v>
      </c>
      <c r="N4" s="81">
        <v>48745.254249999998</v>
      </c>
      <c r="O4" s="81">
        <v>48614.004249999998</v>
      </c>
      <c r="P4" s="81">
        <v>48614.004249999998</v>
      </c>
      <c r="Q4" s="81">
        <v>63400.513749999998</v>
      </c>
      <c r="R4" s="81">
        <v>48614.004249999998</v>
      </c>
      <c r="S4" s="81">
        <v>48614.004249999998</v>
      </c>
      <c r="T4" s="81">
        <v>48614.004249999998</v>
      </c>
      <c r="U4" s="81">
        <v>48614.004249999998</v>
      </c>
    </row>
    <row r="5" spans="1:21" x14ac:dyDescent="0.3">
      <c r="A5" s="82" t="s">
        <v>3</v>
      </c>
      <c r="B5" s="81">
        <v>16259.1850409</v>
      </c>
      <c r="C5" s="81">
        <v>9429.5253582999994</v>
      </c>
      <c r="D5" s="81">
        <v>6296.5264645999996</v>
      </c>
      <c r="E5" s="81">
        <v>1858.3736108000001</v>
      </c>
      <c r="F5" s="81">
        <v>1858.3736108000001</v>
      </c>
      <c r="G5" s="81">
        <v>1858.3736108000001</v>
      </c>
      <c r="H5" s="81">
        <v>1858.3736108000001</v>
      </c>
      <c r="I5" s="81">
        <v>1858.3736108000001</v>
      </c>
      <c r="J5" s="81">
        <v>2207.8729162</v>
      </c>
      <c r="K5" s="81">
        <f t="shared" si="0"/>
        <v>43484.977834000005</v>
      </c>
      <c r="L5" s="81">
        <v>2014.2582826</v>
      </c>
      <c r="M5" s="81"/>
      <c r="N5" s="81">
        <v>4983.1672913000002</v>
      </c>
      <c r="O5" s="81">
        <v>17072.144293000001</v>
      </c>
      <c r="P5" s="81">
        <v>9901.0016262999998</v>
      </c>
      <c r="Q5" s="81">
        <v>6611.3527878000004</v>
      </c>
      <c r="R5" s="81">
        <v>1951.2922913</v>
      </c>
      <c r="S5" s="81">
        <v>1951.2922913</v>
      </c>
      <c r="T5" s="81">
        <v>1951.2922913</v>
      </c>
      <c r="U5" s="81">
        <v>1951.2922913</v>
      </c>
    </row>
    <row r="6" spans="1:21" x14ac:dyDescent="0.3">
      <c r="A6" s="82" t="s">
        <v>4</v>
      </c>
      <c r="B6" s="81">
        <v>12761.1187001</v>
      </c>
      <c r="C6" s="81">
        <v>12761.1187001</v>
      </c>
      <c r="D6" s="81">
        <v>16442.511383500001</v>
      </c>
      <c r="E6" s="81">
        <v>12761.1187001</v>
      </c>
      <c r="F6" s="81">
        <v>12761.1187001</v>
      </c>
      <c r="G6" s="81">
        <v>12761.1187001</v>
      </c>
      <c r="H6" s="81">
        <v>12761.1187001</v>
      </c>
      <c r="I6" s="81">
        <v>12761.1187001</v>
      </c>
      <c r="J6" s="81">
        <v>16442.511383500001</v>
      </c>
      <c r="K6" s="81">
        <f t="shared" si="0"/>
        <v>122212.85366769999</v>
      </c>
      <c r="L6" s="81">
        <v>12209.8209451</v>
      </c>
      <c r="M6" s="81">
        <v>12209.8209451</v>
      </c>
      <c r="N6" s="81">
        <v>45334.924635099997</v>
      </c>
      <c r="O6" s="81">
        <v>13399.1746351</v>
      </c>
      <c r="P6" s="81">
        <v>13399.1746351</v>
      </c>
      <c r="Q6" s="81">
        <v>17264.636952699999</v>
      </c>
      <c r="R6" s="81">
        <v>13399.1746351</v>
      </c>
      <c r="S6" s="81">
        <v>13399.1746351</v>
      </c>
      <c r="T6" s="81">
        <v>13399.1746351</v>
      </c>
      <c r="U6" s="81">
        <v>13399.1746351</v>
      </c>
    </row>
    <row r="7" spans="1:21" x14ac:dyDescent="0.3">
      <c r="A7" s="82" t="s">
        <v>5</v>
      </c>
      <c r="B7" s="81">
        <v>239.24953690000001</v>
      </c>
      <c r="C7" s="81">
        <v>239.24953690000001</v>
      </c>
      <c r="D7" s="81">
        <v>355.74930540000003</v>
      </c>
      <c r="E7" s="81">
        <v>239.24953690000001</v>
      </c>
      <c r="F7" s="81">
        <v>239.24953690000001</v>
      </c>
      <c r="G7" s="81">
        <v>239.24953690000001</v>
      </c>
      <c r="H7" s="81">
        <v>239.24953690000001</v>
      </c>
      <c r="I7" s="81">
        <v>5024.2402754000004</v>
      </c>
      <c r="J7" s="81">
        <v>7470.7354131000002</v>
      </c>
      <c r="K7" s="81">
        <f t="shared" si="0"/>
        <v>14286.2222153</v>
      </c>
      <c r="L7" s="81">
        <v>8542.9695508000004</v>
      </c>
      <c r="M7" s="81">
        <v>8542.9695508000004</v>
      </c>
      <c r="N7" s="81">
        <v>211.83701379999999</v>
      </c>
      <c r="O7" s="81">
        <v>251.21201379999999</v>
      </c>
      <c r="P7" s="81">
        <v>251.21201379999999</v>
      </c>
      <c r="Q7" s="81">
        <v>373.53677069999998</v>
      </c>
      <c r="R7" s="81">
        <v>251.21201379999999</v>
      </c>
      <c r="S7" s="81">
        <v>251.21201379999999</v>
      </c>
      <c r="T7" s="81">
        <v>251.21201379999999</v>
      </c>
      <c r="U7" s="81">
        <v>251.21201379999999</v>
      </c>
    </row>
    <row r="8" spans="1:21" s="86" customFormat="1" x14ac:dyDescent="0.3">
      <c r="A8" s="82" t="s">
        <v>106</v>
      </c>
      <c r="B8" s="81">
        <v>3507.9956778999999</v>
      </c>
      <c r="C8" s="81">
        <v>3507.9956778999999</v>
      </c>
      <c r="D8" s="81">
        <v>4595.3268502999999</v>
      </c>
      <c r="E8" s="81">
        <v>3507.9956778999999</v>
      </c>
      <c r="F8" s="81">
        <v>3507.9956778999999</v>
      </c>
      <c r="G8" s="81">
        <v>3507.9956778999999</v>
      </c>
      <c r="H8" s="81">
        <v>3507.9956778999999</v>
      </c>
      <c r="I8" s="81">
        <v>3507.9956778999999</v>
      </c>
      <c r="J8" s="81">
        <v>4595.3268502999999</v>
      </c>
      <c r="K8" s="81">
        <f t="shared" si="0"/>
        <v>33746.623445899997</v>
      </c>
      <c r="L8" s="81">
        <v>3276.9064315000001</v>
      </c>
      <c r="M8" s="81">
        <v>3332.1095617999999</v>
      </c>
      <c r="N8" s="81">
        <v>3315.8954617999998</v>
      </c>
      <c r="O8" s="81">
        <v>3683.3954617999998</v>
      </c>
      <c r="P8" s="81">
        <v>3683.3954617999998</v>
      </c>
      <c r="Q8" s="81">
        <v>4825.0931928</v>
      </c>
      <c r="R8" s="81">
        <v>3683.3954617999998</v>
      </c>
      <c r="S8" s="81">
        <v>3683.3954617999998</v>
      </c>
      <c r="T8" s="81">
        <v>3683.3954617999998</v>
      </c>
      <c r="U8" s="81">
        <v>3683.3954617999998</v>
      </c>
    </row>
    <row r="9" spans="1:21" s="86" customFormat="1" x14ac:dyDescent="0.3">
      <c r="A9" s="82" t="s">
        <v>6</v>
      </c>
      <c r="B9" s="81">
        <v>3750.1681299000002</v>
      </c>
      <c r="C9" s="81">
        <v>3637.8264920000001</v>
      </c>
      <c r="D9" s="81">
        <v>2709.0979702</v>
      </c>
      <c r="E9" s="81">
        <v>716.94390720000001</v>
      </c>
      <c r="F9" s="81">
        <v>716.94390720000001</v>
      </c>
      <c r="G9" s="81">
        <v>716.94390720000001</v>
      </c>
      <c r="H9" s="81">
        <v>716.94390720000001</v>
      </c>
      <c r="I9" s="81">
        <v>716.94390720000001</v>
      </c>
      <c r="J9" s="81">
        <v>949.94344409999997</v>
      </c>
      <c r="K9" s="81">
        <f t="shared" si="0"/>
        <v>14631.755572200002</v>
      </c>
      <c r="L9" s="81">
        <v>1355.0311051000001</v>
      </c>
      <c r="M9" s="81"/>
      <c r="N9" s="81">
        <v>674.04110249999997</v>
      </c>
      <c r="O9" s="81">
        <v>3937.6765363999998</v>
      </c>
      <c r="P9" s="81">
        <v>3819.7178165999999</v>
      </c>
      <c r="Q9" s="81">
        <v>2844.5528687000001</v>
      </c>
      <c r="R9" s="81">
        <v>752.79110249999997</v>
      </c>
      <c r="S9" s="81">
        <v>752.79110249999997</v>
      </c>
      <c r="T9" s="81">
        <v>752.79110249999997</v>
      </c>
      <c r="U9" s="81">
        <v>752.79110249999997</v>
      </c>
    </row>
    <row r="10" spans="1:21" s="86" customFormat="1" x14ac:dyDescent="0.3">
      <c r="A10" s="82" t="s">
        <v>7</v>
      </c>
      <c r="B10" s="81">
        <v>5266.1313105999998</v>
      </c>
      <c r="C10" s="81">
        <v>5169.4017838</v>
      </c>
      <c r="D10" s="81">
        <v>5469.8762935000004</v>
      </c>
      <c r="E10" s="81">
        <v>2654.4340870999999</v>
      </c>
      <c r="F10" s="81">
        <v>2654.4340870999999</v>
      </c>
      <c r="G10" s="81">
        <v>2654.4340870999999</v>
      </c>
      <c r="H10" s="81">
        <v>2654.4340870999999</v>
      </c>
      <c r="I10" s="81">
        <v>2654.4340870999999</v>
      </c>
      <c r="J10" s="81">
        <v>3823.3150974</v>
      </c>
      <c r="K10" s="81">
        <f t="shared" si="0"/>
        <v>33000.89492079999</v>
      </c>
      <c r="L10" s="81">
        <v>4819.0468979999996</v>
      </c>
      <c r="M10" s="81"/>
      <c r="N10" s="81">
        <v>2392.0932914999999</v>
      </c>
      <c r="O10" s="81">
        <v>5529.4378760999998</v>
      </c>
      <c r="P10" s="81">
        <v>5427.8718730000001</v>
      </c>
      <c r="Q10" s="81">
        <v>5743.3701080999999</v>
      </c>
      <c r="R10" s="81">
        <v>2787.1557914999999</v>
      </c>
      <c r="S10" s="81">
        <v>2787.1557914999999</v>
      </c>
      <c r="T10" s="81">
        <v>2787.1557914999999</v>
      </c>
      <c r="U10" s="81">
        <v>2787.1557914999999</v>
      </c>
    </row>
    <row r="11" spans="1:21" s="86" customFormat="1" x14ac:dyDescent="0.3">
      <c r="A11" s="82" t="s">
        <v>8</v>
      </c>
      <c r="B11" s="81"/>
      <c r="C11" s="81"/>
      <c r="D11" s="81"/>
      <c r="E11" s="81"/>
      <c r="F11" s="81"/>
      <c r="G11" s="81"/>
      <c r="H11" s="81"/>
      <c r="I11" s="81"/>
      <c r="J11" s="81"/>
      <c r="K11" s="81">
        <f t="shared" si="0"/>
        <v>0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</row>
    <row r="12" spans="1:21" s="86" customFormat="1" x14ac:dyDescent="0.3">
      <c r="A12" s="82" t="s">
        <v>9</v>
      </c>
      <c r="B12" s="81">
        <v>6475.4502666999997</v>
      </c>
      <c r="C12" s="81">
        <v>6475.4502666999997</v>
      </c>
      <c r="D12" s="81">
        <v>6475.4502666999997</v>
      </c>
      <c r="E12" s="81">
        <v>6475.4502666999997</v>
      </c>
      <c r="F12" s="81">
        <v>6475.4502666999997</v>
      </c>
      <c r="G12" s="81">
        <v>6475.4502666999997</v>
      </c>
      <c r="H12" s="81">
        <v>6475.4502666999997</v>
      </c>
      <c r="I12" s="81">
        <v>6475.4502666999997</v>
      </c>
      <c r="J12" s="81">
        <v>6475.4502666999997</v>
      </c>
      <c r="K12" s="81">
        <f t="shared" si="0"/>
        <v>58279.052400299988</v>
      </c>
      <c r="L12" s="81">
        <v>6799.2227800000001</v>
      </c>
      <c r="M12" s="81">
        <v>6799.2227800000001</v>
      </c>
      <c r="N12" s="81">
        <v>6799.2227800000001</v>
      </c>
      <c r="O12" s="81">
        <v>6799.2227800000001</v>
      </c>
      <c r="P12" s="81">
        <v>6799.2227800000001</v>
      </c>
      <c r="Q12" s="81">
        <v>6799.2227800000001</v>
      </c>
      <c r="R12" s="81">
        <v>6799.2227800000001</v>
      </c>
      <c r="S12" s="81">
        <v>6799.2227800000001</v>
      </c>
      <c r="T12" s="81">
        <v>6799.2227800000001</v>
      </c>
      <c r="U12" s="81">
        <v>6799.2227800000001</v>
      </c>
    </row>
    <row r="13" spans="1:21" s="86" customFormat="1" x14ac:dyDescent="0.3">
      <c r="A13" s="82" t="s">
        <v>10</v>
      </c>
      <c r="B13" s="81">
        <v>4235.9806061999998</v>
      </c>
      <c r="C13" s="81">
        <v>4235.9806061999998</v>
      </c>
      <c r="D13" s="81">
        <v>4235.9806061999998</v>
      </c>
      <c r="E13" s="81">
        <v>4235.9806061999998</v>
      </c>
      <c r="F13" s="81">
        <v>4235.9806061999998</v>
      </c>
      <c r="G13" s="81">
        <v>4235.9806061999998</v>
      </c>
      <c r="H13" s="81">
        <v>4235.9806061999998</v>
      </c>
      <c r="I13" s="81">
        <v>4235.9806061999998</v>
      </c>
      <c r="J13" s="81">
        <v>4235.9806061999998</v>
      </c>
      <c r="K13" s="81">
        <f t="shared" si="0"/>
        <v>38123.825455799997</v>
      </c>
      <c r="L13" s="81">
        <v>4447.7796365000004</v>
      </c>
      <c r="M13" s="81">
        <v>4447.7796365000004</v>
      </c>
      <c r="N13" s="81">
        <v>4465.7002132999996</v>
      </c>
      <c r="O13" s="81">
        <v>4447.7796365000004</v>
      </c>
      <c r="P13" s="81">
        <v>4447.7796365000004</v>
      </c>
      <c r="Q13" s="81">
        <v>4447.7796365000004</v>
      </c>
      <c r="R13" s="81">
        <v>4447.7796365000004</v>
      </c>
      <c r="S13" s="81">
        <v>4447.7796365000004</v>
      </c>
      <c r="T13" s="81">
        <v>4447.7796365000004</v>
      </c>
      <c r="U13" s="81">
        <v>4447.7796365000004</v>
      </c>
    </row>
    <row r="14" spans="1:21" s="86" customFormat="1" x14ac:dyDescent="0.3">
      <c r="A14" s="82" t="s">
        <v>11</v>
      </c>
      <c r="B14" s="81">
        <v>18865.271756400001</v>
      </c>
      <c r="C14" s="81">
        <v>18865.271756400001</v>
      </c>
      <c r="D14" s="81">
        <v>21777.765967899999</v>
      </c>
      <c r="E14" s="81">
        <v>18865.271756400001</v>
      </c>
      <c r="F14" s="81">
        <v>24865.271756400001</v>
      </c>
      <c r="G14" s="81">
        <v>18865.271756400001</v>
      </c>
      <c r="H14" s="81">
        <v>18865.271756400001</v>
      </c>
      <c r="I14" s="81">
        <v>18865.271756400001</v>
      </c>
      <c r="J14" s="81">
        <v>21777.765967899999</v>
      </c>
      <c r="K14" s="81">
        <f t="shared" si="0"/>
        <v>181612.43423060002</v>
      </c>
      <c r="L14" s="81">
        <v>18867.590969199999</v>
      </c>
      <c r="M14" s="81">
        <v>18867.590969199999</v>
      </c>
      <c r="N14" s="81">
        <v>24074.160344200001</v>
      </c>
      <c r="O14" s="81">
        <v>19808.535344200001</v>
      </c>
      <c r="P14" s="81">
        <v>19808.535344200001</v>
      </c>
      <c r="Q14" s="81">
        <v>22866.6542663</v>
      </c>
      <c r="R14" s="81">
        <v>19808.535344200001</v>
      </c>
      <c r="S14" s="81">
        <v>26108.535344200001</v>
      </c>
      <c r="T14" s="81">
        <v>19808.535344200001</v>
      </c>
      <c r="U14" s="81">
        <v>19808.535344200001</v>
      </c>
    </row>
    <row r="15" spans="1:21" s="86" customFormat="1" x14ac:dyDescent="0.3">
      <c r="A15" s="82" t="s">
        <v>12</v>
      </c>
      <c r="B15" s="81">
        <v>53829.376923900003</v>
      </c>
      <c r="C15" s="81">
        <v>53829.376923900003</v>
      </c>
      <c r="D15" s="81">
        <v>68523.881052500001</v>
      </c>
      <c r="E15" s="81">
        <v>53829.376923900003</v>
      </c>
      <c r="F15" s="81">
        <v>53829.376923900003</v>
      </c>
      <c r="G15" s="81">
        <v>53829.376923900003</v>
      </c>
      <c r="H15" s="81">
        <v>53829.376923900003</v>
      </c>
      <c r="I15" s="81">
        <v>53829.376923900003</v>
      </c>
      <c r="J15" s="81">
        <v>68523.881052500001</v>
      </c>
      <c r="K15" s="81">
        <f t="shared" si="0"/>
        <v>513853.40057229996</v>
      </c>
      <c r="L15" s="81">
        <v>52996.870210100002</v>
      </c>
      <c r="M15" s="81">
        <v>47450.2830101</v>
      </c>
      <c r="N15" s="81">
        <v>51554.345770100001</v>
      </c>
      <c r="O15" s="81">
        <v>56520.845770100001</v>
      </c>
      <c r="P15" s="81">
        <v>56520.845770100001</v>
      </c>
      <c r="Q15" s="81">
        <v>71950.075105099997</v>
      </c>
      <c r="R15" s="81">
        <v>56520.845770100001</v>
      </c>
      <c r="S15" s="81">
        <v>56520.845770100001</v>
      </c>
      <c r="T15" s="81">
        <v>56520.845770100001</v>
      </c>
      <c r="U15" s="81">
        <v>56520.845770100001</v>
      </c>
    </row>
    <row r="16" spans="1:21" s="86" customFormat="1" x14ac:dyDescent="0.3">
      <c r="A16" s="82" t="s">
        <v>13</v>
      </c>
      <c r="B16" s="81">
        <v>9347.4751825999992</v>
      </c>
      <c r="C16" s="81">
        <v>9347.4751825999992</v>
      </c>
      <c r="D16" s="81">
        <v>11398.0264405</v>
      </c>
      <c r="E16" s="81">
        <v>9347.4751825999992</v>
      </c>
      <c r="F16" s="81">
        <v>9347.4751825999992</v>
      </c>
      <c r="G16" s="81">
        <v>9347.4751825999992</v>
      </c>
      <c r="H16" s="81">
        <v>9347.4751825999992</v>
      </c>
      <c r="I16" s="81">
        <v>9347.4751825999992</v>
      </c>
      <c r="J16" s="81">
        <v>11398.0264405</v>
      </c>
      <c r="K16" s="81">
        <f t="shared" si="0"/>
        <v>88228.379159199991</v>
      </c>
      <c r="L16" s="81">
        <v>13486.773918000001</v>
      </c>
      <c r="M16" s="81">
        <v>13486.773918000001</v>
      </c>
      <c r="N16" s="81">
        <v>21989.5464417</v>
      </c>
      <c r="O16" s="81">
        <v>9814.8489417000001</v>
      </c>
      <c r="P16" s="81">
        <v>9814.8489417000001</v>
      </c>
      <c r="Q16" s="81">
        <v>11967.9277625</v>
      </c>
      <c r="R16" s="81">
        <v>9814.8489417000001</v>
      </c>
      <c r="S16" s="81">
        <v>9814.8489417000001</v>
      </c>
      <c r="T16" s="81">
        <v>9814.8489417000001</v>
      </c>
      <c r="U16" s="81">
        <v>9814.8489417000001</v>
      </c>
    </row>
    <row r="17" spans="1:21" s="86" customFormat="1" x14ac:dyDescent="0.3">
      <c r="A17" s="82" t="s">
        <v>14</v>
      </c>
      <c r="B17" s="81">
        <v>42176.838316699999</v>
      </c>
      <c r="C17" s="81">
        <v>42176.838316699999</v>
      </c>
      <c r="D17" s="81">
        <v>42176.838316699999</v>
      </c>
      <c r="E17" s="81">
        <v>42176.838316699999</v>
      </c>
      <c r="F17" s="81">
        <v>42176.838316699999</v>
      </c>
      <c r="G17" s="81">
        <v>42176.838316699999</v>
      </c>
      <c r="H17" s="81">
        <v>42176.838316699999</v>
      </c>
      <c r="I17" s="81">
        <v>42176.838316699999</v>
      </c>
      <c r="J17" s="81">
        <v>42176.838316699999</v>
      </c>
      <c r="K17" s="81">
        <f t="shared" si="0"/>
        <v>379591.54485030007</v>
      </c>
      <c r="L17" s="81">
        <v>44285.680232500003</v>
      </c>
      <c r="M17" s="81">
        <v>26506.136999999999</v>
      </c>
      <c r="N17" s="81">
        <v>44285.680232500003</v>
      </c>
      <c r="O17" s="81">
        <v>44285.680232500003</v>
      </c>
      <c r="P17" s="81">
        <v>44285.680232500003</v>
      </c>
      <c r="Q17" s="81">
        <v>44285.680232500003</v>
      </c>
      <c r="R17" s="81">
        <v>44285.680232500003</v>
      </c>
      <c r="S17" s="81">
        <v>44285.680232500003</v>
      </c>
      <c r="T17" s="81">
        <v>44285.680232500003</v>
      </c>
      <c r="U17" s="81">
        <v>44285.680232500003</v>
      </c>
    </row>
    <row r="18" spans="1:21" s="86" customFormat="1" x14ac:dyDescent="0.3">
      <c r="A18" s="82" t="s">
        <v>107</v>
      </c>
      <c r="B18" s="81">
        <v>5333.3333333</v>
      </c>
      <c r="C18" s="81">
        <v>4333.3333333</v>
      </c>
      <c r="D18" s="81">
        <v>4333.3333333</v>
      </c>
      <c r="E18" s="81">
        <v>4333.3333333</v>
      </c>
      <c r="F18" s="81">
        <v>4333.3333333</v>
      </c>
      <c r="G18" s="81">
        <v>4333.3333333</v>
      </c>
      <c r="H18" s="81">
        <v>4333.3333333</v>
      </c>
      <c r="I18" s="81">
        <v>4333.3333333</v>
      </c>
      <c r="J18" s="81">
        <v>4333.3333333</v>
      </c>
      <c r="K18" s="81">
        <f t="shared" si="0"/>
        <v>39999.999999699998</v>
      </c>
      <c r="L18" s="81">
        <v>4550</v>
      </c>
      <c r="M18" s="81">
        <v>55013.252</v>
      </c>
      <c r="N18" s="81">
        <v>62037.5</v>
      </c>
      <c r="O18" s="81">
        <v>5600</v>
      </c>
      <c r="P18" s="81">
        <v>4550</v>
      </c>
      <c r="Q18" s="81">
        <v>4550</v>
      </c>
      <c r="R18" s="81">
        <v>4550</v>
      </c>
      <c r="S18" s="81">
        <v>4550</v>
      </c>
      <c r="T18" s="81">
        <v>4550</v>
      </c>
      <c r="U18" s="81">
        <v>4550</v>
      </c>
    </row>
    <row r="19" spans="1:21" s="86" customFormat="1" x14ac:dyDescent="0.3">
      <c r="A19" s="82" t="s">
        <v>108</v>
      </c>
      <c r="B19" s="81">
        <v>104522.8434</v>
      </c>
      <c r="C19" s="81">
        <v>104522.8434</v>
      </c>
      <c r="D19" s="81">
        <v>104522.8434</v>
      </c>
      <c r="E19" s="81">
        <v>104522.8434</v>
      </c>
      <c r="F19" s="81">
        <v>104522.8434</v>
      </c>
      <c r="G19" s="81">
        <v>104522.8434</v>
      </c>
      <c r="H19" s="81">
        <v>104707.6053048</v>
      </c>
      <c r="I19" s="81">
        <v>104707.6053048</v>
      </c>
      <c r="J19" s="81">
        <v>104707.6053048</v>
      </c>
      <c r="K19" s="81">
        <f t="shared" si="0"/>
        <v>941259.87631439988</v>
      </c>
      <c r="L19" s="81">
        <v>112687.56482499999</v>
      </c>
      <c r="M19" s="81">
        <v>110034.73557</v>
      </c>
      <c r="N19" s="81">
        <v>109748.98557</v>
      </c>
      <c r="O19" s="81">
        <v>109748.98557</v>
      </c>
      <c r="P19" s="81">
        <v>109748.98557</v>
      </c>
      <c r="Q19" s="81">
        <v>109748.98557</v>
      </c>
      <c r="R19" s="81">
        <v>109748.98557</v>
      </c>
      <c r="S19" s="81">
        <v>109748.98557</v>
      </c>
      <c r="T19" s="81">
        <v>109748.98557</v>
      </c>
      <c r="U19" s="81">
        <v>109942.98557</v>
      </c>
    </row>
    <row r="20" spans="1:21" s="86" customFormat="1" x14ac:dyDescent="0.3">
      <c r="A20" s="82" t="s">
        <v>1</v>
      </c>
      <c r="B20" s="81">
        <v>175842.76626800001</v>
      </c>
      <c r="C20" s="81">
        <v>176138.67014</v>
      </c>
      <c r="D20" s="81">
        <v>117587.93030000001</v>
      </c>
      <c r="E20" s="81">
        <v>57732.781532000001</v>
      </c>
      <c r="F20" s="81">
        <v>57732.781532000001</v>
      </c>
      <c r="G20" s="81">
        <v>57436.877659999998</v>
      </c>
      <c r="H20" s="81">
        <v>176138.67014</v>
      </c>
      <c r="I20" s="81">
        <v>55256.533340000002</v>
      </c>
      <c r="J20" s="81">
        <v>57732.781532000001</v>
      </c>
      <c r="K20" s="81">
        <f t="shared" si="0"/>
        <v>931599.79244400014</v>
      </c>
      <c r="L20" s="81">
        <v>64714.999200600003</v>
      </c>
      <c r="M20" s="81">
        <v>59687.323411799996</v>
      </c>
      <c r="N20" s="81">
        <v>60619.420608599998</v>
      </c>
      <c r="O20" s="81">
        <v>184634.90458140001</v>
      </c>
      <c r="P20" s="81">
        <v>184945.60364700001</v>
      </c>
      <c r="Q20" s="81">
        <v>123467.32681499999</v>
      </c>
      <c r="R20" s="81">
        <v>60619.420608599998</v>
      </c>
      <c r="S20" s="81">
        <v>60619.420608599998</v>
      </c>
      <c r="T20" s="81">
        <v>60308.721543</v>
      </c>
      <c r="U20" s="81">
        <v>184945.60364700001</v>
      </c>
    </row>
    <row r="21" spans="1:21" s="86" customFormat="1" x14ac:dyDescent="0.3">
      <c r="A21" s="82" t="s">
        <v>2</v>
      </c>
      <c r="B21" s="81"/>
      <c r="C21" s="81"/>
      <c r="D21" s="81"/>
      <c r="E21" s="81"/>
      <c r="F21" s="81"/>
      <c r="G21" s="81"/>
      <c r="H21" s="81"/>
      <c r="I21" s="81"/>
      <c r="J21" s="81"/>
      <c r="K21" s="81">
        <f t="shared" si="0"/>
        <v>0</v>
      </c>
      <c r="L21" s="81"/>
      <c r="M21" s="81">
        <v>29133.037499999999</v>
      </c>
      <c r="N21" s="81"/>
      <c r="O21" s="81"/>
      <c r="P21" s="81"/>
      <c r="Q21" s="81"/>
      <c r="R21" s="81"/>
      <c r="S21" s="81"/>
      <c r="T21" s="81"/>
      <c r="U21" s="81"/>
    </row>
    <row r="22" spans="1:21" s="86" customFormat="1" x14ac:dyDescent="0.3">
      <c r="A22" s="82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</row>
    <row r="23" spans="1:21" s="86" customFormat="1" x14ac:dyDescent="0.3">
      <c r="A23" s="214"/>
      <c r="B23" s="215">
        <f t="shared" ref="B23:J23" si="1">SUM(B4:B22)</f>
        <v>508765.00945010001</v>
      </c>
      <c r="C23" s="215">
        <f t="shared" si="1"/>
        <v>501022.18247479998</v>
      </c>
      <c r="D23" s="215">
        <f t="shared" si="1"/>
        <v>477335.35295129998</v>
      </c>
      <c r="E23" s="215">
        <f t="shared" si="1"/>
        <v>369609.2918378</v>
      </c>
      <c r="F23" s="215">
        <f t="shared" si="1"/>
        <v>375609.2918378</v>
      </c>
      <c r="G23" s="215">
        <f t="shared" si="1"/>
        <v>369313.38796580001</v>
      </c>
      <c r="H23" s="215">
        <f t="shared" si="1"/>
        <v>488199.94235060003</v>
      </c>
      <c r="I23" s="215">
        <f t="shared" si="1"/>
        <v>372102.79628910002</v>
      </c>
      <c r="J23" s="215">
        <f t="shared" si="1"/>
        <v>417285.5829252</v>
      </c>
      <c r="K23" s="216">
        <f>SUM(K4:K22)</f>
        <v>3879242.8380825003</v>
      </c>
      <c r="L23" s="215">
        <f>SUM(L4:L22)</f>
        <v>403668.51923500001</v>
      </c>
      <c r="M23" s="215">
        <f t="shared" ref="M23:U23" si="2">SUM(M4:M22)</f>
        <v>444125.04010329989</v>
      </c>
      <c r="N23" s="215">
        <f t="shared" si="2"/>
        <v>491231.77500640001</v>
      </c>
      <c r="O23" s="215">
        <f t="shared" si="2"/>
        <v>534147.84792260011</v>
      </c>
      <c r="P23" s="215">
        <f t="shared" si="2"/>
        <v>526017.87959860009</v>
      </c>
      <c r="Q23" s="215">
        <f t="shared" si="2"/>
        <v>501146.7085987</v>
      </c>
      <c r="R23" s="215">
        <f t="shared" si="2"/>
        <v>388034.34442960005</v>
      </c>
      <c r="S23" s="215">
        <f t="shared" si="2"/>
        <v>394334.34442960005</v>
      </c>
      <c r="T23" s="215">
        <f t="shared" si="2"/>
        <v>387723.64536400005</v>
      </c>
      <c r="U23" s="215">
        <f t="shared" si="2"/>
        <v>512554.52746800007</v>
      </c>
    </row>
    <row r="24" spans="1:21" x14ac:dyDescent="0.3">
      <c r="B24" s="176">
        <f>SUM(B4:B21)</f>
        <v>508765.00945010001</v>
      </c>
      <c r="C24" s="176">
        <f t="shared" ref="C24:J24" si="3">SUM(C4:C21)</f>
        <v>501022.18247479998</v>
      </c>
      <c r="D24" s="176">
        <f t="shared" si="3"/>
        <v>477335.35295129998</v>
      </c>
      <c r="E24" s="176">
        <f t="shared" si="3"/>
        <v>369609.2918378</v>
      </c>
      <c r="F24" s="176">
        <f t="shared" si="3"/>
        <v>375609.2918378</v>
      </c>
      <c r="G24" s="176">
        <f t="shared" si="3"/>
        <v>369313.38796580001</v>
      </c>
      <c r="H24" s="176">
        <f t="shared" si="3"/>
        <v>488199.94235060003</v>
      </c>
      <c r="I24" s="176">
        <f t="shared" si="3"/>
        <v>372102.79628910002</v>
      </c>
      <c r="J24" s="176">
        <f t="shared" si="3"/>
        <v>417285.5829252</v>
      </c>
      <c r="K24" s="176"/>
      <c r="L24" s="176">
        <f>SUM(L4:L21)</f>
        <v>403668.51923500001</v>
      </c>
      <c r="M24" s="176">
        <f t="shared" ref="M24:U24" si="4">SUM(M4:M21)</f>
        <v>444125.04010329989</v>
      </c>
      <c r="N24" s="176">
        <f t="shared" si="4"/>
        <v>491231.77500640001</v>
      </c>
      <c r="O24" s="176">
        <f t="shared" si="4"/>
        <v>534147.84792260011</v>
      </c>
      <c r="P24" s="176">
        <f t="shared" si="4"/>
        <v>526017.87959860009</v>
      </c>
      <c r="Q24" s="176">
        <f t="shared" si="4"/>
        <v>501146.7085987</v>
      </c>
      <c r="R24" s="176">
        <f t="shared" si="4"/>
        <v>388034.34442960005</v>
      </c>
      <c r="S24" s="176">
        <f t="shared" si="4"/>
        <v>394334.34442960005</v>
      </c>
      <c r="T24" s="176">
        <f t="shared" si="4"/>
        <v>387723.64536400005</v>
      </c>
      <c r="U24" s="176">
        <f t="shared" si="4"/>
        <v>512554.52746800007</v>
      </c>
    </row>
    <row r="25" spans="1:21" x14ac:dyDescent="0.3">
      <c r="T25" s="143" t="s">
        <v>153</v>
      </c>
      <c r="U25" s="4">
        <f>SUM(I24:U24)</f>
        <v>5372373.0113701001</v>
      </c>
    </row>
    <row r="26" spans="1:21" x14ac:dyDescent="0.3">
      <c r="T26" s="143" t="s">
        <v>154</v>
      </c>
      <c r="U26" s="142">
        <v>0.79</v>
      </c>
    </row>
    <row r="27" spans="1:21" ht="15" thickBot="1" x14ac:dyDescent="0.35">
      <c r="T27" s="143" t="s">
        <v>155</v>
      </c>
      <c r="U27" s="144">
        <f>-U25*U26</f>
        <v>-4244174.6789823789</v>
      </c>
    </row>
    <row r="28" spans="1:21" ht="15" thickTop="1" x14ac:dyDescent="0.3"/>
  </sheetData>
  <pageMargins left="0.7" right="0.2" top="0.75" bottom="0.75" header="0.3" footer="0.3"/>
  <pageSetup firstPageNumber="11" orientation="landscape" useFirstPageNumber="1" horizontalDpi="1200" verticalDpi="1200" r:id="rId1"/>
  <headerFooter>
    <oddFooter>&amp;R&amp;"Times New Roman,Regular"Exh. SEF-3 page &amp;P of 16</oddFooter>
  </headerFooter>
  <customProperties>
    <customPr name="EpmWorksheetKeyString_GU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  <pageSetUpPr fitToPage="1"/>
  </sheetPr>
  <dimension ref="B4:F25"/>
  <sheetViews>
    <sheetView workbookViewId="0">
      <selection activeCell="K18" sqref="K18"/>
    </sheetView>
  </sheetViews>
  <sheetFormatPr defaultRowHeight="14.4" x14ac:dyDescent="0.3"/>
  <cols>
    <col min="2" max="2" width="5" bestFit="1" customWidth="1"/>
    <col min="3" max="3" width="62.5546875" bestFit="1" customWidth="1"/>
    <col min="5" max="5" width="7.44140625" bestFit="1" customWidth="1"/>
    <col min="6" max="6" width="8.44140625" bestFit="1" customWidth="1"/>
  </cols>
  <sheetData>
    <row r="4" spans="2:6" x14ac:dyDescent="0.3">
      <c r="B4" s="12"/>
      <c r="C4" s="12"/>
    </row>
    <row r="5" spans="2:6" x14ac:dyDescent="0.3">
      <c r="B5" s="13" t="s">
        <v>24</v>
      </c>
      <c r="C5" s="334"/>
      <c r="D5" s="14"/>
      <c r="E5" s="14"/>
      <c r="F5" s="14"/>
    </row>
    <row r="6" spans="2:6" x14ac:dyDescent="0.3">
      <c r="B6" s="13" t="s">
        <v>25</v>
      </c>
      <c r="C6" s="334"/>
      <c r="D6" s="14"/>
      <c r="E6" s="14"/>
      <c r="F6" s="14"/>
    </row>
    <row r="7" spans="2:6" x14ac:dyDescent="0.3">
      <c r="B7" s="13" t="s">
        <v>198</v>
      </c>
      <c r="C7" s="334"/>
      <c r="D7" s="14"/>
      <c r="E7" s="14"/>
      <c r="F7" s="14"/>
    </row>
    <row r="8" spans="2:6" x14ac:dyDescent="0.3">
      <c r="B8" s="13" t="s">
        <v>26</v>
      </c>
      <c r="C8" s="334"/>
      <c r="D8" s="14"/>
      <c r="E8" s="14"/>
      <c r="F8" s="14"/>
    </row>
    <row r="9" spans="2:6" x14ac:dyDescent="0.3">
      <c r="B9" s="13" t="s">
        <v>199</v>
      </c>
      <c r="C9" s="13"/>
      <c r="D9" s="14"/>
      <c r="E9" s="14"/>
      <c r="F9" s="14"/>
    </row>
    <row r="10" spans="2:6" x14ac:dyDescent="0.3">
      <c r="B10" s="15" t="s">
        <v>27</v>
      </c>
      <c r="C10" s="15"/>
      <c r="D10" s="15"/>
      <c r="E10" s="15"/>
      <c r="F10" s="15"/>
    </row>
    <row r="11" spans="2:6" x14ac:dyDescent="0.3">
      <c r="B11" s="14"/>
      <c r="C11" s="14"/>
      <c r="D11" s="14"/>
      <c r="E11" s="14"/>
      <c r="F11" s="14"/>
    </row>
    <row r="12" spans="2:6" x14ac:dyDescent="0.3">
      <c r="B12" s="14"/>
      <c r="C12" s="14"/>
      <c r="D12" s="14"/>
      <c r="E12" s="14"/>
      <c r="F12" s="12"/>
    </row>
    <row r="13" spans="2:6" x14ac:dyDescent="0.3">
      <c r="B13" s="16" t="s">
        <v>28</v>
      </c>
      <c r="C13" s="16"/>
      <c r="D13" s="16"/>
      <c r="E13" s="12"/>
      <c r="F13" s="12"/>
    </row>
    <row r="14" spans="2:6" x14ac:dyDescent="0.3">
      <c r="B14" s="17" t="s">
        <v>29</v>
      </c>
      <c r="C14" s="17" t="s">
        <v>30</v>
      </c>
      <c r="D14" s="17"/>
      <c r="E14" s="18"/>
      <c r="F14" s="18"/>
    </row>
    <row r="15" spans="2:6" x14ac:dyDescent="0.3">
      <c r="B15" s="12"/>
      <c r="C15" s="12"/>
      <c r="D15" s="12"/>
      <c r="E15" s="12"/>
      <c r="F15" s="12"/>
    </row>
    <row r="16" spans="2:6" x14ac:dyDescent="0.3">
      <c r="B16" s="19">
        <f>ROW()</f>
        <v>16</v>
      </c>
      <c r="C16" s="20" t="s">
        <v>31</v>
      </c>
      <c r="D16" s="21"/>
      <c r="E16" s="21"/>
      <c r="F16" s="22">
        <v>4.1980000000000003E-3</v>
      </c>
    </row>
    <row r="17" spans="2:6" x14ac:dyDescent="0.3">
      <c r="B17" s="19">
        <f>ROW()</f>
        <v>17</v>
      </c>
      <c r="C17" s="245" t="s">
        <v>32</v>
      </c>
      <c r="D17" s="21"/>
      <c r="E17" s="21"/>
      <c r="F17" s="246">
        <v>5.0000000000000001E-3</v>
      </c>
    </row>
    <row r="18" spans="2:6" x14ac:dyDescent="0.3">
      <c r="B18" s="19">
        <f>ROW()</f>
        <v>18</v>
      </c>
      <c r="C18" s="20" t="s">
        <v>33</v>
      </c>
      <c r="D18" s="12"/>
      <c r="E18" s="22">
        <v>3.8519999999999999E-2</v>
      </c>
      <c r="F18" s="23">
        <f>ROUND(E18-(E18*F16),6)</f>
        <v>3.8358000000000003E-2</v>
      </c>
    </row>
    <row r="19" spans="2:6" x14ac:dyDescent="0.3">
      <c r="B19" s="19">
        <f>ROW()</f>
        <v>19</v>
      </c>
      <c r="C19" s="20"/>
      <c r="D19" s="21"/>
      <c r="E19" s="21"/>
      <c r="F19" s="24"/>
    </row>
    <row r="20" spans="2:6" x14ac:dyDescent="0.3">
      <c r="B20" s="19">
        <f>ROW()</f>
        <v>20</v>
      </c>
      <c r="C20" s="20" t="s">
        <v>34</v>
      </c>
      <c r="D20" s="21"/>
      <c r="E20" s="21"/>
      <c r="F20" s="22">
        <f>ROUND(SUM(F16:F18),6)</f>
        <v>4.7556000000000001E-2</v>
      </c>
    </row>
    <row r="21" spans="2:6" x14ac:dyDescent="0.3">
      <c r="B21" s="19">
        <f>ROW()</f>
        <v>21</v>
      </c>
      <c r="C21" s="21"/>
      <c r="D21" s="21"/>
      <c r="E21" s="21"/>
      <c r="F21" s="22"/>
    </row>
    <row r="22" spans="2:6" x14ac:dyDescent="0.3">
      <c r="B22" s="19">
        <f>ROW()</f>
        <v>22</v>
      </c>
      <c r="C22" s="21" t="s">
        <v>35</v>
      </c>
      <c r="D22" s="21"/>
      <c r="E22" s="21"/>
      <c r="F22" s="22">
        <f>ROUND(1-F20,6)</f>
        <v>0.95244399999999996</v>
      </c>
    </row>
    <row r="23" spans="2:6" x14ac:dyDescent="0.3">
      <c r="B23" s="19">
        <f>ROW()</f>
        <v>23</v>
      </c>
      <c r="C23" s="20" t="s">
        <v>36</v>
      </c>
      <c r="D23" s="21"/>
      <c r="E23" s="25">
        <v>0.21</v>
      </c>
      <c r="F23" s="22">
        <f>ROUND((F22)*E23,6)</f>
        <v>0.200013</v>
      </c>
    </row>
    <row r="24" spans="2:6" ht="15" thickBot="1" x14ac:dyDescent="0.35">
      <c r="B24" s="19">
        <f>ROW()</f>
        <v>24</v>
      </c>
      <c r="C24" s="20" t="s">
        <v>37</v>
      </c>
      <c r="D24" s="21"/>
      <c r="E24" s="21"/>
      <c r="F24" s="26">
        <f>ROUND(1-F23-F20,6)</f>
        <v>0.75243099999999996</v>
      </c>
    </row>
    <row r="25" spans="2:6" ht="15" thickTop="1" x14ac:dyDescent="0.3"/>
  </sheetData>
  <printOptions horizontalCentered="1"/>
  <pageMargins left="0.7" right="0.7" top="0.75" bottom="0.75" header="0.3" footer="0.3"/>
  <pageSetup scale="99" orientation="portrait" horizontalDpi="1200" verticalDpi="1200" r:id="rId1"/>
  <headerFooter>
    <oddFooter>&amp;R&amp;"Times New Roman,Regular"Exh. SEF-3 page 16 of 16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D0F2B-D3CC-4769-A88E-2A0308761045}">
  <sheetPr>
    <tabColor rgb="FF92D050"/>
    <pageSetUpPr fitToPage="1"/>
  </sheetPr>
  <dimension ref="A1:Y28"/>
  <sheetViews>
    <sheetView topLeftCell="A4" zoomScaleNormal="100" zoomScaleSheetLayoutView="80" workbookViewId="0">
      <pane xSplit="2" topLeftCell="D1" activePane="topRight" state="frozen"/>
      <selection pane="topRight" activeCell="G27" sqref="G27"/>
    </sheetView>
  </sheetViews>
  <sheetFormatPr defaultRowHeight="14.4" x14ac:dyDescent="0.3"/>
  <cols>
    <col min="1" max="1" width="5.5546875" customWidth="1"/>
    <col min="2" max="2" width="52.33203125" bestFit="1" customWidth="1"/>
    <col min="3" max="3" width="13.88671875" customWidth="1"/>
    <col min="4" max="4" width="18.88671875" customWidth="1"/>
    <col min="5" max="11" width="15.33203125" customWidth="1"/>
    <col min="12" max="12" width="17.44140625" customWidth="1"/>
    <col min="13" max="19" width="17.33203125" customWidth="1"/>
    <col min="20" max="20" width="17.33203125" hidden="1" customWidth="1"/>
    <col min="21" max="24" width="15.44140625" hidden="1" customWidth="1"/>
    <col min="25" max="25" width="13.33203125" bestFit="1" customWidth="1"/>
    <col min="26" max="30" width="12.5546875" bestFit="1" customWidth="1"/>
    <col min="31" max="31" width="14.88671875" customWidth="1"/>
    <col min="32" max="32" width="15.44140625" customWidth="1"/>
  </cols>
  <sheetData>
    <row r="1" spans="1:25" x14ac:dyDescent="0.3">
      <c r="A1" s="5" t="s">
        <v>320</v>
      </c>
    </row>
    <row r="2" spans="1:25" x14ac:dyDescent="0.3">
      <c r="A2" s="5" t="s">
        <v>321</v>
      </c>
    </row>
    <row r="3" spans="1:25" x14ac:dyDescent="0.3">
      <c r="A3" s="5"/>
      <c r="D3" t="s">
        <v>322</v>
      </c>
      <c r="E3" s="420"/>
      <c r="F3" s="420"/>
      <c r="G3" s="420"/>
      <c r="H3" s="420"/>
    </row>
    <row r="4" spans="1:25" ht="43.2" x14ac:dyDescent="0.3">
      <c r="A4" s="421"/>
      <c r="B4" s="421"/>
      <c r="C4" s="421"/>
      <c r="D4" s="422" t="s">
        <v>323</v>
      </c>
      <c r="L4" s="422" t="s">
        <v>323</v>
      </c>
      <c r="M4" s="422" t="s">
        <v>324</v>
      </c>
    </row>
    <row r="5" spans="1:25" x14ac:dyDescent="0.3">
      <c r="A5" s="423" t="s">
        <v>325</v>
      </c>
      <c r="B5" s="423"/>
      <c r="C5" s="424"/>
      <c r="D5" s="424">
        <v>7.1599999999999997E-2</v>
      </c>
      <c r="L5" s="424">
        <f>D5</f>
        <v>7.1599999999999997E-2</v>
      </c>
      <c r="M5" s="424">
        <v>7.5200000000000003E-2</v>
      </c>
    </row>
    <row r="6" spans="1:25" x14ac:dyDescent="0.3">
      <c r="A6" s="423" t="s">
        <v>326</v>
      </c>
      <c r="B6" s="423"/>
      <c r="C6" s="424"/>
      <c r="D6" s="424">
        <v>2.5499999999999998E-2</v>
      </c>
      <c r="L6" s="424">
        <f>D6</f>
        <v>2.5499999999999998E-2</v>
      </c>
      <c r="M6" s="424">
        <v>2.7199999999999998E-2</v>
      </c>
    </row>
    <row r="7" spans="1:25" x14ac:dyDescent="0.3">
      <c r="A7" s="423" t="s">
        <v>327</v>
      </c>
      <c r="B7" s="423"/>
      <c r="C7" s="423"/>
      <c r="D7" s="425">
        <v>0.21</v>
      </c>
      <c r="L7" s="425">
        <f>D7</f>
        <v>0.21</v>
      </c>
      <c r="M7" s="425">
        <f>D7</f>
        <v>0.21</v>
      </c>
    </row>
    <row r="8" spans="1:25" x14ac:dyDescent="0.3">
      <c r="A8" s="2" t="s">
        <v>328</v>
      </c>
      <c r="B8" t="s">
        <v>329</v>
      </c>
      <c r="C8" s="426"/>
    </row>
    <row r="9" spans="1:25" x14ac:dyDescent="0.3">
      <c r="A9" s="3" t="s">
        <v>330</v>
      </c>
      <c r="B9" s="3" t="s">
        <v>79</v>
      </c>
      <c r="C9" s="250"/>
      <c r="D9" s="250">
        <v>45443</v>
      </c>
      <c r="E9" s="250">
        <v>45473</v>
      </c>
      <c r="F9" s="250">
        <v>45504</v>
      </c>
      <c r="G9" s="250">
        <v>45535</v>
      </c>
      <c r="H9" s="250">
        <v>45565</v>
      </c>
      <c r="I9" s="250">
        <v>45596</v>
      </c>
      <c r="J9" s="250">
        <v>45626</v>
      </c>
      <c r="K9" s="250">
        <v>45657</v>
      </c>
      <c r="L9" s="427">
        <v>45688</v>
      </c>
      <c r="M9" s="427">
        <v>45688</v>
      </c>
      <c r="N9" s="250">
        <v>45716</v>
      </c>
      <c r="O9" s="250">
        <v>45747</v>
      </c>
      <c r="P9" s="250">
        <v>45777</v>
      </c>
      <c r="Q9" s="250">
        <v>45808</v>
      </c>
      <c r="R9" s="250">
        <v>45838</v>
      </c>
      <c r="S9" s="428">
        <v>45869</v>
      </c>
      <c r="T9" s="250">
        <v>45900</v>
      </c>
      <c r="U9" s="250">
        <v>45930</v>
      </c>
      <c r="V9" s="250">
        <v>45961</v>
      </c>
      <c r="W9" s="250">
        <v>45991</v>
      </c>
      <c r="X9" s="250">
        <v>46022</v>
      </c>
    </row>
    <row r="10" spans="1:25" x14ac:dyDescent="0.3">
      <c r="L10" s="429"/>
      <c r="M10" s="429"/>
      <c r="S10" s="423"/>
    </row>
    <row r="11" spans="1:25" x14ac:dyDescent="0.3">
      <c r="A11">
        <v>1</v>
      </c>
      <c r="B11" s="430" t="s">
        <v>331</v>
      </c>
      <c r="L11" s="429"/>
      <c r="M11" s="429"/>
      <c r="S11" s="423"/>
    </row>
    <row r="12" spans="1:25" x14ac:dyDescent="0.3">
      <c r="A12" s="143">
        <v>2</v>
      </c>
      <c r="B12" t="s">
        <v>332</v>
      </c>
      <c r="C12" s="431"/>
      <c r="D12" s="248">
        <v>243966747.69</v>
      </c>
      <c r="E12" s="248">
        <v>243471749.75</v>
      </c>
      <c r="F12" s="248">
        <v>243496893.05999997</v>
      </c>
      <c r="G12" s="248">
        <v>243511607.06999993</v>
      </c>
      <c r="H12" s="248">
        <v>243519490.36999997</v>
      </c>
      <c r="I12" s="248">
        <v>243536465.33999994</v>
      </c>
      <c r="J12" s="252">
        <v>243636678.88999996</v>
      </c>
      <c r="K12" s="252">
        <v>243655539.26999998</v>
      </c>
      <c r="L12" s="432">
        <v>243827746.21999997</v>
      </c>
      <c r="M12" s="432">
        <v>243827746.21999997</v>
      </c>
      <c r="N12" s="248">
        <v>243838877.98999995</v>
      </c>
      <c r="O12" s="248">
        <v>243862536.36999995</v>
      </c>
      <c r="P12" s="248">
        <v>243877270.49000001</v>
      </c>
      <c r="Q12" s="248">
        <v>243881131.65999997</v>
      </c>
      <c r="R12" s="248">
        <v>243881800.64999998</v>
      </c>
      <c r="S12" s="433">
        <v>243881800.64999998</v>
      </c>
      <c r="T12" s="252">
        <v>243881800.64999998</v>
      </c>
      <c r="U12" s="252">
        <v>243881800.64999998</v>
      </c>
      <c r="V12" s="252">
        <v>243881800.64999998</v>
      </c>
      <c r="W12" s="252">
        <v>243881800.64999998</v>
      </c>
      <c r="X12" s="252">
        <v>243881800.64999998</v>
      </c>
      <c r="Y12" s="434" t="s">
        <v>333</v>
      </c>
    </row>
    <row r="13" spans="1:25" x14ac:dyDescent="0.3">
      <c r="A13" s="143">
        <v>3</v>
      </c>
      <c r="B13" t="s">
        <v>334</v>
      </c>
      <c r="C13" s="431"/>
      <c r="D13" s="248">
        <v>-14037548.212263292</v>
      </c>
      <c r="E13" s="248">
        <v>-14561600.362823123</v>
      </c>
      <c r="F13" s="248">
        <v>-15085051.653382957</v>
      </c>
      <c r="G13" s="248">
        <v>-15608497.543942792</v>
      </c>
      <c r="H13" s="248">
        <v>-16131927.144502619</v>
      </c>
      <c r="I13" s="248">
        <v>-16655334.285062453</v>
      </c>
      <c r="J13" s="252">
        <v>-17178812.885622289</v>
      </c>
      <c r="K13" s="252">
        <v>-17722462.639447287</v>
      </c>
      <c r="L13" s="432">
        <v>-18266307.599624868</v>
      </c>
      <c r="M13" s="432">
        <v>-18266307.599624868</v>
      </c>
      <c r="N13" s="248">
        <v>-18810339.12473708</v>
      </c>
      <c r="O13" s="248">
        <v>-19354409.559856746</v>
      </c>
      <c r="P13" s="248">
        <v>-19898522.934011087</v>
      </c>
      <c r="Q13" s="248">
        <v>-20442657.105425041</v>
      </c>
      <c r="R13" s="248">
        <v>-20986796.343214586</v>
      </c>
      <c r="S13" s="433">
        <v>-21530936.329060081</v>
      </c>
      <c r="T13" s="252">
        <v>-22075076.31490558</v>
      </c>
      <c r="U13" s="252">
        <v>-22619216.300751083</v>
      </c>
      <c r="V13" s="252">
        <v>-23163356.286596581</v>
      </c>
      <c r="W13" s="252">
        <v>-23707496.27244208</v>
      </c>
      <c r="X13" s="252">
        <v>-24251636.258287586</v>
      </c>
      <c r="Y13" s="434" t="s">
        <v>335</v>
      </c>
    </row>
    <row r="14" spans="1:25" x14ac:dyDescent="0.3">
      <c r="A14" s="143">
        <v>4</v>
      </c>
      <c r="B14" t="s">
        <v>336</v>
      </c>
      <c r="C14" s="431"/>
      <c r="D14" s="248">
        <v>15000623.679999996</v>
      </c>
      <c r="E14" s="248">
        <v>14687016.809999999</v>
      </c>
      <c r="F14" s="248">
        <v>14373409.930000002</v>
      </c>
      <c r="G14" s="248">
        <v>14059803.060000001</v>
      </c>
      <c r="H14" s="248">
        <v>13746196.179999998</v>
      </c>
      <c r="I14" s="248">
        <v>13432589.300000001</v>
      </c>
      <c r="J14" s="252">
        <v>13118982.42</v>
      </c>
      <c r="K14" s="252">
        <v>12710125.670000002</v>
      </c>
      <c r="L14" s="432">
        <v>12491768.670000002</v>
      </c>
      <c r="M14" s="432">
        <v>12491768.670000002</v>
      </c>
      <c r="N14" s="248">
        <v>12178161.790000001</v>
      </c>
      <c r="O14" s="248">
        <v>11864554.92</v>
      </c>
      <c r="P14" s="248">
        <v>11550948.040000001</v>
      </c>
      <c r="Q14" s="248">
        <v>11237341.17</v>
      </c>
      <c r="R14" s="248">
        <v>10923734.289999999</v>
      </c>
      <c r="S14" s="433">
        <v>10610127.420000002</v>
      </c>
      <c r="T14" s="252">
        <v>0</v>
      </c>
      <c r="U14" s="252">
        <v>0</v>
      </c>
      <c r="V14" s="252">
        <v>0</v>
      </c>
      <c r="W14" s="252">
        <v>0</v>
      </c>
      <c r="X14" s="252">
        <v>0</v>
      </c>
      <c r="Y14" s="434" t="s">
        <v>337</v>
      </c>
    </row>
    <row r="15" spans="1:25" x14ac:dyDescent="0.3">
      <c r="A15" s="143">
        <v>5</v>
      </c>
      <c r="B15" t="s">
        <v>338</v>
      </c>
      <c r="C15" s="431"/>
      <c r="D15" s="248">
        <v>-4464901.3776128497</v>
      </c>
      <c r="E15" s="248">
        <v>-4696660.4168314543</v>
      </c>
      <c r="F15" s="248">
        <v>-4928545.6366500547</v>
      </c>
      <c r="G15" s="248">
        <v>-5160431.9904686539</v>
      </c>
      <c r="H15" s="248">
        <v>-5392321.765187256</v>
      </c>
      <c r="I15" s="248">
        <v>-5624216.2565058619</v>
      </c>
      <c r="J15" s="252">
        <v>-5856095.7412244575</v>
      </c>
      <c r="K15" s="252">
        <v>-6083739.2837573783</v>
      </c>
      <c r="L15" s="432">
        <v>-6278945.1624859823</v>
      </c>
      <c r="M15" s="432">
        <v>-6278945.1624859823</v>
      </c>
      <c r="N15" s="248">
        <v>-6474111.8625783194</v>
      </c>
      <c r="O15" s="248">
        <v>-6669317.3967429632</v>
      </c>
      <c r="P15" s="248">
        <v>-6864521.6080695093</v>
      </c>
      <c r="Q15" s="248">
        <v>-7059704.9615655681</v>
      </c>
      <c r="R15" s="248">
        <v>-7254879.6779006617</v>
      </c>
      <c r="S15" s="433">
        <v>-7450052.0261955103</v>
      </c>
      <c r="T15" s="252">
        <v>-7645224.3744903561</v>
      </c>
      <c r="U15" s="252">
        <v>-7840396.7227852</v>
      </c>
      <c r="V15" s="252">
        <v>-8035569.0710800514</v>
      </c>
      <c r="W15" s="252">
        <v>-8230741.4193748971</v>
      </c>
      <c r="X15" s="252">
        <v>-8425913.7676697448</v>
      </c>
      <c r="Y15" s="434" t="s">
        <v>339</v>
      </c>
    </row>
    <row r="16" spans="1:25" x14ac:dyDescent="0.3">
      <c r="A16">
        <v>6</v>
      </c>
      <c r="B16" t="s">
        <v>340</v>
      </c>
      <c r="C16" s="435"/>
      <c r="D16" s="436">
        <v>240464921.78012386</v>
      </c>
      <c r="E16" s="436">
        <v>238900505.78034541</v>
      </c>
      <c r="F16" s="436">
        <v>237856705.69996697</v>
      </c>
      <c r="G16" s="436">
        <v>236802480.59558851</v>
      </c>
      <c r="H16" s="436">
        <v>235741437.64031011</v>
      </c>
      <c r="I16" s="436">
        <v>234689504.09843165</v>
      </c>
      <c r="J16" s="437">
        <v>233720752.68315318</v>
      </c>
      <c r="K16" s="437">
        <v>232559463.01679534</v>
      </c>
      <c r="L16" s="438">
        <v>231774262.12788913</v>
      </c>
      <c r="M16" s="438">
        <v>231774262.12788913</v>
      </c>
      <c r="N16" s="436">
        <v>230732588.79268453</v>
      </c>
      <c r="O16" s="436">
        <v>229703364.33340022</v>
      </c>
      <c r="P16" s="436">
        <v>228665173.98791939</v>
      </c>
      <c r="Q16" s="436">
        <v>227616110.76300937</v>
      </c>
      <c r="R16" s="436">
        <v>226563858.91888472</v>
      </c>
      <c r="S16" s="439">
        <f t="shared" ref="S16:X16" si="0">SUM(S12:S15)</f>
        <v>225510939.71474442</v>
      </c>
      <c r="T16" s="437">
        <f t="shared" si="0"/>
        <v>214161499.96060404</v>
      </c>
      <c r="U16" s="437">
        <f t="shared" si="0"/>
        <v>213422187.62646368</v>
      </c>
      <c r="V16" s="437">
        <f t="shared" si="0"/>
        <v>212682875.29232332</v>
      </c>
      <c r="W16" s="437">
        <f t="shared" si="0"/>
        <v>211943562.95818302</v>
      </c>
      <c r="X16" s="437">
        <f t="shared" si="0"/>
        <v>211204250.62404266</v>
      </c>
    </row>
    <row r="17" spans="1:25" x14ac:dyDescent="0.3">
      <c r="A17">
        <v>7</v>
      </c>
      <c r="B17" t="s">
        <v>325</v>
      </c>
      <c r="C17" s="8"/>
      <c r="D17" s="8">
        <v>7.1599999999999997E-2</v>
      </c>
      <c r="E17" s="8">
        <v>7.1599999999999997E-2</v>
      </c>
      <c r="F17" s="8">
        <v>7.1599999999999997E-2</v>
      </c>
      <c r="G17" s="8">
        <v>7.1599999999999997E-2</v>
      </c>
      <c r="H17" s="8">
        <v>7.1599999999999997E-2</v>
      </c>
      <c r="I17" s="8">
        <v>7.1599999999999997E-2</v>
      </c>
      <c r="J17" s="8">
        <v>7.1599999999999997E-2</v>
      </c>
      <c r="K17" s="8">
        <v>7.1599999999999997E-2</v>
      </c>
      <c r="L17" s="440">
        <v>7.1599999999999997E-2</v>
      </c>
      <c r="M17" s="440">
        <v>7.5200000000000003E-2</v>
      </c>
      <c r="N17" s="8">
        <v>7.5200000000000003E-2</v>
      </c>
      <c r="O17" s="8">
        <v>7.5200000000000003E-2</v>
      </c>
      <c r="P17" s="8">
        <v>7.5200000000000003E-2</v>
      </c>
      <c r="Q17" s="8">
        <v>7.5200000000000003E-2</v>
      </c>
      <c r="R17" s="8">
        <v>7.5200000000000003E-2</v>
      </c>
      <c r="S17" s="424">
        <f t="shared" ref="S17:X17" si="1">$M$5</f>
        <v>7.5200000000000003E-2</v>
      </c>
      <c r="T17" s="8">
        <f t="shared" si="1"/>
        <v>7.5200000000000003E-2</v>
      </c>
      <c r="U17" s="8">
        <f t="shared" si="1"/>
        <v>7.5200000000000003E-2</v>
      </c>
      <c r="V17" s="8">
        <f t="shared" si="1"/>
        <v>7.5200000000000003E-2</v>
      </c>
      <c r="W17" s="8">
        <f t="shared" si="1"/>
        <v>7.5200000000000003E-2</v>
      </c>
      <c r="X17" s="8">
        <f t="shared" si="1"/>
        <v>7.5200000000000003E-2</v>
      </c>
    </row>
    <row r="18" spans="1:25" x14ac:dyDescent="0.3">
      <c r="A18">
        <v>8</v>
      </c>
      <c r="B18" t="s">
        <v>341</v>
      </c>
      <c r="C18" s="431"/>
      <c r="D18" s="248">
        <v>17217288.399456866</v>
      </c>
      <c r="E18" s="248">
        <v>17105276.213872731</v>
      </c>
      <c r="F18" s="248">
        <v>17030540.128117636</v>
      </c>
      <c r="G18" s="248">
        <v>16955057.610644136</v>
      </c>
      <c r="H18" s="248">
        <v>16879086.935046203</v>
      </c>
      <c r="I18" s="248">
        <v>16803768.493447706</v>
      </c>
      <c r="J18" s="252">
        <v>16734405.892113768</v>
      </c>
      <c r="K18" s="252">
        <v>16651257.552002545</v>
      </c>
      <c r="L18" s="432">
        <v>16595037.16835686</v>
      </c>
      <c r="M18" s="432">
        <v>17429424.512017261</v>
      </c>
      <c r="N18" s="248">
        <v>17351090.677209876</v>
      </c>
      <c r="O18" s="248">
        <v>17273692.997871697</v>
      </c>
      <c r="P18" s="248">
        <v>17195621.083891537</v>
      </c>
      <c r="Q18" s="248">
        <v>17116731.529378306</v>
      </c>
      <c r="R18" s="248">
        <v>17037602.190700132</v>
      </c>
      <c r="S18" s="441">
        <f t="shared" ref="S18:X18" si="2">S16*S17</f>
        <v>16958422.666548781</v>
      </c>
      <c r="T18" s="252">
        <f t="shared" si="2"/>
        <v>16104944.797037425</v>
      </c>
      <c r="U18" s="252">
        <f t="shared" si="2"/>
        <v>16049348.50951007</v>
      </c>
      <c r="V18" s="252">
        <f t="shared" si="2"/>
        <v>15993752.221982714</v>
      </c>
      <c r="W18" s="252">
        <f t="shared" si="2"/>
        <v>15938155.934455363</v>
      </c>
      <c r="X18" s="252">
        <f t="shared" si="2"/>
        <v>15882559.646928009</v>
      </c>
    </row>
    <row r="19" spans="1:25" x14ac:dyDescent="0.3">
      <c r="A19">
        <v>9</v>
      </c>
      <c r="B19" t="s">
        <v>342</v>
      </c>
      <c r="C19" s="431"/>
      <c r="D19" s="248">
        <v>-1287689.656132563</v>
      </c>
      <c r="E19" s="248">
        <v>-1279312.2084537495</v>
      </c>
      <c r="F19" s="248">
        <v>-1273722.6590233231</v>
      </c>
      <c r="G19" s="248">
        <v>-1268077.2835893764</v>
      </c>
      <c r="H19" s="248">
        <v>-1262395.3985638604</v>
      </c>
      <c r="I19" s="248">
        <v>-1256762.2944471014</v>
      </c>
      <c r="J19" s="252">
        <v>-1251574.6306182852</v>
      </c>
      <c r="K19" s="252">
        <v>-1245355.9244549389</v>
      </c>
      <c r="L19" s="432">
        <v>-1241151.173694846</v>
      </c>
      <c r="M19" s="432">
        <v>-1323894.5852745026</v>
      </c>
      <c r="N19" s="248">
        <v>-1317944.547183814</v>
      </c>
      <c r="O19" s="248">
        <v>-1312065.617072382</v>
      </c>
      <c r="P19" s="248">
        <v>-1306135.4738189955</v>
      </c>
      <c r="Q19" s="248">
        <v>-1300143.2246783094</v>
      </c>
      <c r="R19" s="248">
        <v>-1294132.7621446694</v>
      </c>
      <c r="S19" s="441">
        <f t="shared" ref="S19:X19" si="3">-S16*$M$6*$M$7</f>
        <v>-1288118.4876506201</v>
      </c>
      <c r="T19" s="248">
        <f t="shared" si="3"/>
        <v>-1223290.48777497</v>
      </c>
      <c r="U19" s="248">
        <f t="shared" si="3"/>
        <v>-1219067.5357223605</v>
      </c>
      <c r="V19" s="248">
        <f t="shared" si="3"/>
        <v>-1214844.5836697507</v>
      </c>
      <c r="W19" s="248">
        <f t="shared" si="3"/>
        <v>-1210621.6316171414</v>
      </c>
      <c r="X19" s="248">
        <f t="shared" si="3"/>
        <v>-1206398.6795645314</v>
      </c>
    </row>
    <row r="20" spans="1:25" x14ac:dyDescent="0.3">
      <c r="A20">
        <v>10</v>
      </c>
      <c r="B20" t="s">
        <v>343</v>
      </c>
      <c r="C20" s="435"/>
      <c r="D20" s="436">
        <v>15929598.743324302</v>
      </c>
      <c r="E20" s="436">
        <v>15825964.00541898</v>
      </c>
      <c r="F20" s="436">
        <v>15756817.469094314</v>
      </c>
      <c r="G20" s="436">
        <v>15686980.327054759</v>
      </c>
      <c r="H20" s="436">
        <v>15616691.536482343</v>
      </c>
      <c r="I20" s="436">
        <v>15547006.199000604</v>
      </c>
      <c r="J20" s="437">
        <v>15482831.261495482</v>
      </c>
      <c r="K20" s="437">
        <v>15405901.627547607</v>
      </c>
      <c r="L20" s="438">
        <v>15353885.994662015</v>
      </c>
      <c r="M20" s="438">
        <v>16105529.926742759</v>
      </c>
      <c r="N20" s="436">
        <v>16033146.130026063</v>
      </c>
      <c r="O20" s="436">
        <v>15961627.380799316</v>
      </c>
      <c r="P20" s="436">
        <v>15889485.610072542</v>
      </c>
      <c r="Q20" s="436">
        <v>15816588.304699996</v>
      </c>
      <c r="R20" s="436">
        <v>15743469.428555463</v>
      </c>
      <c r="S20" s="439">
        <f t="shared" ref="S20:T20" si="4">SUM(S18:S19)</f>
        <v>15670304.178898161</v>
      </c>
      <c r="T20" s="437">
        <f t="shared" si="4"/>
        <v>14881654.309262455</v>
      </c>
      <c r="U20" s="437">
        <f t="shared" ref="U20:X20" si="5">SUM(U18:U19)</f>
        <v>14830280.97378771</v>
      </c>
      <c r="V20" s="437">
        <f t="shared" si="5"/>
        <v>14778907.638312964</v>
      </c>
      <c r="W20" s="437">
        <f t="shared" si="5"/>
        <v>14727534.302838221</v>
      </c>
      <c r="X20" s="437">
        <f t="shared" si="5"/>
        <v>14676160.967363477</v>
      </c>
    </row>
    <row r="21" spans="1:25" x14ac:dyDescent="0.3">
      <c r="A21">
        <v>11</v>
      </c>
      <c r="B21" t="s">
        <v>344</v>
      </c>
      <c r="C21" s="11"/>
      <c r="D21" s="11">
        <v>0.79</v>
      </c>
      <c r="E21" s="11">
        <v>0.79</v>
      </c>
      <c r="F21" s="11">
        <v>0.79</v>
      </c>
      <c r="G21" s="11">
        <v>0.79</v>
      </c>
      <c r="H21" s="11">
        <v>0.79</v>
      </c>
      <c r="I21" s="11">
        <v>0.79</v>
      </c>
      <c r="J21" s="11">
        <v>0.79</v>
      </c>
      <c r="K21" s="11">
        <v>0.79</v>
      </c>
      <c r="L21" s="442">
        <v>0.79</v>
      </c>
      <c r="M21" s="442">
        <v>0.79</v>
      </c>
      <c r="N21" s="11">
        <v>0.79</v>
      </c>
      <c r="O21" s="11">
        <v>0.79</v>
      </c>
      <c r="P21" s="11">
        <v>0.79</v>
      </c>
      <c r="Q21" s="11">
        <v>0.79</v>
      </c>
      <c r="R21" s="11">
        <v>0.79</v>
      </c>
      <c r="S21" s="443">
        <f t="shared" ref="S21:X21" si="6">1-$M$7</f>
        <v>0.79</v>
      </c>
      <c r="T21" s="11">
        <f t="shared" si="6"/>
        <v>0.79</v>
      </c>
      <c r="U21" s="11">
        <f t="shared" si="6"/>
        <v>0.79</v>
      </c>
      <c r="V21" s="11">
        <f t="shared" si="6"/>
        <v>0.79</v>
      </c>
      <c r="W21" s="11">
        <f t="shared" si="6"/>
        <v>0.79</v>
      </c>
      <c r="X21" s="11">
        <f t="shared" si="6"/>
        <v>0.79</v>
      </c>
    </row>
    <row r="22" spans="1:25" x14ac:dyDescent="0.3">
      <c r="A22">
        <v>12</v>
      </c>
      <c r="B22" t="s">
        <v>345</v>
      </c>
      <c r="C22" s="435"/>
      <c r="D22" s="436">
        <v>20164049.042182662</v>
      </c>
      <c r="E22" s="436">
        <v>20032865.829644278</v>
      </c>
      <c r="F22" s="436">
        <v>19945338.568473812</v>
      </c>
      <c r="G22" s="436">
        <v>19856937.122854125</v>
      </c>
      <c r="H22" s="436">
        <v>19767963.970230814</v>
      </c>
      <c r="I22" s="436">
        <v>19679754.682279244</v>
      </c>
      <c r="J22" s="437">
        <v>19598520.584171496</v>
      </c>
      <c r="K22" s="437">
        <v>19501141.300693173</v>
      </c>
      <c r="L22" s="438">
        <v>19435298.72742027</v>
      </c>
      <c r="M22" s="438">
        <v>20386746.742712352</v>
      </c>
      <c r="N22" s="436">
        <v>20295121.683577295</v>
      </c>
      <c r="O22" s="436">
        <v>20204591.621264957</v>
      </c>
      <c r="P22" s="436">
        <v>20113272.924142458</v>
      </c>
      <c r="Q22" s="436">
        <v>20020997.854050629</v>
      </c>
      <c r="R22" s="436">
        <v>19928442.314627167</v>
      </c>
      <c r="S22" s="439">
        <f t="shared" ref="S22:X22" si="7">S20/S21</f>
        <v>19835828.074554633</v>
      </c>
      <c r="T22" s="437">
        <f t="shared" si="7"/>
        <v>18837537.100332219</v>
      </c>
      <c r="U22" s="437">
        <f t="shared" si="7"/>
        <v>18772507.561756596</v>
      </c>
      <c r="V22" s="437">
        <f t="shared" si="7"/>
        <v>18707478.023180965</v>
      </c>
      <c r="W22" s="437">
        <f t="shared" si="7"/>
        <v>18642448.484605342</v>
      </c>
      <c r="X22" s="437">
        <f t="shared" si="7"/>
        <v>18577418.946029715</v>
      </c>
    </row>
    <row r="23" spans="1:25" x14ac:dyDescent="0.3">
      <c r="A23">
        <v>13</v>
      </c>
      <c r="B23" t="s">
        <v>346</v>
      </c>
      <c r="C23" s="431"/>
      <c r="D23" s="431">
        <v>12</v>
      </c>
      <c r="E23" s="431">
        <v>12</v>
      </c>
      <c r="F23" s="431">
        <v>12</v>
      </c>
      <c r="G23" s="431">
        <v>12</v>
      </c>
      <c r="H23" s="431">
        <v>12</v>
      </c>
      <c r="I23" s="431">
        <v>12</v>
      </c>
      <c r="J23" s="431">
        <v>12</v>
      </c>
      <c r="K23" s="431">
        <v>12</v>
      </c>
      <c r="L23" s="444">
        <v>12</v>
      </c>
      <c r="M23" s="444">
        <v>12</v>
      </c>
      <c r="N23" s="431">
        <v>12</v>
      </c>
      <c r="O23" s="431">
        <v>12</v>
      </c>
      <c r="P23" s="431">
        <v>12</v>
      </c>
      <c r="Q23" s="431">
        <v>12</v>
      </c>
      <c r="R23" s="431">
        <v>12</v>
      </c>
      <c r="S23" s="445">
        <v>12</v>
      </c>
      <c r="T23" s="431">
        <v>12</v>
      </c>
      <c r="U23" s="431">
        <v>12</v>
      </c>
      <c r="V23" s="431">
        <v>12</v>
      </c>
      <c r="W23" s="431">
        <v>12</v>
      </c>
      <c r="X23" s="431">
        <v>12</v>
      </c>
    </row>
    <row r="24" spans="1:25" ht="15" thickBot="1" x14ac:dyDescent="0.35">
      <c r="A24">
        <v>14</v>
      </c>
      <c r="B24" t="s">
        <v>347</v>
      </c>
      <c r="C24" s="446"/>
      <c r="D24" s="447">
        <v>1680337.4201818884</v>
      </c>
      <c r="E24" s="447">
        <v>1669405.4858036898</v>
      </c>
      <c r="F24" s="447">
        <v>1662111.5473728178</v>
      </c>
      <c r="G24" s="447">
        <v>1654744.7602378437</v>
      </c>
      <c r="H24" s="447">
        <v>1647330.3308525679</v>
      </c>
      <c r="I24" s="447">
        <v>1639979.5568566036</v>
      </c>
      <c r="J24" s="448">
        <v>1633210.0486809581</v>
      </c>
      <c r="K24" s="448">
        <v>1625095.1083910977</v>
      </c>
      <c r="L24" s="449">
        <v>1619608.2272850226</v>
      </c>
      <c r="M24" s="449">
        <v>1698895.561892696</v>
      </c>
      <c r="N24" s="447">
        <v>1691260.1402981079</v>
      </c>
      <c r="O24" s="447">
        <v>1683715.9684387464</v>
      </c>
      <c r="P24" s="447">
        <v>1676106.0770118714</v>
      </c>
      <c r="Q24" s="447">
        <v>1668416.4878375523</v>
      </c>
      <c r="R24" s="447">
        <v>1660703.5262189305</v>
      </c>
      <c r="S24" s="450">
        <f t="shared" ref="S24:X24" si="8">S22/S23</f>
        <v>1652985.6728795527</v>
      </c>
      <c r="T24" s="448">
        <f t="shared" si="8"/>
        <v>1569794.7583610183</v>
      </c>
      <c r="U24" s="448">
        <f t="shared" si="8"/>
        <v>1564375.6301463831</v>
      </c>
      <c r="V24" s="448">
        <f t="shared" si="8"/>
        <v>1558956.5019317472</v>
      </c>
      <c r="W24" s="448">
        <f t="shared" si="8"/>
        <v>1553537.3737171118</v>
      </c>
      <c r="X24" s="448">
        <f t="shared" si="8"/>
        <v>1548118.2455024763</v>
      </c>
    </row>
    <row r="25" spans="1:25" ht="15" thickTop="1" x14ac:dyDescent="0.3">
      <c r="C25" s="451"/>
      <c r="D25" s="452"/>
      <c r="E25" s="452"/>
      <c r="F25" s="452"/>
      <c r="G25" s="452"/>
      <c r="H25" s="452"/>
      <c r="I25" s="452"/>
      <c r="J25" s="261"/>
      <c r="K25" s="261"/>
      <c r="L25" s="453">
        <v>1462871.9472251816</v>
      </c>
      <c r="M25" s="453">
        <v>164409.2479250996</v>
      </c>
      <c r="N25" s="452"/>
      <c r="O25" s="452"/>
      <c r="P25" s="452"/>
      <c r="Q25" s="452"/>
      <c r="R25" s="452"/>
      <c r="S25" s="261"/>
      <c r="T25" s="261"/>
      <c r="Y25" s="249"/>
    </row>
    <row r="26" spans="1:25" ht="28.8" x14ac:dyDescent="0.3">
      <c r="D26" s="249"/>
      <c r="E26" s="249"/>
      <c r="F26" s="249"/>
      <c r="G26" s="249"/>
      <c r="H26" s="249"/>
      <c r="I26" s="249"/>
      <c r="J26" s="249"/>
      <c r="K26" s="454"/>
      <c r="L26" s="455" t="s">
        <v>348</v>
      </c>
      <c r="M26" s="455" t="s">
        <v>349</v>
      </c>
      <c r="N26" s="249"/>
      <c r="O26" s="249"/>
      <c r="P26" s="249"/>
      <c r="Q26" s="249"/>
      <c r="R26" s="249"/>
      <c r="S26" s="249"/>
      <c r="T26" s="454"/>
      <c r="Y26" s="456"/>
    </row>
    <row r="28" spans="1:25" x14ac:dyDescent="0.3">
      <c r="B28" s="457"/>
    </row>
  </sheetData>
  <pageMargins left="0.25" right="0.25" top="0.75" bottom="0.75" header="0.3" footer="0.3"/>
  <pageSetup scale="37" orientation="landscape" horizontalDpi="4294967293" r:id="rId1"/>
  <headerFooter>
    <oddFooter>&amp;R&amp;"Arial,Regular"&amp;28&amp;K0000FFC1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172B1-78DD-4704-8EDA-97F722DD2971}">
  <sheetPr>
    <tabColor rgb="FF92D050"/>
  </sheetPr>
  <dimension ref="A3:AC41"/>
  <sheetViews>
    <sheetView zoomScale="60" zoomScaleNormal="60" workbookViewId="0">
      <selection activeCell="P41" sqref="P41"/>
    </sheetView>
  </sheetViews>
  <sheetFormatPr defaultRowHeight="13.2" x14ac:dyDescent="0.3"/>
  <cols>
    <col min="1" max="1" width="27.33203125" style="458" bestFit="1" customWidth="1"/>
    <col min="2" max="2" width="22.5546875" style="458" bestFit="1" customWidth="1"/>
    <col min="3" max="3" width="13.21875" style="458" bestFit="1" customWidth="1"/>
    <col min="4" max="5" width="12.88671875" style="458" bestFit="1" customWidth="1"/>
    <col min="6" max="6" width="13.21875" style="458" bestFit="1" customWidth="1"/>
    <col min="7" max="7" width="12.5546875" style="458" bestFit="1" customWidth="1"/>
    <col min="8" max="9" width="12.88671875" style="458" bestFit="1" customWidth="1"/>
    <col min="10" max="11" width="13.21875" style="458" bestFit="1" customWidth="1"/>
    <col min="12" max="12" width="12.88671875" style="458" bestFit="1" customWidth="1"/>
    <col min="13" max="13" width="13.21875" style="458" bestFit="1" customWidth="1"/>
    <col min="14" max="15" width="12.88671875" style="458" bestFit="1" customWidth="1"/>
    <col min="16" max="16" width="13.21875" style="458" bestFit="1" customWidth="1"/>
    <col min="17" max="17" width="15.33203125" style="458" bestFit="1" customWidth="1"/>
    <col min="18" max="18" width="16.44140625" style="458" bestFit="1" customWidth="1"/>
    <col min="19" max="19" width="15.33203125" style="458" bestFit="1" customWidth="1"/>
    <col min="20" max="21" width="16" style="458" bestFit="1" customWidth="1"/>
    <col min="22" max="23" width="16.44140625" style="458" bestFit="1" customWidth="1"/>
    <col min="24" max="24" width="16" style="458" bestFit="1" customWidth="1"/>
    <col min="25" max="25" width="16.44140625" style="458" bestFit="1" customWidth="1"/>
    <col min="26" max="26" width="15.6640625" style="458" bestFit="1" customWidth="1"/>
    <col min="27" max="27" width="16" style="458" bestFit="1" customWidth="1"/>
    <col min="28" max="28" width="16.44140625" style="458" bestFit="1" customWidth="1"/>
    <col min="29" max="29" width="18.6640625" style="458" bestFit="1" customWidth="1"/>
    <col min="30" max="31" width="12" style="458" bestFit="1" customWidth="1"/>
    <col min="32" max="16384" width="8.88671875" style="458"/>
  </cols>
  <sheetData>
    <row r="3" spans="1:29" ht="14.4" x14ac:dyDescent="0.3">
      <c r="A3" s="460" t="s">
        <v>399</v>
      </c>
      <c r="B3" s="460" t="s">
        <v>398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ht="14.4" x14ac:dyDescent="0.3">
      <c r="A4" s="460" t="s">
        <v>397</v>
      </c>
      <c r="B4" t="s">
        <v>396</v>
      </c>
      <c r="C4" t="s">
        <v>395</v>
      </c>
      <c r="D4" t="s">
        <v>394</v>
      </c>
      <c r="E4" t="s">
        <v>393</v>
      </c>
      <c r="F4" t="s">
        <v>392</v>
      </c>
      <c r="G4" t="s">
        <v>391</v>
      </c>
      <c r="H4" t="s">
        <v>390</v>
      </c>
      <c r="I4" t="s">
        <v>389</v>
      </c>
      <c r="J4" t="s">
        <v>388</v>
      </c>
      <c r="K4" t="s">
        <v>387</v>
      </c>
      <c r="L4" t="s">
        <v>386</v>
      </c>
      <c r="M4" t="s">
        <v>385</v>
      </c>
      <c r="N4" t="s">
        <v>384</v>
      </c>
      <c r="O4" t="s">
        <v>383</v>
      </c>
      <c r="P4" t="s">
        <v>382</v>
      </c>
      <c r="Q4" t="s">
        <v>350</v>
      </c>
      <c r="R4"/>
      <c r="S4"/>
      <c r="T4"/>
      <c r="U4"/>
      <c r="V4"/>
      <c r="W4"/>
      <c r="X4"/>
      <c r="Y4"/>
      <c r="Z4"/>
      <c r="AA4"/>
      <c r="AB4"/>
      <c r="AC4"/>
    </row>
    <row r="5" spans="1:29" ht="14.4" x14ac:dyDescent="0.3">
      <c r="A5" s="420" t="s">
        <v>381</v>
      </c>
      <c r="B5" s="461">
        <v>13512.31</v>
      </c>
      <c r="C5" s="461">
        <v>9250.25</v>
      </c>
      <c r="D5" s="461">
        <v>14227.59</v>
      </c>
      <c r="E5" s="461">
        <v>15962.34</v>
      </c>
      <c r="F5" s="461">
        <v>7270.91</v>
      </c>
      <c r="G5" s="461">
        <v>9424.36</v>
      </c>
      <c r="H5" s="461">
        <v>12658.72</v>
      </c>
      <c r="I5" s="461">
        <v>14384.25</v>
      </c>
      <c r="J5" s="461">
        <v>7856.78</v>
      </c>
      <c r="K5" s="461">
        <v>4927.8599999999997</v>
      </c>
      <c r="L5" s="461">
        <v>14469.69</v>
      </c>
      <c r="M5" s="461">
        <v>10093.93</v>
      </c>
      <c r="N5" s="461">
        <v>9748.93</v>
      </c>
      <c r="O5" s="461">
        <v>7333.88</v>
      </c>
      <c r="P5" s="461">
        <v>16613.28</v>
      </c>
      <c r="Q5" s="461">
        <v>167735.07999999999</v>
      </c>
      <c r="R5"/>
      <c r="S5"/>
      <c r="T5"/>
      <c r="U5"/>
      <c r="V5"/>
      <c r="W5"/>
      <c r="X5"/>
      <c r="Y5"/>
      <c r="Z5"/>
      <c r="AA5"/>
      <c r="AB5"/>
      <c r="AC5"/>
    </row>
    <row r="6" spans="1:29" ht="14.4" x14ac:dyDescent="0.3">
      <c r="A6" s="420" t="s">
        <v>380</v>
      </c>
      <c r="B6" s="461">
        <v>23684.94</v>
      </c>
      <c r="C6" s="461">
        <v>23684.94</v>
      </c>
      <c r="D6" s="461">
        <v>23684.94</v>
      </c>
      <c r="E6" s="461"/>
      <c r="F6" s="461">
        <v>23945.13</v>
      </c>
      <c r="G6" s="461">
        <v>47369.88</v>
      </c>
      <c r="H6" s="461"/>
      <c r="I6" s="461">
        <v>71054.83</v>
      </c>
      <c r="J6" s="461">
        <v>24490.23</v>
      </c>
      <c r="K6" s="461"/>
      <c r="L6" s="461">
        <v>48980.46</v>
      </c>
      <c r="M6" s="461">
        <v>24490.23</v>
      </c>
      <c r="N6" s="461">
        <v>24490.23</v>
      </c>
      <c r="O6" s="461">
        <v>24490.23</v>
      </c>
      <c r="P6" s="461">
        <v>24490.23</v>
      </c>
      <c r="Q6" s="461">
        <v>384856.2699999999</v>
      </c>
      <c r="R6"/>
      <c r="S6"/>
      <c r="T6"/>
      <c r="U6"/>
      <c r="V6"/>
      <c r="W6"/>
      <c r="X6"/>
      <c r="Y6"/>
      <c r="Z6"/>
      <c r="AA6"/>
      <c r="AB6"/>
      <c r="AC6"/>
    </row>
    <row r="7" spans="1:29" ht="14.4" x14ac:dyDescent="0.3">
      <c r="A7" s="420" t="s">
        <v>379</v>
      </c>
      <c r="B7" s="461"/>
      <c r="C7" s="461">
        <v>9.68</v>
      </c>
      <c r="D7" s="461"/>
      <c r="E7" s="461"/>
      <c r="F7" s="461"/>
      <c r="G7" s="461"/>
      <c r="H7" s="461"/>
      <c r="I7" s="461"/>
      <c r="J7" s="461">
        <v>302944.43</v>
      </c>
      <c r="K7" s="461"/>
      <c r="L7" s="461">
        <v>-1038.68</v>
      </c>
      <c r="M7" s="461"/>
      <c r="N7" s="461"/>
      <c r="O7" s="461"/>
      <c r="P7" s="461"/>
      <c r="Q7" s="461">
        <v>301915.43</v>
      </c>
      <c r="R7"/>
      <c r="S7"/>
      <c r="T7"/>
      <c r="U7"/>
      <c r="V7"/>
      <c r="W7"/>
      <c r="X7"/>
      <c r="Y7"/>
      <c r="Z7"/>
      <c r="AA7"/>
      <c r="AB7"/>
      <c r="AC7"/>
    </row>
    <row r="8" spans="1:29" ht="14.4" x14ac:dyDescent="0.3">
      <c r="A8" s="420" t="s">
        <v>378</v>
      </c>
      <c r="B8" s="461">
        <v>7133.3</v>
      </c>
      <c r="C8" s="461">
        <v>1995.07</v>
      </c>
      <c r="D8" s="461">
        <v>3640.32</v>
      </c>
      <c r="E8" s="461">
        <v>619.72</v>
      </c>
      <c r="F8" s="461">
        <v>2868.92</v>
      </c>
      <c r="G8" s="461">
        <v>10720.69</v>
      </c>
      <c r="H8" s="461">
        <v>41778.92</v>
      </c>
      <c r="I8" s="461">
        <v>13142.41</v>
      </c>
      <c r="J8" s="461">
        <v>3496.57</v>
      </c>
      <c r="K8" s="461">
        <v>242.64</v>
      </c>
      <c r="L8" s="461">
        <v>13135.47</v>
      </c>
      <c r="M8" s="461">
        <v>10993.92</v>
      </c>
      <c r="N8" s="461">
        <v>2603.09</v>
      </c>
      <c r="O8" s="461">
        <v>3139.7</v>
      </c>
      <c r="P8" s="461">
        <v>6017.4</v>
      </c>
      <c r="Q8" s="461">
        <v>121528.14</v>
      </c>
      <c r="R8"/>
      <c r="S8"/>
      <c r="T8"/>
      <c r="U8"/>
      <c r="V8"/>
      <c r="W8"/>
      <c r="X8"/>
      <c r="Y8"/>
      <c r="Z8"/>
      <c r="AA8"/>
      <c r="AB8"/>
      <c r="AC8"/>
    </row>
    <row r="9" spans="1:29" ht="14.4" x14ac:dyDescent="0.3">
      <c r="A9" s="420" t="s">
        <v>377</v>
      </c>
      <c r="B9" s="461">
        <v>99.89</v>
      </c>
      <c r="C9" s="461">
        <v>81.33</v>
      </c>
      <c r="D9" s="461">
        <v>116.07</v>
      </c>
      <c r="E9" s="461">
        <v>2050.27</v>
      </c>
      <c r="F9" s="461"/>
      <c r="G9" s="461"/>
      <c r="H9" s="461">
        <v>3998.9</v>
      </c>
      <c r="I9" s="461">
        <v>28761.74</v>
      </c>
      <c r="J9" s="461"/>
      <c r="K9" s="461">
        <v>710.79</v>
      </c>
      <c r="L9" s="461">
        <v>1565.41</v>
      </c>
      <c r="M9" s="461">
        <v>14626.97</v>
      </c>
      <c r="N9" s="461">
        <v>-2757.78</v>
      </c>
      <c r="O9" s="461">
        <v>1252.3499999999999</v>
      </c>
      <c r="P9" s="461"/>
      <c r="Q9" s="461">
        <v>50505.94000000001</v>
      </c>
      <c r="R9"/>
      <c r="S9"/>
      <c r="T9"/>
      <c r="U9"/>
      <c r="V9"/>
      <c r="W9"/>
      <c r="X9"/>
      <c r="Y9"/>
      <c r="Z9"/>
      <c r="AA9"/>
      <c r="AB9"/>
      <c r="AC9"/>
    </row>
    <row r="10" spans="1:29" ht="14.4" x14ac:dyDescent="0.3">
      <c r="A10" s="420" t="s">
        <v>376</v>
      </c>
      <c r="B10" s="461"/>
      <c r="C10" s="461"/>
      <c r="D10" s="461"/>
      <c r="E10" s="461"/>
      <c r="F10" s="461"/>
      <c r="G10" s="461"/>
      <c r="H10" s="461">
        <v>958.27</v>
      </c>
      <c r="I10" s="461">
        <v>2582.16</v>
      </c>
      <c r="J10" s="461">
        <v>14.89</v>
      </c>
      <c r="K10" s="461"/>
      <c r="L10" s="461"/>
      <c r="M10" s="461"/>
      <c r="N10" s="461"/>
      <c r="O10" s="461"/>
      <c r="P10" s="461"/>
      <c r="Q10" s="461">
        <v>3555.3199999999997</v>
      </c>
      <c r="R10"/>
      <c r="S10"/>
      <c r="T10"/>
      <c r="U10"/>
      <c r="V10"/>
      <c r="W10"/>
      <c r="X10"/>
      <c r="Y10"/>
      <c r="Z10"/>
      <c r="AA10"/>
      <c r="AB10"/>
      <c r="AC10"/>
    </row>
    <row r="11" spans="1:29" ht="14.4" x14ac:dyDescent="0.3">
      <c r="A11" s="420" t="s">
        <v>375</v>
      </c>
      <c r="B11" s="461">
        <v>173.49</v>
      </c>
      <c r="C11" s="461">
        <v>165</v>
      </c>
      <c r="D11" s="461"/>
      <c r="E11" s="461">
        <v>-288.56</v>
      </c>
      <c r="F11" s="461">
        <v>1867.18</v>
      </c>
      <c r="G11" s="461">
        <v>708.69</v>
      </c>
      <c r="H11" s="461"/>
      <c r="I11" s="461">
        <v>79.069999999999993</v>
      </c>
      <c r="J11" s="461"/>
      <c r="K11" s="461"/>
      <c r="L11" s="461"/>
      <c r="M11" s="461">
        <v>712.96</v>
      </c>
      <c r="N11" s="461"/>
      <c r="O11" s="461">
        <v>124.55</v>
      </c>
      <c r="P11" s="461"/>
      <c r="Q11" s="461">
        <v>3542.3800000000006</v>
      </c>
      <c r="R11"/>
      <c r="S11"/>
      <c r="T11"/>
      <c r="U11"/>
      <c r="V11"/>
      <c r="W11"/>
      <c r="X11"/>
      <c r="Y11"/>
      <c r="Z11"/>
      <c r="AA11"/>
      <c r="AB11"/>
      <c r="AC11"/>
    </row>
    <row r="12" spans="1:29" ht="14.4" x14ac:dyDescent="0.3">
      <c r="A12" s="420" t="s">
        <v>374</v>
      </c>
      <c r="B12" s="461">
        <v>-62.74</v>
      </c>
      <c r="C12" s="461">
        <v>-3.44</v>
      </c>
      <c r="D12" s="461"/>
      <c r="E12" s="461"/>
      <c r="F12" s="461"/>
      <c r="G12" s="461"/>
      <c r="H12" s="461">
        <v>953.72</v>
      </c>
      <c r="I12" s="461">
        <v>118.52</v>
      </c>
      <c r="J12" s="461">
        <v>-21.07</v>
      </c>
      <c r="K12" s="461">
        <v>342.19</v>
      </c>
      <c r="L12" s="461">
        <v>24.67</v>
      </c>
      <c r="M12" s="461">
        <v>333.59</v>
      </c>
      <c r="N12" s="461"/>
      <c r="O12" s="461">
        <v>569.15</v>
      </c>
      <c r="P12" s="461">
        <v>354.17</v>
      </c>
      <c r="Q12" s="461">
        <v>2608.7599999999998</v>
      </c>
      <c r="R12"/>
      <c r="S12"/>
      <c r="T12"/>
      <c r="U12"/>
      <c r="V12"/>
      <c r="W12"/>
      <c r="X12"/>
      <c r="Y12"/>
      <c r="Z12"/>
      <c r="AA12"/>
      <c r="AB12"/>
      <c r="AC12"/>
    </row>
    <row r="13" spans="1:29" ht="14.4" x14ac:dyDescent="0.3">
      <c r="A13" s="420" t="s">
        <v>373</v>
      </c>
      <c r="B13" s="461">
        <v>64352.62</v>
      </c>
      <c r="C13" s="461">
        <v>53203.3</v>
      </c>
      <c r="D13" s="461">
        <v>46270.16</v>
      </c>
      <c r="E13" s="461">
        <v>43684.73</v>
      </c>
      <c r="F13" s="461">
        <v>37027.64</v>
      </c>
      <c r="G13" s="461">
        <v>37132.32</v>
      </c>
      <c r="H13" s="461">
        <v>52710.17</v>
      </c>
      <c r="I13" s="461">
        <v>56445.06</v>
      </c>
      <c r="J13" s="461">
        <v>49975.9</v>
      </c>
      <c r="K13" s="461">
        <v>43191.96</v>
      </c>
      <c r="L13" s="461">
        <v>33547.89</v>
      </c>
      <c r="M13" s="461">
        <v>33027.35</v>
      </c>
      <c r="N13" s="461">
        <v>42387.68</v>
      </c>
      <c r="O13" s="461">
        <v>42097.81</v>
      </c>
      <c r="P13" s="461">
        <v>47472.43</v>
      </c>
      <c r="Q13" s="461">
        <v>682527.02000000014</v>
      </c>
      <c r="R13"/>
      <c r="S13"/>
      <c r="T13"/>
      <c r="U13"/>
      <c r="V13"/>
      <c r="W13"/>
      <c r="X13"/>
      <c r="Y13"/>
      <c r="Z13"/>
      <c r="AA13"/>
      <c r="AB13"/>
      <c r="AC13"/>
    </row>
    <row r="14" spans="1:29" ht="14.4" x14ac:dyDescent="0.3">
      <c r="A14" s="420" t="s">
        <v>372</v>
      </c>
      <c r="B14" s="461">
        <v>99070.88</v>
      </c>
      <c r="C14" s="461">
        <v>110104.36</v>
      </c>
      <c r="D14" s="461">
        <v>94607.08</v>
      </c>
      <c r="E14" s="461">
        <v>128857.38</v>
      </c>
      <c r="F14" s="461">
        <v>110104.36</v>
      </c>
      <c r="G14" s="461">
        <v>110104.36</v>
      </c>
      <c r="H14" s="461">
        <v>110104.36</v>
      </c>
      <c r="I14" s="461">
        <v>110104.36</v>
      </c>
      <c r="J14" s="461">
        <v>91351.35</v>
      </c>
      <c r="K14" s="461">
        <v>115983.94</v>
      </c>
      <c r="L14" s="461">
        <v>115983.94</v>
      </c>
      <c r="M14" s="461">
        <v>115983.94</v>
      </c>
      <c r="N14" s="461">
        <v>115983.94</v>
      </c>
      <c r="O14" s="461">
        <v>121863.53</v>
      </c>
      <c r="P14" s="461">
        <v>115983.94</v>
      </c>
      <c r="Q14" s="461">
        <v>1666191.7199999997</v>
      </c>
      <c r="R14"/>
      <c r="S14"/>
      <c r="T14"/>
      <c r="U14"/>
      <c r="V14"/>
      <c r="W14"/>
      <c r="X14"/>
      <c r="Y14"/>
      <c r="Z14"/>
      <c r="AA14"/>
      <c r="AB14"/>
      <c r="AC14"/>
    </row>
    <row r="15" spans="1:29" ht="14.4" x14ac:dyDescent="0.3">
      <c r="A15" s="420" t="s">
        <v>371</v>
      </c>
      <c r="B15" s="461">
        <v>90835.540000000008</v>
      </c>
      <c r="C15" s="461">
        <v>54352.399999999994</v>
      </c>
      <c r="D15" s="461">
        <v>42951.200000000004</v>
      </c>
      <c r="E15" s="461">
        <v>47133.119999999995</v>
      </c>
      <c r="F15" s="461">
        <v>87964.760000000009</v>
      </c>
      <c r="G15" s="461">
        <v>28587.030000000006</v>
      </c>
      <c r="H15" s="461">
        <v>43638.78</v>
      </c>
      <c r="I15" s="461">
        <v>12220.019999999997</v>
      </c>
      <c r="J15" s="461">
        <v>100697.46</v>
      </c>
      <c r="K15" s="461">
        <v>52671.51</v>
      </c>
      <c r="L15" s="461">
        <v>49327.43</v>
      </c>
      <c r="M15" s="461">
        <v>87581.549999999988</v>
      </c>
      <c r="N15" s="461">
        <v>87205.739999999991</v>
      </c>
      <c r="O15" s="461">
        <v>62799.74</v>
      </c>
      <c r="P15" s="461">
        <v>59211.44</v>
      </c>
      <c r="Q15" s="461">
        <v>907177.72</v>
      </c>
      <c r="R15"/>
      <c r="S15"/>
      <c r="T15"/>
      <c r="U15"/>
      <c r="V15"/>
      <c r="W15"/>
      <c r="X15"/>
      <c r="Y15"/>
      <c r="Z15"/>
      <c r="AA15"/>
      <c r="AB15"/>
      <c r="AC15"/>
    </row>
    <row r="16" spans="1:29" ht="14.4" x14ac:dyDescent="0.3">
      <c r="A16" s="420" t="s">
        <v>370</v>
      </c>
      <c r="B16" s="461">
        <v>16173.99</v>
      </c>
      <c r="C16" s="461">
        <v>46086.85</v>
      </c>
      <c r="D16" s="461">
        <v>-474.23</v>
      </c>
      <c r="E16" s="461">
        <v>-5538.11</v>
      </c>
      <c r="F16" s="461">
        <v>73295.5</v>
      </c>
      <c r="G16" s="461">
        <v>42302.11</v>
      </c>
      <c r="H16" s="461">
        <v>4277.08</v>
      </c>
      <c r="I16" s="461">
        <v>-21463.75</v>
      </c>
      <c r="J16" s="461">
        <v>3584.96</v>
      </c>
      <c r="K16" s="461">
        <v>1990.82</v>
      </c>
      <c r="L16" s="461">
        <v>34799.47</v>
      </c>
      <c r="M16" s="461">
        <v>88397.88</v>
      </c>
      <c r="N16" s="461">
        <v>5803.68</v>
      </c>
      <c r="O16" s="461">
        <v>-57677.81</v>
      </c>
      <c r="P16" s="461">
        <v>618.04</v>
      </c>
      <c r="Q16" s="461">
        <v>232176.47999999995</v>
      </c>
      <c r="R16"/>
      <c r="S16"/>
      <c r="T16"/>
      <c r="U16"/>
      <c r="V16"/>
      <c r="W16"/>
      <c r="X16"/>
      <c r="Y16"/>
      <c r="Z16"/>
      <c r="AA16"/>
      <c r="AB16"/>
      <c r="AC16"/>
    </row>
    <row r="17" spans="1:29" ht="14.4" x14ac:dyDescent="0.3">
      <c r="A17" s="420" t="s">
        <v>369</v>
      </c>
      <c r="B17" s="461">
        <v>1016.12</v>
      </c>
      <c r="C17" s="461">
        <v>272.2</v>
      </c>
      <c r="D17" s="461">
        <v>195.07999999999998</v>
      </c>
      <c r="E17" s="461">
        <v>319.36</v>
      </c>
      <c r="F17" s="461">
        <v>-59.199999999999989</v>
      </c>
      <c r="G17" s="461">
        <v>677.29</v>
      </c>
      <c r="H17" s="461">
        <v>136.48000000000002</v>
      </c>
      <c r="I17" s="461">
        <v>1518.99</v>
      </c>
      <c r="J17" s="461">
        <v>138.65</v>
      </c>
      <c r="K17" s="461">
        <v>9.94</v>
      </c>
      <c r="L17" s="461">
        <v>176.26</v>
      </c>
      <c r="M17" s="461">
        <v>1244.55</v>
      </c>
      <c r="N17" s="461">
        <v>68.459999999999994</v>
      </c>
      <c r="O17" s="461">
        <v>1491.46</v>
      </c>
      <c r="P17" s="461">
        <v>2092.88</v>
      </c>
      <c r="Q17" s="461">
        <v>9298.52</v>
      </c>
      <c r="R17"/>
      <c r="S17"/>
      <c r="T17"/>
      <c r="U17"/>
      <c r="V17"/>
      <c r="W17"/>
      <c r="X17"/>
      <c r="Y17"/>
      <c r="Z17"/>
      <c r="AA17"/>
      <c r="AB17"/>
      <c r="AC17"/>
    </row>
    <row r="18" spans="1:29" ht="14.4" x14ac:dyDescent="0.3">
      <c r="A18" s="420" t="s">
        <v>368</v>
      </c>
      <c r="B18" s="461">
        <v>232.31</v>
      </c>
      <c r="C18" s="461">
        <v>-25</v>
      </c>
      <c r="D18" s="461"/>
      <c r="E18" s="461"/>
      <c r="F18" s="461"/>
      <c r="G18" s="461"/>
      <c r="H18" s="461"/>
      <c r="I18" s="461">
        <v>4129.25</v>
      </c>
      <c r="J18" s="461">
        <v>5059.43</v>
      </c>
      <c r="K18" s="461">
        <v>-1586</v>
      </c>
      <c r="L18" s="461">
        <v>6429.38</v>
      </c>
      <c r="M18" s="461">
        <v>-2243</v>
      </c>
      <c r="N18" s="461">
        <v>1951.83</v>
      </c>
      <c r="O18" s="461">
        <v>-488</v>
      </c>
      <c r="P18" s="461">
        <v>244</v>
      </c>
      <c r="Q18" s="461">
        <v>13704.200000000003</v>
      </c>
      <c r="R18"/>
      <c r="S18"/>
      <c r="T18"/>
      <c r="U18"/>
      <c r="V18"/>
      <c r="W18"/>
      <c r="X18"/>
      <c r="Y18"/>
      <c r="Z18"/>
      <c r="AA18"/>
      <c r="AB18"/>
      <c r="AC18"/>
    </row>
    <row r="19" spans="1:29" ht="14.4" x14ac:dyDescent="0.3">
      <c r="A19" s="420" t="s">
        <v>367</v>
      </c>
      <c r="B19" s="461">
        <v>31047.72</v>
      </c>
      <c r="C19" s="461">
        <v>24320.69</v>
      </c>
      <c r="D19" s="461">
        <v>25291.49</v>
      </c>
      <c r="E19" s="461">
        <v>33389.919999999998</v>
      </c>
      <c r="F19" s="461">
        <v>44986.5</v>
      </c>
      <c r="G19" s="461">
        <v>29839.1</v>
      </c>
      <c r="H19" s="461">
        <v>13506.91</v>
      </c>
      <c r="I19" s="461">
        <v>38102.720000000001</v>
      </c>
      <c r="J19" s="461">
        <v>14971.31</v>
      </c>
      <c r="K19" s="461">
        <v>22191.91</v>
      </c>
      <c r="L19" s="461">
        <v>31644.74</v>
      </c>
      <c r="M19" s="461">
        <v>32401.42</v>
      </c>
      <c r="N19" s="461">
        <v>25400.07</v>
      </c>
      <c r="O19" s="461">
        <v>22222.87</v>
      </c>
      <c r="P19" s="461">
        <v>35059.72</v>
      </c>
      <c r="Q19" s="461">
        <v>424377.08999999997</v>
      </c>
      <c r="R19"/>
      <c r="S19"/>
      <c r="T19"/>
      <c r="U19"/>
      <c r="V19"/>
      <c r="W19"/>
      <c r="X19"/>
      <c r="Y19"/>
      <c r="Z19"/>
      <c r="AA19"/>
      <c r="AB19"/>
      <c r="AC19"/>
    </row>
    <row r="20" spans="1:29" ht="14.4" x14ac:dyDescent="0.3">
      <c r="A20" s="420" t="s">
        <v>366</v>
      </c>
      <c r="B20" s="461">
        <v>945.61</v>
      </c>
      <c r="C20" s="461">
        <v>1417.08</v>
      </c>
      <c r="D20" s="461">
        <v>373.76000000000005</v>
      </c>
      <c r="E20" s="461">
        <v>1895.74</v>
      </c>
      <c r="F20" s="461">
        <v>-479.01</v>
      </c>
      <c r="G20" s="461">
        <v>668.31</v>
      </c>
      <c r="H20" s="461">
        <v>734.46</v>
      </c>
      <c r="I20" s="461">
        <v>3965.19</v>
      </c>
      <c r="J20" s="461">
        <v>1116.1300000000001</v>
      </c>
      <c r="K20" s="461">
        <v>-265.27999999999997</v>
      </c>
      <c r="L20" s="461">
        <v>714.95999999999992</v>
      </c>
      <c r="M20" s="461">
        <v>24.04</v>
      </c>
      <c r="N20" s="461">
        <v>1977.58</v>
      </c>
      <c r="O20" s="461">
        <v>218.73</v>
      </c>
      <c r="P20" s="461">
        <v>804.03</v>
      </c>
      <c r="Q20" s="461">
        <v>14111.33</v>
      </c>
      <c r="R20"/>
      <c r="S20"/>
      <c r="T20"/>
      <c r="U20"/>
      <c r="V20"/>
      <c r="W20"/>
      <c r="X20"/>
      <c r="Y20"/>
      <c r="Z20"/>
      <c r="AA20"/>
      <c r="AB20"/>
      <c r="AC20"/>
    </row>
    <row r="21" spans="1:29" ht="14.4" x14ac:dyDescent="0.3">
      <c r="A21" s="420" t="s">
        <v>365</v>
      </c>
      <c r="B21" s="461"/>
      <c r="C21" s="461"/>
      <c r="D21" s="461">
        <v>1389.76</v>
      </c>
      <c r="E21" s="461"/>
      <c r="F21" s="461"/>
      <c r="G21" s="461">
        <v>112.98</v>
      </c>
      <c r="H21" s="461">
        <v>-44.2</v>
      </c>
      <c r="I21" s="461">
        <v>57.88</v>
      </c>
      <c r="J21" s="461">
        <v>36.28</v>
      </c>
      <c r="K21" s="461">
        <v>-13.8</v>
      </c>
      <c r="L21" s="461">
        <v>272.11</v>
      </c>
      <c r="M21" s="461">
        <v>80.489999999999995</v>
      </c>
      <c r="N21" s="461">
        <v>1068</v>
      </c>
      <c r="O21" s="461">
        <v>47.19</v>
      </c>
      <c r="P21" s="461">
        <v>-10.5</v>
      </c>
      <c r="Q21" s="461">
        <v>2996.19</v>
      </c>
      <c r="R21"/>
      <c r="S21"/>
      <c r="T21"/>
      <c r="U21"/>
      <c r="V21"/>
      <c r="W21"/>
      <c r="X21"/>
      <c r="Y21"/>
      <c r="Z21"/>
      <c r="AA21"/>
      <c r="AB21"/>
      <c r="AC21"/>
    </row>
    <row r="22" spans="1:29" ht="14.4" x14ac:dyDescent="0.3">
      <c r="A22" s="420" t="s">
        <v>364</v>
      </c>
      <c r="B22" s="461">
        <v>57076.94</v>
      </c>
      <c r="C22" s="461">
        <v>48582.5</v>
      </c>
      <c r="D22" s="461">
        <v>48916.04</v>
      </c>
      <c r="E22" s="461">
        <v>42675.270000000004</v>
      </c>
      <c r="F22" s="461">
        <v>42915.48000000001</v>
      </c>
      <c r="G22" s="461">
        <v>55234.41</v>
      </c>
      <c r="H22" s="461">
        <v>50748.869999999988</v>
      </c>
      <c r="I22" s="461">
        <v>81626.03</v>
      </c>
      <c r="J22" s="461">
        <v>52040.109999999993</v>
      </c>
      <c r="K22" s="461">
        <v>45336.359999999993</v>
      </c>
      <c r="L22" s="461">
        <v>43158.200000000004</v>
      </c>
      <c r="M22" s="461">
        <v>48334.150000000009</v>
      </c>
      <c r="N22" s="461">
        <v>64504.63</v>
      </c>
      <c r="O22" s="461">
        <v>55985.500000000007</v>
      </c>
      <c r="P22" s="461">
        <v>61518.999999999993</v>
      </c>
      <c r="Q22" s="461">
        <v>798653.49</v>
      </c>
      <c r="R22"/>
      <c r="S22"/>
      <c r="T22"/>
      <c r="U22"/>
      <c r="V22"/>
      <c r="W22"/>
      <c r="X22"/>
      <c r="Y22"/>
      <c r="Z22"/>
      <c r="AA22"/>
      <c r="AB22"/>
      <c r="AC22"/>
    </row>
    <row r="23" spans="1:29" ht="14.4" x14ac:dyDescent="0.3">
      <c r="A23" s="420" t="s">
        <v>363</v>
      </c>
      <c r="B23" s="461"/>
      <c r="C23" s="461"/>
      <c r="D23" s="461"/>
      <c r="E23" s="461">
        <v>6665</v>
      </c>
      <c r="F23" s="461"/>
      <c r="G23" s="461"/>
      <c r="H23" s="461"/>
      <c r="I23" s="461">
        <v>-6665</v>
      </c>
      <c r="J23" s="461"/>
      <c r="K23" s="461"/>
      <c r="L23" s="461"/>
      <c r="M23" s="461"/>
      <c r="N23" s="461"/>
      <c r="O23" s="461"/>
      <c r="P23" s="461"/>
      <c r="Q23" s="461">
        <v>0</v>
      </c>
      <c r="R23"/>
      <c r="S23"/>
      <c r="T23"/>
      <c r="U23"/>
      <c r="V23"/>
      <c r="W23"/>
      <c r="X23"/>
      <c r="Y23"/>
      <c r="Z23"/>
      <c r="AA23"/>
      <c r="AB23"/>
      <c r="AC23"/>
    </row>
    <row r="24" spans="1:29" ht="14.4" x14ac:dyDescent="0.3">
      <c r="A24" s="420" t="s">
        <v>362</v>
      </c>
      <c r="B24" s="461">
        <v>102.24</v>
      </c>
      <c r="C24" s="461">
        <v>-13.7</v>
      </c>
      <c r="D24" s="461"/>
      <c r="E24" s="461"/>
      <c r="F24" s="461">
        <v>127.27</v>
      </c>
      <c r="G24" s="461">
        <v>211.32</v>
      </c>
      <c r="H24" s="461">
        <v>-76.069999999999993</v>
      </c>
      <c r="I24" s="461">
        <v>3126.88</v>
      </c>
      <c r="J24" s="461">
        <v>3017.88</v>
      </c>
      <c r="K24" s="461">
        <v>1662.47</v>
      </c>
      <c r="L24" s="461">
        <v>-27.91</v>
      </c>
      <c r="M24" s="461">
        <v>-5</v>
      </c>
      <c r="N24" s="461"/>
      <c r="O24" s="461">
        <v>80.17</v>
      </c>
      <c r="P24" s="461">
        <v>-17.8</v>
      </c>
      <c r="Q24" s="461">
        <v>8187.7499999999991</v>
      </c>
      <c r="R24"/>
      <c r="S24"/>
      <c r="T24"/>
      <c r="U24"/>
      <c r="V24"/>
      <c r="W24"/>
      <c r="X24"/>
      <c r="Y24"/>
      <c r="Z24"/>
      <c r="AA24"/>
      <c r="AB24"/>
      <c r="AC24"/>
    </row>
    <row r="25" spans="1:29" ht="14.4" x14ac:dyDescent="0.3">
      <c r="A25" s="420" t="s">
        <v>361</v>
      </c>
      <c r="B25" s="461">
        <v>6271.22</v>
      </c>
      <c r="C25" s="461">
        <v>586.27</v>
      </c>
      <c r="D25" s="461"/>
      <c r="E25" s="461">
        <v>10261.16</v>
      </c>
      <c r="F25" s="461">
        <v>9339.5400000000009</v>
      </c>
      <c r="G25" s="461">
        <v>5575.68</v>
      </c>
      <c r="H25" s="461"/>
      <c r="I25" s="461">
        <v>1285.8399999999999</v>
      </c>
      <c r="J25" s="461"/>
      <c r="K25" s="461"/>
      <c r="L25" s="461"/>
      <c r="M25" s="461">
        <v>7015.35</v>
      </c>
      <c r="N25" s="461"/>
      <c r="O25" s="461">
        <v>-1482.11</v>
      </c>
      <c r="P25" s="461"/>
      <c r="Q25" s="461">
        <v>38852.949999999997</v>
      </c>
      <c r="R25"/>
      <c r="S25"/>
      <c r="T25"/>
      <c r="U25"/>
      <c r="V25"/>
      <c r="W25"/>
      <c r="X25"/>
      <c r="Y25"/>
      <c r="Z25"/>
      <c r="AA25"/>
      <c r="AB25"/>
      <c r="AC25"/>
    </row>
    <row r="26" spans="1:29" ht="14.4" x14ac:dyDescent="0.3">
      <c r="A26" s="420" t="s">
        <v>360</v>
      </c>
      <c r="B26" s="461">
        <v>2616.15</v>
      </c>
      <c r="C26" s="461">
        <v>1288.92</v>
      </c>
      <c r="D26" s="461"/>
      <c r="E26" s="461"/>
      <c r="F26" s="461">
        <v>860</v>
      </c>
      <c r="G26" s="461"/>
      <c r="H26" s="461">
        <v>154.68</v>
      </c>
      <c r="I26" s="461">
        <v>5430.81</v>
      </c>
      <c r="J26" s="461"/>
      <c r="K26" s="461"/>
      <c r="L26" s="461">
        <v>11.14</v>
      </c>
      <c r="M26" s="461"/>
      <c r="N26" s="461"/>
      <c r="O26" s="461"/>
      <c r="P26" s="461"/>
      <c r="Q26" s="461">
        <v>10361.700000000001</v>
      </c>
      <c r="R26"/>
      <c r="S26"/>
      <c r="T26"/>
      <c r="U26"/>
      <c r="V26"/>
      <c r="W26"/>
      <c r="X26"/>
      <c r="Y26"/>
      <c r="Z26"/>
      <c r="AA26"/>
      <c r="AB26"/>
      <c r="AC26"/>
    </row>
    <row r="27" spans="1:29" ht="14.4" x14ac:dyDescent="0.3">
      <c r="A27" s="420" t="s">
        <v>359</v>
      </c>
      <c r="B27" s="461"/>
      <c r="C27" s="461">
        <v>5645.77</v>
      </c>
      <c r="D27" s="461">
        <v>14773.85</v>
      </c>
      <c r="E27" s="461">
        <v>18943.77</v>
      </c>
      <c r="F27" s="461">
        <v>12926</v>
      </c>
      <c r="G27" s="461">
        <v>5482.82</v>
      </c>
      <c r="H27" s="461">
        <v>3906.94</v>
      </c>
      <c r="I27" s="461"/>
      <c r="J27" s="461"/>
      <c r="K27" s="461"/>
      <c r="L27" s="461"/>
      <c r="M27" s="461"/>
      <c r="N27" s="461"/>
      <c r="O27" s="461"/>
      <c r="P27" s="461"/>
      <c r="Q27" s="461">
        <v>61679.15</v>
      </c>
      <c r="R27"/>
      <c r="S27"/>
      <c r="T27"/>
      <c r="U27"/>
      <c r="V27"/>
      <c r="W27"/>
      <c r="X27"/>
      <c r="Y27"/>
      <c r="Z27"/>
      <c r="AA27"/>
      <c r="AB27"/>
      <c r="AC27"/>
    </row>
    <row r="28" spans="1:29" ht="14.4" x14ac:dyDescent="0.3">
      <c r="A28" s="420" t="s">
        <v>358</v>
      </c>
      <c r="B28" s="461">
        <v>3566.36</v>
      </c>
      <c r="C28" s="461">
        <v>2720.56</v>
      </c>
      <c r="D28" s="461">
        <v>4415.5600000000004</v>
      </c>
      <c r="E28" s="461">
        <v>3692.21</v>
      </c>
      <c r="F28" s="461">
        <v>3448.2</v>
      </c>
      <c r="G28" s="461">
        <v>3403.29</v>
      </c>
      <c r="H28" s="461">
        <v>2842.48</v>
      </c>
      <c r="I28" s="461">
        <v>3178.09</v>
      </c>
      <c r="J28" s="461">
        <v>3976.88</v>
      </c>
      <c r="K28" s="461">
        <v>2526.7800000000002</v>
      </c>
      <c r="L28" s="461">
        <v>769.05</v>
      </c>
      <c r="M28" s="461">
        <v>885.15</v>
      </c>
      <c r="N28" s="461">
        <v>6079.61</v>
      </c>
      <c r="O28" s="461">
        <v>6672.5</v>
      </c>
      <c r="P28" s="461">
        <v>7806.44</v>
      </c>
      <c r="Q28" s="461">
        <v>55983.160000000011</v>
      </c>
      <c r="R28"/>
      <c r="S28"/>
      <c r="T28"/>
      <c r="U28"/>
      <c r="V28"/>
      <c r="W28"/>
      <c r="X28"/>
      <c r="Y28"/>
      <c r="Z28"/>
      <c r="AA28"/>
      <c r="AB28"/>
      <c r="AC28"/>
    </row>
    <row r="29" spans="1:29" ht="14.4" x14ac:dyDescent="0.3">
      <c r="A29" s="420" t="s">
        <v>357</v>
      </c>
      <c r="B29" s="461">
        <v>3151.07</v>
      </c>
      <c r="C29" s="461">
        <v>9148.68</v>
      </c>
      <c r="D29" s="461">
        <v>10155.469999999999</v>
      </c>
      <c r="E29" s="461">
        <v>11392.77</v>
      </c>
      <c r="F29" s="461">
        <v>6175.41</v>
      </c>
      <c r="G29" s="461">
        <v>12590.02</v>
      </c>
      <c r="H29" s="461">
        <v>9269.9599999999991</v>
      </c>
      <c r="I29" s="461">
        <v>13002.88</v>
      </c>
      <c r="J29" s="461">
        <v>11408.49</v>
      </c>
      <c r="K29" s="461">
        <v>5277.96</v>
      </c>
      <c r="L29" s="461">
        <v>11601.14</v>
      </c>
      <c r="M29" s="461">
        <v>8112.43</v>
      </c>
      <c r="N29" s="461">
        <v>7074.85</v>
      </c>
      <c r="O29" s="461">
        <v>10203.1</v>
      </c>
      <c r="P29" s="461">
        <v>6306.88</v>
      </c>
      <c r="Q29" s="461">
        <v>134871.11000000004</v>
      </c>
      <c r="R29"/>
      <c r="S29"/>
      <c r="T29"/>
      <c r="U29"/>
      <c r="V29"/>
      <c r="W29"/>
      <c r="X29"/>
      <c r="Y29"/>
      <c r="Z29"/>
      <c r="AA29"/>
      <c r="AB29"/>
      <c r="AC29"/>
    </row>
    <row r="30" spans="1:29" ht="14.4" x14ac:dyDescent="0.3">
      <c r="A30" s="420" t="s">
        <v>356</v>
      </c>
      <c r="B30" s="461"/>
      <c r="C30" s="461"/>
      <c r="D30" s="461">
        <v>989.84000000000026</v>
      </c>
      <c r="E30" s="461">
        <v>667.70999999999981</v>
      </c>
      <c r="F30" s="461"/>
      <c r="G30" s="461"/>
      <c r="H30" s="461"/>
      <c r="I30" s="461">
        <v>2220.83</v>
      </c>
      <c r="J30" s="461"/>
      <c r="K30" s="461"/>
      <c r="L30" s="461">
        <v>334.97000000000008</v>
      </c>
      <c r="M30" s="461"/>
      <c r="N30" s="461">
        <v>334.97000000000008</v>
      </c>
      <c r="O30" s="461">
        <v>1591.1499999999996</v>
      </c>
      <c r="P30" s="461"/>
      <c r="Q30" s="461">
        <v>6139.47</v>
      </c>
      <c r="R30"/>
      <c r="S30"/>
      <c r="T30"/>
      <c r="U30"/>
      <c r="V30"/>
      <c r="W30"/>
      <c r="X30"/>
      <c r="Y30"/>
      <c r="Z30"/>
      <c r="AA30"/>
      <c r="AB30"/>
      <c r="AC30"/>
    </row>
    <row r="31" spans="1:29" ht="14.4" x14ac:dyDescent="0.3">
      <c r="A31" s="420" t="s">
        <v>355</v>
      </c>
      <c r="B31" s="461">
        <v>1484.77</v>
      </c>
      <c r="C31" s="461">
        <v>3.25</v>
      </c>
      <c r="D31" s="461">
        <v>1209.6099999999999</v>
      </c>
      <c r="E31" s="461">
        <v>64.53</v>
      </c>
      <c r="F31" s="461">
        <v>2000.11</v>
      </c>
      <c r="G31" s="461">
        <v>3059.96</v>
      </c>
      <c r="H31" s="461">
        <v>134.22</v>
      </c>
      <c r="I31" s="461">
        <v>3492.0099999999998</v>
      </c>
      <c r="J31" s="461">
        <v>394.51</v>
      </c>
      <c r="K31" s="461">
        <v>1975.4</v>
      </c>
      <c r="L31" s="461">
        <v>1160.6099999999999</v>
      </c>
      <c r="M31" s="461">
        <v>2919.08</v>
      </c>
      <c r="N31" s="461">
        <v>3782.71</v>
      </c>
      <c r="O31" s="461">
        <v>4581.75</v>
      </c>
      <c r="P31" s="461">
        <v>5391.44</v>
      </c>
      <c r="Q31" s="461">
        <v>31653.96</v>
      </c>
      <c r="R31"/>
      <c r="S31"/>
      <c r="T31"/>
      <c r="U31"/>
      <c r="V31"/>
      <c r="W31"/>
      <c r="X31"/>
      <c r="Y31"/>
      <c r="Z31"/>
      <c r="AA31"/>
      <c r="AB31"/>
      <c r="AC31"/>
    </row>
    <row r="32" spans="1:29" ht="14.4" x14ac:dyDescent="0.3">
      <c r="A32" s="420" t="s">
        <v>354</v>
      </c>
      <c r="B32" s="461"/>
      <c r="C32" s="461">
        <v>390.33</v>
      </c>
      <c r="D32" s="461">
        <v>1895.76</v>
      </c>
      <c r="E32" s="461">
        <v>236.64</v>
      </c>
      <c r="F32" s="461">
        <v>-92.5</v>
      </c>
      <c r="G32" s="461">
        <v>118.9</v>
      </c>
      <c r="H32" s="461">
        <v>133.36000000000001</v>
      </c>
      <c r="I32" s="461">
        <v>-75</v>
      </c>
      <c r="J32" s="461"/>
      <c r="K32" s="461"/>
      <c r="L32" s="461"/>
      <c r="M32" s="461"/>
      <c r="N32" s="461">
        <v>81.16</v>
      </c>
      <c r="O32" s="461">
        <v>1744.3</v>
      </c>
      <c r="P32" s="461">
        <v>1526.18</v>
      </c>
      <c r="Q32" s="461">
        <v>5959.13</v>
      </c>
      <c r="R32"/>
      <c r="S32"/>
      <c r="T32"/>
      <c r="U32"/>
      <c r="V32"/>
      <c r="W32"/>
      <c r="X32"/>
      <c r="Y32"/>
      <c r="Z32"/>
      <c r="AA32"/>
      <c r="AB32"/>
      <c r="AC32"/>
    </row>
    <row r="33" spans="1:29" ht="14.4" x14ac:dyDescent="0.3">
      <c r="A33" s="420" t="s">
        <v>353</v>
      </c>
      <c r="B33" s="461">
        <v>1219.6099999999999</v>
      </c>
      <c r="C33" s="461">
        <v>588.24</v>
      </c>
      <c r="D33" s="461">
        <v>10304.629999999999</v>
      </c>
      <c r="E33" s="461">
        <v>2401.94</v>
      </c>
      <c r="F33" s="461">
        <v>1366.25</v>
      </c>
      <c r="G33" s="461">
        <v>25590.33</v>
      </c>
      <c r="H33" s="461">
        <v>18028.09</v>
      </c>
      <c r="I33" s="461">
        <v>2929.98</v>
      </c>
      <c r="J33" s="461">
        <v>1824.96</v>
      </c>
      <c r="K33" s="461">
        <v>784.92</v>
      </c>
      <c r="L33" s="461">
        <v>4184.38</v>
      </c>
      <c r="M33" s="461">
        <v>2328.9299999999998</v>
      </c>
      <c r="N33" s="461">
        <v>5312.19</v>
      </c>
      <c r="O33" s="461">
        <v>2466.23</v>
      </c>
      <c r="P33" s="461">
        <v>9678.44</v>
      </c>
      <c r="Q33" s="461">
        <v>89009.12</v>
      </c>
      <c r="R33"/>
      <c r="S33"/>
      <c r="T33"/>
      <c r="U33"/>
      <c r="V33"/>
      <c r="W33"/>
      <c r="X33"/>
      <c r="Y33"/>
      <c r="Z33"/>
      <c r="AA33"/>
      <c r="AB33"/>
      <c r="AC33"/>
    </row>
    <row r="34" spans="1:29" ht="14.4" x14ac:dyDescent="0.3">
      <c r="A34" s="420" t="s">
        <v>352</v>
      </c>
      <c r="B34" s="461">
        <v>11475.84</v>
      </c>
      <c r="C34" s="461">
        <v>14.43</v>
      </c>
      <c r="D34" s="461">
        <v>13449.18</v>
      </c>
      <c r="E34" s="461"/>
      <c r="F34" s="461"/>
      <c r="G34" s="461"/>
      <c r="H34" s="461"/>
      <c r="I34" s="461">
        <v>4305.79</v>
      </c>
      <c r="J34" s="461"/>
      <c r="K34" s="461"/>
      <c r="L34" s="461"/>
      <c r="M34" s="461">
        <v>1453.4</v>
      </c>
      <c r="N34" s="461"/>
      <c r="O34" s="461"/>
      <c r="P34" s="461"/>
      <c r="Q34" s="461">
        <v>30698.640000000003</v>
      </c>
      <c r="R34"/>
      <c r="S34"/>
      <c r="T34"/>
      <c r="U34"/>
      <c r="V34"/>
      <c r="W34"/>
      <c r="X34"/>
      <c r="Y34"/>
      <c r="Z34"/>
      <c r="AA34"/>
      <c r="AB34"/>
      <c r="AC34"/>
    </row>
    <row r="35" spans="1:29" ht="14.4" x14ac:dyDescent="0.3">
      <c r="A35" s="420" t="s">
        <v>351</v>
      </c>
      <c r="B35" s="461">
        <v>2454.7599999999998</v>
      </c>
      <c r="C35" s="461">
        <v>1699.29</v>
      </c>
      <c r="D35" s="461">
        <v>1788.45</v>
      </c>
      <c r="E35" s="461">
        <v>1434.1100000000001</v>
      </c>
      <c r="F35" s="461">
        <v>1790.6100000000001</v>
      </c>
      <c r="G35" s="461">
        <v>2242.56</v>
      </c>
      <c r="H35" s="461">
        <v>1434.49</v>
      </c>
      <c r="I35" s="461">
        <v>3353.68</v>
      </c>
      <c r="J35" s="461">
        <v>5449.3200000000006</v>
      </c>
      <c r="K35" s="461">
        <v>1362.3799999999999</v>
      </c>
      <c r="L35" s="461">
        <v>3702.56</v>
      </c>
      <c r="M35" s="461">
        <v>1861.68</v>
      </c>
      <c r="N35" s="461">
        <v>31063.53</v>
      </c>
      <c r="O35" s="461">
        <v>7525.59</v>
      </c>
      <c r="P35" s="461">
        <v>2131.6</v>
      </c>
      <c r="Q35" s="461">
        <v>69294.61</v>
      </c>
      <c r="R35"/>
      <c r="S35"/>
      <c r="T35"/>
      <c r="U35"/>
      <c r="V35"/>
      <c r="W35"/>
      <c r="X35"/>
      <c r="Y35"/>
      <c r="Z35"/>
      <c r="AA35"/>
      <c r="AB35"/>
      <c r="AC35"/>
    </row>
    <row r="36" spans="1:29" ht="14.4" x14ac:dyDescent="0.3">
      <c r="A36" s="462" t="s">
        <v>350</v>
      </c>
      <c r="B36" s="173">
        <v>437634.94</v>
      </c>
      <c r="C36" s="173">
        <v>395569.25</v>
      </c>
      <c r="D36" s="173">
        <v>360171.61</v>
      </c>
      <c r="E36" s="173">
        <v>366521.02000000008</v>
      </c>
      <c r="F36" s="173">
        <v>469649.06</v>
      </c>
      <c r="G36" s="173">
        <v>431156.41</v>
      </c>
      <c r="H36" s="173">
        <v>371989.58999999991</v>
      </c>
      <c r="I36" s="173">
        <v>452415.52</v>
      </c>
      <c r="J36" s="173">
        <v>683825.45000000007</v>
      </c>
      <c r="K36" s="173">
        <v>299324.75000000006</v>
      </c>
      <c r="L36" s="173">
        <v>414927.34</v>
      </c>
      <c r="M36" s="173">
        <v>490654.99</v>
      </c>
      <c r="N36" s="173">
        <v>434165.1</v>
      </c>
      <c r="O36" s="173">
        <v>318853.56</v>
      </c>
      <c r="P36" s="173">
        <v>403293.24000000005</v>
      </c>
      <c r="Q36" s="173">
        <v>6330151.8300000001</v>
      </c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s="459" customFormat="1" ht="14.4" x14ac:dyDescent="0.3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41" spans="1:29" x14ac:dyDescent="0.3">
      <c r="B41" s="463">
        <f>-B36</f>
        <v>-437634.94</v>
      </c>
      <c r="C41" s="463">
        <f t="shared" ref="C41:Q41" si="0">-C36</f>
        <v>-395569.25</v>
      </c>
      <c r="D41" s="463">
        <f t="shared" si="0"/>
        <v>-360171.61</v>
      </c>
      <c r="E41" s="463">
        <f t="shared" si="0"/>
        <v>-366521.02000000008</v>
      </c>
      <c r="F41" s="463">
        <f t="shared" si="0"/>
        <v>-469649.06</v>
      </c>
      <c r="G41" s="463">
        <f t="shared" si="0"/>
        <v>-431156.41</v>
      </c>
      <c r="H41" s="463">
        <f t="shared" si="0"/>
        <v>-371989.58999999991</v>
      </c>
      <c r="I41" s="463">
        <f t="shared" si="0"/>
        <v>-452415.52</v>
      </c>
      <c r="J41" s="463">
        <f t="shared" si="0"/>
        <v>-683825.45000000007</v>
      </c>
      <c r="K41" s="463">
        <f t="shared" si="0"/>
        <v>-299324.75000000006</v>
      </c>
      <c r="L41" s="463">
        <f t="shared" si="0"/>
        <v>-414927.34</v>
      </c>
      <c r="M41" s="463">
        <f t="shared" si="0"/>
        <v>-490654.99</v>
      </c>
      <c r="N41" s="463">
        <f t="shared" si="0"/>
        <v>-434165.1</v>
      </c>
      <c r="O41" s="463">
        <f t="shared" si="0"/>
        <v>-318853.56</v>
      </c>
      <c r="P41" s="463">
        <f t="shared" si="0"/>
        <v>-403293.24000000005</v>
      </c>
      <c r="Q41" s="463">
        <f t="shared" si="0"/>
        <v>-6330151.8300000001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B3:S23"/>
  <sheetViews>
    <sheetView workbookViewId="0">
      <selection activeCell="D3" sqref="D3:O3"/>
    </sheetView>
  </sheetViews>
  <sheetFormatPr defaultRowHeight="14.4" outlineLevelCol="1" x14ac:dyDescent="0.3"/>
  <cols>
    <col min="2" max="2" width="29.6640625" bestFit="1" customWidth="1"/>
    <col min="3" max="3" width="52.6640625" bestFit="1" customWidth="1"/>
    <col min="4" max="15" width="11.33203125" bestFit="1" customWidth="1"/>
    <col min="16" max="18" width="11.33203125" hidden="1" customWidth="1" outlineLevel="1"/>
    <col min="19" max="19" width="8.88671875" collapsed="1"/>
  </cols>
  <sheetData>
    <row r="3" spans="2:18" ht="15" thickBot="1" x14ac:dyDescent="0.35">
      <c r="C3" s="389" t="s">
        <v>21</v>
      </c>
      <c r="D3" s="390">
        <f t="shared" ref="D3:R3" si="0">SUBTOTAL(9,D6:D1048576)</f>
        <v>433662.89576599997</v>
      </c>
      <c r="E3" s="390">
        <f t="shared" si="0"/>
        <v>401344.39274340001</v>
      </c>
      <c r="F3" s="390">
        <f t="shared" si="0"/>
        <v>776167.70694259997</v>
      </c>
      <c r="G3" s="390">
        <f t="shared" si="0"/>
        <v>435913.77909710002</v>
      </c>
      <c r="H3" s="390">
        <f t="shared" si="0"/>
        <v>388047.88469809992</v>
      </c>
      <c r="I3" s="390">
        <f t="shared" si="0"/>
        <v>707277.07269759988</v>
      </c>
      <c r="J3" s="390">
        <f t="shared" si="0"/>
        <v>394371.14152379998</v>
      </c>
      <c r="K3" s="390">
        <f t="shared" si="0"/>
        <v>395923.68740480003</v>
      </c>
      <c r="L3" s="390">
        <f t="shared" si="0"/>
        <v>394322.20463970001</v>
      </c>
      <c r="M3" s="390">
        <f t="shared" si="0"/>
        <v>404592.42714840005</v>
      </c>
      <c r="N3" s="390">
        <f t="shared" si="0"/>
        <v>402317.60631870007</v>
      </c>
      <c r="O3" s="390">
        <f t="shared" si="0"/>
        <v>403973.68911520002</v>
      </c>
      <c r="P3" s="390">
        <f t="shared" si="0"/>
        <v>471273.76381619996</v>
      </c>
      <c r="Q3" s="390">
        <f t="shared" si="0"/>
        <v>578657.28179370007</v>
      </c>
      <c r="R3" s="390">
        <f t="shared" si="0"/>
        <v>451534.5370598</v>
      </c>
    </row>
    <row r="4" spans="2:18" x14ac:dyDescent="0.3">
      <c r="D4" s="5" t="s">
        <v>267</v>
      </c>
      <c r="E4" s="5" t="s">
        <v>267</v>
      </c>
      <c r="F4" s="5" t="s">
        <v>267</v>
      </c>
      <c r="G4" s="5" t="s">
        <v>267</v>
      </c>
      <c r="H4" s="5" t="s">
        <v>267</v>
      </c>
      <c r="I4" s="5" t="s">
        <v>267</v>
      </c>
      <c r="J4" s="5" t="s">
        <v>267</v>
      </c>
      <c r="K4" s="5" t="s">
        <v>267</v>
      </c>
      <c r="L4" s="5" t="s">
        <v>267</v>
      </c>
      <c r="M4" s="5" t="s">
        <v>267</v>
      </c>
      <c r="N4" s="5" t="s">
        <v>267</v>
      </c>
      <c r="O4" s="5" t="s">
        <v>267</v>
      </c>
      <c r="P4" s="5" t="s">
        <v>267</v>
      </c>
      <c r="Q4" s="5" t="s">
        <v>267</v>
      </c>
      <c r="R4" s="5" t="s">
        <v>267</v>
      </c>
    </row>
    <row r="5" spans="2:18" x14ac:dyDescent="0.3">
      <c r="B5" s="5" t="s">
        <v>268</v>
      </c>
      <c r="C5" s="5" t="s">
        <v>202</v>
      </c>
      <c r="D5" s="5" t="s">
        <v>269</v>
      </c>
      <c r="E5" s="5" t="s">
        <v>270</v>
      </c>
      <c r="F5" s="5" t="s">
        <v>271</v>
      </c>
      <c r="G5" s="5" t="s">
        <v>272</v>
      </c>
      <c r="H5" s="5" t="s">
        <v>273</v>
      </c>
      <c r="I5" s="5" t="s">
        <v>274</v>
      </c>
      <c r="J5" s="5" t="s">
        <v>275</v>
      </c>
      <c r="K5" s="5" t="s">
        <v>276</v>
      </c>
      <c r="L5" s="5" t="s">
        <v>277</v>
      </c>
      <c r="M5" s="5" t="s">
        <v>278</v>
      </c>
      <c r="N5" s="5" t="s">
        <v>279</v>
      </c>
      <c r="O5" s="5" t="s">
        <v>280</v>
      </c>
      <c r="P5" s="5" t="s">
        <v>281</v>
      </c>
      <c r="Q5" s="5" t="s">
        <v>282</v>
      </c>
      <c r="R5" s="5" t="s">
        <v>283</v>
      </c>
    </row>
    <row r="6" spans="2:18" x14ac:dyDescent="0.3">
      <c r="B6" t="s">
        <v>284</v>
      </c>
      <c r="C6" t="s">
        <v>0</v>
      </c>
      <c r="D6" s="170">
        <v>57892.140983500001</v>
      </c>
      <c r="E6" s="170">
        <v>61019.175743500004</v>
      </c>
      <c r="F6" s="170">
        <v>63387.974665499998</v>
      </c>
      <c r="G6" s="170">
        <v>55901.647627500002</v>
      </c>
      <c r="H6" s="170">
        <v>56608.589167500002</v>
      </c>
      <c r="I6" s="170">
        <v>58011.679167499999</v>
      </c>
      <c r="J6" s="170">
        <v>56229.980857499999</v>
      </c>
      <c r="K6" s="170">
        <v>56608.589167500002</v>
      </c>
      <c r="L6" s="170">
        <v>56868.5722675</v>
      </c>
      <c r="M6" s="170">
        <v>56208.480857499999</v>
      </c>
      <c r="N6" s="170">
        <v>56587.089167500002</v>
      </c>
      <c r="O6" s="170">
        <v>61929.839167500002</v>
      </c>
      <c r="P6" s="170">
        <v>56208.480857499999</v>
      </c>
      <c r="Q6" s="170">
        <v>56868.5722675</v>
      </c>
      <c r="R6" s="170">
        <v>59676.912363900003</v>
      </c>
    </row>
    <row r="7" spans="2:18" x14ac:dyDescent="0.3">
      <c r="B7" t="s">
        <v>284</v>
      </c>
      <c r="C7" t="s">
        <v>3</v>
      </c>
      <c r="D7" s="170">
        <v>7839.6337893999998</v>
      </c>
      <c r="E7" s="170">
        <v>5265.6337893999998</v>
      </c>
      <c r="F7" s="170"/>
      <c r="G7" s="170"/>
      <c r="H7" s="170"/>
      <c r="I7" s="170">
        <v>31582.5359092</v>
      </c>
      <c r="J7" s="170"/>
      <c r="K7" s="170"/>
      <c r="L7" s="170"/>
      <c r="M7" s="170"/>
      <c r="N7" s="170"/>
      <c r="O7" s="170"/>
      <c r="P7" s="170">
        <v>10363.019595199999</v>
      </c>
      <c r="Q7" s="170">
        <v>26318.779924300001</v>
      </c>
      <c r="R7" s="170"/>
    </row>
    <row r="8" spans="2:18" x14ac:dyDescent="0.3">
      <c r="B8" t="s">
        <v>284</v>
      </c>
      <c r="C8" t="s">
        <v>4</v>
      </c>
      <c r="D8" s="170">
        <v>24033.446881100001</v>
      </c>
      <c r="E8" s="170">
        <v>24033.446881100001</v>
      </c>
      <c r="F8" s="170">
        <v>24969.883955699999</v>
      </c>
      <c r="G8" s="170">
        <v>24969.883955699999</v>
      </c>
      <c r="H8" s="170">
        <v>24969.883955699999</v>
      </c>
      <c r="I8" s="170">
        <v>24969.883955699999</v>
      </c>
      <c r="J8" s="170">
        <v>24969.883955699999</v>
      </c>
      <c r="K8" s="170">
        <v>24969.883955699999</v>
      </c>
      <c r="L8" s="170">
        <v>24969.883955699999</v>
      </c>
      <c r="M8" s="170">
        <v>24969.883955699999</v>
      </c>
      <c r="N8" s="170">
        <v>24969.883955699999</v>
      </c>
      <c r="O8" s="170">
        <v>24969.883955699999</v>
      </c>
      <c r="P8" s="170">
        <v>24969.883955699999</v>
      </c>
      <c r="Q8" s="170">
        <v>24969.883955699999</v>
      </c>
      <c r="R8" s="170">
        <v>25939.478733700002</v>
      </c>
    </row>
    <row r="9" spans="2:18" x14ac:dyDescent="0.3">
      <c r="B9" t="s">
        <v>284</v>
      </c>
      <c r="C9" t="s">
        <v>5</v>
      </c>
      <c r="D9" s="170">
        <v>44.797192199999998</v>
      </c>
      <c r="E9" s="170">
        <v>44.797192199999998</v>
      </c>
      <c r="F9" s="170">
        <v>2463.8565099000002</v>
      </c>
      <c r="G9" s="170">
        <v>2463.8565099000002</v>
      </c>
      <c r="H9" s="170">
        <v>2463.8565099000002</v>
      </c>
      <c r="I9" s="170">
        <v>2463.8565099000002</v>
      </c>
      <c r="J9" s="170">
        <v>2463.8565099000002</v>
      </c>
      <c r="K9" s="170">
        <v>2463.8565099000002</v>
      </c>
      <c r="L9" s="170">
        <v>2463.8565099000002</v>
      </c>
      <c r="M9" s="170">
        <v>2463.8565099000002</v>
      </c>
      <c r="N9" s="170">
        <v>2463.8565099000002</v>
      </c>
      <c r="O9" s="170">
        <v>2463.8565099000002</v>
      </c>
      <c r="P9" s="170">
        <v>2463.8565099000002</v>
      </c>
      <c r="Q9" s="170">
        <v>2463.8565099000002</v>
      </c>
      <c r="R9" s="170">
        <v>6158.0821267000001</v>
      </c>
    </row>
    <row r="10" spans="2:18" x14ac:dyDescent="0.3">
      <c r="B10" t="s">
        <v>284</v>
      </c>
      <c r="C10" t="s">
        <v>106</v>
      </c>
      <c r="D10" s="170">
        <v>2028.4896342</v>
      </c>
      <c r="E10" s="170">
        <v>2028.4896342</v>
      </c>
      <c r="F10" s="170">
        <v>4027.5544195000002</v>
      </c>
      <c r="G10" s="170">
        <v>4027.5544195000002</v>
      </c>
      <c r="H10" s="170">
        <v>4027.5544195000002</v>
      </c>
      <c r="I10" s="170">
        <v>4027.5544195000002</v>
      </c>
      <c r="J10" s="170">
        <v>4027.5544195000002</v>
      </c>
      <c r="K10" s="170">
        <v>4027.5544195000002</v>
      </c>
      <c r="L10" s="170">
        <v>4027.5544195000002</v>
      </c>
      <c r="M10" s="170">
        <v>4027.5544195000002</v>
      </c>
      <c r="N10" s="170">
        <v>4027.5544195000002</v>
      </c>
      <c r="O10" s="170">
        <v>4027.5544195000002</v>
      </c>
      <c r="P10" s="170">
        <v>4027.5544195000002</v>
      </c>
      <c r="Q10" s="170">
        <v>4027.5544195000002</v>
      </c>
      <c r="R10" s="170">
        <v>4199.6818684</v>
      </c>
    </row>
    <row r="11" spans="2:18" x14ac:dyDescent="0.3">
      <c r="B11" t="s">
        <v>284</v>
      </c>
      <c r="C11" t="s">
        <v>6</v>
      </c>
      <c r="D11" s="170">
        <v>954.54065630000002</v>
      </c>
      <c r="E11" s="170">
        <v>954.54065630000002</v>
      </c>
      <c r="F11" s="170"/>
      <c r="G11" s="170"/>
      <c r="H11" s="170"/>
      <c r="I11" s="170">
        <v>7985.7870068000002</v>
      </c>
      <c r="J11" s="170"/>
      <c r="K11" s="170"/>
      <c r="L11" s="170"/>
      <c r="M11" s="170"/>
      <c r="N11" s="170"/>
      <c r="O11" s="170"/>
      <c r="P11" s="170">
        <v>2620.3363616000001</v>
      </c>
      <c r="Q11" s="170">
        <v>6654.8225057</v>
      </c>
      <c r="R11" s="170"/>
    </row>
    <row r="12" spans="2:18" x14ac:dyDescent="0.3">
      <c r="B12" t="s">
        <v>284</v>
      </c>
      <c r="C12" t="s">
        <v>7</v>
      </c>
      <c r="D12" s="170">
        <v>1111.1247857000001</v>
      </c>
      <c r="E12" s="170">
        <v>1111.1247857000001</v>
      </c>
      <c r="F12" s="170"/>
      <c r="G12" s="170"/>
      <c r="H12" s="170"/>
      <c r="I12" s="170">
        <v>1611.9806567999999</v>
      </c>
      <c r="J12" s="170"/>
      <c r="K12" s="170"/>
      <c r="L12" s="170"/>
      <c r="M12" s="170"/>
      <c r="N12" s="170"/>
      <c r="O12" s="170"/>
      <c r="P12" s="170">
        <v>528.93115299999999</v>
      </c>
      <c r="Q12" s="170">
        <v>1343.3172139999999</v>
      </c>
      <c r="R12" s="170"/>
    </row>
    <row r="13" spans="2:18" x14ac:dyDescent="0.3">
      <c r="B13" t="s">
        <v>284</v>
      </c>
      <c r="C13" t="s">
        <v>8</v>
      </c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</row>
    <row r="14" spans="2:18" x14ac:dyDescent="0.3">
      <c r="B14" t="s">
        <v>284</v>
      </c>
      <c r="C14" t="s">
        <v>9</v>
      </c>
      <c r="D14" s="170">
        <v>10019</v>
      </c>
      <c r="E14" s="170">
        <v>10019</v>
      </c>
      <c r="F14" s="170">
        <v>10044.083333299999</v>
      </c>
      <c r="G14" s="170">
        <v>10044.083333299999</v>
      </c>
      <c r="H14" s="170">
        <v>10044.083333299999</v>
      </c>
      <c r="I14" s="170">
        <v>10044.083333299999</v>
      </c>
      <c r="J14" s="170">
        <v>10044.083333299999</v>
      </c>
      <c r="K14" s="170">
        <v>10044.083333299999</v>
      </c>
      <c r="L14" s="170">
        <v>10044.083333299999</v>
      </c>
      <c r="M14" s="170">
        <v>10044.083333299999</v>
      </c>
      <c r="N14" s="170">
        <v>10044.083333299999</v>
      </c>
      <c r="O14" s="170">
        <v>10044.083333299999</v>
      </c>
      <c r="P14" s="170">
        <v>10044.083333299999</v>
      </c>
      <c r="Q14" s="170">
        <v>10044.083333299999</v>
      </c>
      <c r="R14" s="170">
        <v>10345.405833299999</v>
      </c>
    </row>
    <row r="15" spans="2:18" x14ac:dyDescent="0.3">
      <c r="B15" t="s">
        <v>284</v>
      </c>
      <c r="C15" t="s">
        <v>10</v>
      </c>
      <c r="D15" s="170">
        <v>6105.7409748999999</v>
      </c>
      <c r="E15" s="170">
        <v>6527.3000749000003</v>
      </c>
      <c r="F15" s="170">
        <v>6422.6237920000003</v>
      </c>
      <c r="G15" s="170">
        <v>6809.6237920000003</v>
      </c>
      <c r="H15" s="170">
        <v>6478.6828919999998</v>
      </c>
      <c r="I15" s="170">
        <v>6014.1237920000003</v>
      </c>
      <c r="J15" s="170">
        <v>6014.1237920000003</v>
      </c>
      <c r="K15" s="170">
        <v>6151.8828919999996</v>
      </c>
      <c r="L15" s="170">
        <v>5837.8237920000001</v>
      </c>
      <c r="M15" s="170">
        <v>6482.8237920000001</v>
      </c>
      <c r="N15" s="170">
        <v>6151.8828919999996</v>
      </c>
      <c r="O15" s="170">
        <v>6267.8237920000001</v>
      </c>
      <c r="P15" s="170">
        <v>6014.1237920000003</v>
      </c>
      <c r="Q15" s="170">
        <v>6435.6828919999998</v>
      </c>
      <c r="R15" s="170">
        <v>6364.6549329999998</v>
      </c>
    </row>
    <row r="16" spans="2:18" x14ac:dyDescent="0.3">
      <c r="B16" t="s">
        <v>284</v>
      </c>
      <c r="C16" t="s">
        <v>11</v>
      </c>
      <c r="D16" s="170">
        <v>6986.9993218</v>
      </c>
      <c r="E16" s="170">
        <v>6556.9993218</v>
      </c>
      <c r="F16" s="170">
        <v>6698.9488553000001</v>
      </c>
      <c r="G16" s="170">
        <v>27295.948855300001</v>
      </c>
      <c r="H16" s="170">
        <v>6698.9488553000001</v>
      </c>
      <c r="I16" s="170">
        <v>6698.9488553000001</v>
      </c>
      <c r="J16" s="170">
        <v>6698.9488553000001</v>
      </c>
      <c r="K16" s="170">
        <v>6698.9488553000001</v>
      </c>
      <c r="L16" s="170">
        <v>6698.9488553000001</v>
      </c>
      <c r="M16" s="170">
        <v>12938.948855299999</v>
      </c>
      <c r="N16" s="170">
        <v>6698.9488553000001</v>
      </c>
      <c r="O16" s="170">
        <v>6698.9488553000001</v>
      </c>
      <c r="P16" s="170">
        <v>24328.948855300001</v>
      </c>
      <c r="Q16" s="170">
        <v>6698.9488553000001</v>
      </c>
      <c r="R16" s="170">
        <v>11857.043473399999</v>
      </c>
    </row>
    <row r="17" spans="2:18" x14ac:dyDescent="0.3">
      <c r="B17" t="s">
        <v>284</v>
      </c>
      <c r="C17" t="s">
        <v>12</v>
      </c>
      <c r="D17" s="170">
        <v>106367.8512511</v>
      </c>
      <c r="E17" s="170">
        <v>74182.351251100001</v>
      </c>
      <c r="F17" s="170">
        <v>76424.892821999994</v>
      </c>
      <c r="G17" s="170">
        <v>76700.092822000006</v>
      </c>
      <c r="H17" s="170">
        <v>76424.892821999994</v>
      </c>
      <c r="I17" s="170">
        <v>80015.392821999994</v>
      </c>
      <c r="J17" s="170">
        <v>77542.892821999994</v>
      </c>
      <c r="K17" s="170">
        <v>76424.892821999994</v>
      </c>
      <c r="L17" s="170">
        <v>76424.892821999994</v>
      </c>
      <c r="M17" s="170">
        <v>80724.892821999994</v>
      </c>
      <c r="N17" s="170">
        <v>82941.542822000003</v>
      </c>
      <c r="O17" s="170">
        <v>80724.892821999994</v>
      </c>
      <c r="P17" s="170">
        <v>76575.392821999994</v>
      </c>
      <c r="Q17" s="170">
        <v>76424.892821999994</v>
      </c>
      <c r="R17" s="170">
        <v>81304.028532299999</v>
      </c>
    </row>
    <row r="18" spans="2:18" x14ac:dyDescent="0.3">
      <c r="B18" t="s">
        <v>284</v>
      </c>
      <c r="C18" t="s">
        <v>13</v>
      </c>
      <c r="D18" s="170">
        <v>17840.126678000001</v>
      </c>
      <c r="E18" s="170">
        <v>9025.1266780000005</v>
      </c>
      <c r="F18" s="170">
        <v>6982.8771364000004</v>
      </c>
      <c r="G18" s="170">
        <v>6982.8771364000004</v>
      </c>
      <c r="H18" s="170">
        <v>8702.8771364000004</v>
      </c>
      <c r="I18" s="170">
        <v>6982.8771364000004</v>
      </c>
      <c r="J18" s="170">
        <v>6982.8771364000004</v>
      </c>
      <c r="K18" s="170">
        <v>8702.8771364000004</v>
      </c>
      <c r="L18" s="170">
        <v>6982.8771364000004</v>
      </c>
      <c r="M18" s="170">
        <v>6982.8771364000004</v>
      </c>
      <c r="N18" s="170">
        <v>8702.8771364000004</v>
      </c>
      <c r="O18" s="170">
        <v>6982.8771364000004</v>
      </c>
      <c r="P18" s="170">
        <v>6982.8771364000004</v>
      </c>
      <c r="Q18" s="170">
        <v>8702.8771364000004</v>
      </c>
      <c r="R18" s="170">
        <v>7802.9783158999999</v>
      </c>
    </row>
    <row r="19" spans="2:18" x14ac:dyDescent="0.3">
      <c r="B19" t="s">
        <v>284</v>
      </c>
      <c r="C19" t="s">
        <v>14</v>
      </c>
      <c r="D19" s="170">
        <v>28477.01</v>
      </c>
      <c r="E19" s="170">
        <v>28477.01</v>
      </c>
      <c r="F19" s="170">
        <v>411377.0606582</v>
      </c>
      <c r="G19" s="170">
        <v>25396.367058200001</v>
      </c>
      <c r="H19" s="170">
        <v>25396.367058200001</v>
      </c>
      <c r="I19" s="170">
        <v>25396.367058200001</v>
      </c>
      <c r="J19" s="170">
        <v>25396.367058200001</v>
      </c>
      <c r="K19" s="170">
        <v>25396.367058200001</v>
      </c>
      <c r="L19" s="170">
        <v>25396.367058200001</v>
      </c>
      <c r="M19" s="170">
        <v>25396.367058200001</v>
      </c>
      <c r="N19" s="170">
        <v>25396.367058200001</v>
      </c>
      <c r="O19" s="170">
        <v>25396.367058200001</v>
      </c>
      <c r="P19" s="170">
        <v>25396.367058200001</v>
      </c>
      <c r="Q19" s="170">
        <v>25396.367058200001</v>
      </c>
      <c r="R19" s="170">
        <v>60051.947961400001</v>
      </c>
    </row>
    <row r="20" spans="2:18" x14ac:dyDescent="0.3">
      <c r="B20" t="s">
        <v>284</v>
      </c>
      <c r="C20" t="s">
        <v>107</v>
      </c>
      <c r="D20" s="170"/>
      <c r="E20" s="170">
        <v>9035.16</v>
      </c>
      <c r="F20" s="170">
        <v>2600</v>
      </c>
      <c r="G20" s="170">
        <v>2600</v>
      </c>
      <c r="H20" s="170">
        <v>2600</v>
      </c>
      <c r="I20" s="170">
        <v>2600</v>
      </c>
      <c r="J20" s="170">
        <v>2600</v>
      </c>
      <c r="K20" s="170">
        <v>2600</v>
      </c>
      <c r="L20" s="170">
        <v>2600</v>
      </c>
      <c r="M20" s="170">
        <v>2600</v>
      </c>
      <c r="N20" s="170">
        <v>2600</v>
      </c>
      <c r="O20" s="170">
        <v>2600</v>
      </c>
      <c r="P20" s="170">
        <v>2600</v>
      </c>
      <c r="Q20" s="170">
        <v>2600</v>
      </c>
      <c r="R20" s="170">
        <v>2600</v>
      </c>
    </row>
    <row r="21" spans="2:18" x14ac:dyDescent="0.3">
      <c r="B21" t="s">
        <v>284</v>
      </c>
      <c r="C21" t="s">
        <v>108</v>
      </c>
      <c r="D21" s="170">
        <v>116194.05869999999</v>
      </c>
      <c r="E21" s="170">
        <v>116194.05869999999</v>
      </c>
      <c r="F21" s="170">
        <v>116200.1101286</v>
      </c>
      <c r="G21" s="170">
        <v>120966.208381</v>
      </c>
      <c r="H21" s="170">
        <v>120623.25599999999</v>
      </c>
      <c r="I21" s="170">
        <v>120623.25599999999</v>
      </c>
      <c r="J21" s="170">
        <v>120623.25599999999</v>
      </c>
      <c r="K21" s="170">
        <v>120623.25599999999</v>
      </c>
      <c r="L21" s="170">
        <v>120623.25599999999</v>
      </c>
      <c r="M21" s="170">
        <v>120623.25599999999</v>
      </c>
      <c r="N21" s="170">
        <v>120623.25599999999</v>
      </c>
      <c r="O21" s="170">
        <v>120815.408381</v>
      </c>
      <c r="P21" s="170">
        <v>120815.408381</v>
      </c>
      <c r="Q21" s="170">
        <v>120815.408381</v>
      </c>
      <c r="R21" s="170">
        <v>120839.4274286</v>
      </c>
    </row>
    <row r="22" spans="2:18" x14ac:dyDescent="0.3">
      <c r="B22" t="s">
        <v>284</v>
      </c>
      <c r="C22" t="s">
        <v>1</v>
      </c>
      <c r="D22" s="170">
        <v>46415.036143999998</v>
      </c>
      <c r="E22" s="170">
        <v>45517.279261399999</v>
      </c>
      <c r="F22" s="170">
        <v>41332.086910899998</v>
      </c>
      <c r="G22" s="170">
        <v>41471.4831433</v>
      </c>
      <c r="H22" s="170">
        <v>41580.320485299999</v>
      </c>
      <c r="I22" s="170">
        <v>275540.17401199997</v>
      </c>
      <c r="J22" s="170">
        <v>49348.744721000003</v>
      </c>
      <c r="K22" s="170">
        <v>49782.923192000002</v>
      </c>
      <c r="L22" s="170">
        <v>49955.516426900002</v>
      </c>
      <c r="M22" s="170">
        <v>49700.830345599999</v>
      </c>
      <c r="N22" s="170">
        <v>49681.692105900001</v>
      </c>
      <c r="O22" s="170">
        <v>49623.581621400001</v>
      </c>
      <c r="P22" s="170">
        <v>95905.927522600003</v>
      </c>
      <c r="Q22" s="170">
        <v>197463.66245589999</v>
      </c>
      <c r="R22" s="170">
        <v>49225.149835700002</v>
      </c>
    </row>
    <row r="23" spans="2:18" x14ac:dyDescent="0.3">
      <c r="B23" t="s">
        <v>284</v>
      </c>
      <c r="C23" t="s">
        <v>2</v>
      </c>
      <c r="D23" s="170">
        <v>1352.8987738000001</v>
      </c>
      <c r="E23" s="170">
        <v>1352.8987738000001</v>
      </c>
      <c r="F23" s="170">
        <v>3235.7537553000002</v>
      </c>
      <c r="G23" s="170">
        <v>30284.152063000001</v>
      </c>
      <c r="H23" s="170">
        <v>1428.5720630000001</v>
      </c>
      <c r="I23" s="170">
        <v>42708.572063</v>
      </c>
      <c r="J23" s="170">
        <v>1428.5720630000001</v>
      </c>
      <c r="K23" s="170">
        <v>1428.5720630000001</v>
      </c>
      <c r="L23" s="170">
        <v>1428.5720630000001</v>
      </c>
      <c r="M23" s="170">
        <v>1428.5720630000001</v>
      </c>
      <c r="N23" s="170">
        <v>1428.5720630000001</v>
      </c>
      <c r="O23" s="170">
        <v>1428.5720630000001</v>
      </c>
      <c r="P23" s="170">
        <v>1428.5720630000001</v>
      </c>
      <c r="Q23" s="170">
        <v>1428.5720630000001</v>
      </c>
      <c r="R23" s="170">
        <v>5169.7456535000001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L97"/>
  <sheetViews>
    <sheetView zoomScale="110" zoomScaleNormal="110" workbookViewId="0">
      <pane xSplit="8" ySplit="11" topLeftCell="I48" activePane="bottomRight" state="frozen"/>
      <selection pane="topRight" activeCell="I1" sqref="I1"/>
      <selection pane="bottomLeft" activeCell="A12" sqref="A12"/>
      <selection pane="bottomRight" activeCell="G55" sqref="G55"/>
    </sheetView>
  </sheetViews>
  <sheetFormatPr defaultColWidth="9.109375" defaultRowHeight="14.4" outlineLevelRow="1" x14ac:dyDescent="0.3"/>
  <cols>
    <col min="1" max="1" width="26.109375" customWidth="1"/>
    <col min="2" max="2" width="15.88671875" customWidth="1"/>
    <col min="3" max="3" width="14.44140625" customWidth="1"/>
    <col min="4" max="5" width="12.5546875" customWidth="1"/>
    <col min="6" max="6" width="13.109375" bestFit="1" customWidth="1"/>
    <col min="7" max="7" width="14.109375" customWidth="1"/>
    <col min="8" max="9" width="13.6640625" bestFit="1" customWidth="1"/>
    <col min="10" max="10" width="12.5546875" customWidth="1"/>
    <col min="11" max="11" width="13.5546875" customWidth="1"/>
    <col min="12" max="12" width="12.5546875" customWidth="1"/>
  </cols>
  <sheetData>
    <row r="1" spans="1:12" x14ac:dyDescent="0.3">
      <c r="A1" s="312" t="s">
        <v>226</v>
      </c>
      <c r="B1" s="306"/>
      <c r="C1" s="306"/>
      <c r="D1" s="306"/>
      <c r="E1" s="306"/>
      <c r="L1" s="305"/>
    </row>
    <row r="2" spans="1:12" x14ac:dyDescent="0.3">
      <c r="A2" s="5"/>
      <c r="B2" s="299"/>
      <c r="C2" s="311"/>
      <c r="D2" s="310"/>
      <c r="E2" s="299"/>
      <c r="F2" s="309"/>
      <c r="G2" s="308"/>
      <c r="H2" s="308"/>
      <c r="I2" s="307"/>
      <c r="J2" s="306"/>
      <c r="K2" s="306"/>
      <c r="L2" s="305"/>
    </row>
    <row r="3" spans="1:12" x14ac:dyDescent="0.3">
      <c r="A3" s="304"/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</row>
    <row r="4" spans="1:12" x14ac:dyDescent="0.3">
      <c r="A4" s="219"/>
      <c r="B4" s="302"/>
      <c r="C4" s="302"/>
      <c r="D4" s="302"/>
      <c r="E4" s="302"/>
      <c r="F4" s="302"/>
      <c r="G4" s="302"/>
      <c r="H4" s="302"/>
      <c r="I4" s="302"/>
      <c r="J4" s="301"/>
    </row>
    <row r="5" spans="1:12" x14ac:dyDescent="0.3">
      <c r="A5" s="219"/>
      <c r="F5" s="299"/>
      <c r="G5" s="299"/>
      <c r="H5" s="299"/>
      <c r="I5" s="300"/>
      <c r="J5" s="300"/>
    </row>
    <row r="6" spans="1:12" ht="15" thickBot="1" x14ac:dyDescent="0.35">
      <c r="A6" s="299"/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</row>
    <row r="7" spans="1:12" x14ac:dyDescent="0.3">
      <c r="A7" s="298" t="s">
        <v>82</v>
      </c>
      <c r="B7" s="297" t="s">
        <v>83</v>
      </c>
      <c r="C7" s="296"/>
      <c r="D7" s="297" t="s">
        <v>84</v>
      </c>
      <c r="E7" s="296"/>
      <c r="F7" s="297" t="s">
        <v>81</v>
      </c>
      <c r="G7" s="296"/>
      <c r="H7" s="297" t="s">
        <v>85</v>
      </c>
      <c r="I7" s="296"/>
      <c r="J7" s="295" t="s">
        <v>86</v>
      </c>
      <c r="K7" s="294" t="s">
        <v>87</v>
      </c>
      <c r="L7" s="294" t="s">
        <v>59</v>
      </c>
    </row>
    <row r="8" spans="1:12" x14ac:dyDescent="0.3">
      <c r="A8" s="293"/>
      <c r="B8" s="289"/>
      <c r="C8" s="290"/>
      <c r="D8" s="291"/>
      <c r="E8" s="292"/>
      <c r="F8" s="291"/>
      <c r="G8" s="290"/>
      <c r="H8" s="289"/>
      <c r="I8" s="286"/>
      <c r="J8" s="285"/>
      <c r="K8" s="283"/>
      <c r="L8" s="283" t="s">
        <v>225</v>
      </c>
    </row>
    <row r="9" spans="1:12" x14ac:dyDescent="0.3">
      <c r="A9" s="288"/>
      <c r="B9" s="287" t="s">
        <v>88</v>
      </c>
      <c r="C9" s="286" t="s">
        <v>89</v>
      </c>
      <c r="D9" s="287" t="s">
        <v>90</v>
      </c>
      <c r="E9" s="286" t="s">
        <v>129</v>
      </c>
      <c r="F9" s="287" t="s">
        <v>88</v>
      </c>
      <c r="G9" s="286" t="s">
        <v>89</v>
      </c>
      <c r="H9" s="287" t="s">
        <v>88</v>
      </c>
      <c r="I9" s="286" t="s">
        <v>91</v>
      </c>
      <c r="J9" s="285" t="s">
        <v>92</v>
      </c>
      <c r="K9" s="284">
        <v>0.21</v>
      </c>
      <c r="L9" s="283" t="s">
        <v>93</v>
      </c>
    </row>
    <row r="10" spans="1:12" x14ac:dyDescent="0.3">
      <c r="A10" s="288"/>
      <c r="B10" s="287"/>
      <c r="C10" s="286"/>
      <c r="D10" s="287" t="s">
        <v>94</v>
      </c>
      <c r="E10" s="286" t="s">
        <v>130</v>
      </c>
      <c r="F10" s="287" t="s">
        <v>95</v>
      </c>
      <c r="G10" s="286" t="s">
        <v>96</v>
      </c>
      <c r="H10" s="287"/>
      <c r="I10" s="286"/>
      <c r="J10" s="285" t="s">
        <v>92</v>
      </c>
      <c r="K10" s="284">
        <v>0.21</v>
      </c>
      <c r="L10" s="283" t="s">
        <v>97</v>
      </c>
    </row>
    <row r="11" spans="1:12" x14ac:dyDescent="0.3">
      <c r="A11" s="282"/>
      <c r="B11" s="281" t="s">
        <v>98</v>
      </c>
      <c r="C11" s="280" t="s">
        <v>63</v>
      </c>
      <c r="D11" s="281"/>
      <c r="E11" s="280"/>
      <c r="F11" s="281" t="s">
        <v>99</v>
      </c>
      <c r="G11" s="280" t="s">
        <v>100</v>
      </c>
      <c r="H11" s="281" t="s">
        <v>101</v>
      </c>
      <c r="I11" s="280" t="s">
        <v>102</v>
      </c>
      <c r="J11" s="279" t="s">
        <v>103</v>
      </c>
      <c r="K11" s="278" t="s">
        <v>224</v>
      </c>
      <c r="L11" s="277" t="s">
        <v>104</v>
      </c>
    </row>
    <row r="12" spans="1:12" x14ac:dyDescent="0.3">
      <c r="A12" s="276"/>
      <c r="B12" s="268"/>
      <c r="C12" s="270"/>
      <c r="D12" s="268"/>
      <c r="E12" s="270"/>
      <c r="F12" s="275"/>
      <c r="G12" s="274"/>
      <c r="H12" s="268"/>
      <c r="I12" s="270"/>
      <c r="J12" s="267"/>
      <c r="K12" s="273"/>
      <c r="L12" s="270"/>
    </row>
    <row r="13" spans="1:12" x14ac:dyDescent="0.3">
      <c r="A13" s="272">
        <v>44592</v>
      </c>
      <c r="B13" s="268">
        <v>0</v>
      </c>
      <c r="C13" s="270">
        <v>0</v>
      </c>
      <c r="D13" s="268">
        <v>770282.29714848334</v>
      </c>
      <c r="E13" s="269">
        <v>0</v>
      </c>
      <c r="F13" s="268">
        <v>-770282.29714848334</v>
      </c>
      <c r="G13" s="269">
        <v>0</v>
      </c>
      <c r="H13" s="268">
        <v>-770282.29714848334</v>
      </c>
      <c r="I13" s="269">
        <v>0</v>
      </c>
      <c r="J13" s="268">
        <v>770282.29714848334</v>
      </c>
      <c r="K13" s="268">
        <v>-161759.28240118147</v>
      </c>
      <c r="L13" s="267">
        <v>161759.28240118147</v>
      </c>
    </row>
    <row r="14" spans="1:12" x14ac:dyDescent="0.3">
      <c r="A14" s="272">
        <v>44620</v>
      </c>
      <c r="B14" s="268">
        <v>242210482.39999998</v>
      </c>
      <c r="C14" s="270">
        <v>242210482.39999998</v>
      </c>
      <c r="D14" s="268">
        <v>771840.64653689996</v>
      </c>
      <c r="E14" s="269">
        <v>270932.72951333335</v>
      </c>
      <c r="F14" s="268">
        <v>-1542122.9436853835</v>
      </c>
      <c r="G14" s="269">
        <v>-270932.72951333335</v>
      </c>
      <c r="H14" s="268">
        <v>240668359.45631462</v>
      </c>
      <c r="I14" s="269">
        <v>241939549.67048669</v>
      </c>
      <c r="J14" s="268">
        <v>1271190.2141720643</v>
      </c>
      <c r="K14" s="268">
        <v>-266949.94497613359</v>
      </c>
      <c r="L14" s="267">
        <v>105190.66257495202</v>
      </c>
    </row>
    <row r="15" spans="1:12" x14ac:dyDescent="0.3">
      <c r="A15" s="271">
        <v>44651</v>
      </c>
      <c r="B15" s="268">
        <v>242400844.05000004</v>
      </c>
      <c r="C15" s="270">
        <v>242400844.05000004</v>
      </c>
      <c r="D15" s="268">
        <v>772222.23552633915</v>
      </c>
      <c r="E15" s="269">
        <v>523580.40328349994</v>
      </c>
      <c r="F15" s="268">
        <v>-2314345.1792117227</v>
      </c>
      <c r="G15" s="269">
        <v>-794513.13279683318</v>
      </c>
      <c r="H15" s="268">
        <v>240086498.87078828</v>
      </c>
      <c r="I15" s="269">
        <v>241606330.91720319</v>
      </c>
      <c r="J15" s="268">
        <v>1519832.0464148703</v>
      </c>
      <c r="K15" s="268">
        <v>-319164.72974712279</v>
      </c>
      <c r="L15" s="267">
        <v>52214.784770989259</v>
      </c>
    </row>
    <row r="16" spans="1:12" x14ac:dyDescent="0.3">
      <c r="A16" s="272">
        <v>44681</v>
      </c>
      <c r="B16" s="268">
        <v>242473352.72000003</v>
      </c>
      <c r="C16" s="270">
        <v>242473352.72000003</v>
      </c>
      <c r="D16" s="268">
        <v>772346.7097157056</v>
      </c>
      <c r="E16" s="269">
        <v>523852.83881937491</v>
      </c>
      <c r="F16" s="268">
        <v>-3086691.8889274276</v>
      </c>
      <c r="G16" s="269">
        <v>-1318365.9716162086</v>
      </c>
      <c r="H16" s="268">
        <v>239386660.83107266</v>
      </c>
      <c r="I16" s="269">
        <v>241154986.74838379</v>
      </c>
      <c r="J16" s="268">
        <v>1768325.9173112118</v>
      </c>
      <c r="K16" s="268">
        <v>-371348.44263535441</v>
      </c>
      <c r="L16" s="267">
        <v>52183.712888231676</v>
      </c>
    </row>
    <row r="17" spans="1:12" x14ac:dyDescent="0.3">
      <c r="A17" s="272">
        <v>44712</v>
      </c>
      <c r="B17" s="268">
        <v>242597388.97000003</v>
      </c>
      <c r="C17" s="270">
        <v>242597388.97000003</v>
      </c>
      <c r="D17" s="268">
        <v>772683.33304100577</v>
      </c>
      <c r="E17" s="269">
        <v>524057.44885795837</v>
      </c>
      <c r="F17" s="268">
        <v>-3859375.2219684324</v>
      </c>
      <c r="G17" s="269">
        <v>-1842423.4204741661</v>
      </c>
      <c r="H17" s="268">
        <v>238738013.74803159</v>
      </c>
      <c r="I17" s="269">
        <v>240754965.54952583</v>
      </c>
      <c r="J17" s="268">
        <v>2016951.8014942757</v>
      </c>
      <c r="K17" s="268">
        <v>-423559.87831379788</v>
      </c>
      <c r="L17" s="267">
        <v>52211.435678443442</v>
      </c>
    </row>
    <row r="18" spans="1:12" x14ac:dyDescent="0.3">
      <c r="A18" s="271">
        <v>44742</v>
      </c>
      <c r="B18" s="268">
        <v>242654035.06999996</v>
      </c>
      <c r="C18" s="270">
        <v>242654035.06999996</v>
      </c>
      <c r="D18" s="268">
        <v>772811.68793569983</v>
      </c>
      <c r="E18" s="269">
        <v>524246.68028308335</v>
      </c>
      <c r="F18" s="268">
        <v>-4632186.9099041326</v>
      </c>
      <c r="G18" s="269">
        <v>-2366670.1007572501</v>
      </c>
      <c r="H18" s="268">
        <v>238021848.16009587</v>
      </c>
      <c r="I18" s="269">
        <v>240287364.96924266</v>
      </c>
      <c r="J18" s="268">
        <v>2265516.8091468764</v>
      </c>
      <c r="K18" s="268">
        <v>-475758.52992084407</v>
      </c>
      <c r="L18" s="267">
        <v>52198.651607046137</v>
      </c>
    </row>
    <row r="19" spans="1:12" x14ac:dyDescent="0.3">
      <c r="A19" s="272">
        <v>44773</v>
      </c>
      <c r="B19" s="268">
        <v>242711756.40999997</v>
      </c>
      <c r="C19" s="270">
        <v>242711756.40999997</v>
      </c>
      <c r="D19" s="268">
        <v>772910.87736794993</v>
      </c>
      <c r="E19" s="269">
        <v>524365.07417308341</v>
      </c>
      <c r="F19" s="268">
        <v>-5405097.7872720836</v>
      </c>
      <c r="G19" s="269">
        <v>-2891035.1749303336</v>
      </c>
      <c r="H19" s="268">
        <v>237306658.62272784</v>
      </c>
      <c r="I19" s="269">
        <v>239820721.23506966</v>
      </c>
      <c r="J19" s="268">
        <v>2514062.6123417648</v>
      </c>
      <c r="K19" s="268">
        <v>-527953.14859177056</v>
      </c>
      <c r="L19" s="267">
        <v>52194.618670926517</v>
      </c>
    </row>
    <row r="20" spans="1:12" x14ac:dyDescent="0.3">
      <c r="A20" s="272">
        <v>44804</v>
      </c>
      <c r="B20" s="268">
        <v>242786181.20999995</v>
      </c>
      <c r="C20" s="270">
        <v>242786181.20999995</v>
      </c>
      <c r="D20" s="268">
        <v>773023.4997649499</v>
      </c>
      <c r="E20" s="269">
        <v>524501.69168520835</v>
      </c>
      <c r="F20" s="268">
        <v>-6178121.2870370345</v>
      </c>
      <c r="G20" s="269">
        <v>-3415536.8666155408</v>
      </c>
      <c r="H20" s="268">
        <v>236608059.92296293</v>
      </c>
      <c r="I20" s="269">
        <v>239370644.34338444</v>
      </c>
      <c r="J20" s="268">
        <v>2762584.4204214993</v>
      </c>
      <c r="K20" s="268">
        <v>-580142.72828851466</v>
      </c>
      <c r="L20" s="267">
        <v>52189.579696744149</v>
      </c>
    </row>
    <row r="21" spans="1:12" x14ac:dyDescent="0.3">
      <c r="A21" s="271">
        <v>44834</v>
      </c>
      <c r="B21" s="268">
        <v>242951019.96999997</v>
      </c>
      <c r="C21" s="270">
        <v>242951019.96999997</v>
      </c>
      <c r="D21" s="268">
        <v>773269.34723881667</v>
      </c>
      <c r="E21" s="269">
        <v>524748.74707250006</v>
      </c>
      <c r="F21" s="268">
        <v>-6951390.634275849</v>
      </c>
      <c r="G21" s="269">
        <v>-3940285.6136880415</v>
      </c>
      <c r="H21" s="268">
        <v>235999629.33572412</v>
      </c>
      <c r="I21" s="269">
        <v>239010734.35631195</v>
      </c>
      <c r="J21" s="268">
        <v>3011105.0205878126</v>
      </c>
      <c r="K21" s="268">
        <v>-632332.05432344042</v>
      </c>
      <c r="L21" s="267">
        <v>52189.326034925885</v>
      </c>
    </row>
    <row r="22" spans="1:12" x14ac:dyDescent="0.3">
      <c r="A22" s="272">
        <v>44865</v>
      </c>
      <c r="B22" s="268">
        <v>243004226.10999998</v>
      </c>
      <c r="C22" s="270">
        <v>243004226.10999998</v>
      </c>
      <c r="D22" s="268">
        <v>773394.37288928335</v>
      </c>
      <c r="E22" s="269">
        <v>524974.30275483336</v>
      </c>
      <c r="F22" s="268">
        <v>-7724785.007165134</v>
      </c>
      <c r="G22" s="269">
        <v>-4465259.9164428748</v>
      </c>
      <c r="H22" s="268">
        <v>235279441.10283485</v>
      </c>
      <c r="I22" s="269">
        <v>238538966.19355711</v>
      </c>
      <c r="J22" s="268">
        <v>3259525.0907222475</v>
      </c>
      <c r="K22" s="268">
        <v>-684500.26905167208</v>
      </c>
      <c r="L22" s="267">
        <v>52168.214728231396</v>
      </c>
    </row>
    <row r="23" spans="1:12" x14ac:dyDescent="0.3">
      <c r="A23" s="272">
        <v>44895</v>
      </c>
      <c r="B23" s="268">
        <v>243073721.75999996</v>
      </c>
      <c r="C23" s="270">
        <v>243073721.75999996</v>
      </c>
      <c r="D23" s="268">
        <v>773586.55926474987</v>
      </c>
      <c r="E23" s="269">
        <v>525102.2152886251</v>
      </c>
      <c r="F23" s="268">
        <v>-8498371.5664298851</v>
      </c>
      <c r="G23" s="269">
        <v>-4990362.131731499</v>
      </c>
      <c r="H23" s="268">
        <v>234575350.19357011</v>
      </c>
      <c r="I23" s="269">
        <v>238083359.62826854</v>
      </c>
      <c r="J23" s="268">
        <v>3508009.4346983819</v>
      </c>
      <c r="K23" s="268">
        <v>-736681.98128666007</v>
      </c>
      <c r="L23" s="267">
        <v>52181.712234988168</v>
      </c>
    </row>
    <row r="24" spans="1:12" x14ac:dyDescent="0.3">
      <c r="A24" s="271">
        <v>44926</v>
      </c>
      <c r="B24" s="268">
        <v>243176936.39999998</v>
      </c>
      <c r="C24" s="270">
        <v>243176936.39999998</v>
      </c>
      <c r="D24" s="268">
        <v>773813.37816588336</v>
      </c>
      <c r="E24" s="269">
        <v>525282.01068087504</v>
      </c>
      <c r="F24" s="268">
        <v>-9272184.9445957672</v>
      </c>
      <c r="G24" s="269">
        <v>-5515644.1424123766</v>
      </c>
      <c r="H24" s="268">
        <v>233904751.45540428</v>
      </c>
      <c r="I24" s="269">
        <v>237661292.25758764</v>
      </c>
      <c r="J24" s="268">
        <v>3756540.8021833682</v>
      </c>
      <c r="K24" s="268">
        <v>-788873.56845850765</v>
      </c>
      <c r="L24" s="267">
        <v>52191.587171847306</v>
      </c>
    </row>
    <row r="25" spans="1:12" x14ac:dyDescent="0.3">
      <c r="A25" s="271">
        <v>44957</v>
      </c>
      <c r="B25" s="268">
        <v>243164613.76999995</v>
      </c>
      <c r="C25" s="270">
        <v>243164613.76999995</v>
      </c>
      <c r="D25" s="268">
        <v>1478521.4387653836</v>
      </c>
      <c r="E25" s="269">
        <v>525376.52400758339</v>
      </c>
      <c r="F25" s="268">
        <v>-10750706.383361153</v>
      </c>
      <c r="G25" s="269">
        <v>-6041020.6664199578</v>
      </c>
      <c r="H25" s="268">
        <v>232413907.38663885</v>
      </c>
      <c r="I25" s="269">
        <v>237123593.10358006</v>
      </c>
      <c r="J25" s="268">
        <v>4709685.7169411797</v>
      </c>
      <c r="K25" s="268">
        <v>-989034.0005576479</v>
      </c>
      <c r="L25" s="267">
        <v>200160.43209914048</v>
      </c>
    </row>
    <row r="26" spans="1:12" x14ac:dyDescent="0.3">
      <c r="A26" s="271">
        <v>44985</v>
      </c>
      <c r="B26" s="268">
        <v>243189559.47999993</v>
      </c>
      <c r="C26" s="270">
        <v>243189559.47999993</v>
      </c>
      <c r="D26" s="268">
        <v>1478558.2700288168</v>
      </c>
      <c r="E26" s="269">
        <v>525389.54664079181</v>
      </c>
      <c r="F26" s="268">
        <v>-12229264.653389966</v>
      </c>
      <c r="G26" s="269">
        <v>-6566410.2130607488</v>
      </c>
      <c r="H26" s="268">
        <v>230960294.82661</v>
      </c>
      <c r="I26" s="269">
        <v>236623149.26693922</v>
      </c>
      <c r="J26" s="268">
        <v>5662854.4403292099</v>
      </c>
      <c r="K26" s="268">
        <v>-1189199.432469134</v>
      </c>
      <c r="L26" s="267">
        <v>200165.43191148617</v>
      </c>
    </row>
    <row r="27" spans="1:12" x14ac:dyDescent="0.3">
      <c r="A27" s="271">
        <v>45016</v>
      </c>
      <c r="B27" s="268">
        <v>243198713.56999996</v>
      </c>
      <c r="C27" s="270">
        <v>243198713.56999996</v>
      </c>
      <c r="D27" s="268">
        <v>1478571.7500003839</v>
      </c>
      <c r="E27" s="269">
        <v>525424.75129912503</v>
      </c>
      <c r="F27" s="268">
        <v>-13707836.40339035</v>
      </c>
      <c r="G27" s="269">
        <v>-7091834.9643598748</v>
      </c>
      <c r="H27" s="268">
        <v>229490877.16660962</v>
      </c>
      <c r="I27" s="269">
        <v>236106878.60564017</v>
      </c>
      <c r="J27" s="268">
        <v>6616001.4390304992</v>
      </c>
      <c r="K27" s="268">
        <v>-1389360.3021964047</v>
      </c>
      <c r="L27" s="267">
        <v>200160.86972727068</v>
      </c>
    </row>
    <row r="28" spans="1:12" x14ac:dyDescent="0.3">
      <c r="A28" s="271">
        <v>45046</v>
      </c>
      <c r="B28" s="268">
        <v>243225461.59999996</v>
      </c>
      <c r="C28" s="270">
        <v>243225461.59999996</v>
      </c>
      <c r="D28" s="268">
        <v>1478611.1382456834</v>
      </c>
      <c r="E28" s="269">
        <v>525461.83574787504</v>
      </c>
      <c r="F28" s="268">
        <v>-15186447.541636035</v>
      </c>
      <c r="G28" s="269">
        <v>-7617296.8001077501</v>
      </c>
      <c r="H28" s="268">
        <v>228039014.05836388</v>
      </c>
      <c r="I28" s="269">
        <v>235608164.79989219</v>
      </c>
      <c r="J28" s="268">
        <v>7569150.7415282791</v>
      </c>
      <c r="K28" s="268">
        <v>-1589521.6557209387</v>
      </c>
      <c r="L28" s="267">
        <v>200161.35352453377</v>
      </c>
    </row>
    <row r="29" spans="1:12" x14ac:dyDescent="0.3">
      <c r="A29" s="271">
        <v>45077</v>
      </c>
      <c r="B29" s="268">
        <v>243679447.24999997</v>
      </c>
      <c r="C29" s="270">
        <v>243679447.24999997</v>
      </c>
      <c r="D29" s="268">
        <v>1480466.1058251837</v>
      </c>
      <c r="E29" s="269">
        <v>526017.26458379161</v>
      </c>
      <c r="F29" s="268">
        <v>-16666913.647461219</v>
      </c>
      <c r="G29" s="269">
        <v>-8143314.0646915417</v>
      </c>
      <c r="H29" s="268">
        <v>227012533.60253876</v>
      </c>
      <c r="I29" s="269">
        <v>235536133.18530846</v>
      </c>
      <c r="J29" s="268">
        <v>8523599.5827696752</v>
      </c>
      <c r="K29" s="268">
        <v>-1789955.9123816313</v>
      </c>
      <c r="L29" s="267">
        <v>200434.2566606928</v>
      </c>
    </row>
    <row r="30" spans="1:12" x14ac:dyDescent="0.3">
      <c r="A30" s="271">
        <v>45107</v>
      </c>
      <c r="B30" s="268">
        <v>243684583.65999994</v>
      </c>
      <c r="C30" s="270">
        <v>243684583.65999994</v>
      </c>
      <c r="D30" s="268">
        <v>1480473.6597356501</v>
      </c>
      <c r="E30" s="269">
        <v>526550.38037824992</v>
      </c>
      <c r="F30" s="268">
        <v>-18147387.30719687</v>
      </c>
      <c r="G30" s="269">
        <v>-8669864.4450697899</v>
      </c>
      <c r="H30" s="268">
        <v>225537196.35280308</v>
      </c>
      <c r="I30" s="269">
        <v>235014719.21493018</v>
      </c>
      <c r="J30" s="268">
        <v>9477522.8621270563</v>
      </c>
      <c r="K30" s="268">
        <v>-1990279.8010466816</v>
      </c>
      <c r="L30" s="267">
        <v>200323.88866505056</v>
      </c>
    </row>
    <row r="31" spans="1:12" x14ac:dyDescent="0.3">
      <c r="A31" s="271">
        <v>45138</v>
      </c>
      <c r="B31" s="268">
        <v>243693206.77999997</v>
      </c>
      <c r="C31" s="270">
        <v>243693206.77999997</v>
      </c>
      <c r="D31" s="268">
        <v>1480486.3578373834</v>
      </c>
      <c r="E31" s="269">
        <v>206432.23603858333</v>
      </c>
      <c r="F31" s="268">
        <v>-19627873.665034253</v>
      </c>
      <c r="G31" s="269">
        <v>-8876296.681108376</v>
      </c>
      <c r="H31" s="268">
        <v>224065333.11496568</v>
      </c>
      <c r="I31" s="269">
        <v>234816910.09889165</v>
      </c>
      <c r="J31" s="268">
        <v>10751576.98392587</v>
      </c>
      <c r="K31" s="268">
        <v>-2257831.1666244334</v>
      </c>
      <c r="L31" s="267">
        <v>267551.36557775125</v>
      </c>
    </row>
    <row r="32" spans="1:12" x14ac:dyDescent="0.3">
      <c r="A32" s="271">
        <v>45169</v>
      </c>
      <c r="B32" s="268">
        <v>243699291.32999995</v>
      </c>
      <c r="C32" s="270">
        <v>243699291.32999995</v>
      </c>
      <c r="D32" s="268">
        <v>1480495.3177692171</v>
      </c>
      <c r="E32" s="269">
        <v>507301.85986962501</v>
      </c>
      <c r="F32" s="268">
        <v>-21108368.982803468</v>
      </c>
      <c r="G32" s="269">
        <v>-9383598.5409779996</v>
      </c>
      <c r="H32" s="268">
        <v>222590922.34719652</v>
      </c>
      <c r="I32" s="269">
        <v>234315692.78902197</v>
      </c>
      <c r="J32" s="268">
        <v>11724770.441825451</v>
      </c>
      <c r="K32" s="268">
        <v>-2462201.7927833456</v>
      </c>
      <c r="L32" s="267">
        <v>204370.62615891229</v>
      </c>
    </row>
    <row r="33" spans="1:12" x14ac:dyDescent="0.3">
      <c r="A33" s="271">
        <v>45199</v>
      </c>
      <c r="B33" s="268">
        <v>243756569.16999993</v>
      </c>
      <c r="C33" s="270">
        <v>243756569.16999993</v>
      </c>
      <c r="D33" s="268">
        <v>1480579.6631476833</v>
      </c>
      <c r="E33" s="269">
        <v>507319.25361525</v>
      </c>
      <c r="F33" s="268">
        <v>-22588948.645951152</v>
      </c>
      <c r="G33" s="269">
        <v>-9890917.7945932522</v>
      </c>
      <c r="H33" s="268">
        <v>221167620.52404884</v>
      </c>
      <c r="I33" s="269">
        <v>233865651.37540674</v>
      </c>
      <c r="J33" s="268">
        <v>12698030.851357896</v>
      </c>
      <c r="K33" s="268">
        <v>-2666586.4787851577</v>
      </c>
      <c r="L33" s="267">
        <v>204384.68600181243</v>
      </c>
    </row>
    <row r="34" spans="1:12" x14ac:dyDescent="0.3">
      <c r="A34" s="271">
        <v>45230</v>
      </c>
      <c r="B34" s="268">
        <v>243907471.92999995</v>
      </c>
      <c r="C34" s="270">
        <v>243907471.92999995</v>
      </c>
      <c r="D34" s="268">
        <v>1480801.8774947168</v>
      </c>
      <c r="E34" s="269">
        <v>507486.01405762497</v>
      </c>
      <c r="F34" s="268">
        <v>-24069750.523445867</v>
      </c>
      <c r="G34" s="269">
        <v>-10398403.808650877</v>
      </c>
      <c r="H34" s="268">
        <v>219837721.4065541</v>
      </c>
      <c r="I34" s="269">
        <v>233509068.12134913</v>
      </c>
      <c r="J34" s="268">
        <v>13671346.714795003</v>
      </c>
      <c r="K34" s="268">
        <v>-2870982.8101069499</v>
      </c>
      <c r="L34" s="267">
        <v>204396.33132179201</v>
      </c>
    </row>
    <row r="35" spans="1:12" x14ac:dyDescent="0.3">
      <c r="A35" s="271">
        <v>45260</v>
      </c>
      <c r="B35" s="268">
        <v>243921287.07999998</v>
      </c>
      <c r="C35" s="270">
        <v>243921287.07999998</v>
      </c>
      <c r="D35" s="268">
        <v>1476899.4144918502</v>
      </c>
      <c r="E35" s="269">
        <v>507406.18510233331</v>
      </c>
      <c r="F35" s="268">
        <v>-25546649.937937722</v>
      </c>
      <c r="G35" s="269">
        <v>-10905809.993753208</v>
      </c>
      <c r="H35" s="268">
        <v>218374637.14206222</v>
      </c>
      <c r="I35" s="269">
        <v>233015477.0862467</v>
      </c>
      <c r="J35" s="268">
        <v>14640839.944184512</v>
      </c>
      <c r="K35" s="268">
        <v>-3074576.3882787465</v>
      </c>
      <c r="L35" s="267">
        <v>203593.5781717971</v>
      </c>
    </row>
    <row r="36" spans="1:12" x14ac:dyDescent="0.3">
      <c r="A36" s="271">
        <v>45291</v>
      </c>
      <c r="B36" s="268">
        <v>243954953.72999999</v>
      </c>
      <c r="C36" s="270">
        <v>243954953.72999999</v>
      </c>
      <c r="D36" s="268">
        <v>1623276.4741152504</v>
      </c>
      <c r="E36" s="269">
        <v>515220.96</v>
      </c>
      <c r="F36" s="268">
        <v>-27169926.412052959</v>
      </c>
      <c r="G36" s="269">
        <v>-11421030.953753209</v>
      </c>
      <c r="H36" s="268">
        <v>216785027.31794703</v>
      </c>
      <c r="I36" s="269">
        <v>232533922.77624679</v>
      </c>
      <c r="J36" s="268">
        <v>15748895.458299756</v>
      </c>
      <c r="K36" s="268">
        <v>-3307268.0462429486</v>
      </c>
      <c r="L36" s="267">
        <v>232691.65796420211</v>
      </c>
    </row>
    <row r="37" spans="1:12" x14ac:dyDescent="0.3">
      <c r="A37" s="271">
        <v>45322</v>
      </c>
      <c r="B37" s="268">
        <v>243962964.78999993</v>
      </c>
      <c r="C37" s="270">
        <v>243962964.78999993</v>
      </c>
      <c r="D37" s="268">
        <v>1618390.4395826336</v>
      </c>
      <c r="E37" s="269">
        <v>523231.84739041666</v>
      </c>
      <c r="F37" s="268">
        <v>-28788316.851635601</v>
      </c>
      <c r="G37" s="269">
        <v>-11944262.801143624</v>
      </c>
      <c r="H37" s="268">
        <v>215174647.93836436</v>
      </c>
      <c r="I37" s="269">
        <v>232018701.98885638</v>
      </c>
      <c r="J37" s="268">
        <v>16844054.05049197</v>
      </c>
      <c r="K37" s="268">
        <v>-3537251.3506033132</v>
      </c>
      <c r="L37" s="267">
        <v>229983.30436036419</v>
      </c>
    </row>
    <row r="38" spans="1:12" x14ac:dyDescent="0.3">
      <c r="A38" s="271">
        <v>45351</v>
      </c>
      <c r="B38" s="268">
        <v>243976731.89999995</v>
      </c>
      <c r="C38" s="270">
        <v>243976731.89999995</v>
      </c>
      <c r="D38" s="268">
        <v>1627666.6230293671</v>
      </c>
      <c r="E38" s="269">
        <v>523207.36</v>
      </c>
      <c r="F38" s="268">
        <v>-30415983.474664964</v>
      </c>
      <c r="G38" s="269">
        <v>-12467470.161143627</v>
      </c>
      <c r="H38" s="268">
        <v>213560748.42533502</v>
      </c>
      <c r="I38" s="269">
        <v>231509261.73885638</v>
      </c>
      <c r="J38" s="268">
        <v>17948513.313521344</v>
      </c>
      <c r="K38" s="268">
        <v>-3769187.7958394806</v>
      </c>
      <c r="L38" s="267">
        <v>231936.44523616758</v>
      </c>
    </row>
    <row r="39" spans="1:12" x14ac:dyDescent="0.3">
      <c r="A39" s="271">
        <v>45382</v>
      </c>
      <c r="B39" s="268">
        <v>243950479.14999995</v>
      </c>
      <c r="C39" s="270">
        <v>243950479.14999995</v>
      </c>
      <c r="D39" s="268">
        <v>1627666.6230293671</v>
      </c>
      <c r="E39" s="269">
        <v>523144.34055983322</v>
      </c>
      <c r="F39" s="268">
        <v>-32043650.09769433</v>
      </c>
      <c r="G39" s="269">
        <v>-12990614.50170346</v>
      </c>
      <c r="H39" s="268">
        <v>211906829.05230567</v>
      </c>
      <c r="I39" s="269">
        <v>230959864.64829659</v>
      </c>
      <c r="J39" s="268">
        <v>19053035.595990852</v>
      </c>
      <c r="K39" s="268">
        <v>-4001137.4751580795</v>
      </c>
      <c r="L39" s="267">
        <v>231949.67931859911</v>
      </c>
    </row>
    <row r="40" spans="1:12" x14ac:dyDescent="0.3">
      <c r="A40" s="271">
        <v>45412</v>
      </c>
      <c r="B40" s="268">
        <v>243960957.3199999</v>
      </c>
      <c r="C40" s="270">
        <v>243960957.3199999</v>
      </c>
      <c r="D40" s="268">
        <v>1627666.6230293671</v>
      </c>
      <c r="E40" s="269">
        <v>523077.52</v>
      </c>
      <c r="F40" s="268">
        <v>-33671316.720723696</v>
      </c>
      <c r="G40" s="269">
        <v>-13513692.021703457</v>
      </c>
      <c r="H40" s="268">
        <v>210289640.5992763</v>
      </c>
      <c r="I40" s="269">
        <v>230447265.29829651</v>
      </c>
      <c r="J40" s="268">
        <v>20157624.699020233</v>
      </c>
      <c r="K40" s="268">
        <v>-4233101.1867942493</v>
      </c>
      <c r="L40" s="267">
        <v>231963.71163616842</v>
      </c>
    </row>
    <row r="41" spans="1:12" x14ac:dyDescent="0.3">
      <c r="A41" s="271">
        <v>45443</v>
      </c>
      <c r="B41" s="268">
        <v>243966747.69</v>
      </c>
      <c r="C41" s="270">
        <v>243966747.69</v>
      </c>
      <c r="D41" s="268">
        <v>1627666.6230293671</v>
      </c>
      <c r="E41" s="269">
        <v>523856.19055983331</v>
      </c>
      <c r="F41" s="268">
        <v>-35298983.343753055</v>
      </c>
      <c r="G41" s="269">
        <v>-14037548.212263292</v>
      </c>
      <c r="H41" s="268">
        <v>208667764.34624693</v>
      </c>
      <c r="I41" s="269">
        <v>229929199.47773668</v>
      </c>
      <c r="J41" s="268">
        <v>21261435.131489757</v>
      </c>
      <c r="K41" s="268">
        <v>-4464901.3776128497</v>
      </c>
      <c r="L41" s="267">
        <v>231800.19081860068</v>
      </c>
    </row>
    <row r="42" spans="1:12" x14ac:dyDescent="0.3">
      <c r="A42" s="271">
        <v>45473</v>
      </c>
      <c r="B42" s="268">
        <v>243471749.75</v>
      </c>
      <c r="C42" s="270">
        <v>243471749.75</v>
      </c>
      <c r="D42" s="268">
        <v>1627666.6230293671</v>
      </c>
      <c r="E42" s="269">
        <v>524052.15055983333</v>
      </c>
      <c r="F42" s="268">
        <v>-36926649.966782421</v>
      </c>
      <c r="G42" s="269">
        <v>-14561600.362823123</v>
      </c>
      <c r="H42" s="268">
        <v>206545099.78321755</v>
      </c>
      <c r="I42" s="269">
        <v>228910149.38717681</v>
      </c>
      <c r="J42" s="268">
        <v>22365049.603959303</v>
      </c>
      <c r="K42" s="268">
        <v>-4696660.4168314543</v>
      </c>
      <c r="L42" s="267">
        <v>231759.0392186041</v>
      </c>
    </row>
    <row r="43" spans="1:12" x14ac:dyDescent="0.3">
      <c r="A43" s="271">
        <v>45504</v>
      </c>
      <c r="B43" s="268">
        <v>243496893.05999997</v>
      </c>
      <c r="C43" s="270">
        <v>243496893.05999997</v>
      </c>
      <c r="D43" s="268">
        <v>1627666.6230293671</v>
      </c>
      <c r="E43" s="269">
        <v>523451.29055983335</v>
      </c>
      <c r="F43" s="268">
        <v>-38554316.589811787</v>
      </c>
      <c r="G43" s="269">
        <v>-15085051.653382957</v>
      </c>
      <c r="H43" s="268">
        <v>204942576.4701882</v>
      </c>
      <c r="I43" s="269">
        <v>228411841.40661705</v>
      </c>
      <c r="J43" s="268">
        <v>23469264.936428837</v>
      </c>
      <c r="K43" s="268">
        <v>-4928545.6366500547</v>
      </c>
      <c r="L43" s="267">
        <v>231885.21981860086</v>
      </c>
    </row>
    <row r="44" spans="1:12" x14ac:dyDescent="0.3">
      <c r="A44" s="271">
        <v>45535</v>
      </c>
      <c r="B44" s="268">
        <v>243511607.06999993</v>
      </c>
      <c r="C44" s="270">
        <v>243511607.06999993</v>
      </c>
      <c r="D44" s="268">
        <v>1627666.6230293671</v>
      </c>
      <c r="E44" s="269">
        <v>523445.89055983332</v>
      </c>
      <c r="F44" s="268">
        <v>-40181983.212841146</v>
      </c>
      <c r="G44" s="269">
        <v>-15608497.543942792</v>
      </c>
      <c r="H44" s="268">
        <v>203329623.85715884</v>
      </c>
      <c r="I44" s="269">
        <v>227903109.52605718</v>
      </c>
      <c r="J44" s="268">
        <v>24573485.668898355</v>
      </c>
      <c r="K44" s="268">
        <v>-5160431.9904686539</v>
      </c>
      <c r="L44" s="267">
        <v>231886.35381860167</v>
      </c>
    </row>
    <row r="45" spans="1:12" x14ac:dyDescent="0.3">
      <c r="A45" s="271">
        <v>45565</v>
      </c>
      <c r="B45" s="268">
        <v>243519490.36999997</v>
      </c>
      <c r="C45" s="270">
        <v>243519490.36999997</v>
      </c>
      <c r="D45" s="268">
        <v>1627666.6230293671</v>
      </c>
      <c r="E45" s="269">
        <v>523429.6005598334</v>
      </c>
      <c r="F45" s="268">
        <v>-41809649.835870504</v>
      </c>
      <c r="G45" s="269">
        <v>-16131927.144502619</v>
      </c>
      <c r="H45" s="268">
        <v>201709840.53412944</v>
      </c>
      <c r="I45" s="269">
        <v>227387563.22549731</v>
      </c>
      <c r="J45" s="268">
        <v>25677722.691367894</v>
      </c>
      <c r="K45" s="268">
        <v>-5392321.765187256</v>
      </c>
      <c r="L45" s="267">
        <v>231889.77471860149</v>
      </c>
    </row>
    <row r="46" spans="1:12" x14ac:dyDescent="0.3">
      <c r="A46" s="271">
        <v>45596</v>
      </c>
      <c r="B46" s="268">
        <v>243536465.33999994</v>
      </c>
      <c r="C46" s="270">
        <v>243536465.33999994</v>
      </c>
      <c r="D46" s="268">
        <v>1627666.6230293671</v>
      </c>
      <c r="E46" s="269">
        <v>523407.14055983332</v>
      </c>
      <c r="F46" s="268">
        <v>-43437316.458899885</v>
      </c>
      <c r="G46" s="269">
        <v>-16655334.285062453</v>
      </c>
      <c r="H46" s="268">
        <v>200099148.88110006</v>
      </c>
      <c r="I46" s="269">
        <v>226881131.05493757</v>
      </c>
      <c r="J46" s="268">
        <v>26781982.173837423</v>
      </c>
      <c r="K46" s="268">
        <v>-5624216.2565058619</v>
      </c>
      <c r="L46" s="267">
        <v>231894.49131860386</v>
      </c>
    </row>
    <row r="47" spans="1:12" x14ac:dyDescent="0.3">
      <c r="A47" s="271">
        <v>45626</v>
      </c>
      <c r="B47" s="268">
        <v>243636678.88999996</v>
      </c>
      <c r="C47" s="270">
        <v>243636678.88999996</v>
      </c>
      <c r="D47" s="268">
        <v>1627666.6230293671</v>
      </c>
      <c r="E47" s="269">
        <v>523478.60055983334</v>
      </c>
      <c r="F47" s="268">
        <v>-45064983.081929237</v>
      </c>
      <c r="G47" s="269">
        <v>-17178812.885622289</v>
      </c>
      <c r="H47" s="268">
        <v>198571695.80807075</v>
      </c>
      <c r="I47" s="269">
        <v>226457866.00437772</v>
      </c>
      <c r="J47" s="268">
        <v>27886170.196306948</v>
      </c>
      <c r="K47" s="268">
        <v>-5856095.7412244575</v>
      </c>
      <c r="L47" s="267">
        <v>231879.48471859674</v>
      </c>
    </row>
    <row r="48" spans="1:12" x14ac:dyDescent="0.3">
      <c r="A48" s="271">
        <v>45657</v>
      </c>
      <c r="B48" s="268">
        <v>243655539.26999998</v>
      </c>
      <c r="C48" s="270">
        <v>243655539.26999998</v>
      </c>
      <c r="D48" s="268">
        <v>1627666.6230293671</v>
      </c>
      <c r="E48" s="269">
        <v>543649.75382500002</v>
      </c>
      <c r="F48" s="268">
        <v>-46692649.704958618</v>
      </c>
      <c r="G48" s="269">
        <v>-17722462.639447287</v>
      </c>
      <c r="H48" s="268">
        <v>196962889.56504142</v>
      </c>
      <c r="I48" s="269">
        <v>225933076.63055271</v>
      </c>
      <c r="J48" s="268">
        <v>28970187.065511312</v>
      </c>
      <c r="K48" s="268">
        <v>-6083739.2837573783</v>
      </c>
      <c r="L48" s="267">
        <v>227643.54253291895</v>
      </c>
    </row>
    <row r="49" spans="1:12" x14ac:dyDescent="0.3">
      <c r="A49" s="271">
        <v>45688</v>
      </c>
      <c r="B49" s="268">
        <v>243827746.21999997</v>
      </c>
      <c r="C49" s="270">
        <v>243827746.21999997</v>
      </c>
      <c r="D49" s="268">
        <v>1473532.1205828665</v>
      </c>
      <c r="E49" s="269">
        <v>543844.96017758327</v>
      </c>
      <c r="F49" s="268">
        <v>-48166181.825541474</v>
      </c>
      <c r="G49" s="269">
        <v>-18266307.599624868</v>
      </c>
      <c r="H49" s="268">
        <v>195661564.39445859</v>
      </c>
      <c r="I49" s="269">
        <v>225561438.62037516</v>
      </c>
      <c r="J49" s="268">
        <v>29899874.225916602</v>
      </c>
      <c r="K49" s="268">
        <v>-6278973.5874424865</v>
      </c>
      <c r="L49" s="267">
        <v>195234.30368511</v>
      </c>
    </row>
    <row r="50" spans="1:12" x14ac:dyDescent="0.3">
      <c r="A50" s="271">
        <v>45716</v>
      </c>
      <c r="B50" s="268">
        <v>243838877.98999995</v>
      </c>
      <c r="C50" s="270">
        <v>243838877.98999995</v>
      </c>
      <c r="D50" s="268">
        <v>1473532.1205828665</v>
      </c>
      <c r="E50" s="269">
        <v>544031.52511220833</v>
      </c>
      <c r="F50" s="268">
        <v>-49639713.946124353</v>
      </c>
      <c r="G50" s="269">
        <v>-18810339.12473708</v>
      </c>
      <c r="H50" s="268">
        <v>194199164.04387563</v>
      </c>
      <c r="I50" s="269">
        <v>225028538.86526296</v>
      </c>
      <c r="J50" s="268">
        <v>30829374.821387272</v>
      </c>
      <c r="K50" s="268">
        <v>-6474168.712491326</v>
      </c>
      <c r="L50" s="267">
        <v>195195.1250488396</v>
      </c>
    </row>
    <row r="51" spans="1:12" x14ac:dyDescent="0.3">
      <c r="A51" s="271">
        <v>45747</v>
      </c>
      <c r="B51" s="268">
        <v>243862536.36999995</v>
      </c>
      <c r="C51" s="270">
        <v>243862536.36999995</v>
      </c>
      <c r="D51" s="268">
        <v>1473532.1205828665</v>
      </c>
      <c r="E51" s="269">
        <v>544070.43511966662</v>
      </c>
      <c r="F51" s="268">
        <v>-51113246.066707201</v>
      </c>
      <c r="G51" s="269">
        <v>-19354409.559856746</v>
      </c>
      <c r="H51" s="268">
        <v>192749290.30329278</v>
      </c>
      <c r="I51" s="269">
        <v>224508126.81014326</v>
      </c>
      <c r="J51" s="268">
        <v>31758836.506850485</v>
      </c>
      <c r="K51" s="268">
        <v>-6669355.666438601</v>
      </c>
      <c r="L51" s="267">
        <v>195186.95394727442</v>
      </c>
    </row>
    <row r="52" spans="1:12" x14ac:dyDescent="0.3">
      <c r="A52" s="271">
        <v>45777</v>
      </c>
      <c r="B52" s="268">
        <v>243877270.49000001</v>
      </c>
      <c r="C52" s="270">
        <v>243877270.49000001</v>
      </c>
      <c r="D52" s="268">
        <v>1473532.1205828665</v>
      </c>
      <c r="E52" s="269">
        <v>544113.37415433337</v>
      </c>
      <c r="F52" s="268">
        <v>-52586778.18729008</v>
      </c>
      <c r="G52" s="269">
        <v>-19898522.934011087</v>
      </c>
      <c r="H52" s="268">
        <v>191290492.30270991</v>
      </c>
      <c r="I52" s="269">
        <v>223978747.55598888</v>
      </c>
      <c r="J52" s="268">
        <v>32688255.253279001</v>
      </c>
      <c r="K52" s="268">
        <v>-6864533.6031885901</v>
      </c>
      <c r="L52" s="267">
        <v>195177.93674998847</v>
      </c>
    </row>
    <row r="53" spans="1:12" x14ac:dyDescent="0.3">
      <c r="A53" s="271">
        <v>45808</v>
      </c>
      <c r="B53" s="268">
        <v>243881131.65999997</v>
      </c>
      <c r="C53" s="270">
        <v>243881131.65999997</v>
      </c>
      <c r="D53" s="268">
        <v>1473532.1205828665</v>
      </c>
      <c r="E53" s="269">
        <v>544134.17141395842</v>
      </c>
      <c r="F53" s="268">
        <v>-54060310.307872951</v>
      </c>
      <c r="G53" s="269">
        <v>-20442657.105425041</v>
      </c>
      <c r="H53" s="268">
        <v>189820821.35212708</v>
      </c>
      <c r="I53" s="269">
        <v>223438474.55457497</v>
      </c>
      <c r="J53" s="268">
        <v>33617653.202447921</v>
      </c>
      <c r="K53" s="268">
        <v>-7059707.1725140624</v>
      </c>
      <c r="L53" s="267">
        <v>195173.56932547296</v>
      </c>
    </row>
    <row r="54" spans="1:12" x14ac:dyDescent="0.3">
      <c r="A54" s="271">
        <v>45838</v>
      </c>
      <c r="B54" s="268">
        <v>243881800.64999998</v>
      </c>
      <c r="C54" s="270">
        <v>243881800.64999998</v>
      </c>
      <c r="D54" s="268">
        <v>1473532.1205828665</v>
      </c>
      <c r="E54" s="269">
        <v>544139.23778954172</v>
      </c>
      <c r="F54" s="268">
        <v>-55533842.42845583</v>
      </c>
      <c r="G54" s="269">
        <v>-20986796.343214586</v>
      </c>
      <c r="H54" s="268">
        <v>188347958.22154415</v>
      </c>
      <c r="I54" s="269">
        <v>222895004.3067854</v>
      </c>
      <c r="J54" s="268">
        <v>34547046.085241258</v>
      </c>
      <c r="K54" s="268">
        <v>-7254879.6779006617</v>
      </c>
      <c r="L54" s="267">
        <v>195172.50538659963</v>
      </c>
    </row>
    <row r="55" spans="1:12" x14ac:dyDescent="0.3">
      <c r="A55" s="271">
        <v>45869</v>
      </c>
      <c r="B55" s="268">
        <v>243881800.64999998</v>
      </c>
      <c r="C55" s="320">
        <v>243881800.64999998</v>
      </c>
      <c r="D55" s="321">
        <v>1473532.1205828665</v>
      </c>
      <c r="E55" s="322">
        <v>544139.98584550002</v>
      </c>
      <c r="F55" s="321">
        <f>F54-D55</f>
        <v>-57007374.549038693</v>
      </c>
      <c r="G55" s="322">
        <f>G54-E55</f>
        <v>-21530936.329060085</v>
      </c>
      <c r="H55" s="321">
        <f>B55+F55</f>
        <v>186874426.10096127</v>
      </c>
      <c r="I55" s="322">
        <f>C55+G55</f>
        <v>222350864.3209399</v>
      </c>
      <c r="J55" s="321">
        <f>I55-H55</f>
        <v>35476438.219978631</v>
      </c>
      <c r="K55" s="321">
        <f>-J55*0.21</f>
        <v>-7450052.0261955122</v>
      </c>
      <c r="L55" s="267">
        <f>-K55+K54</f>
        <v>195172.34829485044</v>
      </c>
    </row>
    <row r="56" spans="1:12" x14ac:dyDescent="0.3">
      <c r="A56" s="271">
        <v>45900</v>
      </c>
      <c r="B56" s="268">
        <v>243881800.64999998</v>
      </c>
      <c r="C56" s="320">
        <v>243881800.64999998</v>
      </c>
      <c r="D56" s="321">
        <v>1473532.1205828665</v>
      </c>
      <c r="E56" s="322">
        <v>544139.98584550002</v>
      </c>
      <c r="F56" s="321">
        <f t="shared" ref="F56:F73" si="0">F55-D56</f>
        <v>-58480906.669621557</v>
      </c>
      <c r="G56" s="322">
        <f t="shared" ref="G56:G73" si="1">G55-E56</f>
        <v>-22075076.314905584</v>
      </c>
      <c r="H56" s="321">
        <f t="shared" ref="H56:H73" si="2">B56+F56</f>
        <v>185400893.98037842</v>
      </c>
      <c r="I56" s="322">
        <f t="shared" ref="I56:I73" si="3">C56+G56</f>
        <v>221806724.33509439</v>
      </c>
      <c r="J56" s="321">
        <f t="shared" ref="J56:J73" si="4">I56-H56</f>
        <v>36405830.354715973</v>
      </c>
      <c r="K56" s="321">
        <f t="shared" ref="K56:K73" si="5">-J56*0.21</f>
        <v>-7645224.3744903542</v>
      </c>
      <c r="L56" s="267">
        <f t="shared" ref="L56:L73" si="6">-K56+K55</f>
        <v>195172.34829484206</v>
      </c>
    </row>
    <row r="57" spans="1:12" x14ac:dyDescent="0.3">
      <c r="A57" s="271">
        <v>45930</v>
      </c>
      <c r="B57" s="268">
        <v>243881800.64999998</v>
      </c>
      <c r="C57" s="320">
        <v>243881800.64999998</v>
      </c>
      <c r="D57" s="321">
        <v>1473532.1205828665</v>
      </c>
      <c r="E57" s="322">
        <v>544139.98584550002</v>
      </c>
      <c r="F57" s="321">
        <f t="shared" si="0"/>
        <v>-59954438.790204421</v>
      </c>
      <c r="G57" s="322">
        <f t="shared" si="1"/>
        <v>-22619216.300751083</v>
      </c>
      <c r="H57" s="321">
        <f t="shared" si="2"/>
        <v>183927361.85979557</v>
      </c>
      <c r="I57" s="322">
        <f t="shared" si="3"/>
        <v>221262584.34924889</v>
      </c>
      <c r="J57" s="321">
        <f t="shared" si="4"/>
        <v>37335222.489453316</v>
      </c>
      <c r="K57" s="321">
        <f t="shared" si="5"/>
        <v>-7840396.7227851963</v>
      </c>
      <c r="L57" s="267">
        <f t="shared" si="6"/>
        <v>195172.34829484206</v>
      </c>
    </row>
    <row r="58" spans="1:12" x14ac:dyDescent="0.3">
      <c r="A58" s="271">
        <v>45961</v>
      </c>
      <c r="B58" s="268">
        <v>243881800.64999998</v>
      </c>
      <c r="C58" s="320">
        <v>243881800.64999998</v>
      </c>
      <c r="D58" s="321">
        <v>1473532.1205828665</v>
      </c>
      <c r="E58" s="322">
        <v>544139.98584550002</v>
      </c>
      <c r="F58" s="321">
        <f t="shared" si="0"/>
        <v>-61427970.910787284</v>
      </c>
      <c r="G58" s="322">
        <f t="shared" si="1"/>
        <v>-23163356.286596581</v>
      </c>
      <c r="H58" s="321">
        <f t="shared" si="2"/>
        <v>182453829.73921269</v>
      </c>
      <c r="I58" s="322">
        <f t="shared" si="3"/>
        <v>220718444.36340338</v>
      </c>
      <c r="J58" s="321">
        <f t="shared" si="4"/>
        <v>38264614.624190688</v>
      </c>
      <c r="K58" s="321">
        <f t="shared" si="5"/>
        <v>-8035569.0710800439</v>
      </c>
      <c r="L58" s="267">
        <f t="shared" si="6"/>
        <v>195172.34829484764</v>
      </c>
    </row>
    <row r="59" spans="1:12" x14ac:dyDescent="0.3">
      <c r="A59" s="271">
        <v>45991</v>
      </c>
      <c r="B59" s="268">
        <v>243881800.64999998</v>
      </c>
      <c r="C59" s="320">
        <v>243881800.64999998</v>
      </c>
      <c r="D59" s="321">
        <v>1473532.1205828665</v>
      </c>
      <c r="E59" s="322">
        <v>544139.98584550002</v>
      </c>
      <c r="F59" s="321">
        <f t="shared" si="0"/>
        <v>-62901503.031370148</v>
      </c>
      <c r="G59" s="322">
        <f t="shared" si="1"/>
        <v>-23707496.27244208</v>
      </c>
      <c r="H59" s="321">
        <f t="shared" si="2"/>
        <v>180980297.61862981</v>
      </c>
      <c r="I59" s="322">
        <f t="shared" si="3"/>
        <v>220174304.3775579</v>
      </c>
      <c r="J59" s="321">
        <f t="shared" si="4"/>
        <v>39194006.75892809</v>
      </c>
      <c r="K59" s="321">
        <f t="shared" si="5"/>
        <v>-8230741.419374899</v>
      </c>
      <c r="L59" s="267">
        <f t="shared" si="6"/>
        <v>195172.3482948551</v>
      </c>
    </row>
    <row r="60" spans="1:12" x14ac:dyDescent="0.3">
      <c r="A60" s="271">
        <v>46022</v>
      </c>
      <c r="B60" s="268">
        <v>243881800.64999998</v>
      </c>
      <c r="C60" s="320">
        <v>243881800.64999998</v>
      </c>
      <c r="D60" s="321">
        <v>1473532.1205828665</v>
      </c>
      <c r="E60" s="322">
        <v>544139.98584550002</v>
      </c>
      <c r="F60" s="321">
        <f t="shared" si="0"/>
        <v>-64375035.151953012</v>
      </c>
      <c r="G60" s="322">
        <f t="shared" si="1"/>
        <v>-24251636.258287579</v>
      </c>
      <c r="H60" s="321">
        <f t="shared" si="2"/>
        <v>179506765.49804696</v>
      </c>
      <c r="I60" s="322">
        <f t="shared" si="3"/>
        <v>219630164.3917124</v>
      </c>
      <c r="J60" s="321">
        <f t="shared" si="4"/>
        <v>40123398.893665433</v>
      </c>
      <c r="K60" s="321">
        <f t="shared" si="5"/>
        <v>-8425913.7676697411</v>
      </c>
      <c r="L60" s="267">
        <f t="shared" si="6"/>
        <v>195172.34829484206</v>
      </c>
    </row>
    <row r="61" spans="1:12" x14ac:dyDescent="0.3">
      <c r="A61" s="271">
        <v>46053</v>
      </c>
      <c r="B61" s="268">
        <v>243881800.64999998</v>
      </c>
      <c r="C61" s="320">
        <v>243881800.64999998</v>
      </c>
      <c r="D61" s="321">
        <v>1473532.1205828665</v>
      </c>
      <c r="E61" s="322">
        <v>544139.98584550002</v>
      </c>
      <c r="F61" s="321">
        <f t="shared" si="0"/>
        <v>-65848567.272535875</v>
      </c>
      <c r="G61" s="322">
        <f t="shared" si="1"/>
        <v>-24795776.244133078</v>
      </c>
      <c r="H61" s="321">
        <f t="shared" si="2"/>
        <v>178033233.37746412</v>
      </c>
      <c r="I61" s="322">
        <f t="shared" si="3"/>
        <v>219086024.40586689</v>
      </c>
      <c r="J61" s="321">
        <f t="shared" si="4"/>
        <v>41052791.028402776</v>
      </c>
      <c r="K61" s="321">
        <f t="shared" si="5"/>
        <v>-8621086.1159645822</v>
      </c>
      <c r="L61" s="267">
        <f t="shared" si="6"/>
        <v>195172.34829484113</v>
      </c>
    </row>
    <row r="62" spans="1:12" x14ac:dyDescent="0.3">
      <c r="A62" s="271">
        <v>46081</v>
      </c>
      <c r="B62" s="268">
        <v>243881800.64999998</v>
      </c>
      <c r="C62" s="320">
        <v>243881800.64999998</v>
      </c>
      <c r="D62" s="321">
        <v>1473532.1205828665</v>
      </c>
      <c r="E62" s="322">
        <v>544139.98584550002</v>
      </c>
      <c r="F62" s="321">
        <f t="shared" si="0"/>
        <v>-67322099.393118739</v>
      </c>
      <c r="G62" s="322">
        <f t="shared" si="1"/>
        <v>-25339916.229978576</v>
      </c>
      <c r="H62" s="321">
        <f t="shared" si="2"/>
        <v>176559701.25688124</v>
      </c>
      <c r="I62" s="322">
        <f t="shared" si="3"/>
        <v>218541884.42002141</v>
      </c>
      <c r="J62" s="321">
        <f t="shared" si="4"/>
        <v>41982183.163140178</v>
      </c>
      <c r="K62" s="321">
        <f t="shared" si="5"/>
        <v>-8816258.4642594364</v>
      </c>
      <c r="L62" s="267">
        <f t="shared" si="6"/>
        <v>195172.34829485416</v>
      </c>
    </row>
    <row r="63" spans="1:12" x14ac:dyDescent="0.3">
      <c r="A63" s="271">
        <v>46112</v>
      </c>
      <c r="B63" s="268">
        <v>243881800.64999998</v>
      </c>
      <c r="C63" s="320">
        <v>243881800.64999998</v>
      </c>
      <c r="D63" s="321">
        <v>1473532.1205828665</v>
      </c>
      <c r="E63" s="322">
        <v>544139.98584550002</v>
      </c>
      <c r="F63" s="321">
        <f t="shared" si="0"/>
        <v>-68795631.513701603</v>
      </c>
      <c r="G63" s="322">
        <f t="shared" si="1"/>
        <v>-25884056.215824075</v>
      </c>
      <c r="H63" s="321">
        <f t="shared" si="2"/>
        <v>175086169.13629836</v>
      </c>
      <c r="I63" s="322">
        <f t="shared" si="3"/>
        <v>217997744.43417591</v>
      </c>
      <c r="J63" s="321">
        <f t="shared" si="4"/>
        <v>42911575.29787755</v>
      </c>
      <c r="K63" s="321">
        <f t="shared" si="5"/>
        <v>-9011430.8125542849</v>
      </c>
      <c r="L63" s="267">
        <f t="shared" si="6"/>
        <v>195172.34829484858</v>
      </c>
    </row>
    <row r="64" spans="1:12" x14ac:dyDescent="0.3">
      <c r="A64" s="271">
        <v>46142</v>
      </c>
      <c r="B64" s="268">
        <v>243881800.64999998</v>
      </c>
      <c r="C64" s="320">
        <v>243881800.64999998</v>
      </c>
      <c r="D64" s="321">
        <v>1473532.1205828665</v>
      </c>
      <c r="E64" s="322">
        <v>544139.98584550002</v>
      </c>
      <c r="F64" s="321">
        <f t="shared" si="0"/>
        <v>-70269163.634284467</v>
      </c>
      <c r="G64" s="322">
        <f t="shared" si="1"/>
        <v>-26428196.201669574</v>
      </c>
      <c r="H64" s="321">
        <f t="shared" si="2"/>
        <v>173612637.01571551</v>
      </c>
      <c r="I64" s="322">
        <f t="shared" si="3"/>
        <v>217453604.4483304</v>
      </c>
      <c r="J64" s="321">
        <f t="shared" si="4"/>
        <v>43840967.432614893</v>
      </c>
      <c r="K64" s="321">
        <f t="shared" si="5"/>
        <v>-9206603.1608491279</v>
      </c>
      <c r="L64" s="267">
        <f t="shared" si="6"/>
        <v>195172.34829484299</v>
      </c>
    </row>
    <row r="65" spans="1:12" x14ac:dyDescent="0.3">
      <c r="A65" s="271">
        <v>46173</v>
      </c>
      <c r="B65" s="268">
        <v>243881800.64999998</v>
      </c>
      <c r="C65" s="320">
        <v>243881800.64999998</v>
      </c>
      <c r="D65" s="321">
        <v>1473532.1205828665</v>
      </c>
      <c r="E65" s="322">
        <v>544139.98584550002</v>
      </c>
      <c r="F65" s="321">
        <f t="shared" si="0"/>
        <v>-71742695.75486733</v>
      </c>
      <c r="G65" s="322">
        <f t="shared" si="1"/>
        <v>-26972336.187515073</v>
      </c>
      <c r="H65" s="321">
        <f t="shared" si="2"/>
        <v>172139104.89513266</v>
      </c>
      <c r="I65" s="322">
        <f t="shared" si="3"/>
        <v>216909464.4624849</v>
      </c>
      <c r="J65" s="321">
        <f t="shared" si="4"/>
        <v>44770359.567352235</v>
      </c>
      <c r="K65" s="321">
        <f t="shared" si="5"/>
        <v>-9401775.509143969</v>
      </c>
      <c r="L65" s="267">
        <f t="shared" si="6"/>
        <v>195172.34829484113</v>
      </c>
    </row>
    <row r="66" spans="1:12" x14ac:dyDescent="0.3">
      <c r="A66" s="271">
        <v>46203</v>
      </c>
      <c r="B66" s="268">
        <v>243881800.64999998</v>
      </c>
      <c r="C66" s="320">
        <v>243881800.64999998</v>
      </c>
      <c r="D66" s="321">
        <v>1473532.1205828665</v>
      </c>
      <c r="E66" s="322">
        <v>544139.98584550002</v>
      </c>
      <c r="F66" s="321">
        <f t="shared" si="0"/>
        <v>-73216227.875450194</v>
      </c>
      <c r="G66" s="322">
        <f t="shared" si="1"/>
        <v>-27516476.173360571</v>
      </c>
      <c r="H66" s="321">
        <f t="shared" si="2"/>
        <v>170665572.77454978</v>
      </c>
      <c r="I66" s="322">
        <f t="shared" si="3"/>
        <v>216365324.47663939</v>
      </c>
      <c r="J66" s="321">
        <f t="shared" si="4"/>
        <v>45699751.702089608</v>
      </c>
      <c r="K66" s="321">
        <f t="shared" si="5"/>
        <v>-9596947.8574388176</v>
      </c>
      <c r="L66" s="267">
        <f t="shared" si="6"/>
        <v>195172.34829484858</v>
      </c>
    </row>
    <row r="67" spans="1:12" x14ac:dyDescent="0.3">
      <c r="A67" s="271">
        <v>46234</v>
      </c>
      <c r="B67" s="268">
        <v>243881800.64999998</v>
      </c>
      <c r="C67" s="320">
        <v>243881800.64999998</v>
      </c>
      <c r="D67" s="321">
        <v>1473532.1205828665</v>
      </c>
      <c r="E67" s="322">
        <v>544139.98584550002</v>
      </c>
      <c r="F67" s="321">
        <f t="shared" si="0"/>
        <v>-74689759.996033058</v>
      </c>
      <c r="G67" s="322">
        <f t="shared" si="1"/>
        <v>-28060616.15920607</v>
      </c>
      <c r="H67" s="321">
        <f t="shared" si="2"/>
        <v>169192040.6539669</v>
      </c>
      <c r="I67" s="322">
        <f t="shared" si="3"/>
        <v>215821184.49079391</v>
      </c>
      <c r="J67" s="321">
        <f t="shared" si="4"/>
        <v>46629143.83682701</v>
      </c>
      <c r="K67" s="321">
        <f t="shared" si="5"/>
        <v>-9792120.2057336718</v>
      </c>
      <c r="L67" s="267">
        <f t="shared" si="6"/>
        <v>195172.34829485416</v>
      </c>
    </row>
    <row r="68" spans="1:12" x14ac:dyDescent="0.3">
      <c r="A68" s="271">
        <v>46265</v>
      </c>
      <c r="B68" s="268">
        <v>243881800.64999998</v>
      </c>
      <c r="C68" s="320">
        <v>243881800.64999998</v>
      </c>
      <c r="D68" s="321">
        <v>1473532.1205828665</v>
      </c>
      <c r="E68" s="322">
        <v>544139.98584550002</v>
      </c>
      <c r="F68" s="321">
        <f t="shared" si="0"/>
        <v>-76163292.116615921</v>
      </c>
      <c r="G68" s="322">
        <f t="shared" si="1"/>
        <v>-28604756.145051569</v>
      </c>
      <c r="H68" s="321">
        <f t="shared" si="2"/>
        <v>167718508.53338405</v>
      </c>
      <c r="I68" s="322">
        <f t="shared" si="3"/>
        <v>215277044.50494841</v>
      </c>
      <c r="J68" s="321">
        <f t="shared" si="4"/>
        <v>47558535.971564353</v>
      </c>
      <c r="K68" s="321">
        <f t="shared" si="5"/>
        <v>-9987292.5540285129</v>
      </c>
      <c r="L68" s="267">
        <f t="shared" si="6"/>
        <v>195172.34829484113</v>
      </c>
    </row>
    <row r="69" spans="1:12" x14ac:dyDescent="0.3">
      <c r="A69" s="271">
        <v>46295</v>
      </c>
      <c r="B69" s="268">
        <v>243881800.64999998</v>
      </c>
      <c r="C69" s="320">
        <v>243881800.64999998</v>
      </c>
      <c r="D69" s="321">
        <v>1473532.1205828665</v>
      </c>
      <c r="E69" s="322">
        <v>544139.98584550002</v>
      </c>
      <c r="F69" s="321">
        <f t="shared" si="0"/>
        <v>-77636824.237198785</v>
      </c>
      <c r="G69" s="322">
        <f t="shared" si="1"/>
        <v>-29148896.130897067</v>
      </c>
      <c r="H69" s="321">
        <f t="shared" si="2"/>
        <v>166244976.41280121</v>
      </c>
      <c r="I69" s="322">
        <f t="shared" si="3"/>
        <v>214732904.5191029</v>
      </c>
      <c r="J69" s="321">
        <f t="shared" si="4"/>
        <v>48487928.106301695</v>
      </c>
      <c r="K69" s="321">
        <f t="shared" si="5"/>
        <v>-10182464.902323356</v>
      </c>
      <c r="L69" s="267">
        <f t="shared" si="6"/>
        <v>195172.34829484299</v>
      </c>
    </row>
    <row r="70" spans="1:12" x14ac:dyDescent="0.3">
      <c r="A70" s="271">
        <v>46326</v>
      </c>
      <c r="B70" s="268">
        <v>243881800.64999998</v>
      </c>
      <c r="C70" s="320">
        <v>243881800.64999998</v>
      </c>
      <c r="D70" s="321">
        <v>1473532.1205828665</v>
      </c>
      <c r="E70" s="322">
        <v>544139.98584550002</v>
      </c>
      <c r="F70" s="321">
        <f t="shared" si="0"/>
        <v>-79110356.357781649</v>
      </c>
      <c r="G70" s="322">
        <f t="shared" si="1"/>
        <v>-29693036.116742566</v>
      </c>
      <c r="H70" s="321">
        <f t="shared" si="2"/>
        <v>164771444.29221833</v>
      </c>
      <c r="I70" s="322">
        <f t="shared" si="3"/>
        <v>214188764.53325742</v>
      </c>
      <c r="J70" s="321">
        <f t="shared" si="4"/>
        <v>49417320.241039097</v>
      </c>
      <c r="K70" s="321">
        <f t="shared" si="5"/>
        <v>-10377637.25061821</v>
      </c>
      <c r="L70" s="267">
        <f t="shared" si="6"/>
        <v>195172.34829485416</v>
      </c>
    </row>
    <row r="71" spans="1:12" hidden="1" outlineLevel="1" x14ac:dyDescent="0.3">
      <c r="A71" s="271">
        <v>46356</v>
      </c>
      <c r="B71" s="268">
        <v>243881800.64999998</v>
      </c>
      <c r="C71" s="320">
        <v>243881800.64999998</v>
      </c>
      <c r="D71" s="321">
        <v>1473532.1205828665</v>
      </c>
      <c r="E71" s="322">
        <v>544139.98584550002</v>
      </c>
      <c r="F71" s="321">
        <f t="shared" si="0"/>
        <v>-80583888.478364512</v>
      </c>
      <c r="G71" s="322">
        <f t="shared" si="1"/>
        <v>-30237176.102588065</v>
      </c>
      <c r="H71" s="321">
        <f t="shared" si="2"/>
        <v>163297912.17163545</v>
      </c>
      <c r="I71" s="322">
        <f t="shared" si="3"/>
        <v>213644624.54741192</v>
      </c>
      <c r="J71" s="321">
        <f t="shared" si="4"/>
        <v>50346712.37577647</v>
      </c>
      <c r="K71" s="321">
        <f t="shared" si="5"/>
        <v>-10572809.598913059</v>
      </c>
      <c r="L71" s="267">
        <f t="shared" si="6"/>
        <v>195172.34829484858</v>
      </c>
    </row>
    <row r="72" spans="1:12" hidden="1" outlineLevel="1" x14ac:dyDescent="0.3">
      <c r="A72" s="271">
        <v>46387</v>
      </c>
      <c r="B72" s="268">
        <v>243881800.64999998</v>
      </c>
      <c r="C72" s="320">
        <v>243881800.64999998</v>
      </c>
      <c r="D72" s="321">
        <v>1473532.1205828665</v>
      </c>
      <c r="E72" s="322">
        <v>544139.98584550002</v>
      </c>
      <c r="F72" s="321">
        <f t="shared" si="0"/>
        <v>-82057420.598947376</v>
      </c>
      <c r="G72" s="322">
        <f t="shared" si="1"/>
        <v>-30781316.088433564</v>
      </c>
      <c r="H72" s="321">
        <f t="shared" si="2"/>
        <v>161824380.0510526</v>
      </c>
      <c r="I72" s="322">
        <f t="shared" si="3"/>
        <v>213100484.56156641</v>
      </c>
      <c r="J72" s="321">
        <f t="shared" si="4"/>
        <v>51276104.510513812</v>
      </c>
      <c r="K72" s="321">
        <f t="shared" si="5"/>
        <v>-10767981.9472079</v>
      </c>
      <c r="L72" s="267">
        <f t="shared" si="6"/>
        <v>195172.34829484113</v>
      </c>
    </row>
    <row r="73" spans="1:12" hidden="1" outlineLevel="1" x14ac:dyDescent="0.3">
      <c r="A73" s="271">
        <v>46418</v>
      </c>
      <c r="B73" s="268">
        <v>243881800.64999998</v>
      </c>
      <c r="C73" s="320">
        <v>243881800.64999998</v>
      </c>
      <c r="D73" s="321">
        <v>1473532.1205828665</v>
      </c>
      <c r="E73" s="322">
        <v>544139.98584550002</v>
      </c>
      <c r="F73" s="321">
        <f t="shared" si="0"/>
        <v>-83530952.71953024</v>
      </c>
      <c r="G73" s="322">
        <f t="shared" si="1"/>
        <v>-31325456.074279062</v>
      </c>
      <c r="H73" s="321">
        <f t="shared" si="2"/>
        <v>160350847.93046975</v>
      </c>
      <c r="I73" s="322">
        <f t="shared" si="3"/>
        <v>212556344.57572091</v>
      </c>
      <c r="J73" s="321">
        <f t="shared" si="4"/>
        <v>52205496.645251155</v>
      </c>
      <c r="K73" s="321">
        <f t="shared" si="5"/>
        <v>-10963154.295502743</v>
      </c>
      <c r="L73" s="267">
        <f t="shared" si="6"/>
        <v>195172.34829484299</v>
      </c>
    </row>
    <row r="74" spans="1:12" hidden="1" outlineLevel="1" x14ac:dyDescent="0.3">
      <c r="A74" s="271">
        <v>46446</v>
      </c>
    </row>
    <row r="75" spans="1:12" collapsed="1" x14ac:dyDescent="0.3">
      <c r="A75" s="271"/>
    </row>
    <row r="76" spans="1:12" x14ac:dyDescent="0.3">
      <c r="A76" s="211" t="s">
        <v>295</v>
      </c>
      <c r="B76" s="177"/>
    </row>
    <row r="77" spans="1:12" x14ac:dyDescent="0.3">
      <c r="A77" s="126" t="s">
        <v>77</v>
      </c>
      <c r="B77" s="198">
        <f>(C58+C70+SUM(C59:C69)*2)/24</f>
        <v>243881800.65000007</v>
      </c>
    </row>
    <row r="78" spans="1:12" x14ac:dyDescent="0.3">
      <c r="A78" s="78" t="s">
        <v>183</v>
      </c>
      <c r="B78" s="127">
        <f>(G58+G70+SUM(G59:G69)*2)/24</f>
        <v>-26428196.201669574</v>
      </c>
    </row>
    <row r="79" spans="1:12" x14ac:dyDescent="0.3">
      <c r="A79" s="78" t="s">
        <v>87</v>
      </c>
      <c r="B79" s="127">
        <f>(K58+K70+SUM(K59:K69)*2)/24</f>
        <v>-9206603.1608491261</v>
      </c>
    </row>
    <row r="81" spans="1:2" x14ac:dyDescent="0.3">
      <c r="A81" s="271"/>
    </row>
    <row r="82" spans="1:2" hidden="1" outlineLevel="1" x14ac:dyDescent="0.3">
      <c r="A82" s="211" t="s">
        <v>177</v>
      </c>
      <c r="B82" s="177"/>
    </row>
    <row r="83" spans="1:2" hidden="1" outlineLevel="1" x14ac:dyDescent="0.3">
      <c r="A83" s="126" t="s">
        <v>77</v>
      </c>
      <c r="B83" s="198">
        <f>(C34+C46+SUM(C35:C45)*2)/24</f>
        <v>243784652.54541662</v>
      </c>
    </row>
    <row r="84" spans="1:2" hidden="1" outlineLevel="1" x14ac:dyDescent="0.3">
      <c r="A84" s="78" t="s">
        <v>183</v>
      </c>
      <c r="B84" s="127">
        <f>(G34+G46+SUM(G35:G45)*2)/24</f>
        <v>-13516197.866414336</v>
      </c>
    </row>
    <row r="85" spans="1:2" hidden="1" outlineLevel="1" x14ac:dyDescent="0.3">
      <c r="A85" s="78" t="s">
        <v>87</v>
      </c>
      <c r="B85" s="127">
        <f>(K34+K46+SUM(K35:K45)*2)/24</f>
        <v>-4234415.2469144585</v>
      </c>
    </row>
    <row r="86" spans="1:2" hidden="1" outlineLevel="1" x14ac:dyDescent="0.3"/>
    <row r="87" spans="1:2" hidden="1" outlineLevel="1" x14ac:dyDescent="0.3">
      <c r="A87" s="211" t="s">
        <v>229</v>
      </c>
      <c r="B87" s="177"/>
    </row>
    <row r="88" spans="1:2" hidden="1" outlineLevel="1" x14ac:dyDescent="0.3">
      <c r="A88" s="126" t="s">
        <v>77</v>
      </c>
      <c r="B88" s="198">
        <f>(C41+C55+SUM(C42:C54)*2)/28</f>
        <v>243708718.66428569</v>
      </c>
    </row>
    <row r="89" spans="1:2" hidden="1" outlineLevel="1" x14ac:dyDescent="0.3">
      <c r="A89" s="78" t="s">
        <v>183</v>
      </c>
      <c r="B89" s="127">
        <f>(G41+G55+SUM(G42:G54)*2)/28</f>
        <v>-17749068.675165329</v>
      </c>
    </row>
    <row r="90" spans="1:2" hidden="1" outlineLevel="1" x14ac:dyDescent="0.3">
      <c r="A90" s="78" t="s">
        <v>87</v>
      </c>
      <c r="B90" s="127">
        <f>(K41+K55+SUM(K42:K54)*2)/28</f>
        <v>-6021507.5866075009</v>
      </c>
    </row>
    <row r="91" spans="1:2" hidden="1" outlineLevel="1" x14ac:dyDescent="0.3"/>
    <row r="92" spans="1:2" hidden="1" outlineLevel="1" x14ac:dyDescent="0.3"/>
    <row r="93" spans="1:2" hidden="1" outlineLevel="1" x14ac:dyDescent="0.3">
      <c r="A93" s="211" t="s">
        <v>230</v>
      </c>
      <c r="B93" s="177"/>
    </row>
    <row r="94" spans="1:2" hidden="1" outlineLevel="1" x14ac:dyDescent="0.3">
      <c r="A94" s="126" t="s">
        <v>77</v>
      </c>
      <c r="B94" s="198">
        <f>(C41+C58+SUM(C42:C57)*2)/34</f>
        <v>243739262.54411766</v>
      </c>
    </row>
    <row r="95" spans="1:2" hidden="1" outlineLevel="1" x14ac:dyDescent="0.3">
      <c r="A95" s="78" t="s">
        <v>183</v>
      </c>
      <c r="B95" s="127">
        <f>(G41+G58+SUM(G42:G57)*2)/34</f>
        <v>-18560494.139752917</v>
      </c>
    </row>
    <row r="96" spans="1:2" hidden="1" outlineLevel="1" x14ac:dyDescent="0.3">
      <c r="A96" s="78" t="s">
        <v>87</v>
      </c>
      <c r="B96" s="127">
        <f>(K41+K58+SUM(K42:K57)*2)/34</f>
        <v>-6325266.9328481369</v>
      </c>
    </row>
    <row r="97" collapsed="1" x14ac:dyDescent="0.3"/>
  </sheetData>
  <pageMargins left="0.7" right="0.7" top="0.75" bottom="0.75" header="0.3" footer="0.3"/>
  <pageSetup scale="55" orientation="portrait" r:id="rId1"/>
  <headerFooter>
    <oddFooter>&amp;R&amp;"Arial,Regular"&amp;28&amp;K0000FFC3</oddFooter>
  </headerFooter>
  <customProperties>
    <customPr name="_pios_id" r:id="rId2"/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B3:G17"/>
  <sheetViews>
    <sheetView workbookViewId="0">
      <selection activeCell="E11" sqref="E11"/>
    </sheetView>
  </sheetViews>
  <sheetFormatPr defaultRowHeight="14.4" x14ac:dyDescent="0.3"/>
  <cols>
    <col min="2" max="2" width="8.6640625" customWidth="1"/>
    <col min="3" max="3" width="29.109375" customWidth="1"/>
    <col min="4" max="5" width="23.109375" customWidth="1"/>
    <col min="6" max="7" width="29.5546875" customWidth="1"/>
  </cols>
  <sheetData>
    <row r="3" spans="2:7" x14ac:dyDescent="0.3">
      <c r="B3" s="5" t="s">
        <v>133</v>
      </c>
    </row>
    <row r="4" spans="2:7" x14ac:dyDescent="0.3">
      <c r="D4" s="76" t="s">
        <v>285</v>
      </c>
      <c r="E4" s="76" t="s">
        <v>285</v>
      </c>
      <c r="F4" s="76" t="s">
        <v>288</v>
      </c>
      <c r="G4" s="76" t="s">
        <v>289</v>
      </c>
    </row>
    <row r="5" spans="2:7" x14ac:dyDescent="0.3">
      <c r="C5" s="3" t="s">
        <v>79</v>
      </c>
      <c r="D5" s="3" t="s">
        <v>286</v>
      </c>
      <c r="E5" s="3" t="s">
        <v>287</v>
      </c>
      <c r="F5" s="392" t="s">
        <v>296</v>
      </c>
      <c r="G5" s="392" t="s">
        <v>296</v>
      </c>
    </row>
    <row r="6" spans="2:7" x14ac:dyDescent="0.3">
      <c r="C6" t="s">
        <v>134</v>
      </c>
      <c r="D6" s="4">
        <f>'Updated LNG O&amp;M Deferral'!F110</f>
        <v>2219773.4400000004</v>
      </c>
      <c r="E6" s="4">
        <f>'Post Oct 23 LNG O&amp;M Deferral '!F110</f>
        <v>819867.61666666635</v>
      </c>
      <c r="F6" s="4">
        <f>'LNG O&amp;M Deferral'!$M$83</f>
        <v>2630431.4934772057</v>
      </c>
      <c r="G6" s="4">
        <f>'Post Oct 23 LNG O&amp;M Deferral '!M83</f>
        <v>1619238.5429166672</v>
      </c>
    </row>
    <row r="7" spans="2:7" x14ac:dyDescent="0.3">
      <c r="C7" t="s">
        <v>166</v>
      </c>
      <c r="D7" s="170">
        <f>'UpdateLNG Depreciation Deferral'!F109</f>
        <v>2686507.6800000011</v>
      </c>
      <c r="E7" s="170">
        <f>'Post Oct 23 LNG Depr Deferra '!F110</f>
        <v>922553.8280563876</v>
      </c>
      <c r="F7" s="170">
        <f>'LNG Depreciation Deferral'!$M$83</f>
        <v>3183511.6025273851</v>
      </c>
      <c r="G7" s="170">
        <f>'Post Oct 23 LNG Depr Deferra '!M83</f>
        <v>1822043.8104113655</v>
      </c>
    </row>
    <row r="8" spans="2:7" x14ac:dyDescent="0.3">
      <c r="C8" t="s">
        <v>167</v>
      </c>
      <c r="D8" s="170">
        <f>'Updated LNG Return Deferral'!F111</f>
        <v>4070735.1600000006</v>
      </c>
      <c r="E8" s="170">
        <f>'Post Oct 23 LNG Retrn Def'!F110</f>
        <v>3187804.6666666674</v>
      </c>
      <c r="F8" s="170">
        <f>'LNG Return Deferral'!$M$83</f>
        <v>4823821.1624125279</v>
      </c>
      <c r="G8" s="170">
        <f>'Post Oct 23 LNG Retrn Def'!M83</f>
        <v>6295914.2166666659</v>
      </c>
    </row>
    <row r="9" spans="2:7" ht="15" thickBot="1" x14ac:dyDescent="0.35">
      <c r="C9" t="s">
        <v>21</v>
      </c>
      <c r="D9" s="171">
        <f>SUM(D6:D8)</f>
        <v>8977016.2800000012</v>
      </c>
      <c r="E9" s="171">
        <f>SUM(E6:E8)</f>
        <v>4930226.1113897208</v>
      </c>
      <c r="F9" s="144">
        <f>SUM(F6:F8)</f>
        <v>10637764.258417118</v>
      </c>
      <c r="G9" s="144">
        <f>SUM(G6:G8)</f>
        <v>9737196.5699946992</v>
      </c>
    </row>
    <row r="10" spans="2:7" ht="15" thickTop="1" x14ac:dyDescent="0.3">
      <c r="C10" t="s">
        <v>154</v>
      </c>
      <c r="D10" s="172">
        <v>0.79</v>
      </c>
      <c r="E10" s="172">
        <v>0.79</v>
      </c>
      <c r="F10" s="143" t="s">
        <v>172</v>
      </c>
      <c r="G10" s="143" t="s">
        <v>172</v>
      </c>
    </row>
    <row r="11" spans="2:7" ht="15" thickBot="1" x14ac:dyDescent="0.35">
      <c r="C11" t="s">
        <v>168</v>
      </c>
      <c r="D11" s="144">
        <f>-D9*D10</f>
        <v>-7091842.8612000011</v>
      </c>
      <c r="E11" s="144">
        <f>-E9*E10</f>
        <v>-3894878.6279978794</v>
      </c>
      <c r="F11" s="143" t="s">
        <v>172</v>
      </c>
      <c r="G11" s="143" t="s">
        <v>172</v>
      </c>
    </row>
    <row r="12" spans="2:7" ht="15" thickTop="1" x14ac:dyDescent="0.3"/>
    <row r="14" spans="2:7" x14ac:dyDescent="0.3">
      <c r="C14" t="s">
        <v>132</v>
      </c>
      <c r="F14" s="173">
        <f>SUM(F6:F7)+SUM(G6:G7)</f>
        <v>9255225.4493326228</v>
      </c>
    </row>
    <row r="15" spans="2:7" x14ac:dyDescent="0.3">
      <c r="C15" t="s">
        <v>173</v>
      </c>
      <c r="F15" s="174">
        <f>F8+G8</f>
        <v>11119735.379079193</v>
      </c>
    </row>
    <row r="16" spans="2:7" ht="15" thickBot="1" x14ac:dyDescent="0.35">
      <c r="C16" t="s">
        <v>21</v>
      </c>
      <c r="F16" s="144">
        <f>SUM(F14:F15)</f>
        <v>20374960.828411818</v>
      </c>
    </row>
    <row r="17" ht="15" thickTop="1" x14ac:dyDescent="0.3"/>
  </sheetData>
  <phoneticPr fontId="26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O110"/>
  <sheetViews>
    <sheetView workbookViewId="0">
      <pane xSplit="1" ySplit="9" topLeftCell="B42" activePane="bottomRight" state="frozen"/>
      <selection activeCell="C50" sqref="C50"/>
      <selection pane="topRight" activeCell="C50" sqref="C50"/>
      <selection pane="bottomLeft" activeCell="C50" sqref="C50"/>
      <selection pane="bottomRight" activeCell="C54" sqref="C54"/>
    </sheetView>
  </sheetViews>
  <sheetFormatPr defaultColWidth="9.109375" defaultRowHeight="13.2" outlineLevelRow="1" x14ac:dyDescent="0.25"/>
  <cols>
    <col min="1" max="1" width="15.88671875" style="30" customWidth="1"/>
    <col min="2" max="2" width="13" style="66" customWidth="1"/>
    <col min="3" max="3" width="11.33203125" style="66" customWidth="1"/>
    <col min="4" max="4" width="13.88671875" style="66" customWidth="1"/>
    <col min="5" max="5" width="13.109375" style="66" customWidth="1"/>
    <col min="6" max="6" width="16.33203125" style="66" bestFit="1" customWidth="1"/>
    <col min="7" max="7" width="16.109375" style="66" bestFit="1" customWidth="1"/>
    <col min="8" max="8" width="12.109375" style="66" bestFit="1" customWidth="1"/>
    <col min="9" max="9" width="11.44140625" style="66" bestFit="1" customWidth="1"/>
    <col min="10" max="10" width="15" style="66" bestFit="1" customWidth="1"/>
    <col min="11" max="11" width="16.6640625" style="66" bestFit="1" customWidth="1"/>
    <col min="12" max="12" width="11.33203125" style="66" bestFit="1" customWidth="1"/>
    <col min="13" max="13" width="11.44140625" style="66" bestFit="1" customWidth="1"/>
    <col min="14" max="14" width="11.109375" style="66" bestFit="1" customWidth="1"/>
    <col min="15" max="15" width="6.33203125" style="30" bestFit="1" customWidth="1"/>
    <col min="16" max="16384" width="9.109375" style="30"/>
  </cols>
  <sheetData>
    <row r="1" spans="1:15" x14ac:dyDescent="0.25">
      <c r="A1" s="27" t="s">
        <v>43</v>
      </c>
      <c r="B1" s="28"/>
      <c r="C1" s="28"/>
      <c r="D1" s="28"/>
      <c r="E1" s="28"/>
      <c r="F1" s="28"/>
      <c r="G1" s="28"/>
      <c r="H1" s="28"/>
      <c r="I1" s="28"/>
      <c r="J1" s="29"/>
      <c r="K1" s="29"/>
      <c r="L1" s="29"/>
      <c r="M1" s="29"/>
      <c r="N1" s="30"/>
    </row>
    <row r="2" spans="1:15" x14ac:dyDescent="0.25">
      <c r="A2" s="27" t="s">
        <v>237</v>
      </c>
      <c r="B2" s="28"/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30"/>
    </row>
    <row r="3" spans="1:15" x14ac:dyDescent="0.25">
      <c r="A3" s="28" t="s">
        <v>242</v>
      </c>
      <c r="B3" s="28"/>
      <c r="C3" s="28"/>
      <c r="D3" s="28"/>
      <c r="E3" s="28"/>
      <c r="F3" s="28"/>
      <c r="G3" s="28"/>
      <c r="H3" s="28"/>
      <c r="I3" s="28"/>
      <c r="J3" s="29"/>
      <c r="K3" s="29"/>
      <c r="L3" s="29"/>
      <c r="M3" s="29"/>
      <c r="N3" s="30"/>
    </row>
    <row r="4" spans="1:15" x14ac:dyDescent="0.25">
      <c r="A4" s="28"/>
      <c r="B4" s="28"/>
      <c r="C4" s="31"/>
      <c r="D4" s="32"/>
      <c r="E4" s="33"/>
      <c r="F4" s="34"/>
      <c r="G4" s="34"/>
      <c r="H4" s="34"/>
      <c r="I4" s="34"/>
      <c r="J4" s="35"/>
      <c r="K4" s="36"/>
      <c r="L4" s="35"/>
      <c r="M4" s="35"/>
      <c r="N4" s="30"/>
    </row>
    <row r="5" spans="1:15" x14ac:dyDescent="0.25">
      <c r="A5" s="29"/>
      <c r="B5" s="29"/>
      <c r="C5" s="37" t="s">
        <v>46</v>
      </c>
      <c r="D5" s="38"/>
      <c r="E5" s="35"/>
      <c r="F5" s="39"/>
      <c r="G5" s="39"/>
      <c r="H5" s="39"/>
      <c r="I5" s="39"/>
      <c r="J5" s="40"/>
      <c r="K5" s="39"/>
      <c r="L5" s="39"/>
      <c r="M5" s="39"/>
      <c r="N5" s="30"/>
    </row>
    <row r="6" spans="1:15" x14ac:dyDescent="0.25">
      <c r="A6" s="41"/>
      <c r="B6" s="41"/>
      <c r="C6" s="42" t="s">
        <v>47</v>
      </c>
      <c r="D6" s="42" t="s">
        <v>48</v>
      </c>
      <c r="E6" s="42" t="s">
        <v>49</v>
      </c>
      <c r="F6" s="42" t="s">
        <v>50</v>
      </c>
      <c r="G6" s="42" t="s">
        <v>51</v>
      </c>
      <c r="H6" s="42" t="s">
        <v>52</v>
      </c>
      <c r="I6" s="42" t="s">
        <v>41</v>
      </c>
      <c r="J6" s="42" t="s">
        <v>50</v>
      </c>
      <c r="K6" s="42" t="s">
        <v>51</v>
      </c>
      <c r="L6" s="42" t="s">
        <v>53</v>
      </c>
      <c r="M6" s="43" t="s">
        <v>54</v>
      </c>
      <c r="N6" s="44" t="s">
        <v>48</v>
      </c>
      <c r="O6" s="146" t="s">
        <v>156</v>
      </c>
    </row>
    <row r="7" spans="1:15" x14ac:dyDescent="0.25">
      <c r="A7" s="39" t="s">
        <v>55</v>
      </c>
      <c r="B7" s="45"/>
      <c r="C7" s="39" t="s">
        <v>56</v>
      </c>
      <c r="D7" s="39"/>
      <c r="E7" s="39" t="s">
        <v>48</v>
      </c>
      <c r="F7" s="39" t="s">
        <v>57</v>
      </c>
      <c r="G7" s="39" t="s">
        <v>57</v>
      </c>
      <c r="H7" s="39" t="s">
        <v>57</v>
      </c>
      <c r="I7" s="39" t="s">
        <v>58</v>
      </c>
      <c r="J7" s="39" t="s">
        <v>59</v>
      </c>
      <c r="K7" s="39" t="s">
        <v>59</v>
      </c>
      <c r="L7" s="39" t="s">
        <v>41</v>
      </c>
      <c r="M7" s="46" t="s">
        <v>53</v>
      </c>
      <c r="N7" s="47" t="s">
        <v>60</v>
      </c>
      <c r="O7" s="146" t="s">
        <v>158</v>
      </c>
    </row>
    <row r="8" spans="1:15" x14ac:dyDescent="0.25">
      <c r="A8" s="39" t="s">
        <v>61</v>
      </c>
      <c r="B8" s="45"/>
      <c r="C8" s="39" t="s">
        <v>62</v>
      </c>
      <c r="D8" s="39" t="s">
        <v>63</v>
      </c>
      <c r="E8" s="39" t="s">
        <v>64</v>
      </c>
      <c r="F8" s="39" t="s">
        <v>65</v>
      </c>
      <c r="G8" s="48" t="s">
        <v>66</v>
      </c>
      <c r="H8" s="39" t="s">
        <v>67</v>
      </c>
      <c r="I8" s="39" t="s">
        <v>68</v>
      </c>
      <c r="J8" s="39" t="s">
        <v>69</v>
      </c>
      <c r="K8" s="39" t="s">
        <v>70</v>
      </c>
      <c r="L8" s="39" t="s">
        <v>71</v>
      </c>
      <c r="M8" s="46" t="s">
        <v>72</v>
      </c>
      <c r="N8" s="47" t="s">
        <v>73</v>
      </c>
      <c r="O8" s="147" t="s">
        <v>157</v>
      </c>
    </row>
    <row r="9" spans="1:15" x14ac:dyDescent="0.25">
      <c r="A9" s="49"/>
      <c r="B9" s="49"/>
      <c r="C9" s="50"/>
      <c r="D9" s="50"/>
      <c r="E9" s="50"/>
      <c r="F9" s="51" t="s">
        <v>244</v>
      </c>
      <c r="G9" s="50"/>
      <c r="H9" s="50"/>
      <c r="I9" s="50"/>
      <c r="J9" s="50" t="s">
        <v>75</v>
      </c>
      <c r="K9" s="52"/>
      <c r="L9" s="50"/>
      <c r="M9" s="53"/>
      <c r="N9" s="54"/>
      <c r="O9" s="146">
        <v>0.21</v>
      </c>
    </row>
    <row r="10" spans="1:15" x14ac:dyDescent="0.25">
      <c r="A10" s="55"/>
      <c r="B10" s="29"/>
      <c r="C10" s="39"/>
      <c r="D10" s="56"/>
      <c r="E10" s="57"/>
      <c r="F10" s="39"/>
      <c r="G10" s="39"/>
      <c r="H10" s="56"/>
      <c r="I10" s="56"/>
      <c r="J10" s="58"/>
      <c r="K10" s="58"/>
      <c r="L10" s="58"/>
      <c r="M10" s="59"/>
      <c r="N10" s="60"/>
    </row>
    <row r="11" spans="1:15" x14ac:dyDescent="0.25">
      <c r="A11" s="61" t="s">
        <v>76</v>
      </c>
      <c r="B11" s="61"/>
      <c r="C11" s="62"/>
      <c r="D11" s="56"/>
      <c r="E11" s="63"/>
      <c r="F11" s="56"/>
      <c r="G11" s="56"/>
      <c r="H11" s="56"/>
      <c r="I11" s="56"/>
      <c r="J11" s="63"/>
      <c r="K11" s="63"/>
      <c r="L11" s="63"/>
      <c r="M11" s="59"/>
      <c r="N11" s="64"/>
    </row>
    <row r="12" spans="1:15" hidden="1" outlineLevel="1" x14ac:dyDescent="0.25">
      <c r="A12" s="61">
        <v>44165</v>
      </c>
      <c r="B12" s="61"/>
      <c r="C12" s="62"/>
      <c r="D12" s="56"/>
      <c r="E12" s="63"/>
      <c r="F12" s="56"/>
      <c r="G12" s="56"/>
      <c r="H12" s="56"/>
      <c r="I12" s="56"/>
      <c r="J12" s="63"/>
      <c r="K12" s="63"/>
      <c r="L12" s="63"/>
      <c r="M12" s="58"/>
      <c r="N12" s="64"/>
    </row>
    <row r="13" spans="1:15" hidden="1" outlineLevel="1" x14ac:dyDescent="0.25">
      <c r="A13" s="61">
        <v>44196</v>
      </c>
      <c r="B13" s="61"/>
      <c r="C13" s="62"/>
      <c r="D13" s="56"/>
      <c r="E13" s="63"/>
      <c r="F13" s="56"/>
      <c r="G13" s="56"/>
      <c r="H13" s="56"/>
      <c r="I13" s="56"/>
      <c r="J13" s="63"/>
      <c r="K13" s="63"/>
      <c r="L13" s="63"/>
      <c r="M13" s="58"/>
      <c r="N13" s="64"/>
    </row>
    <row r="14" spans="1:15" hidden="1" outlineLevel="1" x14ac:dyDescent="0.25">
      <c r="A14" s="61">
        <v>44227</v>
      </c>
      <c r="B14" s="61"/>
      <c r="C14" s="62"/>
      <c r="D14" s="56"/>
      <c r="E14" s="63"/>
      <c r="F14" s="56"/>
      <c r="G14" s="56"/>
      <c r="H14" s="56"/>
      <c r="I14" s="56"/>
      <c r="J14" s="63"/>
      <c r="K14" s="63"/>
      <c r="L14" s="63"/>
      <c r="M14" s="58"/>
      <c r="N14" s="64"/>
    </row>
    <row r="15" spans="1:15" hidden="1" outlineLevel="1" x14ac:dyDescent="0.25">
      <c r="A15" s="61">
        <v>44255</v>
      </c>
      <c r="B15" s="61"/>
      <c r="C15" s="62"/>
      <c r="D15" s="56"/>
      <c r="E15" s="63"/>
      <c r="F15" s="56"/>
      <c r="G15" s="56"/>
      <c r="H15" s="56"/>
      <c r="I15" s="56"/>
      <c r="J15" s="63"/>
      <c r="K15" s="63"/>
      <c r="L15" s="63"/>
      <c r="M15" s="58"/>
      <c r="N15" s="64"/>
    </row>
    <row r="16" spans="1:15" hidden="1" outlineLevel="1" x14ac:dyDescent="0.25">
      <c r="A16" s="61">
        <v>44286</v>
      </c>
      <c r="B16" s="61"/>
      <c r="C16" s="62"/>
      <c r="D16" s="56"/>
      <c r="E16" s="63"/>
      <c r="F16" s="56"/>
      <c r="G16" s="56"/>
      <c r="H16" s="56"/>
      <c r="I16" s="56"/>
      <c r="J16" s="63"/>
      <c r="K16" s="63"/>
      <c r="L16" s="63"/>
      <c r="M16" s="58"/>
      <c r="N16" s="64"/>
    </row>
    <row r="17" spans="1:15" hidden="1" outlineLevel="1" x14ac:dyDescent="0.25">
      <c r="A17" s="61">
        <v>44316</v>
      </c>
      <c r="B17" s="61"/>
      <c r="C17" s="62"/>
      <c r="D17" s="56"/>
      <c r="E17" s="63"/>
      <c r="F17" s="56"/>
      <c r="G17" s="56"/>
      <c r="H17" s="56"/>
      <c r="I17" s="56"/>
      <c r="J17" s="63"/>
      <c r="K17" s="63"/>
      <c r="L17" s="63"/>
      <c r="M17" s="58"/>
      <c r="N17" s="64"/>
    </row>
    <row r="18" spans="1:15" hidden="1" outlineLevel="1" x14ac:dyDescent="0.25">
      <c r="A18" s="61">
        <v>44347</v>
      </c>
      <c r="B18" s="61"/>
      <c r="C18" s="62"/>
      <c r="D18" s="56"/>
      <c r="E18" s="63"/>
      <c r="F18" s="56"/>
      <c r="G18" s="56"/>
      <c r="H18" s="56"/>
      <c r="I18" s="56"/>
      <c r="J18" s="63"/>
      <c r="K18" s="63"/>
      <c r="L18" s="63"/>
      <c r="M18" s="58"/>
      <c r="N18" s="64"/>
    </row>
    <row r="19" spans="1:15" hidden="1" outlineLevel="1" x14ac:dyDescent="0.25">
      <c r="A19" s="61">
        <v>44377</v>
      </c>
      <c r="B19" s="61"/>
      <c r="C19" s="62"/>
      <c r="D19" s="56"/>
      <c r="E19" s="63"/>
      <c r="F19" s="56"/>
      <c r="G19" s="56"/>
      <c r="H19" s="56"/>
      <c r="I19" s="56"/>
      <c r="J19" s="63"/>
      <c r="K19" s="63"/>
      <c r="L19" s="63"/>
      <c r="M19" s="58"/>
      <c r="N19" s="64"/>
    </row>
    <row r="20" spans="1:15" hidden="1" outlineLevel="1" x14ac:dyDescent="0.25">
      <c r="A20" s="61">
        <v>44408</v>
      </c>
      <c r="B20" s="61"/>
      <c r="C20" s="62"/>
      <c r="D20" s="56"/>
      <c r="E20" s="63"/>
      <c r="F20" s="56"/>
      <c r="G20" s="56"/>
      <c r="H20" s="56"/>
      <c r="I20" s="56"/>
      <c r="J20" s="63"/>
      <c r="K20" s="63"/>
      <c r="L20" s="63"/>
      <c r="M20" s="58"/>
      <c r="N20" s="64"/>
    </row>
    <row r="21" spans="1:15" hidden="1" outlineLevel="1" x14ac:dyDescent="0.25">
      <c r="A21" s="61">
        <v>44439</v>
      </c>
      <c r="B21" s="61"/>
      <c r="C21" s="62"/>
      <c r="D21" s="56"/>
      <c r="E21" s="63"/>
      <c r="F21" s="56"/>
      <c r="G21" s="56"/>
      <c r="H21" s="56"/>
      <c r="I21" s="56"/>
      <c r="J21" s="63"/>
      <c r="K21" s="63"/>
      <c r="L21" s="63"/>
      <c r="M21" s="58"/>
      <c r="N21" s="64"/>
    </row>
    <row r="22" spans="1:15" hidden="1" outlineLevel="1" x14ac:dyDescent="0.25">
      <c r="A22" s="61">
        <v>44469</v>
      </c>
      <c r="B22" s="61"/>
      <c r="C22" s="79"/>
      <c r="D22" s="56"/>
      <c r="E22" s="63"/>
      <c r="F22" s="56"/>
      <c r="G22" s="56"/>
      <c r="H22" s="56"/>
      <c r="I22" s="56"/>
      <c r="J22" s="63"/>
      <c r="K22" s="63"/>
      <c r="L22" s="63"/>
      <c r="M22" s="58"/>
      <c r="N22" s="64"/>
    </row>
    <row r="23" spans="1:15" hidden="1" outlineLevel="1" x14ac:dyDescent="0.25">
      <c r="A23" s="61">
        <v>44500</v>
      </c>
      <c r="B23" s="61"/>
      <c r="C23" s="79"/>
      <c r="D23" s="56"/>
      <c r="E23" s="63"/>
      <c r="F23" s="56"/>
      <c r="G23" s="56"/>
      <c r="H23" s="56"/>
      <c r="I23" s="56"/>
      <c r="J23" s="63"/>
      <c r="K23" s="63"/>
      <c r="L23" s="63"/>
      <c r="M23" s="58"/>
      <c r="N23" s="64"/>
    </row>
    <row r="24" spans="1:15" collapsed="1" x14ac:dyDescent="0.25">
      <c r="A24" s="61">
        <v>44530</v>
      </c>
      <c r="B24" s="61"/>
      <c r="C24" s="62"/>
      <c r="D24" s="63">
        <f>D11+C24</f>
        <v>0</v>
      </c>
      <c r="E24" s="63">
        <f t="shared" ref="E24:E87" si="0">(D12+D24+SUM(D13:D23)*2)/24</f>
        <v>0</v>
      </c>
      <c r="F24" s="63">
        <v>0</v>
      </c>
      <c r="G24" s="63">
        <v>0</v>
      </c>
      <c r="H24" s="63">
        <v>0</v>
      </c>
      <c r="I24" s="63">
        <v>0</v>
      </c>
      <c r="J24" s="63">
        <f t="shared" ref="J24:J87" si="1">(-C24*0.21)+(F24*0.21)</f>
        <v>0</v>
      </c>
      <c r="K24" s="63">
        <f t="shared" ref="K24:K87" si="2">K23+J24</f>
        <v>0</v>
      </c>
      <c r="L24" s="63">
        <v>0</v>
      </c>
      <c r="M24" s="63">
        <v>0</v>
      </c>
      <c r="N24" s="65">
        <v>0</v>
      </c>
    </row>
    <row r="25" spans="1:15" x14ac:dyDescent="0.25">
      <c r="A25" s="61">
        <v>44561</v>
      </c>
      <c r="B25" s="61"/>
      <c r="C25" s="62"/>
      <c r="D25" s="63">
        <f t="shared" ref="D25:D88" si="3">D24+C25</f>
        <v>0</v>
      </c>
      <c r="E25" s="63">
        <f t="shared" si="0"/>
        <v>0</v>
      </c>
      <c r="F25" s="63">
        <v>0</v>
      </c>
      <c r="G25" s="63">
        <v>0</v>
      </c>
      <c r="H25" s="63">
        <v>0</v>
      </c>
      <c r="I25" s="63">
        <v>0</v>
      </c>
      <c r="J25" s="63">
        <f t="shared" si="1"/>
        <v>0</v>
      </c>
      <c r="K25" s="63">
        <f t="shared" si="2"/>
        <v>0</v>
      </c>
      <c r="L25" s="63">
        <v>0</v>
      </c>
      <c r="M25" s="63">
        <v>0</v>
      </c>
      <c r="N25" s="65">
        <v>0</v>
      </c>
    </row>
    <row r="26" spans="1:15" x14ac:dyDescent="0.25">
      <c r="A26" s="61">
        <v>44592</v>
      </c>
      <c r="B26" s="61"/>
      <c r="C26" s="62"/>
      <c r="D26" s="63">
        <f t="shared" si="3"/>
        <v>0</v>
      </c>
      <c r="E26" s="63">
        <f>(D14+D26+SUM(D15:D25)*2)/24</f>
        <v>0</v>
      </c>
      <c r="F26" s="124"/>
      <c r="G26" s="63">
        <f t="shared" ref="G26:G89" si="4">G25-F26</f>
        <v>0</v>
      </c>
      <c r="H26" s="63">
        <f t="shared" ref="H26:H37" si="5">(G14+G26+SUM(G15:G25)*2)/24</f>
        <v>0</v>
      </c>
      <c r="I26" s="63">
        <f>E26+H26</f>
        <v>0</v>
      </c>
      <c r="J26" s="63">
        <f t="shared" si="1"/>
        <v>0</v>
      </c>
      <c r="K26" s="63">
        <f t="shared" si="2"/>
        <v>0</v>
      </c>
      <c r="L26" s="63">
        <f t="shared" ref="L26:L89" si="6">(K14+K26+SUM(K15:K25)*2)/24</f>
        <v>0</v>
      </c>
      <c r="M26" s="63">
        <f>I26+L26</f>
        <v>0</v>
      </c>
      <c r="N26" s="65">
        <f t="shared" ref="N26:N89" si="7">+D26+G26+K26</f>
        <v>0</v>
      </c>
      <c r="O26" s="145"/>
    </row>
    <row r="27" spans="1:15" x14ac:dyDescent="0.25">
      <c r="A27" s="61">
        <v>44620</v>
      </c>
      <c r="B27" s="61"/>
      <c r="C27" s="62"/>
      <c r="D27" s="63">
        <f t="shared" si="3"/>
        <v>0</v>
      </c>
      <c r="E27" s="63">
        <f>(D15+D27+SUM(D16:D26)*2)/24</f>
        <v>0</v>
      </c>
      <c r="F27" s="124"/>
      <c r="G27" s="63">
        <f t="shared" si="4"/>
        <v>0</v>
      </c>
      <c r="H27" s="63">
        <f t="shared" si="5"/>
        <v>0</v>
      </c>
      <c r="I27" s="63">
        <f t="shared" ref="I27:I90" si="8">E27+H27</f>
        <v>0</v>
      </c>
      <c r="J27" s="63">
        <f t="shared" si="1"/>
        <v>0</v>
      </c>
      <c r="K27" s="63">
        <f t="shared" si="2"/>
        <v>0</v>
      </c>
      <c r="L27" s="63">
        <f t="shared" si="6"/>
        <v>0</v>
      </c>
      <c r="M27" s="63">
        <f t="shared" ref="M27:M36" si="9">I27+L27</f>
        <v>0</v>
      </c>
      <c r="N27" s="65">
        <f t="shared" si="7"/>
        <v>0</v>
      </c>
      <c r="O27" s="145" t="e">
        <f t="shared" ref="O27:O90" si="10">-K27/(D27+G27)</f>
        <v>#DIV/0!</v>
      </c>
    </row>
    <row r="28" spans="1:15" x14ac:dyDescent="0.25">
      <c r="A28" s="61">
        <v>44651</v>
      </c>
      <c r="B28" s="61"/>
      <c r="C28" s="62"/>
      <c r="D28" s="63">
        <f t="shared" si="3"/>
        <v>0</v>
      </c>
      <c r="E28" s="63">
        <f t="shared" si="0"/>
        <v>0</v>
      </c>
      <c r="F28" s="124"/>
      <c r="G28" s="63">
        <f t="shared" si="4"/>
        <v>0</v>
      </c>
      <c r="H28" s="63">
        <f t="shared" si="5"/>
        <v>0</v>
      </c>
      <c r="I28" s="63">
        <f t="shared" si="8"/>
        <v>0</v>
      </c>
      <c r="J28" s="63">
        <f t="shared" si="1"/>
        <v>0</v>
      </c>
      <c r="K28" s="63">
        <f t="shared" si="2"/>
        <v>0</v>
      </c>
      <c r="L28" s="63">
        <f t="shared" si="6"/>
        <v>0</v>
      </c>
      <c r="M28" s="63">
        <f t="shared" si="9"/>
        <v>0</v>
      </c>
      <c r="N28" s="65">
        <f t="shared" si="7"/>
        <v>0</v>
      </c>
      <c r="O28" s="145" t="e">
        <f t="shared" si="10"/>
        <v>#DIV/0!</v>
      </c>
    </row>
    <row r="29" spans="1:15" x14ac:dyDescent="0.25">
      <c r="A29" s="61">
        <v>44681</v>
      </c>
      <c r="B29" s="61"/>
      <c r="C29" s="62"/>
      <c r="D29" s="63">
        <f t="shared" si="3"/>
        <v>0</v>
      </c>
      <c r="E29" s="63">
        <f t="shared" si="0"/>
        <v>0</v>
      </c>
      <c r="F29" s="124"/>
      <c r="G29" s="63">
        <f t="shared" si="4"/>
        <v>0</v>
      </c>
      <c r="H29" s="63">
        <f t="shared" si="5"/>
        <v>0</v>
      </c>
      <c r="I29" s="63">
        <f t="shared" si="8"/>
        <v>0</v>
      </c>
      <c r="J29" s="63">
        <f t="shared" si="1"/>
        <v>0</v>
      </c>
      <c r="K29" s="63">
        <f t="shared" si="2"/>
        <v>0</v>
      </c>
      <c r="L29" s="63">
        <f t="shared" si="6"/>
        <v>0</v>
      </c>
      <c r="M29" s="63">
        <f t="shared" si="9"/>
        <v>0</v>
      </c>
      <c r="N29" s="65">
        <f t="shared" si="7"/>
        <v>0</v>
      </c>
      <c r="O29" s="145" t="e">
        <f t="shared" si="10"/>
        <v>#DIV/0!</v>
      </c>
    </row>
    <row r="30" spans="1:15" x14ac:dyDescent="0.25">
      <c r="A30" s="61">
        <v>44712</v>
      </c>
      <c r="B30" s="61"/>
      <c r="C30" s="62"/>
      <c r="D30" s="63">
        <f t="shared" si="3"/>
        <v>0</v>
      </c>
      <c r="E30" s="63">
        <f t="shared" si="0"/>
        <v>0</v>
      </c>
      <c r="F30" s="124"/>
      <c r="G30" s="63">
        <f t="shared" si="4"/>
        <v>0</v>
      </c>
      <c r="H30" s="63">
        <f t="shared" si="5"/>
        <v>0</v>
      </c>
      <c r="I30" s="63">
        <f t="shared" si="8"/>
        <v>0</v>
      </c>
      <c r="J30" s="63">
        <f t="shared" si="1"/>
        <v>0</v>
      </c>
      <c r="K30" s="63">
        <f t="shared" si="2"/>
        <v>0</v>
      </c>
      <c r="L30" s="63">
        <f t="shared" si="6"/>
        <v>0</v>
      </c>
      <c r="M30" s="63">
        <f t="shared" si="9"/>
        <v>0</v>
      </c>
      <c r="N30" s="65">
        <f t="shared" si="7"/>
        <v>0</v>
      </c>
      <c r="O30" s="145" t="e">
        <f t="shared" si="10"/>
        <v>#DIV/0!</v>
      </c>
    </row>
    <row r="31" spans="1:15" x14ac:dyDescent="0.25">
      <c r="A31" s="61">
        <v>44742</v>
      </c>
      <c r="B31" s="61"/>
      <c r="C31" s="62"/>
      <c r="D31" s="63">
        <f t="shared" si="3"/>
        <v>0</v>
      </c>
      <c r="E31" s="63">
        <f t="shared" si="0"/>
        <v>0</v>
      </c>
      <c r="F31" s="124"/>
      <c r="G31" s="63">
        <f t="shared" si="4"/>
        <v>0</v>
      </c>
      <c r="H31" s="63">
        <f t="shared" si="5"/>
        <v>0</v>
      </c>
      <c r="I31" s="63">
        <f t="shared" si="8"/>
        <v>0</v>
      </c>
      <c r="J31" s="63">
        <f t="shared" si="1"/>
        <v>0</v>
      </c>
      <c r="K31" s="63">
        <f t="shared" si="2"/>
        <v>0</v>
      </c>
      <c r="L31" s="63">
        <f t="shared" si="6"/>
        <v>0</v>
      </c>
      <c r="M31" s="63">
        <f t="shared" si="9"/>
        <v>0</v>
      </c>
      <c r="N31" s="65">
        <f t="shared" si="7"/>
        <v>0</v>
      </c>
      <c r="O31" s="145" t="e">
        <f t="shared" si="10"/>
        <v>#DIV/0!</v>
      </c>
    </row>
    <row r="32" spans="1:15" x14ac:dyDescent="0.25">
      <c r="A32" s="61">
        <v>44773</v>
      </c>
      <c r="C32" s="62"/>
      <c r="D32" s="63">
        <f t="shared" si="3"/>
        <v>0</v>
      </c>
      <c r="E32" s="63">
        <f t="shared" si="0"/>
        <v>0</v>
      </c>
      <c r="F32" s="124"/>
      <c r="G32" s="63">
        <f t="shared" si="4"/>
        <v>0</v>
      </c>
      <c r="H32" s="63">
        <f t="shared" si="5"/>
        <v>0</v>
      </c>
      <c r="I32" s="63">
        <f t="shared" si="8"/>
        <v>0</v>
      </c>
      <c r="J32" s="63">
        <f t="shared" si="1"/>
        <v>0</v>
      </c>
      <c r="K32" s="63">
        <f t="shared" si="2"/>
        <v>0</v>
      </c>
      <c r="L32" s="63">
        <f t="shared" si="6"/>
        <v>0</v>
      </c>
      <c r="M32" s="63">
        <f t="shared" si="9"/>
        <v>0</v>
      </c>
      <c r="N32" s="65">
        <f t="shared" si="7"/>
        <v>0</v>
      </c>
      <c r="O32" s="145" t="e">
        <f t="shared" si="10"/>
        <v>#DIV/0!</v>
      </c>
    </row>
    <row r="33" spans="1:15" x14ac:dyDescent="0.25">
      <c r="A33" s="61">
        <v>44804</v>
      </c>
      <c r="C33" s="62"/>
      <c r="D33" s="63">
        <f t="shared" si="3"/>
        <v>0</v>
      </c>
      <c r="E33" s="63">
        <f t="shared" si="0"/>
        <v>0</v>
      </c>
      <c r="F33" s="124"/>
      <c r="G33" s="63">
        <f t="shared" si="4"/>
        <v>0</v>
      </c>
      <c r="H33" s="63">
        <f t="shared" si="5"/>
        <v>0</v>
      </c>
      <c r="I33" s="63">
        <f t="shared" si="8"/>
        <v>0</v>
      </c>
      <c r="J33" s="63">
        <f t="shared" si="1"/>
        <v>0</v>
      </c>
      <c r="K33" s="63">
        <f t="shared" si="2"/>
        <v>0</v>
      </c>
      <c r="L33" s="63">
        <f t="shared" si="6"/>
        <v>0</v>
      </c>
      <c r="M33" s="63">
        <f t="shared" si="9"/>
        <v>0</v>
      </c>
      <c r="N33" s="65">
        <f t="shared" si="7"/>
        <v>0</v>
      </c>
      <c r="O33" s="145" t="e">
        <f t="shared" si="10"/>
        <v>#DIV/0!</v>
      </c>
    </row>
    <row r="34" spans="1:15" x14ac:dyDescent="0.25">
      <c r="A34" s="61">
        <v>44834</v>
      </c>
      <c r="C34" s="62"/>
      <c r="D34" s="63">
        <f t="shared" si="3"/>
        <v>0</v>
      </c>
      <c r="E34" s="63">
        <f t="shared" si="0"/>
        <v>0</v>
      </c>
      <c r="F34" s="124"/>
      <c r="G34" s="63">
        <f t="shared" si="4"/>
        <v>0</v>
      </c>
      <c r="H34" s="63">
        <f t="shared" si="5"/>
        <v>0</v>
      </c>
      <c r="I34" s="63">
        <f t="shared" si="8"/>
        <v>0</v>
      </c>
      <c r="J34" s="63">
        <f t="shared" si="1"/>
        <v>0</v>
      </c>
      <c r="K34" s="63">
        <f t="shared" si="2"/>
        <v>0</v>
      </c>
      <c r="L34" s="63">
        <f t="shared" si="6"/>
        <v>0</v>
      </c>
      <c r="M34" s="63">
        <f t="shared" si="9"/>
        <v>0</v>
      </c>
      <c r="N34" s="65">
        <f t="shared" si="7"/>
        <v>0</v>
      </c>
      <c r="O34" s="145" t="e">
        <f t="shared" si="10"/>
        <v>#DIV/0!</v>
      </c>
    </row>
    <row r="35" spans="1:15" x14ac:dyDescent="0.25">
      <c r="A35" s="61">
        <v>44865</v>
      </c>
      <c r="C35" s="62"/>
      <c r="D35" s="63">
        <f t="shared" si="3"/>
        <v>0</v>
      </c>
      <c r="E35" s="63">
        <f t="shared" si="0"/>
        <v>0</v>
      </c>
      <c r="F35" s="124"/>
      <c r="G35" s="63">
        <f t="shared" si="4"/>
        <v>0</v>
      </c>
      <c r="H35" s="63">
        <f t="shared" si="5"/>
        <v>0</v>
      </c>
      <c r="I35" s="63">
        <f t="shared" si="8"/>
        <v>0</v>
      </c>
      <c r="J35" s="63">
        <f t="shared" si="1"/>
        <v>0</v>
      </c>
      <c r="K35" s="63">
        <f t="shared" si="2"/>
        <v>0</v>
      </c>
      <c r="L35" s="63">
        <f t="shared" si="6"/>
        <v>0</v>
      </c>
      <c r="M35" s="63">
        <f t="shared" si="9"/>
        <v>0</v>
      </c>
      <c r="N35" s="65">
        <f t="shared" si="7"/>
        <v>0</v>
      </c>
      <c r="O35" s="145" t="e">
        <f t="shared" si="10"/>
        <v>#DIV/0!</v>
      </c>
    </row>
    <row r="36" spans="1:15" x14ac:dyDescent="0.25">
      <c r="A36" s="61">
        <v>44895</v>
      </c>
      <c r="C36" s="62"/>
      <c r="D36" s="63">
        <f t="shared" si="3"/>
        <v>0</v>
      </c>
      <c r="E36" s="63">
        <f t="shared" si="0"/>
        <v>0</v>
      </c>
      <c r="F36" s="124"/>
      <c r="G36" s="63">
        <f t="shared" si="4"/>
        <v>0</v>
      </c>
      <c r="H36" s="63">
        <f t="shared" si="5"/>
        <v>0</v>
      </c>
      <c r="I36" s="63">
        <f t="shared" si="8"/>
        <v>0</v>
      </c>
      <c r="J36" s="63">
        <f t="shared" si="1"/>
        <v>0</v>
      </c>
      <c r="K36" s="63">
        <f t="shared" si="2"/>
        <v>0</v>
      </c>
      <c r="L36" s="63">
        <f t="shared" si="6"/>
        <v>0</v>
      </c>
      <c r="M36" s="63">
        <f t="shared" si="9"/>
        <v>0</v>
      </c>
      <c r="N36" s="65">
        <f t="shared" si="7"/>
        <v>0</v>
      </c>
      <c r="O36" s="145" t="e">
        <f t="shared" si="10"/>
        <v>#DIV/0!</v>
      </c>
    </row>
    <row r="37" spans="1:15" x14ac:dyDescent="0.25">
      <c r="A37" s="61">
        <v>44926</v>
      </c>
      <c r="C37" s="62"/>
      <c r="D37" s="63">
        <f t="shared" si="3"/>
        <v>0</v>
      </c>
      <c r="E37" s="63">
        <f t="shared" si="0"/>
        <v>0</v>
      </c>
      <c r="F37" s="124"/>
      <c r="G37" s="63">
        <f t="shared" si="4"/>
        <v>0</v>
      </c>
      <c r="H37" s="63">
        <f t="shared" si="5"/>
        <v>0</v>
      </c>
      <c r="I37" s="63">
        <f t="shared" si="8"/>
        <v>0</v>
      </c>
      <c r="J37" s="63">
        <f t="shared" si="1"/>
        <v>0</v>
      </c>
      <c r="K37" s="63">
        <f t="shared" si="2"/>
        <v>0</v>
      </c>
      <c r="L37" s="63">
        <f t="shared" si="6"/>
        <v>0</v>
      </c>
      <c r="M37" s="63">
        <f t="shared" ref="M37:M100" si="11">L37+I37</f>
        <v>0</v>
      </c>
      <c r="N37" s="64">
        <f t="shared" si="7"/>
        <v>0</v>
      </c>
      <c r="O37" s="145" t="e">
        <f t="shared" si="10"/>
        <v>#DIV/0!</v>
      </c>
    </row>
    <row r="38" spans="1:15" x14ac:dyDescent="0.25">
      <c r="A38" s="61">
        <v>44957</v>
      </c>
      <c r="B38" s="61"/>
      <c r="C38" s="62"/>
      <c r="D38" s="63">
        <f t="shared" si="3"/>
        <v>0</v>
      </c>
      <c r="E38" s="63">
        <f>(D26+D38+SUM(D27:D37)*2)/24</f>
        <v>0</v>
      </c>
      <c r="F38" s="124"/>
      <c r="G38" s="63">
        <f t="shared" si="4"/>
        <v>0</v>
      </c>
      <c r="H38" s="63">
        <f t="shared" ref="H38:H101" si="12">(G26+G38+SUM(G27:G37)*2)/24</f>
        <v>0</v>
      </c>
      <c r="I38" s="63">
        <f t="shared" si="8"/>
        <v>0</v>
      </c>
      <c r="J38" s="63">
        <f t="shared" si="1"/>
        <v>0</v>
      </c>
      <c r="K38" s="68">
        <f t="shared" si="2"/>
        <v>0</v>
      </c>
      <c r="L38" s="63">
        <f t="shared" si="6"/>
        <v>0</v>
      </c>
      <c r="M38" s="69">
        <f t="shared" si="11"/>
        <v>0</v>
      </c>
      <c r="N38" s="64">
        <f t="shared" si="7"/>
        <v>0</v>
      </c>
      <c r="O38" s="145" t="e">
        <f t="shared" si="10"/>
        <v>#DIV/0!</v>
      </c>
    </row>
    <row r="39" spans="1:15" x14ac:dyDescent="0.25">
      <c r="A39" s="61">
        <v>44985</v>
      </c>
      <c r="B39" s="61"/>
      <c r="C39" s="62"/>
      <c r="D39" s="63">
        <f t="shared" si="3"/>
        <v>0</v>
      </c>
      <c r="E39" s="63">
        <f t="shared" si="0"/>
        <v>0</v>
      </c>
      <c r="F39" s="124"/>
      <c r="G39" s="63">
        <f t="shared" si="4"/>
        <v>0</v>
      </c>
      <c r="H39" s="63">
        <f t="shared" si="12"/>
        <v>0</v>
      </c>
      <c r="I39" s="63">
        <f t="shared" si="8"/>
        <v>0</v>
      </c>
      <c r="J39" s="63">
        <f t="shared" si="1"/>
        <v>0</v>
      </c>
      <c r="K39" s="68">
        <f t="shared" si="2"/>
        <v>0</v>
      </c>
      <c r="L39" s="63">
        <f t="shared" si="6"/>
        <v>0</v>
      </c>
      <c r="M39" s="69">
        <f t="shared" si="11"/>
        <v>0</v>
      </c>
      <c r="N39" s="64">
        <f t="shared" si="7"/>
        <v>0</v>
      </c>
      <c r="O39" s="145" t="e">
        <f t="shared" si="10"/>
        <v>#DIV/0!</v>
      </c>
    </row>
    <row r="40" spans="1:15" x14ac:dyDescent="0.25">
      <c r="A40" s="61">
        <v>45016</v>
      </c>
      <c r="B40" s="61"/>
      <c r="C40" s="62"/>
      <c r="D40" s="63">
        <f t="shared" si="3"/>
        <v>0</v>
      </c>
      <c r="E40" s="63">
        <f t="shared" si="0"/>
        <v>0</v>
      </c>
      <c r="F40" s="124"/>
      <c r="G40" s="63">
        <f t="shared" si="4"/>
        <v>0</v>
      </c>
      <c r="H40" s="63">
        <f t="shared" si="12"/>
        <v>0</v>
      </c>
      <c r="I40" s="63">
        <f t="shared" si="8"/>
        <v>0</v>
      </c>
      <c r="J40" s="63">
        <f t="shared" si="1"/>
        <v>0</v>
      </c>
      <c r="K40" s="68">
        <f t="shared" si="2"/>
        <v>0</v>
      </c>
      <c r="L40" s="63">
        <f t="shared" si="6"/>
        <v>0</v>
      </c>
      <c r="M40" s="69">
        <f t="shared" si="11"/>
        <v>0</v>
      </c>
      <c r="N40" s="64">
        <f t="shared" si="7"/>
        <v>0</v>
      </c>
      <c r="O40" s="145" t="e">
        <f t="shared" si="10"/>
        <v>#DIV/0!</v>
      </c>
    </row>
    <row r="41" spans="1:15" x14ac:dyDescent="0.25">
      <c r="A41" s="61">
        <v>45046</v>
      </c>
      <c r="B41" s="61"/>
      <c r="C41" s="62"/>
      <c r="D41" s="63">
        <f t="shared" si="3"/>
        <v>0</v>
      </c>
      <c r="E41" s="63">
        <f t="shared" si="0"/>
        <v>0</v>
      </c>
      <c r="F41" s="124"/>
      <c r="G41" s="63">
        <f t="shared" si="4"/>
        <v>0</v>
      </c>
      <c r="H41" s="63">
        <f t="shared" si="12"/>
        <v>0</v>
      </c>
      <c r="I41" s="63">
        <f t="shared" si="8"/>
        <v>0</v>
      </c>
      <c r="J41" s="63">
        <f t="shared" si="1"/>
        <v>0</v>
      </c>
      <c r="K41" s="68">
        <f t="shared" si="2"/>
        <v>0</v>
      </c>
      <c r="L41" s="63">
        <f t="shared" si="6"/>
        <v>0</v>
      </c>
      <c r="M41" s="69">
        <f t="shared" si="11"/>
        <v>0</v>
      </c>
      <c r="N41" s="64">
        <f t="shared" si="7"/>
        <v>0</v>
      </c>
      <c r="O41" s="145" t="e">
        <f t="shared" si="10"/>
        <v>#DIV/0!</v>
      </c>
    </row>
    <row r="42" spans="1:15" x14ac:dyDescent="0.25">
      <c r="A42" s="61">
        <v>45077</v>
      </c>
      <c r="B42" s="61"/>
      <c r="C42" s="62"/>
      <c r="D42" s="63">
        <f t="shared" si="3"/>
        <v>0</v>
      </c>
      <c r="E42" s="63">
        <f t="shared" si="0"/>
        <v>0</v>
      </c>
      <c r="F42" s="124"/>
      <c r="G42" s="63">
        <f t="shared" si="4"/>
        <v>0</v>
      </c>
      <c r="H42" s="63">
        <f t="shared" si="12"/>
        <v>0</v>
      </c>
      <c r="I42" s="63">
        <f t="shared" si="8"/>
        <v>0</v>
      </c>
      <c r="J42" s="63">
        <f t="shared" si="1"/>
        <v>0</v>
      </c>
      <c r="K42" s="68">
        <f t="shared" si="2"/>
        <v>0</v>
      </c>
      <c r="L42" s="63">
        <f t="shared" si="6"/>
        <v>0</v>
      </c>
      <c r="M42" s="69">
        <f t="shared" si="11"/>
        <v>0</v>
      </c>
      <c r="N42" s="64">
        <f t="shared" si="7"/>
        <v>0</v>
      </c>
      <c r="O42" s="145" t="e">
        <f t="shared" si="10"/>
        <v>#DIV/0!</v>
      </c>
    </row>
    <row r="43" spans="1:15" x14ac:dyDescent="0.25">
      <c r="A43" s="61">
        <v>45107</v>
      </c>
      <c r="B43" s="61"/>
      <c r="C43" s="62"/>
      <c r="D43" s="63">
        <f t="shared" si="3"/>
        <v>0</v>
      </c>
      <c r="E43" s="63">
        <f t="shared" si="0"/>
        <v>0</v>
      </c>
      <c r="F43" s="124"/>
      <c r="G43" s="63">
        <f t="shared" si="4"/>
        <v>0</v>
      </c>
      <c r="H43" s="63">
        <f t="shared" si="12"/>
        <v>0</v>
      </c>
      <c r="I43" s="63">
        <f t="shared" si="8"/>
        <v>0</v>
      </c>
      <c r="J43" s="63">
        <f t="shared" si="1"/>
        <v>0</v>
      </c>
      <c r="K43" s="68">
        <f t="shared" si="2"/>
        <v>0</v>
      </c>
      <c r="L43" s="63">
        <f t="shared" si="6"/>
        <v>0</v>
      </c>
      <c r="M43" s="69">
        <f t="shared" si="11"/>
        <v>0</v>
      </c>
      <c r="N43" s="64">
        <f t="shared" si="7"/>
        <v>0</v>
      </c>
      <c r="O43" s="145" t="e">
        <f t="shared" si="10"/>
        <v>#DIV/0!</v>
      </c>
    </row>
    <row r="44" spans="1:15" x14ac:dyDescent="0.25">
      <c r="A44" s="61">
        <v>45138</v>
      </c>
      <c r="B44" s="61"/>
      <c r="C44" s="62"/>
      <c r="D44" s="63">
        <f t="shared" si="3"/>
        <v>0</v>
      </c>
      <c r="E44" s="63">
        <f t="shared" si="0"/>
        <v>0</v>
      </c>
      <c r="F44" s="124"/>
      <c r="G44" s="63">
        <f t="shared" si="4"/>
        <v>0</v>
      </c>
      <c r="H44" s="63">
        <f t="shared" si="12"/>
        <v>0</v>
      </c>
      <c r="I44" s="63">
        <f t="shared" si="8"/>
        <v>0</v>
      </c>
      <c r="J44" s="63">
        <f t="shared" si="1"/>
        <v>0</v>
      </c>
      <c r="K44" s="68">
        <f t="shared" si="2"/>
        <v>0</v>
      </c>
      <c r="L44" s="63">
        <f t="shared" si="6"/>
        <v>0</v>
      </c>
      <c r="M44" s="69">
        <f t="shared" si="11"/>
        <v>0</v>
      </c>
      <c r="N44" s="64">
        <f t="shared" si="7"/>
        <v>0</v>
      </c>
      <c r="O44" s="145" t="e">
        <f t="shared" si="10"/>
        <v>#DIV/0!</v>
      </c>
    </row>
    <row r="45" spans="1:15" x14ac:dyDescent="0.25">
      <c r="A45" s="61">
        <v>45169</v>
      </c>
      <c r="B45" s="61"/>
      <c r="C45" s="62"/>
      <c r="D45" s="63">
        <f t="shared" si="3"/>
        <v>0</v>
      </c>
      <c r="E45" s="63">
        <f t="shared" si="0"/>
        <v>0</v>
      </c>
      <c r="F45" s="124"/>
      <c r="G45" s="63">
        <f t="shared" si="4"/>
        <v>0</v>
      </c>
      <c r="H45" s="63">
        <f t="shared" si="12"/>
        <v>0</v>
      </c>
      <c r="I45" s="63">
        <f t="shared" si="8"/>
        <v>0</v>
      </c>
      <c r="J45" s="63">
        <f t="shared" si="1"/>
        <v>0</v>
      </c>
      <c r="K45" s="68">
        <f t="shared" si="2"/>
        <v>0</v>
      </c>
      <c r="L45" s="63">
        <f t="shared" si="6"/>
        <v>0</v>
      </c>
      <c r="M45" s="69">
        <f t="shared" si="11"/>
        <v>0</v>
      </c>
      <c r="N45" s="64">
        <f t="shared" si="7"/>
        <v>0</v>
      </c>
      <c r="O45" s="145" t="e">
        <f t="shared" si="10"/>
        <v>#DIV/0!</v>
      </c>
    </row>
    <row r="46" spans="1:15" x14ac:dyDescent="0.25">
      <c r="A46" s="61">
        <v>45199</v>
      </c>
      <c r="B46" s="61"/>
      <c r="C46" s="62"/>
      <c r="D46" s="63">
        <f t="shared" si="3"/>
        <v>0</v>
      </c>
      <c r="E46" s="63">
        <f t="shared" si="0"/>
        <v>0</v>
      </c>
      <c r="F46" s="124"/>
      <c r="G46" s="63">
        <f t="shared" si="4"/>
        <v>0</v>
      </c>
      <c r="H46" s="63">
        <f t="shared" si="12"/>
        <v>0</v>
      </c>
      <c r="I46" s="63">
        <f t="shared" si="8"/>
        <v>0</v>
      </c>
      <c r="J46" s="63">
        <f t="shared" si="1"/>
        <v>0</v>
      </c>
      <c r="K46" s="68">
        <f t="shared" si="2"/>
        <v>0</v>
      </c>
      <c r="L46" s="63">
        <f t="shared" si="6"/>
        <v>0</v>
      </c>
      <c r="M46" s="69">
        <f t="shared" si="11"/>
        <v>0</v>
      </c>
      <c r="N46" s="64">
        <f t="shared" si="7"/>
        <v>0</v>
      </c>
      <c r="O46" s="145" t="e">
        <f t="shared" si="10"/>
        <v>#DIV/0!</v>
      </c>
    </row>
    <row r="47" spans="1:15" ht="13.8" thickBot="1" x14ac:dyDescent="0.3">
      <c r="A47" s="61">
        <v>45230</v>
      </c>
      <c r="B47" s="61"/>
      <c r="C47" s="62"/>
      <c r="D47" s="63">
        <f t="shared" si="3"/>
        <v>0</v>
      </c>
      <c r="E47" s="63">
        <f t="shared" si="0"/>
        <v>0</v>
      </c>
      <c r="F47" s="124"/>
      <c r="G47" s="63">
        <f t="shared" si="4"/>
        <v>0</v>
      </c>
      <c r="H47" s="63">
        <f t="shared" si="12"/>
        <v>0</v>
      </c>
      <c r="I47" s="63">
        <f t="shared" si="8"/>
        <v>0</v>
      </c>
      <c r="J47" s="63">
        <f t="shared" si="1"/>
        <v>0</v>
      </c>
      <c r="K47" s="68">
        <f t="shared" si="2"/>
        <v>0</v>
      </c>
      <c r="L47" s="63">
        <f t="shared" si="6"/>
        <v>0</v>
      </c>
      <c r="M47" s="69">
        <f t="shared" si="11"/>
        <v>0</v>
      </c>
      <c r="N47" s="64">
        <f t="shared" si="7"/>
        <v>0</v>
      </c>
      <c r="O47" s="145" t="e">
        <f t="shared" si="10"/>
        <v>#DIV/0!</v>
      </c>
    </row>
    <row r="48" spans="1:15" x14ac:dyDescent="0.25">
      <c r="A48" s="134">
        <v>45260</v>
      </c>
      <c r="B48" s="134"/>
      <c r="C48" s="135"/>
      <c r="D48" s="136">
        <f t="shared" si="3"/>
        <v>0</v>
      </c>
      <c r="E48" s="136">
        <f>(D36+D48+SUM(D37:D47)*2)/24</f>
        <v>0</v>
      </c>
      <c r="F48" s="137"/>
      <c r="G48" s="136">
        <f t="shared" si="4"/>
        <v>0</v>
      </c>
      <c r="H48" s="136">
        <f t="shared" si="12"/>
        <v>0</v>
      </c>
      <c r="I48" s="136">
        <f t="shared" si="8"/>
        <v>0</v>
      </c>
      <c r="J48" s="136">
        <f t="shared" si="1"/>
        <v>0</v>
      </c>
      <c r="K48" s="138">
        <f t="shared" si="2"/>
        <v>0</v>
      </c>
      <c r="L48" s="136">
        <f t="shared" si="6"/>
        <v>0</v>
      </c>
      <c r="M48" s="139">
        <f t="shared" si="11"/>
        <v>0</v>
      </c>
      <c r="N48" s="140">
        <f t="shared" si="7"/>
        <v>0</v>
      </c>
      <c r="O48" s="145" t="e">
        <f t="shared" si="10"/>
        <v>#DIV/0!</v>
      </c>
    </row>
    <row r="49" spans="1:15" x14ac:dyDescent="0.25">
      <c r="A49" s="61">
        <v>45291</v>
      </c>
      <c r="B49" s="61"/>
      <c r="C49" s="63"/>
      <c r="D49" s="63">
        <f t="shared" si="3"/>
        <v>0</v>
      </c>
      <c r="E49" s="63">
        <f t="shared" si="0"/>
        <v>0</v>
      </c>
      <c r="F49" s="124"/>
      <c r="G49" s="63">
        <f t="shared" si="4"/>
        <v>0</v>
      </c>
      <c r="H49" s="63">
        <f t="shared" si="12"/>
        <v>0</v>
      </c>
      <c r="I49" s="63">
        <f t="shared" si="8"/>
        <v>0</v>
      </c>
      <c r="J49" s="63">
        <f t="shared" si="1"/>
        <v>0</v>
      </c>
      <c r="K49" s="68">
        <f t="shared" si="2"/>
        <v>0</v>
      </c>
      <c r="L49" s="63">
        <f t="shared" si="6"/>
        <v>0</v>
      </c>
      <c r="M49" s="69">
        <f t="shared" si="11"/>
        <v>0</v>
      </c>
      <c r="N49" s="64">
        <f t="shared" si="7"/>
        <v>0</v>
      </c>
      <c r="O49" s="145" t="e">
        <f t="shared" si="10"/>
        <v>#DIV/0!</v>
      </c>
    </row>
    <row r="50" spans="1:15" x14ac:dyDescent="0.25">
      <c r="A50" s="61">
        <v>45322</v>
      </c>
      <c r="B50" s="61"/>
      <c r="C50" s="63"/>
      <c r="D50" s="63">
        <f t="shared" si="3"/>
        <v>0</v>
      </c>
      <c r="E50" s="63">
        <f t="shared" si="0"/>
        <v>0</v>
      </c>
      <c r="F50" s="124"/>
      <c r="G50" s="63">
        <f t="shared" si="4"/>
        <v>0</v>
      </c>
      <c r="H50" s="63">
        <f t="shared" si="12"/>
        <v>0</v>
      </c>
      <c r="I50" s="63">
        <f t="shared" si="8"/>
        <v>0</v>
      </c>
      <c r="J50" s="63">
        <f t="shared" si="1"/>
        <v>0</v>
      </c>
      <c r="K50" s="68">
        <f t="shared" si="2"/>
        <v>0</v>
      </c>
      <c r="L50" s="63">
        <f t="shared" si="6"/>
        <v>0</v>
      </c>
      <c r="M50" s="69">
        <f t="shared" si="11"/>
        <v>0</v>
      </c>
      <c r="N50" s="64">
        <f t="shared" si="7"/>
        <v>0</v>
      </c>
      <c r="O50" s="145" t="e">
        <f t="shared" si="10"/>
        <v>#DIV/0!</v>
      </c>
    </row>
    <row r="51" spans="1:15" x14ac:dyDescent="0.25">
      <c r="A51" s="61">
        <v>45351</v>
      </c>
      <c r="B51" s="61"/>
      <c r="C51" s="63"/>
      <c r="D51" s="63">
        <f t="shared" si="3"/>
        <v>0</v>
      </c>
      <c r="E51" s="63">
        <f t="shared" si="0"/>
        <v>0</v>
      </c>
      <c r="F51" s="124"/>
      <c r="G51" s="63">
        <f t="shared" si="4"/>
        <v>0</v>
      </c>
      <c r="H51" s="63">
        <f t="shared" si="12"/>
        <v>0</v>
      </c>
      <c r="I51" s="63">
        <f t="shared" si="8"/>
        <v>0</v>
      </c>
      <c r="J51" s="63">
        <f t="shared" si="1"/>
        <v>0</v>
      </c>
      <c r="K51" s="68">
        <f t="shared" si="2"/>
        <v>0</v>
      </c>
      <c r="L51" s="63">
        <f t="shared" si="6"/>
        <v>0</v>
      </c>
      <c r="M51" s="69">
        <f t="shared" si="11"/>
        <v>0</v>
      </c>
      <c r="N51" s="64">
        <f t="shared" si="7"/>
        <v>0</v>
      </c>
      <c r="O51" s="145" t="e">
        <f t="shared" si="10"/>
        <v>#DIV/0!</v>
      </c>
    </row>
    <row r="52" spans="1:15" x14ac:dyDescent="0.25">
      <c r="A52" s="61">
        <v>45382</v>
      </c>
      <c r="B52" s="61"/>
      <c r="C52" s="63"/>
      <c r="D52" s="63">
        <f t="shared" si="3"/>
        <v>0</v>
      </c>
      <c r="E52" s="63">
        <f t="shared" si="0"/>
        <v>0</v>
      </c>
      <c r="F52" s="124"/>
      <c r="G52" s="63">
        <f t="shared" si="4"/>
        <v>0</v>
      </c>
      <c r="H52" s="63">
        <f t="shared" si="12"/>
        <v>0</v>
      </c>
      <c r="I52" s="63">
        <f t="shared" si="8"/>
        <v>0</v>
      </c>
      <c r="J52" s="63">
        <f t="shared" si="1"/>
        <v>0</v>
      </c>
      <c r="K52" s="68">
        <f t="shared" si="2"/>
        <v>0</v>
      </c>
      <c r="L52" s="63">
        <f t="shared" si="6"/>
        <v>0</v>
      </c>
      <c r="M52" s="69">
        <f t="shared" si="11"/>
        <v>0</v>
      </c>
      <c r="N52" s="64">
        <f t="shared" si="7"/>
        <v>0</v>
      </c>
      <c r="O52" s="145" t="e">
        <f t="shared" si="10"/>
        <v>#DIV/0!</v>
      </c>
    </row>
    <row r="53" spans="1:15" x14ac:dyDescent="0.25">
      <c r="A53" s="61">
        <v>45412</v>
      </c>
      <c r="B53" s="61"/>
      <c r="C53" s="63"/>
      <c r="D53" s="63">
        <f t="shared" si="3"/>
        <v>0</v>
      </c>
      <c r="E53" s="63">
        <f t="shared" si="0"/>
        <v>0</v>
      </c>
      <c r="F53" s="124"/>
      <c r="G53" s="63">
        <f t="shared" si="4"/>
        <v>0</v>
      </c>
      <c r="H53" s="63">
        <f t="shared" si="12"/>
        <v>0</v>
      </c>
      <c r="I53" s="63">
        <f t="shared" si="8"/>
        <v>0</v>
      </c>
      <c r="J53" s="63">
        <f t="shared" si="1"/>
        <v>0</v>
      </c>
      <c r="K53" s="68">
        <f t="shared" si="2"/>
        <v>0</v>
      </c>
      <c r="L53" s="63">
        <f t="shared" si="6"/>
        <v>0</v>
      </c>
      <c r="M53" s="69">
        <f t="shared" si="11"/>
        <v>0</v>
      </c>
      <c r="N53" s="64">
        <f t="shared" si="7"/>
        <v>0</v>
      </c>
      <c r="O53" s="145" t="e">
        <f t="shared" si="10"/>
        <v>#DIV/0!</v>
      </c>
    </row>
    <row r="54" spans="1:15" x14ac:dyDescent="0.25">
      <c r="A54" s="61">
        <v>45443</v>
      </c>
      <c r="B54" s="61"/>
      <c r="C54" s="332">
        <f>'One-time deferral transfer'!B40</f>
        <v>9563414</v>
      </c>
      <c r="D54" s="63">
        <f t="shared" si="3"/>
        <v>9563414</v>
      </c>
      <c r="E54" s="63">
        <f t="shared" si="0"/>
        <v>398475.58333333331</v>
      </c>
      <c r="F54" s="124"/>
      <c r="G54" s="63">
        <f t="shared" si="4"/>
        <v>0</v>
      </c>
      <c r="H54" s="63">
        <f t="shared" si="12"/>
        <v>0</v>
      </c>
      <c r="I54" s="63">
        <f t="shared" si="8"/>
        <v>398475.58333333331</v>
      </c>
      <c r="J54" s="63">
        <f t="shared" si="1"/>
        <v>-2008316.94</v>
      </c>
      <c r="K54" s="68">
        <f t="shared" si="2"/>
        <v>-2008316.94</v>
      </c>
      <c r="L54" s="63">
        <f t="shared" si="6"/>
        <v>-83679.872499999998</v>
      </c>
      <c r="M54" s="69">
        <f t="shared" si="11"/>
        <v>314795.71083333332</v>
      </c>
      <c r="N54" s="64">
        <f t="shared" si="7"/>
        <v>7555097.0600000005</v>
      </c>
      <c r="O54" s="145">
        <f t="shared" si="10"/>
        <v>0.21</v>
      </c>
    </row>
    <row r="55" spans="1:15" x14ac:dyDescent="0.25">
      <c r="A55" s="61">
        <v>45473</v>
      </c>
      <c r="B55" s="61"/>
      <c r="C55" s="63"/>
      <c r="D55" s="63">
        <f t="shared" si="3"/>
        <v>9563414</v>
      </c>
      <c r="E55" s="63">
        <f t="shared" si="0"/>
        <v>1195426.75</v>
      </c>
      <c r="F55" s="124"/>
      <c r="G55" s="63">
        <f t="shared" si="4"/>
        <v>0</v>
      </c>
      <c r="H55" s="63">
        <f t="shared" si="12"/>
        <v>0</v>
      </c>
      <c r="I55" s="63">
        <f t="shared" si="8"/>
        <v>1195426.75</v>
      </c>
      <c r="J55" s="63">
        <f t="shared" si="1"/>
        <v>0</v>
      </c>
      <c r="K55" s="68">
        <f t="shared" si="2"/>
        <v>-2008316.94</v>
      </c>
      <c r="L55" s="63">
        <f t="shared" si="6"/>
        <v>-251039.61750000002</v>
      </c>
      <c r="M55" s="69">
        <f t="shared" si="11"/>
        <v>944387.13249999995</v>
      </c>
      <c r="N55" s="64">
        <f t="shared" si="7"/>
        <v>7555097.0600000005</v>
      </c>
      <c r="O55" s="145">
        <f t="shared" si="10"/>
        <v>0.21</v>
      </c>
    </row>
    <row r="56" spans="1:15" x14ac:dyDescent="0.25">
      <c r="A56" s="61">
        <v>45504</v>
      </c>
      <c r="B56" s="61"/>
      <c r="C56" s="63"/>
      <c r="D56" s="63">
        <f t="shared" si="3"/>
        <v>9563414</v>
      </c>
      <c r="E56" s="63">
        <f t="shared" si="0"/>
        <v>1992377.9166666667</v>
      </c>
      <c r="F56" s="124"/>
      <c r="G56" s="63">
        <f t="shared" si="4"/>
        <v>0</v>
      </c>
      <c r="H56" s="63">
        <f t="shared" si="12"/>
        <v>0</v>
      </c>
      <c r="I56" s="63">
        <f t="shared" si="8"/>
        <v>1992377.9166666667</v>
      </c>
      <c r="J56" s="63">
        <f t="shared" si="1"/>
        <v>0</v>
      </c>
      <c r="K56" s="68">
        <f t="shared" si="2"/>
        <v>-2008316.94</v>
      </c>
      <c r="L56" s="63">
        <f t="shared" si="6"/>
        <v>-418399.36249999999</v>
      </c>
      <c r="M56" s="69">
        <f t="shared" si="11"/>
        <v>1573978.5541666667</v>
      </c>
      <c r="N56" s="64">
        <f t="shared" si="7"/>
        <v>7555097.0600000005</v>
      </c>
      <c r="O56" s="145">
        <f t="shared" si="10"/>
        <v>0.21</v>
      </c>
    </row>
    <row r="57" spans="1:15" x14ac:dyDescent="0.25">
      <c r="A57" s="61">
        <v>45535</v>
      </c>
      <c r="B57" s="61"/>
      <c r="C57" s="63"/>
      <c r="D57" s="63">
        <f t="shared" si="3"/>
        <v>9563414</v>
      </c>
      <c r="E57" s="63">
        <f t="shared" si="0"/>
        <v>2789329.0833333335</v>
      </c>
      <c r="F57" s="124"/>
      <c r="G57" s="63">
        <f t="shared" si="4"/>
        <v>0</v>
      </c>
      <c r="H57" s="63">
        <f t="shared" si="12"/>
        <v>0</v>
      </c>
      <c r="I57" s="63">
        <f t="shared" si="8"/>
        <v>2789329.0833333335</v>
      </c>
      <c r="J57" s="63">
        <f t="shared" si="1"/>
        <v>0</v>
      </c>
      <c r="K57" s="68">
        <f t="shared" si="2"/>
        <v>-2008316.94</v>
      </c>
      <c r="L57" s="63">
        <f t="shared" si="6"/>
        <v>-585759.10750000004</v>
      </c>
      <c r="M57" s="69">
        <f t="shared" si="11"/>
        <v>2203569.9758333336</v>
      </c>
      <c r="N57" s="64">
        <f t="shared" si="7"/>
        <v>7555097.0600000005</v>
      </c>
      <c r="O57" s="145">
        <f t="shared" si="10"/>
        <v>0.21</v>
      </c>
    </row>
    <row r="58" spans="1:15" x14ac:dyDescent="0.25">
      <c r="A58" s="61">
        <v>45565</v>
      </c>
      <c r="B58" s="61"/>
      <c r="C58" s="63"/>
      <c r="D58" s="63">
        <f t="shared" si="3"/>
        <v>9563414</v>
      </c>
      <c r="E58" s="63">
        <f t="shared" si="0"/>
        <v>3586280.25</v>
      </c>
      <c r="F58" s="124"/>
      <c r="G58" s="63">
        <f t="shared" si="4"/>
        <v>0</v>
      </c>
      <c r="H58" s="63">
        <f t="shared" si="12"/>
        <v>0</v>
      </c>
      <c r="I58" s="63">
        <f t="shared" si="8"/>
        <v>3586280.25</v>
      </c>
      <c r="J58" s="63">
        <f t="shared" si="1"/>
        <v>0</v>
      </c>
      <c r="K58" s="68">
        <f t="shared" si="2"/>
        <v>-2008316.94</v>
      </c>
      <c r="L58" s="63">
        <f t="shared" si="6"/>
        <v>-753118.85250000004</v>
      </c>
      <c r="M58" s="69">
        <f t="shared" si="11"/>
        <v>2833161.3975</v>
      </c>
      <c r="N58" s="64">
        <f t="shared" si="7"/>
        <v>7555097.0600000005</v>
      </c>
      <c r="O58" s="145">
        <f t="shared" si="10"/>
        <v>0.21</v>
      </c>
    </row>
    <row r="59" spans="1:15" ht="13.8" thickBot="1" x14ac:dyDescent="0.3">
      <c r="A59" s="61">
        <v>45596</v>
      </c>
      <c r="B59" s="61"/>
      <c r="C59" s="63"/>
      <c r="D59" s="63">
        <f t="shared" si="3"/>
        <v>9563414</v>
      </c>
      <c r="E59" s="199">
        <f t="shared" si="0"/>
        <v>4383231.416666667</v>
      </c>
      <c r="F59" s="124"/>
      <c r="G59" s="63">
        <f t="shared" si="4"/>
        <v>0</v>
      </c>
      <c r="H59" s="199">
        <f t="shared" si="12"/>
        <v>0</v>
      </c>
      <c r="I59" s="63">
        <f t="shared" si="8"/>
        <v>4383231.416666667</v>
      </c>
      <c r="J59" s="63">
        <f t="shared" si="1"/>
        <v>0</v>
      </c>
      <c r="K59" s="68">
        <f t="shared" si="2"/>
        <v>-2008316.94</v>
      </c>
      <c r="L59" s="63">
        <f t="shared" si="6"/>
        <v>-920478.59750000003</v>
      </c>
      <c r="M59" s="69">
        <f t="shared" si="11"/>
        <v>3462752.8191666668</v>
      </c>
      <c r="N59" s="64">
        <f t="shared" si="7"/>
        <v>7555097.0600000005</v>
      </c>
      <c r="O59" s="145">
        <f t="shared" si="10"/>
        <v>0.21</v>
      </c>
    </row>
    <row r="60" spans="1:15" x14ac:dyDescent="0.25">
      <c r="A60" s="134">
        <v>45626</v>
      </c>
      <c r="B60" s="141"/>
      <c r="C60" s="136"/>
      <c r="D60" s="136">
        <f t="shared" si="3"/>
        <v>9563414</v>
      </c>
      <c r="E60" s="136">
        <f t="shared" si="0"/>
        <v>5180182.583333333</v>
      </c>
      <c r="F60" s="137"/>
      <c r="G60" s="136">
        <f t="shared" si="4"/>
        <v>0</v>
      </c>
      <c r="H60" s="136">
        <f t="shared" si="12"/>
        <v>0</v>
      </c>
      <c r="I60" s="136">
        <f t="shared" si="8"/>
        <v>5180182.583333333</v>
      </c>
      <c r="J60" s="136">
        <f t="shared" si="1"/>
        <v>0</v>
      </c>
      <c r="K60" s="138">
        <f t="shared" si="2"/>
        <v>-2008316.94</v>
      </c>
      <c r="L60" s="136">
        <f t="shared" si="6"/>
        <v>-1087838.3425</v>
      </c>
      <c r="M60" s="139">
        <f t="shared" si="11"/>
        <v>4092344.2408333328</v>
      </c>
      <c r="N60" s="140">
        <f t="shared" si="7"/>
        <v>7555097.0600000005</v>
      </c>
      <c r="O60" s="145">
        <f t="shared" si="10"/>
        <v>0.21</v>
      </c>
    </row>
    <row r="61" spans="1:15" x14ac:dyDescent="0.25">
      <c r="A61" s="61">
        <v>45657</v>
      </c>
      <c r="B61" s="30"/>
      <c r="C61" s="63"/>
      <c r="D61" s="63">
        <f t="shared" si="3"/>
        <v>9563414</v>
      </c>
      <c r="E61" s="63">
        <f t="shared" si="0"/>
        <v>5977133.75</v>
      </c>
      <c r="F61" s="124"/>
      <c r="G61" s="63">
        <f t="shared" si="4"/>
        <v>0</v>
      </c>
      <c r="H61" s="63">
        <f t="shared" si="12"/>
        <v>0</v>
      </c>
      <c r="I61" s="63">
        <f t="shared" si="8"/>
        <v>5977133.75</v>
      </c>
      <c r="J61" s="63">
        <f t="shared" si="1"/>
        <v>0</v>
      </c>
      <c r="K61" s="68">
        <f t="shared" si="2"/>
        <v>-2008316.94</v>
      </c>
      <c r="L61" s="63">
        <f t="shared" si="6"/>
        <v>-1255198.0874999999</v>
      </c>
      <c r="M61" s="69">
        <f t="shared" si="11"/>
        <v>4721935.6624999996</v>
      </c>
      <c r="N61" s="64">
        <f t="shared" si="7"/>
        <v>7555097.0600000005</v>
      </c>
      <c r="O61" s="145">
        <f t="shared" si="10"/>
        <v>0.21</v>
      </c>
    </row>
    <row r="62" spans="1:15" x14ac:dyDescent="0.25">
      <c r="A62" s="61">
        <v>45688</v>
      </c>
      <c r="B62" s="30"/>
      <c r="C62" s="63"/>
      <c r="D62" s="63">
        <f t="shared" si="3"/>
        <v>9563414</v>
      </c>
      <c r="E62" s="63">
        <f t="shared" si="0"/>
        <v>6774084.916666667</v>
      </c>
      <c r="F62" s="124"/>
      <c r="G62" s="63">
        <f t="shared" si="4"/>
        <v>0</v>
      </c>
      <c r="H62" s="63">
        <f t="shared" si="12"/>
        <v>0</v>
      </c>
      <c r="I62" s="63">
        <f t="shared" si="8"/>
        <v>6774084.916666667</v>
      </c>
      <c r="J62" s="63">
        <f t="shared" si="1"/>
        <v>0</v>
      </c>
      <c r="K62" s="68">
        <f t="shared" si="2"/>
        <v>-2008316.94</v>
      </c>
      <c r="L62" s="63">
        <f t="shared" si="6"/>
        <v>-1422557.8324999998</v>
      </c>
      <c r="M62" s="69">
        <f t="shared" si="11"/>
        <v>5351527.0841666674</v>
      </c>
      <c r="N62" s="64">
        <f t="shared" si="7"/>
        <v>7555097.0600000005</v>
      </c>
      <c r="O62" s="145">
        <f t="shared" si="10"/>
        <v>0.21</v>
      </c>
    </row>
    <row r="63" spans="1:15" x14ac:dyDescent="0.25">
      <c r="A63" s="61">
        <v>45716</v>
      </c>
      <c r="B63" s="30"/>
      <c r="C63" s="63"/>
      <c r="D63" s="63">
        <f t="shared" si="3"/>
        <v>9563414</v>
      </c>
      <c r="E63" s="63">
        <f t="shared" si="0"/>
        <v>7571036.083333333</v>
      </c>
      <c r="F63" s="124"/>
      <c r="G63" s="63">
        <f t="shared" si="4"/>
        <v>0</v>
      </c>
      <c r="H63" s="63">
        <f t="shared" si="12"/>
        <v>0</v>
      </c>
      <c r="I63" s="63">
        <f t="shared" si="8"/>
        <v>7571036.083333333</v>
      </c>
      <c r="J63" s="63">
        <f t="shared" si="1"/>
        <v>0</v>
      </c>
      <c r="K63" s="68">
        <f t="shared" si="2"/>
        <v>-2008316.94</v>
      </c>
      <c r="L63" s="63">
        <f t="shared" si="6"/>
        <v>-1589917.5774999997</v>
      </c>
      <c r="M63" s="69">
        <f t="shared" si="11"/>
        <v>5981118.5058333334</v>
      </c>
      <c r="N63" s="64">
        <f t="shared" si="7"/>
        <v>7555097.0600000005</v>
      </c>
      <c r="O63" s="145">
        <f t="shared" si="10"/>
        <v>0.21</v>
      </c>
    </row>
    <row r="64" spans="1:15" x14ac:dyDescent="0.25">
      <c r="A64" s="61">
        <v>45747</v>
      </c>
      <c r="B64" s="30"/>
      <c r="C64" s="63"/>
      <c r="D64" s="63">
        <f t="shared" si="3"/>
        <v>9563414</v>
      </c>
      <c r="E64" s="63">
        <f t="shared" si="0"/>
        <v>8367987.25</v>
      </c>
      <c r="F64" s="124"/>
      <c r="G64" s="63">
        <f t="shared" si="4"/>
        <v>0</v>
      </c>
      <c r="H64" s="63">
        <f t="shared" si="12"/>
        <v>0</v>
      </c>
      <c r="I64" s="63">
        <f t="shared" si="8"/>
        <v>8367987.25</v>
      </c>
      <c r="J64" s="63">
        <f t="shared" si="1"/>
        <v>0</v>
      </c>
      <c r="K64" s="68">
        <f t="shared" si="2"/>
        <v>-2008316.94</v>
      </c>
      <c r="L64" s="63">
        <f t="shared" si="6"/>
        <v>-1757277.3224999998</v>
      </c>
      <c r="M64" s="69">
        <f t="shared" si="11"/>
        <v>6610709.9275000002</v>
      </c>
      <c r="N64" s="64">
        <f t="shared" si="7"/>
        <v>7555097.0600000005</v>
      </c>
      <c r="O64" s="145">
        <f t="shared" si="10"/>
        <v>0.21</v>
      </c>
    </row>
    <row r="65" spans="1:15" x14ac:dyDescent="0.25">
      <c r="A65" s="61">
        <v>45777</v>
      </c>
      <c r="B65" s="30"/>
      <c r="C65" s="63"/>
      <c r="D65" s="63">
        <f t="shared" si="3"/>
        <v>9563414</v>
      </c>
      <c r="E65" s="63">
        <f t="shared" si="0"/>
        <v>9164938.416666666</v>
      </c>
      <c r="F65" s="124"/>
      <c r="G65" s="63">
        <f t="shared" si="4"/>
        <v>0</v>
      </c>
      <c r="H65" s="63">
        <f t="shared" si="12"/>
        <v>0</v>
      </c>
      <c r="I65" s="63">
        <f t="shared" si="8"/>
        <v>9164938.416666666</v>
      </c>
      <c r="J65" s="63">
        <f t="shared" si="1"/>
        <v>0</v>
      </c>
      <c r="K65" s="68">
        <f t="shared" si="2"/>
        <v>-2008316.94</v>
      </c>
      <c r="L65" s="63">
        <f t="shared" si="6"/>
        <v>-1924637.0674999999</v>
      </c>
      <c r="M65" s="69">
        <f t="shared" si="11"/>
        <v>7240301.3491666662</v>
      </c>
      <c r="N65" s="64">
        <f t="shared" si="7"/>
        <v>7555097.0600000005</v>
      </c>
      <c r="O65" s="145">
        <f t="shared" si="10"/>
        <v>0.21</v>
      </c>
    </row>
    <row r="66" spans="1:15" x14ac:dyDescent="0.25">
      <c r="A66" s="61">
        <v>45808</v>
      </c>
      <c r="B66" s="30"/>
      <c r="C66" s="63"/>
      <c r="D66" s="63">
        <f t="shared" si="3"/>
        <v>9563414</v>
      </c>
      <c r="E66" s="63">
        <f t="shared" si="0"/>
        <v>9563414</v>
      </c>
      <c r="F66" s="124"/>
      <c r="G66" s="63">
        <f t="shared" si="4"/>
        <v>0</v>
      </c>
      <c r="H66" s="63">
        <f t="shared" si="12"/>
        <v>0</v>
      </c>
      <c r="I66" s="63">
        <f t="shared" si="8"/>
        <v>9563414</v>
      </c>
      <c r="J66" s="63">
        <f t="shared" si="1"/>
        <v>0</v>
      </c>
      <c r="K66" s="68">
        <f t="shared" si="2"/>
        <v>-2008316.94</v>
      </c>
      <c r="L66" s="63">
        <f t="shared" si="6"/>
        <v>-2008316.9400000002</v>
      </c>
      <c r="M66" s="69">
        <f t="shared" si="11"/>
        <v>7555097.0599999996</v>
      </c>
      <c r="N66" s="64">
        <f t="shared" si="7"/>
        <v>7555097.0600000005</v>
      </c>
      <c r="O66" s="145">
        <f t="shared" si="10"/>
        <v>0.21</v>
      </c>
    </row>
    <row r="67" spans="1:15" x14ac:dyDescent="0.25">
      <c r="A67" s="61">
        <v>45838</v>
      </c>
      <c r="B67" s="30"/>
      <c r="C67" s="63"/>
      <c r="D67" s="63">
        <f t="shared" si="3"/>
        <v>9563414</v>
      </c>
      <c r="E67" s="63">
        <f t="shared" si="0"/>
        <v>9563414</v>
      </c>
      <c r="F67" s="124"/>
      <c r="G67" s="63">
        <f t="shared" si="4"/>
        <v>0</v>
      </c>
      <c r="H67" s="63">
        <f t="shared" si="12"/>
        <v>0</v>
      </c>
      <c r="I67" s="63">
        <f t="shared" si="8"/>
        <v>9563414</v>
      </c>
      <c r="J67" s="63">
        <f t="shared" si="1"/>
        <v>0</v>
      </c>
      <c r="K67" s="68">
        <f t="shared" si="2"/>
        <v>-2008316.94</v>
      </c>
      <c r="L67" s="63">
        <f t="shared" si="6"/>
        <v>-2008316.9400000002</v>
      </c>
      <c r="M67" s="69">
        <f t="shared" si="11"/>
        <v>7555097.0599999996</v>
      </c>
      <c r="N67" s="64">
        <f t="shared" si="7"/>
        <v>7555097.0600000005</v>
      </c>
      <c r="O67" s="145">
        <f t="shared" si="10"/>
        <v>0.21</v>
      </c>
    </row>
    <row r="68" spans="1:15" x14ac:dyDescent="0.25">
      <c r="A68" s="61">
        <v>45869</v>
      </c>
      <c r="B68" s="30"/>
      <c r="C68" s="63"/>
      <c r="D68" s="63">
        <f t="shared" si="3"/>
        <v>9563414</v>
      </c>
      <c r="E68" s="63">
        <f t="shared" si="0"/>
        <v>9563414</v>
      </c>
      <c r="F68" s="124"/>
      <c r="G68" s="63">
        <f t="shared" si="4"/>
        <v>0</v>
      </c>
      <c r="H68" s="63">
        <f t="shared" si="12"/>
        <v>0</v>
      </c>
      <c r="I68" s="63">
        <f t="shared" si="8"/>
        <v>9563414</v>
      </c>
      <c r="J68" s="63">
        <f t="shared" si="1"/>
        <v>0</v>
      </c>
      <c r="K68" s="68">
        <f t="shared" si="2"/>
        <v>-2008316.94</v>
      </c>
      <c r="L68" s="63">
        <f t="shared" si="6"/>
        <v>-2008316.9400000002</v>
      </c>
      <c r="M68" s="69">
        <f t="shared" si="11"/>
        <v>7555097.0599999996</v>
      </c>
      <c r="N68" s="64">
        <f t="shared" si="7"/>
        <v>7555097.0600000005</v>
      </c>
      <c r="O68" s="145">
        <f t="shared" si="10"/>
        <v>0.21</v>
      </c>
    </row>
    <row r="69" spans="1:15" x14ac:dyDescent="0.25">
      <c r="A69" s="61">
        <v>45900</v>
      </c>
      <c r="B69" s="30"/>
      <c r="C69" s="63"/>
      <c r="D69" s="63">
        <f t="shared" si="3"/>
        <v>9563414</v>
      </c>
      <c r="E69" s="63">
        <f t="shared" si="0"/>
        <v>9563414</v>
      </c>
      <c r="F69" s="124"/>
      <c r="G69" s="63">
        <f t="shared" si="4"/>
        <v>0</v>
      </c>
      <c r="H69" s="63">
        <f t="shared" si="12"/>
        <v>0</v>
      </c>
      <c r="I69" s="63">
        <f t="shared" si="8"/>
        <v>9563414</v>
      </c>
      <c r="J69" s="63">
        <f t="shared" si="1"/>
        <v>0</v>
      </c>
      <c r="K69" s="68">
        <f t="shared" si="2"/>
        <v>-2008316.94</v>
      </c>
      <c r="L69" s="63">
        <f t="shared" si="6"/>
        <v>-2008316.9400000002</v>
      </c>
      <c r="M69" s="69">
        <f t="shared" si="11"/>
        <v>7555097.0599999996</v>
      </c>
      <c r="N69" s="64">
        <f t="shared" si="7"/>
        <v>7555097.0600000005</v>
      </c>
      <c r="O69" s="145">
        <f t="shared" si="10"/>
        <v>0.21</v>
      </c>
    </row>
    <row r="70" spans="1:15" x14ac:dyDescent="0.25">
      <c r="A70" s="61">
        <v>45930</v>
      </c>
      <c r="B70" s="30"/>
      <c r="C70" s="63"/>
      <c r="D70" s="63">
        <f t="shared" si="3"/>
        <v>9563414</v>
      </c>
      <c r="E70" s="63">
        <f t="shared" si="0"/>
        <v>9563414</v>
      </c>
      <c r="F70" s="124"/>
      <c r="G70" s="63">
        <f t="shared" si="4"/>
        <v>0</v>
      </c>
      <c r="H70" s="63">
        <f t="shared" si="12"/>
        <v>0</v>
      </c>
      <c r="I70" s="63">
        <f t="shared" si="8"/>
        <v>9563414</v>
      </c>
      <c r="J70" s="63">
        <f t="shared" si="1"/>
        <v>0</v>
      </c>
      <c r="K70" s="68">
        <f t="shared" si="2"/>
        <v>-2008316.94</v>
      </c>
      <c r="L70" s="63">
        <f t="shared" si="6"/>
        <v>-2008316.9400000002</v>
      </c>
      <c r="M70" s="69">
        <f t="shared" si="11"/>
        <v>7555097.0599999996</v>
      </c>
      <c r="N70" s="64">
        <f t="shared" si="7"/>
        <v>7555097.0600000005</v>
      </c>
      <c r="O70" s="145">
        <f t="shared" si="10"/>
        <v>0.21</v>
      </c>
    </row>
    <row r="71" spans="1:15" ht="13.8" thickBot="1" x14ac:dyDescent="0.3">
      <c r="A71" s="61">
        <v>45961</v>
      </c>
      <c r="B71" s="30"/>
      <c r="C71" s="63"/>
      <c r="D71" s="63">
        <f t="shared" si="3"/>
        <v>9563414</v>
      </c>
      <c r="E71" s="63">
        <f t="shared" si="0"/>
        <v>9563414</v>
      </c>
      <c r="F71" s="124"/>
      <c r="G71" s="63">
        <f t="shared" si="4"/>
        <v>0</v>
      </c>
      <c r="H71" s="63">
        <f t="shared" si="12"/>
        <v>0</v>
      </c>
      <c r="I71" s="63">
        <f t="shared" si="8"/>
        <v>9563414</v>
      </c>
      <c r="J71" s="63">
        <f t="shared" si="1"/>
        <v>0</v>
      </c>
      <c r="K71" s="68">
        <f t="shared" si="2"/>
        <v>-2008316.94</v>
      </c>
      <c r="L71" s="63">
        <f t="shared" si="6"/>
        <v>-2008316.9400000002</v>
      </c>
      <c r="M71" s="69">
        <f t="shared" si="11"/>
        <v>7555097.0599999996</v>
      </c>
      <c r="N71" s="64">
        <f t="shared" si="7"/>
        <v>7555097.0600000005</v>
      </c>
      <c r="O71" s="145">
        <f t="shared" si="10"/>
        <v>0.21</v>
      </c>
    </row>
    <row r="72" spans="1:15" x14ac:dyDescent="0.25">
      <c r="A72" s="134">
        <v>45991</v>
      </c>
      <c r="B72" s="141" t="s">
        <v>239</v>
      </c>
      <c r="C72" s="136"/>
      <c r="D72" s="136">
        <f t="shared" si="3"/>
        <v>9563414</v>
      </c>
      <c r="E72" s="136">
        <f t="shared" si="0"/>
        <v>9563414</v>
      </c>
      <c r="F72" s="137">
        <f>E72/36</f>
        <v>265650.38888888888</v>
      </c>
      <c r="G72" s="136">
        <f t="shared" si="4"/>
        <v>-265650.38888888888</v>
      </c>
      <c r="H72" s="136">
        <f t="shared" si="12"/>
        <v>-11068.766203703703</v>
      </c>
      <c r="I72" s="136">
        <f t="shared" si="8"/>
        <v>9552345.2337962966</v>
      </c>
      <c r="J72" s="136">
        <f t="shared" si="1"/>
        <v>55786.581666666665</v>
      </c>
      <c r="K72" s="138">
        <f t="shared" si="2"/>
        <v>-1952530.3583333334</v>
      </c>
      <c r="L72" s="136">
        <f t="shared" si="6"/>
        <v>-2005992.4990972222</v>
      </c>
      <c r="M72" s="139">
        <f t="shared" si="11"/>
        <v>7546352.7346990742</v>
      </c>
      <c r="N72" s="140">
        <f t="shared" si="7"/>
        <v>7345233.2527777785</v>
      </c>
      <c r="O72" s="145">
        <f t="shared" si="10"/>
        <v>0.21</v>
      </c>
    </row>
    <row r="73" spans="1:15" x14ac:dyDescent="0.25">
      <c r="A73" s="61">
        <v>46022</v>
      </c>
      <c r="B73" s="30" t="str">
        <f>B72</f>
        <v>Yr1</v>
      </c>
      <c r="C73" s="63"/>
      <c r="D73" s="63">
        <f t="shared" si="3"/>
        <v>9563414</v>
      </c>
      <c r="E73" s="63">
        <f t="shared" si="0"/>
        <v>9563414</v>
      </c>
      <c r="F73" s="124">
        <f>F72</f>
        <v>265650.38888888888</v>
      </c>
      <c r="G73" s="63">
        <f t="shared" si="4"/>
        <v>-531300.77777777775</v>
      </c>
      <c r="H73" s="63">
        <f t="shared" si="12"/>
        <v>-44275.06481481481</v>
      </c>
      <c r="I73" s="63">
        <f t="shared" si="8"/>
        <v>9519138.9351851847</v>
      </c>
      <c r="J73" s="63">
        <f t="shared" si="1"/>
        <v>55786.581666666665</v>
      </c>
      <c r="K73" s="68">
        <f t="shared" si="2"/>
        <v>-1896743.7766666668</v>
      </c>
      <c r="L73" s="63">
        <f t="shared" si="6"/>
        <v>-1999019.1763888889</v>
      </c>
      <c r="M73" s="69">
        <f t="shared" si="11"/>
        <v>7520119.7587962961</v>
      </c>
      <c r="N73" s="64">
        <f t="shared" si="7"/>
        <v>7135369.4455555547</v>
      </c>
      <c r="O73" s="145">
        <f t="shared" si="10"/>
        <v>0.21000000000000002</v>
      </c>
    </row>
    <row r="74" spans="1:15" x14ac:dyDescent="0.25">
      <c r="A74" s="61">
        <v>46053</v>
      </c>
      <c r="B74" s="30" t="str">
        <f t="shared" ref="B74:B82" si="13">B73</f>
        <v>Yr1</v>
      </c>
      <c r="C74" s="30"/>
      <c r="D74" s="63">
        <f t="shared" si="3"/>
        <v>9563414</v>
      </c>
      <c r="E74" s="63">
        <f t="shared" si="0"/>
        <v>9563414</v>
      </c>
      <c r="F74" s="124">
        <f t="shared" ref="F74:F107" si="14">F73</f>
        <v>265650.38888888888</v>
      </c>
      <c r="G74" s="63">
        <f t="shared" si="4"/>
        <v>-796951.16666666663</v>
      </c>
      <c r="H74" s="63">
        <f t="shared" si="12"/>
        <v>-99618.895833333328</v>
      </c>
      <c r="I74" s="63">
        <f t="shared" si="8"/>
        <v>9463795.104166666</v>
      </c>
      <c r="J74" s="63">
        <f t="shared" si="1"/>
        <v>55786.581666666665</v>
      </c>
      <c r="K74" s="68">
        <f t="shared" si="2"/>
        <v>-1840957.1950000003</v>
      </c>
      <c r="L74" s="63">
        <f t="shared" si="6"/>
        <v>-1987396.9718749998</v>
      </c>
      <c r="M74" s="69">
        <f t="shared" si="11"/>
        <v>7476398.1322916662</v>
      </c>
      <c r="N74" s="64">
        <f t="shared" si="7"/>
        <v>6925505.6383333337</v>
      </c>
      <c r="O74" s="145">
        <f t="shared" si="10"/>
        <v>0.21000000000000002</v>
      </c>
    </row>
    <row r="75" spans="1:15" x14ac:dyDescent="0.25">
      <c r="A75" s="61">
        <v>46081</v>
      </c>
      <c r="B75" s="30" t="str">
        <f t="shared" si="13"/>
        <v>Yr1</v>
      </c>
      <c r="C75" s="30"/>
      <c r="D75" s="63">
        <f t="shared" si="3"/>
        <v>9563414</v>
      </c>
      <c r="E75" s="63">
        <f t="shared" si="0"/>
        <v>9563414</v>
      </c>
      <c r="F75" s="124">
        <f t="shared" si="14"/>
        <v>265650.38888888888</v>
      </c>
      <c r="G75" s="63">
        <f t="shared" si="4"/>
        <v>-1062601.5555555555</v>
      </c>
      <c r="H75" s="63">
        <f t="shared" si="12"/>
        <v>-177100.25925925924</v>
      </c>
      <c r="I75" s="63">
        <f t="shared" si="8"/>
        <v>9386313.7407407407</v>
      </c>
      <c r="J75" s="63">
        <f t="shared" si="1"/>
        <v>55786.581666666665</v>
      </c>
      <c r="K75" s="68">
        <f t="shared" si="2"/>
        <v>-1785170.6133333337</v>
      </c>
      <c r="L75" s="63">
        <f t="shared" si="6"/>
        <v>-1971125.8855555553</v>
      </c>
      <c r="M75" s="69">
        <f t="shared" si="11"/>
        <v>7415187.8551851856</v>
      </c>
      <c r="N75" s="64">
        <f t="shared" si="7"/>
        <v>6715641.8311111107</v>
      </c>
      <c r="O75" s="145">
        <f t="shared" si="10"/>
        <v>0.21000000000000005</v>
      </c>
    </row>
    <row r="76" spans="1:15" x14ac:dyDescent="0.25">
      <c r="A76" s="61">
        <v>46112</v>
      </c>
      <c r="B76" s="30" t="str">
        <f t="shared" si="13"/>
        <v>Yr1</v>
      </c>
      <c r="C76" s="30"/>
      <c r="D76" s="63">
        <f t="shared" si="3"/>
        <v>9563414</v>
      </c>
      <c r="E76" s="63">
        <f t="shared" si="0"/>
        <v>9563414</v>
      </c>
      <c r="F76" s="124">
        <f t="shared" si="14"/>
        <v>265650.38888888888</v>
      </c>
      <c r="G76" s="63">
        <f t="shared" si="4"/>
        <v>-1328251.9444444445</v>
      </c>
      <c r="H76" s="63">
        <f t="shared" si="12"/>
        <v>-276719.15509259258</v>
      </c>
      <c r="I76" s="63">
        <f t="shared" si="8"/>
        <v>9286694.8449074067</v>
      </c>
      <c r="J76" s="63">
        <f t="shared" si="1"/>
        <v>55786.581666666665</v>
      </c>
      <c r="K76" s="68">
        <f t="shared" si="2"/>
        <v>-1729384.0316666672</v>
      </c>
      <c r="L76" s="63">
        <f t="shared" si="6"/>
        <v>-1950205.9174305554</v>
      </c>
      <c r="M76" s="69">
        <f t="shared" si="11"/>
        <v>7336488.9274768513</v>
      </c>
      <c r="N76" s="64">
        <f t="shared" si="7"/>
        <v>6505778.0238888888</v>
      </c>
      <c r="O76" s="145">
        <f t="shared" si="10"/>
        <v>0.21000000000000005</v>
      </c>
    </row>
    <row r="77" spans="1:15" x14ac:dyDescent="0.25">
      <c r="A77" s="61">
        <v>46142</v>
      </c>
      <c r="B77" s="30" t="str">
        <f t="shared" si="13"/>
        <v>Yr1</v>
      </c>
      <c r="C77" s="30"/>
      <c r="D77" s="63">
        <f t="shared" si="3"/>
        <v>9563414</v>
      </c>
      <c r="E77" s="63">
        <f t="shared" si="0"/>
        <v>9563414</v>
      </c>
      <c r="F77" s="124">
        <f t="shared" si="14"/>
        <v>265650.38888888888</v>
      </c>
      <c r="G77" s="63">
        <f t="shared" si="4"/>
        <v>-1593902.3333333335</v>
      </c>
      <c r="H77" s="63">
        <f t="shared" si="12"/>
        <v>-398475.58333333331</v>
      </c>
      <c r="I77" s="63">
        <f t="shared" si="8"/>
        <v>9164938.416666666</v>
      </c>
      <c r="J77" s="63">
        <f t="shared" si="1"/>
        <v>55786.581666666665</v>
      </c>
      <c r="K77" s="68">
        <f t="shared" si="2"/>
        <v>-1673597.4500000007</v>
      </c>
      <c r="L77" s="63">
        <f t="shared" si="6"/>
        <v>-1924637.0674999999</v>
      </c>
      <c r="M77" s="69">
        <f t="shared" si="11"/>
        <v>7240301.3491666662</v>
      </c>
      <c r="N77" s="64">
        <f t="shared" si="7"/>
        <v>6295914.2166666649</v>
      </c>
      <c r="O77" s="145">
        <f t="shared" si="10"/>
        <v>0.2100000000000001</v>
      </c>
    </row>
    <row r="78" spans="1:15" x14ac:dyDescent="0.25">
      <c r="A78" s="61">
        <v>46173</v>
      </c>
      <c r="B78" s="30" t="str">
        <f t="shared" si="13"/>
        <v>Yr1</v>
      </c>
      <c r="C78" s="30"/>
      <c r="D78" s="63">
        <f t="shared" si="3"/>
        <v>9563414</v>
      </c>
      <c r="E78" s="63">
        <f t="shared" si="0"/>
        <v>9563414</v>
      </c>
      <c r="F78" s="124">
        <f t="shared" si="14"/>
        <v>265650.38888888888</v>
      </c>
      <c r="G78" s="63">
        <f t="shared" si="4"/>
        <v>-1859552.7222222225</v>
      </c>
      <c r="H78" s="63">
        <f t="shared" si="12"/>
        <v>-542369.54398148146</v>
      </c>
      <c r="I78" s="63">
        <f t="shared" si="8"/>
        <v>9021044.4560185187</v>
      </c>
      <c r="J78" s="63">
        <f t="shared" si="1"/>
        <v>55786.581666666665</v>
      </c>
      <c r="K78" s="68">
        <f t="shared" si="2"/>
        <v>-1617810.8683333341</v>
      </c>
      <c r="L78" s="63">
        <f t="shared" si="6"/>
        <v>-1894419.3357638891</v>
      </c>
      <c r="M78" s="69">
        <f t="shared" si="11"/>
        <v>7126625.1202546293</v>
      </c>
      <c r="N78" s="64">
        <f t="shared" si="7"/>
        <v>6086050.4094444439</v>
      </c>
      <c r="O78" s="145">
        <f t="shared" si="10"/>
        <v>0.2100000000000001</v>
      </c>
    </row>
    <row r="79" spans="1:15" x14ac:dyDescent="0.25">
      <c r="A79" s="61">
        <v>46203</v>
      </c>
      <c r="B79" s="30" t="str">
        <f t="shared" si="13"/>
        <v>Yr1</v>
      </c>
      <c r="D79" s="63">
        <f t="shared" si="3"/>
        <v>9563414</v>
      </c>
      <c r="E79" s="63">
        <f t="shared" si="0"/>
        <v>9563414</v>
      </c>
      <c r="F79" s="124">
        <f t="shared" si="14"/>
        <v>265650.38888888888</v>
      </c>
      <c r="G79" s="63">
        <f t="shared" si="4"/>
        <v>-2125203.1111111115</v>
      </c>
      <c r="H79" s="63">
        <f t="shared" si="12"/>
        <v>-708401.0370370372</v>
      </c>
      <c r="I79" s="63">
        <f t="shared" si="8"/>
        <v>8855012.9629629627</v>
      </c>
      <c r="J79" s="63">
        <f t="shared" si="1"/>
        <v>55786.581666666665</v>
      </c>
      <c r="K79" s="68">
        <f t="shared" si="2"/>
        <v>-1562024.2866666676</v>
      </c>
      <c r="L79" s="63">
        <f t="shared" si="6"/>
        <v>-1859552.7222222222</v>
      </c>
      <c r="M79" s="63">
        <f t="shared" si="11"/>
        <v>6995460.2407407407</v>
      </c>
      <c r="N79" s="64">
        <f t="shared" si="7"/>
        <v>5876186.602222221</v>
      </c>
      <c r="O79" s="145">
        <f t="shared" si="10"/>
        <v>0.21000000000000013</v>
      </c>
    </row>
    <row r="80" spans="1:15" x14ac:dyDescent="0.25">
      <c r="A80" s="61">
        <v>46234</v>
      </c>
      <c r="B80" s="30" t="str">
        <f t="shared" si="13"/>
        <v>Yr1</v>
      </c>
      <c r="D80" s="63">
        <f t="shared" si="3"/>
        <v>9563414</v>
      </c>
      <c r="E80" s="63">
        <f t="shared" si="0"/>
        <v>9563414</v>
      </c>
      <c r="F80" s="124">
        <f t="shared" si="14"/>
        <v>265650.38888888888</v>
      </c>
      <c r="G80" s="63">
        <f t="shared" si="4"/>
        <v>-2390853.5000000005</v>
      </c>
      <c r="H80" s="63">
        <f t="shared" si="12"/>
        <v>-896570.06250000012</v>
      </c>
      <c r="I80" s="63">
        <f t="shared" si="8"/>
        <v>8666843.9375</v>
      </c>
      <c r="J80" s="63">
        <f t="shared" si="1"/>
        <v>55786.581666666665</v>
      </c>
      <c r="K80" s="68">
        <f t="shared" si="2"/>
        <v>-1506237.705000001</v>
      </c>
      <c r="L80" s="63">
        <f t="shared" si="6"/>
        <v>-1820037.2268750006</v>
      </c>
      <c r="M80" s="63">
        <f t="shared" si="11"/>
        <v>6846806.7106249994</v>
      </c>
      <c r="N80" s="64">
        <f t="shared" si="7"/>
        <v>5666322.794999999</v>
      </c>
      <c r="O80" s="145">
        <f t="shared" si="10"/>
        <v>0.21000000000000013</v>
      </c>
    </row>
    <row r="81" spans="1:15" x14ac:dyDescent="0.25">
      <c r="A81" s="61">
        <v>46265</v>
      </c>
      <c r="B81" s="30" t="str">
        <f t="shared" si="13"/>
        <v>Yr1</v>
      </c>
      <c r="D81" s="63">
        <f t="shared" si="3"/>
        <v>9563414</v>
      </c>
      <c r="E81" s="63">
        <f t="shared" si="0"/>
        <v>9563414</v>
      </c>
      <c r="F81" s="124">
        <f t="shared" si="14"/>
        <v>265650.38888888888</v>
      </c>
      <c r="G81" s="63">
        <f t="shared" si="4"/>
        <v>-2656503.8888888895</v>
      </c>
      <c r="H81" s="63">
        <f t="shared" si="12"/>
        <v>-1106876.6203703706</v>
      </c>
      <c r="I81" s="63">
        <f t="shared" si="8"/>
        <v>8456537.3796296287</v>
      </c>
      <c r="J81" s="63">
        <f t="shared" si="1"/>
        <v>55786.581666666665</v>
      </c>
      <c r="K81" s="68">
        <f t="shared" si="2"/>
        <v>-1450451.1233333345</v>
      </c>
      <c r="L81" s="63">
        <f t="shared" si="6"/>
        <v>-1775872.8497222227</v>
      </c>
      <c r="M81" s="63">
        <f t="shared" si="11"/>
        <v>6680664.5299074063</v>
      </c>
      <c r="N81" s="64">
        <f t="shared" si="7"/>
        <v>5456458.9877777752</v>
      </c>
      <c r="O81" s="145">
        <f t="shared" si="10"/>
        <v>0.21000000000000019</v>
      </c>
    </row>
    <row r="82" spans="1:15" x14ac:dyDescent="0.25">
      <c r="A82" s="61">
        <v>46295</v>
      </c>
      <c r="B82" s="30" t="str">
        <f t="shared" si="13"/>
        <v>Yr1</v>
      </c>
      <c r="D82" s="63">
        <f t="shared" si="3"/>
        <v>9563414</v>
      </c>
      <c r="E82" s="63">
        <f t="shared" si="0"/>
        <v>9563414</v>
      </c>
      <c r="F82" s="124">
        <f t="shared" si="14"/>
        <v>265650.38888888888</v>
      </c>
      <c r="G82" s="63">
        <f t="shared" si="4"/>
        <v>-2922154.2777777785</v>
      </c>
      <c r="H82" s="63">
        <f t="shared" si="12"/>
        <v>-1339320.7106481486</v>
      </c>
      <c r="I82" s="63">
        <f t="shared" si="8"/>
        <v>8224093.2893518517</v>
      </c>
      <c r="J82" s="63">
        <f t="shared" si="1"/>
        <v>55786.581666666665</v>
      </c>
      <c r="K82" s="68">
        <f t="shared" si="2"/>
        <v>-1394664.5416666679</v>
      </c>
      <c r="L82" s="63">
        <f t="shared" si="6"/>
        <v>-1727059.5907638895</v>
      </c>
      <c r="M82" s="63">
        <f t="shared" si="11"/>
        <v>6497033.6985879624</v>
      </c>
      <c r="N82" s="64">
        <f t="shared" si="7"/>
        <v>5246595.1805555541</v>
      </c>
      <c r="O82" s="145">
        <f t="shared" si="10"/>
        <v>0.21000000000000019</v>
      </c>
    </row>
    <row r="83" spans="1:15" ht="13.8" thickBot="1" x14ac:dyDescent="0.3">
      <c r="A83" s="61">
        <v>46326</v>
      </c>
      <c r="B83" s="30" t="str">
        <f>B82</f>
        <v>Yr1</v>
      </c>
      <c r="D83" s="63">
        <f t="shared" si="3"/>
        <v>9563414</v>
      </c>
      <c r="E83" s="63">
        <f t="shared" si="0"/>
        <v>9563414</v>
      </c>
      <c r="F83" s="124">
        <f t="shared" si="14"/>
        <v>265650.38888888888</v>
      </c>
      <c r="G83" s="63">
        <f t="shared" si="4"/>
        <v>-3187804.6666666674</v>
      </c>
      <c r="H83" s="63">
        <f t="shared" si="12"/>
        <v>-1593902.3333333337</v>
      </c>
      <c r="I83" s="63">
        <f t="shared" si="8"/>
        <v>7969511.666666666</v>
      </c>
      <c r="J83" s="63">
        <f t="shared" si="1"/>
        <v>55786.581666666665</v>
      </c>
      <c r="K83" s="68">
        <f t="shared" si="2"/>
        <v>-1338877.9600000014</v>
      </c>
      <c r="L83" s="63">
        <f t="shared" si="6"/>
        <v>-1673597.4500000004</v>
      </c>
      <c r="M83" s="63">
        <f t="shared" si="11"/>
        <v>6295914.2166666659</v>
      </c>
      <c r="N83" s="64">
        <f t="shared" si="7"/>
        <v>5036731.3733333312</v>
      </c>
      <c r="O83" s="145">
        <f t="shared" si="10"/>
        <v>0.21000000000000024</v>
      </c>
    </row>
    <row r="84" spans="1:15" x14ac:dyDescent="0.25">
      <c r="A84" s="134">
        <v>46356</v>
      </c>
      <c r="B84" s="141" t="s">
        <v>240</v>
      </c>
      <c r="C84" s="141"/>
      <c r="D84" s="136">
        <f t="shared" si="3"/>
        <v>9563414</v>
      </c>
      <c r="E84" s="136">
        <f t="shared" si="0"/>
        <v>9563414</v>
      </c>
      <c r="F84" s="124">
        <f t="shared" si="14"/>
        <v>265650.38888888888</v>
      </c>
      <c r="G84" s="136">
        <f t="shared" si="4"/>
        <v>-3453455.0555555564</v>
      </c>
      <c r="H84" s="136">
        <f t="shared" si="12"/>
        <v>-1859552.7222222227</v>
      </c>
      <c r="I84" s="136">
        <f t="shared" si="8"/>
        <v>7703861.2777777771</v>
      </c>
      <c r="J84" s="136">
        <f t="shared" si="1"/>
        <v>55786.581666666665</v>
      </c>
      <c r="K84" s="138">
        <f t="shared" si="2"/>
        <v>-1283091.3783333348</v>
      </c>
      <c r="L84" s="136">
        <f t="shared" si="6"/>
        <v>-1617810.8683333341</v>
      </c>
      <c r="M84" s="136">
        <f t="shared" si="11"/>
        <v>6086050.409444443</v>
      </c>
      <c r="N84" s="140">
        <f t="shared" si="7"/>
        <v>4826867.5661111092</v>
      </c>
      <c r="O84" s="145">
        <f t="shared" si="10"/>
        <v>0.21000000000000027</v>
      </c>
    </row>
    <row r="85" spans="1:15" x14ac:dyDescent="0.25">
      <c r="A85" s="61">
        <v>46387</v>
      </c>
      <c r="B85" s="30" t="str">
        <f>B84</f>
        <v>Yr2</v>
      </c>
      <c r="D85" s="63">
        <f t="shared" si="3"/>
        <v>9563414</v>
      </c>
      <c r="E85" s="63">
        <f t="shared" si="0"/>
        <v>9563414</v>
      </c>
      <c r="F85" s="124">
        <f t="shared" si="14"/>
        <v>265650.38888888888</v>
      </c>
      <c r="G85" s="63">
        <f t="shared" si="4"/>
        <v>-3719105.4444444454</v>
      </c>
      <c r="H85" s="63">
        <f t="shared" si="12"/>
        <v>-2125203.1111111115</v>
      </c>
      <c r="I85" s="63">
        <f t="shared" si="8"/>
        <v>7438210.8888888881</v>
      </c>
      <c r="J85" s="63">
        <f t="shared" si="1"/>
        <v>55786.581666666665</v>
      </c>
      <c r="K85" s="68">
        <f t="shared" si="2"/>
        <v>-1227304.7966666683</v>
      </c>
      <c r="L85" s="63">
        <f t="shared" si="6"/>
        <v>-1562024.2866666678</v>
      </c>
      <c r="M85" s="63">
        <f t="shared" si="11"/>
        <v>5876186.60222222</v>
      </c>
      <c r="N85" s="64">
        <f t="shared" si="7"/>
        <v>4617003.7588888854</v>
      </c>
      <c r="O85" s="145">
        <f t="shared" si="10"/>
        <v>0.21000000000000033</v>
      </c>
    </row>
    <row r="86" spans="1:15" s="328" customFormat="1" x14ac:dyDescent="0.25">
      <c r="A86" s="323">
        <v>46418</v>
      </c>
      <c r="B86" s="30" t="str">
        <f t="shared" ref="B86:B95" si="15">B85</f>
        <v>Yr2</v>
      </c>
      <c r="C86" s="324"/>
      <c r="D86" s="199">
        <f t="shared" si="3"/>
        <v>9563414</v>
      </c>
      <c r="E86" s="199">
        <f t="shared" si="0"/>
        <v>9563414</v>
      </c>
      <c r="F86" s="124">
        <f t="shared" si="14"/>
        <v>265650.38888888888</v>
      </c>
      <c r="G86" s="199">
        <f t="shared" si="4"/>
        <v>-3984755.8333333344</v>
      </c>
      <c r="H86" s="199">
        <f t="shared" si="12"/>
        <v>-2390853.5000000005</v>
      </c>
      <c r="I86" s="199">
        <f t="shared" si="8"/>
        <v>7172560.5</v>
      </c>
      <c r="J86" s="199">
        <f t="shared" si="1"/>
        <v>55786.581666666665</v>
      </c>
      <c r="K86" s="326">
        <f t="shared" si="2"/>
        <v>-1171518.2150000017</v>
      </c>
      <c r="L86" s="199">
        <f t="shared" si="6"/>
        <v>-1506237.705000001</v>
      </c>
      <c r="M86" s="199">
        <f t="shared" si="11"/>
        <v>5666322.794999999</v>
      </c>
      <c r="N86" s="327">
        <f t="shared" si="7"/>
        <v>4407139.9516666643</v>
      </c>
      <c r="O86" s="330">
        <f t="shared" si="10"/>
        <v>0.21000000000000033</v>
      </c>
    </row>
    <row r="87" spans="1:15" x14ac:dyDescent="0.25">
      <c r="A87" s="61">
        <v>46446</v>
      </c>
      <c r="B87" s="30" t="str">
        <f t="shared" si="15"/>
        <v>Yr2</v>
      </c>
      <c r="D87" s="63">
        <f t="shared" si="3"/>
        <v>9563414</v>
      </c>
      <c r="E87" s="63">
        <f t="shared" si="0"/>
        <v>9563414</v>
      </c>
      <c r="F87" s="124">
        <f t="shared" si="14"/>
        <v>265650.38888888888</v>
      </c>
      <c r="G87" s="63">
        <f t="shared" si="4"/>
        <v>-4250406.2222222229</v>
      </c>
      <c r="H87" s="63">
        <f t="shared" si="12"/>
        <v>-2656503.8888888895</v>
      </c>
      <c r="I87" s="63">
        <f t="shared" si="8"/>
        <v>6906910.1111111101</v>
      </c>
      <c r="J87" s="63">
        <f t="shared" si="1"/>
        <v>55786.581666666665</v>
      </c>
      <c r="K87" s="68">
        <f t="shared" si="2"/>
        <v>-1115731.6333333352</v>
      </c>
      <c r="L87" s="63">
        <f t="shared" si="6"/>
        <v>-1450451.1233333342</v>
      </c>
      <c r="M87" s="63">
        <f t="shared" si="11"/>
        <v>5456458.9877777761</v>
      </c>
      <c r="N87" s="64">
        <f t="shared" si="7"/>
        <v>4197276.1444444414</v>
      </c>
      <c r="O87" s="145">
        <f t="shared" si="10"/>
        <v>0.21000000000000038</v>
      </c>
    </row>
    <row r="88" spans="1:15" x14ac:dyDescent="0.25">
      <c r="A88" s="61">
        <v>46477</v>
      </c>
      <c r="B88" s="30" t="str">
        <f t="shared" si="15"/>
        <v>Yr2</v>
      </c>
      <c r="D88" s="63">
        <f t="shared" si="3"/>
        <v>9563414</v>
      </c>
      <c r="E88" s="63">
        <f t="shared" ref="E88:E95" si="16">(D76+D88+SUM(D77:D87)*2)/24</f>
        <v>9563414</v>
      </c>
      <c r="F88" s="124">
        <f t="shared" si="14"/>
        <v>265650.38888888888</v>
      </c>
      <c r="G88" s="63">
        <f t="shared" si="4"/>
        <v>-4516056.6111111119</v>
      </c>
      <c r="H88" s="63">
        <f t="shared" si="12"/>
        <v>-2922154.2777777785</v>
      </c>
      <c r="I88" s="63">
        <f t="shared" si="8"/>
        <v>6641259.722222222</v>
      </c>
      <c r="J88" s="63">
        <f t="shared" ref="J88:J107" si="17">(-C88*0.21)+(F88*0.21)</f>
        <v>55786.581666666665</v>
      </c>
      <c r="K88" s="68">
        <f t="shared" ref="K88:K107" si="18">K87+J88</f>
        <v>-1059945.0516666686</v>
      </c>
      <c r="L88" s="63">
        <f t="shared" si="6"/>
        <v>-1394664.5416666677</v>
      </c>
      <c r="M88" s="63">
        <f t="shared" si="11"/>
        <v>5246595.1805555541</v>
      </c>
      <c r="N88" s="64">
        <f t="shared" si="7"/>
        <v>3987412.3372222194</v>
      </c>
      <c r="O88" s="145">
        <f t="shared" si="10"/>
        <v>0.21000000000000041</v>
      </c>
    </row>
    <row r="89" spans="1:15" x14ac:dyDescent="0.25">
      <c r="A89" s="61">
        <v>46507</v>
      </c>
      <c r="B89" s="30" t="str">
        <f t="shared" si="15"/>
        <v>Yr2</v>
      </c>
      <c r="D89" s="63">
        <f t="shared" ref="D89:D107" si="19">D88+C89</f>
        <v>9563414</v>
      </c>
      <c r="E89" s="63">
        <f t="shared" si="16"/>
        <v>9563414</v>
      </c>
      <c r="F89" s="124">
        <f t="shared" si="14"/>
        <v>265650.38888888888</v>
      </c>
      <c r="G89" s="63">
        <f t="shared" si="4"/>
        <v>-4781707.0000000009</v>
      </c>
      <c r="H89" s="63">
        <f t="shared" si="12"/>
        <v>-3187804.6666666674</v>
      </c>
      <c r="I89" s="63">
        <f t="shared" si="8"/>
        <v>6375609.3333333321</v>
      </c>
      <c r="J89" s="63">
        <f t="shared" si="17"/>
        <v>55786.581666666665</v>
      </c>
      <c r="K89" s="68">
        <f t="shared" si="18"/>
        <v>-1004158.470000002</v>
      </c>
      <c r="L89" s="63">
        <f t="shared" si="6"/>
        <v>-1338877.9600000011</v>
      </c>
      <c r="M89" s="63">
        <f t="shared" si="11"/>
        <v>5036731.3733333312</v>
      </c>
      <c r="N89" s="64">
        <f t="shared" si="7"/>
        <v>3777548.529999997</v>
      </c>
      <c r="O89" s="145">
        <f t="shared" si="10"/>
        <v>0.21000000000000044</v>
      </c>
    </row>
    <row r="90" spans="1:15" x14ac:dyDescent="0.25">
      <c r="A90" s="61">
        <v>46538</v>
      </c>
      <c r="B90" s="30" t="str">
        <f t="shared" si="15"/>
        <v>Yr2</v>
      </c>
      <c r="D90" s="63">
        <f t="shared" si="19"/>
        <v>9563414</v>
      </c>
      <c r="E90" s="63">
        <f t="shared" si="16"/>
        <v>9563414</v>
      </c>
      <c r="F90" s="124">
        <f t="shared" si="14"/>
        <v>265650.38888888888</v>
      </c>
      <c r="G90" s="63">
        <f t="shared" ref="G90:G107" si="20">G89-F90</f>
        <v>-5047357.3888888899</v>
      </c>
      <c r="H90" s="63">
        <f t="shared" si="12"/>
        <v>-3453455.055555556</v>
      </c>
      <c r="I90" s="63">
        <f t="shared" si="8"/>
        <v>6109958.944444444</v>
      </c>
      <c r="J90" s="63">
        <f t="shared" si="17"/>
        <v>55786.581666666665</v>
      </c>
      <c r="K90" s="68">
        <f t="shared" si="18"/>
        <v>-948371.88833333529</v>
      </c>
      <c r="L90" s="63">
        <f t="shared" ref="L90:L95" si="21">(K78+K90+SUM(K79:K89)*2)/24</f>
        <v>-1283091.3783333348</v>
      </c>
      <c r="M90" s="63">
        <f t="shared" si="11"/>
        <v>4826867.5661111092</v>
      </c>
      <c r="N90" s="64">
        <f t="shared" ref="N90:N107" si="22">+D90+G90+K90</f>
        <v>3567684.7227777746</v>
      </c>
      <c r="O90" s="145">
        <f t="shared" si="10"/>
        <v>0.21000000000000049</v>
      </c>
    </row>
    <row r="91" spans="1:15" x14ac:dyDescent="0.25">
      <c r="A91" s="61">
        <v>46568</v>
      </c>
      <c r="B91" s="30" t="str">
        <f t="shared" si="15"/>
        <v>Yr2</v>
      </c>
      <c r="D91" s="63">
        <f t="shared" si="19"/>
        <v>9563414</v>
      </c>
      <c r="E91" s="63">
        <f t="shared" si="16"/>
        <v>9563414</v>
      </c>
      <c r="F91" s="124">
        <f t="shared" si="14"/>
        <v>265650.38888888888</v>
      </c>
      <c r="G91" s="63">
        <f t="shared" si="20"/>
        <v>-5313007.7777777789</v>
      </c>
      <c r="H91" s="63">
        <f t="shared" si="12"/>
        <v>-3719105.4444444454</v>
      </c>
      <c r="I91" s="63">
        <f t="shared" ref="I91:I107" si="23">E91+H91</f>
        <v>5844308.5555555541</v>
      </c>
      <c r="J91" s="63">
        <f t="shared" si="17"/>
        <v>55786.581666666665</v>
      </c>
      <c r="K91" s="68">
        <f t="shared" si="18"/>
        <v>-892585.30666666862</v>
      </c>
      <c r="L91" s="63">
        <f t="shared" si="21"/>
        <v>-1227304.7966666683</v>
      </c>
      <c r="M91" s="63">
        <f t="shared" si="11"/>
        <v>4617003.7588888854</v>
      </c>
      <c r="N91" s="64">
        <f t="shared" si="22"/>
        <v>3357820.9155555526</v>
      </c>
      <c r="O91" s="145">
        <f t="shared" ref="O91:O94" si="24">-K91/(D91+G91)</f>
        <v>0.21000000000000052</v>
      </c>
    </row>
    <row r="92" spans="1:15" x14ac:dyDescent="0.25">
      <c r="A92" s="61">
        <v>46599</v>
      </c>
      <c r="B92" s="30" t="str">
        <f t="shared" si="15"/>
        <v>Yr2</v>
      </c>
      <c r="D92" s="63">
        <f t="shared" si="19"/>
        <v>9563414</v>
      </c>
      <c r="E92" s="63">
        <f t="shared" si="16"/>
        <v>9563414</v>
      </c>
      <c r="F92" s="124">
        <f t="shared" si="14"/>
        <v>265650.38888888888</v>
      </c>
      <c r="G92" s="63">
        <f t="shared" si="20"/>
        <v>-5578658.1666666679</v>
      </c>
      <c r="H92" s="63">
        <f t="shared" si="12"/>
        <v>-3984755.833333334</v>
      </c>
      <c r="I92" s="63">
        <f t="shared" si="23"/>
        <v>5578658.166666666</v>
      </c>
      <c r="J92" s="63">
        <f t="shared" si="17"/>
        <v>55786.581666666665</v>
      </c>
      <c r="K92" s="68">
        <f t="shared" si="18"/>
        <v>-836798.72500000196</v>
      </c>
      <c r="L92" s="63">
        <f t="shared" si="21"/>
        <v>-1171518.2150000015</v>
      </c>
      <c r="M92" s="63">
        <f t="shared" si="11"/>
        <v>4407139.9516666643</v>
      </c>
      <c r="N92" s="64">
        <f t="shared" si="22"/>
        <v>3147957.1083333301</v>
      </c>
      <c r="O92" s="145">
        <f t="shared" si="24"/>
        <v>0.21000000000000055</v>
      </c>
    </row>
    <row r="93" spans="1:15" x14ac:dyDescent="0.25">
      <c r="A93" s="61">
        <v>46630</v>
      </c>
      <c r="B93" s="30" t="str">
        <f t="shared" si="15"/>
        <v>Yr2</v>
      </c>
      <c r="D93" s="63">
        <f t="shared" si="19"/>
        <v>9563414</v>
      </c>
      <c r="E93" s="63">
        <f t="shared" si="16"/>
        <v>9563414</v>
      </c>
      <c r="F93" s="124">
        <f t="shared" si="14"/>
        <v>265650.38888888888</v>
      </c>
      <c r="G93" s="63">
        <f t="shared" si="20"/>
        <v>-5844308.5555555569</v>
      </c>
      <c r="H93" s="63">
        <f t="shared" si="12"/>
        <v>-4250406.2222222229</v>
      </c>
      <c r="I93" s="63">
        <f t="shared" si="23"/>
        <v>5313007.7777777771</v>
      </c>
      <c r="J93" s="63">
        <f t="shared" si="17"/>
        <v>55786.581666666665</v>
      </c>
      <c r="K93" s="68">
        <f t="shared" si="18"/>
        <v>-781012.14333333529</v>
      </c>
      <c r="L93" s="63">
        <f t="shared" si="21"/>
        <v>-1115731.6333333352</v>
      </c>
      <c r="M93" s="63">
        <f t="shared" si="11"/>
        <v>4197276.1444444414</v>
      </c>
      <c r="N93" s="64">
        <f t="shared" si="22"/>
        <v>2938093.3011111077</v>
      </c>
      <c r="O93" s="145">
        <f t="shared" si="24"/>
        <v>0.2100000000000006</v>
      </c>
    </row>
    <row r="94" spans="1:15" x14ac:dyDescent="0.25">
      <c r="A94" s="61">
        <v>46660</v>
      </c>
      <c r="B94" s="30" t="str">
        <f t="shared" si="15"/>
        <v>Yr2</v>
      </c>
      <c r="D94" s="63">
        <f t="shared" si="19"/>
        <v>9563414</v>
      </c>
      <c r="E94" s="63">
        <f t="shared" si="16"/>
        <v>9563414</v>
      </c>
      <c r="F94" s="124">
        <f t="shared" si="14"/>
        <v>265650.38888888888</v>
      </c>
      <c r="G94" s="63">
        <f t="shared" si="20"/>
        <v>-6109958.9444444459</v>
      </c>
      <c r="H94" s="63">
        <f t="shared" si="12"/>
        <v>-4516056.6111111119</v>
      </c>
      <c r="I94" s="63">
        <f t="shared" si="23"/>
        <v>5047357.3888888881</v>
      </c>
      <c r="J94" s="63">
        <f t="shared" si="17"/>
        <v>55786.581666666665</v>
      </c>
      <c r="K94" s="68">
        <f t="shared" si="18"/>
        <v>-725225.56166666863</v>
      </c>
      <c r="L94" s="63">
        <f t="shared" si="21"/>
        <v>-1059945.0516666684</v>
      </c>
      <c r="M94" s="63">
        <f t="shared" si="11"/>
        <v>3987412.3372222194</v>
      </c>
      <c r="N94" s="64">
        <f t="shared" si="22"/>
        <v>2728229.4938888857</v>
      </c>
      <c r="O94" s="145">
        <f t="shared" si="24"/>
        <v>0.21000000000000066</v>
      </c>
    </row>
    <row r="95" spans="1:15" ht="13.8" thickBot="1" x14ac:dyDescent="0.3">
      <c r="A95" s="61">
        <v>46691</v>
      </c>
      <c r="B95" s="30" t="str">
        <f t="shared" si="15"/>
        <v>Yr2</v>
      </c>
      <c r="D95" s="63">
        <f t="shared" si="19"/>
        <v>9563414</v>
      </c>
      <c r="E95" s="63">
        <f t="shared" si="16"/>
        <v>9563414</v>
      </c>
      <c r="F95" s="124">
        <f t="shared" si="14"/>
        <v>265650.38888888888</v>
      </c>
      <c r="G95" s="63">
        <f t="shared" si="20"/>
        <v>-6375609.3333333349</v>
      </c>
      <c r="H95" s="63">
        <f t="shared" si="12"/>
        <v>-4781707.0000000009</v>
      </c>
      <c r="I95" s="63">
        <f t="shared" si="23"/>
        <v>4781706.9999999991</v>
      </c>
      <c r="J95" s="63">
        <f t="shared" si="17"/>
        <v>55786.581666666665</v>
      </c>
      <c r="K95" s="68">
        <f t="shared" si="18"/>
        <v>-669438.98000000196</v>
      </c>
      <c r="L95" s="63">
        <f t="shared" si="21"/>
        <v>-1004158.470000002</v>
      </c>
      <c r="M95" s="63">
        <f t="shared" si="11"/>
        <v>3777548.529999997</v>
      </c>
      <c r="N95" s="64">
        <f t="shared" si="22"/>
        <v>2518365.6866666633</v>
      </c>
      <c r="O95" s="145"/>
    </row>
    <row r="96" spans="1:15" x14ac:dyDescent="0.25">
      <c r="A96" s="134">
        <v>46721</v>
      </c>
      <c r="B96" s="141" t="s">
        <v>241</v>
      </c>
      <c r="C96" s="141"/>
      <c r="D96" s="136">
        <f t="shared" si="19"/>
        <v>9563414</v>
      </c>
      <c r="E96" s="136">
        <f t="shared" ref="E96:E98" si="25">(D84+D96+SUM(D85:D95)*2)/24</f>
        <v>9563414</v>
      </c>
      <c r="F96" s="137">
        <f t="shared" si="14"/>
        <v>265650.38888888888</v>
      </c>
      <c r="G96" s="136">
        <f t="shared" si="20"/>
        <v>-6641259.7222222239</v>
      </c>
      <c r="H96" s="136">
        <f t="shared" si="12"/>
        <v>-5047357.3888888909</v>
      </c>
      <c r="I96" s="136">
        <f t="shared" si="23"/>
        <v>4516056.6111111091</v>
      </c>
      <c r="J96" s="136">
        <f t="shared" si="17"/>
        <v>55786.581666666665</v>
      </c>
      <c r="K96" s="138">
        <f t="shared" si="18"/>
        <v>-613652.3983333353</v>
      </c>
      <c r="L96" s="136">
        <f t="shared" ref="L96:L107" si="26">(K84+K96+SUM(K85:K95)*2)/24</f>
        <v>-948371.88833333517</v>
      </c>
      <c r="M96" s="136">
        <f t="shared" si="11"/>
        <v>3567684.7227777741</v>
      </c>
      <c r="N96" s="140">
        <f t="shared" si="22"/>
        <v>2308501.8794444408</v>
      </c>
      <c r="O96" s="145"/>
    </row>
    <row r="97" spans="1:15" x14ac:dyDescent="0.25">
      <c r="A97" s="61">
        <v>46752</v>
      </c>
      <c r="B97" s="30" t="str">
        <f>B96</f>
        <v>Yr3</v>
      </c>
      <c r="D97" s="63">
        <f t="shared" si="19"/>
        <v>9563414</v>
      </c>
      <c r="E97" s="63">
        <f t="shared" si="25"/>
        <v>9563414</v>
      </c>
      <c r="F97" s="124">
        <f t="shared" si="14"/>
        <v>265650.38888888888</v>
      </c>
      <c r="G97" s="63">
        <f t="shared" si="20"/>
        <v>-6906910.1111111129</v>
      </c>
      <c r="H97" s="63">
        <f t="shared" si="12"/>
        <v>-5313007.7777777789</v>
      </c>
      <c r="I97" s="63">
        <f t="shared" si="23"/>
        <v>4250406.2222222211</v>
      </c>
      <c r="J97" s="63">
        <f t="shared" si="17"/>
        <v>55786.581666666665</v>
      </c>
      <c r="K97" s="68">
        <f t="shared" si="18"/>
        <v>-557865.81666666863</v>
      </c>
      <c r="L97" s="63">
        <f t="shared" si="26"/>
        <v>-892585.30666666862</v>
      </c>
      <c r="M97" s="63">
        <f t="shared" si="11"/>
        <v>3357820.9155555526</v>
      </c>
      <c r="N97" s="64">
        <f t="shared" si="22"/>
        <v>2098638.0722222184</v>
      </c>
      <c r="O97" s="145"/>
    </row>
    <row r="98" spans="1:15" x14ac:dyDescent="0.25">
      <c r="A98" s="61">
        <v>46783</v>
      </c>
      <c r="B98" s="30" t="str">
        <f t="shared" ref="B98:B107" si="27">B97</f>
        <v>Yr3</v>
      </c>
      <c r="D98" s="63">
        <f t="shared" si="19"/>
        <v>9563414</v>
      </c>
      <c r="E98" s="63">
        <f t="shared" si="25"/>
        <v>9563414</v>
      </c>
      <c r="F98" s="124">
        <f t="shared" si="14"/>
        <v>265650.38888888888</v>
      </c>
      <c r="G98" s="63">
        <f t="shared" si="20"/>
        <v>-7172560.5000000019</v>
      </c>
      <c r="H98" s="63">
        <f t="shared" si="12"/>
        <v>-5578658.1666666679</v>
      </c>
      <c r="I98" s="63">
        <f t="shared" si="23"/>
        <v>3984755.8333333321</v>
      </c>
      <c r="J98" s="63">
        <f t="shared" si="17"/>
        <v>55786.581666666665</v>
      </c>
      <c r="K98" s="68">
        <f t="shared" si="18"/>
        <v>-502079.23500000197</v>
      </c>
      <c r="L98" s="63">
        <f t="shared" si="26"/>
        <v>-836798.72500000196</v>
      </c>
      <c r="M98" s="63">
        <f t="shared" si="11"/>
        <v>3147957.1083333301</v>
      </c>
      <c r="N98" s="64">
        <f t="shared" si="22"/>
        <v>1888774.2649999962</v>
      </c>
      <c r="O98" s="145"/>
    </row>
    <row r="99" spans="1:15" x14ac:dyDescent="0.25">
      <c r="A99" s="61">
        <v>46812</v>
      </c>
      <c r="B99" s="30" t="str">
        <f t="shared" si="27"/>
        <v>Yr3</v>
      </c>
      <c r="D99" s="63">
        <f t="shared" si="19"/>
        <v>9563414</v>
      </c>
      <c r="E99" s="63">
        <f t="shared" ref="E99:E107" si="28">(D87+D99+SUM(D88:D98)*2)/24</f>
        <v>9563414</v>
      </c>
      <c r="F99" s="124">
        <f t="shared" si="14"/>
        <v>265650.38888888888</v>
      </c>
      <c r="G99" s="63">
        <f t="shared" si="20"/>
        <v>-7438210.8888888909</v>
      </c>
      <c r="H99" s="63">
        <f t="shared" si="12"/>
        <v>-5844308.555555556</v>
      </c>
      <c r="I99" s="63">
        <f t="shared" si="23"/>
        <v>3719105.444444444</v>
      </c>
      <c r="J99" s="63">
        <f t="shared" si="17"/>
        <v>55786.581666666665</v>
      </c>
      <c r="K99" s="68">
        <f t="shared" si="18"/>
        <v>-446292.6533333353</v>
      </c>
      <c r="L99" s="63">
        <f t="shared" si="26"/>
        <v>-781012.14333333506</v>
      </c>
      <c r="M99" s="63">
        <f t="shared" si="11"/>
        <v>2938093.3011111091</v>
      </c>
      <c r="N99" s="64">
        <f t="shared" si="22"/>
        <v>1678910.457777774</v>
      </c>
      <c r="O99" s="145"/>
    </row>
    <row r="100" spans="1:15" x14ac:dyDescent="0.25">
      <c r="A100" s="61">
        <v>46843</v>
      </c>
      <c r="B100" s="30" t="str">
        <f t="shared" si="27"/>
        <v>Yr3</v>
      </c>
      <c r="D100" s="63">
        <f t="shared" si="19"/>
        <v>9563414</v>
      </c>
      <c r="E100" s="63">
        <f t="shared" si="28"/>
        <v>9563414</v>
      </c>
      <c r="F100" s="124">
        <f t="shared" si="14"/>
        <v>265650.38888888888</v>
      </c>
      <c r="G100" s="63">
        <f t="shared" si="20"/>
        <v>-7703861.2777777798</v>
      </c>
      <c r="H100" s="63">
        <f t="shared" si="12"/>
        <v>-6109958.9444444468</v>
      </c>
      <c r="I100" s="63">
        <f t="shared" si="23"/>
        <v>3453455.0555555532</v>
      </c>
      <c r="J100" s="63">
        <f t="shared" si="17"/>
        <v>55786.581666666665</v>
      </c>
      <c r="K100" s="68">
        <f t="shared" si="18"/>
        <v>-390506.07166666863</v>
      </c>
      <c r="L100" s="63">
        <f t="shared" si="26"/>
        <v>-725225.56166666851</v>
      </c>
      <c r="M100" s="63">
        <f t="shared" si="11"/>
        <v>2728229.4938888848</v>
      </c>
      <c r="N100" s="64">
        <f t="shared" si="22"/>
        <v>1469046.6505555515</v>
      </c>
      <c r="O100" s="145"/>
    </row>
    <row r="101" spans="1:15" x14ac:dyDescent="0.25">
      <c r="A101" s="61">
        <v>46873</v>
      </c>
      <c r="B101" s="30" t="str">
        <f t="shared" si="27"/>
        <v>Yr3</v>
      </c>
      <c r="D101" s="63">
        <f t="shared" si="19"/>
        <v>9563414</v>
      </c>
      <c r="E101" s="63">
        <f t="shared" si="28"/>
        <v>9563414</v>
      </c>
      <c r="F101" s="124">
        <f t="shared" si="14"/>
        <v>265650.38888888888</v>
      </c>
      <c r="G101" s="63">
        <f t="shared" si="20"/>
        <v>-7969511.6666666688</v>
      </c>
      <c r="H101" s="63">
        <f t="shared" si="12"/>
        <v>-6375609.333333333</v>
      </c>
      <c r="I101" s="63">
        <f t="shared" si="23"/>
        <v>3187804.666666667</v>
      </c>
      <c r="J101" s="63">
        <f t="shared" si="17"/>
        <v>55786.581666666665</v>
      </c>
      <c r="K101" s="68">
        <f t="shared" si="18"/>
        <v>-334719.49000000197</v>
      </c>
      <c r="L101" s="63">
        <f t="shared" si="26"/>
        <v>-669438.98000000196</v>
      </c>
      <c r="M101" s="63">
        <f t="shared" ref="M101:M107" si="29">L101+I101</f>
        <v>2518365.6866666651</v>
      </c>
      <c r="N101" s="64">
        <f t="shared" si="22"/>
        <v>1259182.8433333291</v>
      </c>
      <c r="O101" s="145"/>
    </row>
    <row r="102" spans="1:15" x14ac:dyDescent="0.25">
      <c r="A102" s="61">
        <v>46904</v>
      </c>
      <c r="B102" s="30" t="str">
        <f t="shared" si="27"/>
        <v>Yr3</v>
      </c>
      <c r="D102" s="63">
        <f t="shared" si="19"/>
        <v>9563414</v>
      </c>
      <c r="E102" s="63">
        <f t="shared" si="28"/>
        <v>9563414</v>
      </c>
      <c r="F102" s="124">
        <f t="shared" si="14"/>
        <v>265650.38888888888</v>
      </c>
      <c r="G102" s="63">
        <f t="shared" si="20"/>
        <v>-8235162.0555555578</v>
      </c>
      <c r="H102" s="63">
        <f t="shared" ref="H102:H107" si="30">(G90+G102+SUM(G91:G101)*2)/24</f>
        <v>-6641259.7222222239</v>
      </c>
      <c r="I102" s="63">
        <f t="shared" si="23"/>
        <v>2922154.2777777761</v>
      </c>
      <c r="J102" s="63">
        <f t="shared" si="17"/>
        <v>55786.581666666665</v>
      </c>
      <c r="K102" s="68">
        <f t="shared" si="18"/>
        <v>-278932.9083333353</v>
      </c>
      <c r="L102" s="63">
        <f t="shared" si="26"/>
        <v>-613652.3983333353</v>
      </c>
      <c r="M102" s="63">
        <f t="shared" si="29"/>
        <v>2308501.8794444408</v>
      </c>
      <c r="N102" s="64">
        <f t="shared" si="22"/>
        <v>1049319.0361111069</v>
      </c>
      <c r="O102" s="145"/>
    </row>
    <row r="103" spans="1:15" x14ac:dyDescent="0.25">
      <c r="A103" s="61">
        <v>46934</v>
      </c>
      <c r="B103" s="30" t="str">
        <f t="shared" si="27"/>
        <v>Yr3</v>
      </c>
      <c r="D103" s="63">
        <f t="shared" si="19"/>
        <v>9563414</v>
      </c>
      <c r="E103" s="63">
        <f t="shared" si="28"/>
        <v>9563414</v>
      </c>
      <c r="F103" s="124">
        <f t="shared" si="14"/>
        <v>265650.38888888888</v>
      </c>
      <c r="G103" s="63">
        <f t="shared" si="20"/>
        <v>-8500812.4444444459</v>
      </c>
      <c r="H103" s="63">
        <f t="shared" si="30"/>
        <v>-6906910.1111111119</v>
      </c>
      <c r="I103" s="63">
        <f t="shared" si="23"/>
        <v>2656503.8888888881</v>
      </c>
      <c r="J103" s="63">
        <f t="shared" si="17"/>
        <v>55786.581666666665</v>
      </c>
      <c r="K103" s="68">
        <f t="shared" si="18"/>
        <v>-223146.32666666864</v>
      </c>
      <c r="L103" s="63">
        <f t="shared" si="26"/>
        <v>-557865.81666666863</v>
      </c>
      <c r="M103" s="63">
        <f t="shared" si="29"/>
        <v>2098638.0722222193</v>
      </c>
      <c r="N103" s="64">
        <f t="shared" si="22"/>
        <v>839455.22888888547</v>
      </c>
      <c r="O103" s="145"/>
    </row>
    <row r="104" spans="1:15" x14ac:dyDescent="0.25">
      <c r="A104" s="61">
        <v>46965</v>
      </c>
      <c r="B104" s="30" t="str">
        <f t="shared" si="27"/>
        <v>Yr3</v>
      </c>
      <c r="D104" s="63">
        <f t="shared" si="19"/>
        <v>9563414</v>
      </c>
      <c r="E104" s="63">
        <f t="shared" si="28"/>
        <v>9563414</v>
      </c>
      <c r="F104" s="124">
        <f t="shared" si="14"/>
        <v>265650.38888888888</v>
      </c>
      <c r="G104" s="63">
        <f t="shared" si="20"/>
        <v>-8766462.833333334</v>
      </c>
      <c r="H104" s="63">
        <f t="shared" si="30"/>
        <v>-7172560.5000000009</v>
      </c>
      <c r="I104" s="63">
        <f t="shared" si="23"/>
        <v>2390853.4999999991</v>
      </c>
      <c r="J104" s="63">
        <f t="shared" si="17"/>
        <v>55786.581666666665</v>
      </c>
      <c r="K104" s="68">
        <f t="shared" si="18"/>
        <v>-167359.74500000197</v>
      </c>
      <c r="L104" s="63">
        <f t="shared" si="26"/>
        <v>-502079.23500000202</v>
      </c>
      <c r="M104" s="63">
        <f t="shared" si="29"/>
        <v>1888774.2649999971</v>
      </c>
      <c r="N104" s="64">
        <f t="shared" si="22"/>
        <v>629591.42166666407</v>
      </c>
      <c r="O104" s="145"/>
    </row>
    <row r="105" spans="1:15" x14ac:dyDescent="0.25">
      <c r="A105" s="61">
        <v>46996</v>
      </c>
      <c r="B105" s="30" t="str">
        <f t="shared" si="27"/>
        <v>Yr3</v>
      </c>
      <c r="D105" s="63">
        <f t="shared" si="19"/>
        <v>9563414</v>
      </c>
      <c r="E105" s="63">
        <f t="shared" si="28"/>
        <v>9563414</v>
      </c>
      <c r="F105" s="124">
        <f t="shared" si="14"/>
        <v>265650.38888888888</v>
      </c>
      <c r="G105" s="63">
        <f t="shared" si="20"/>
        <v>-9032113.222222222</v>
      </c>
      <c r="H105" s="63">
        <f t="shared" si="30"/>
        <v>-7438210.8888888909</v>
      </c>
      <c r="I105" s="63">
        <f t="shared" si="23"/>
        <v>2125203.1111111091</v>
      </c>
      <c r="J105" s="63">
        <f t="shared" si="17"/>
        <v>55786.581666666665</v>
      </c>
      <c r="K105" s="68">
        <f t="shared" si="18"/>
        <v>-111573.16333333531</v>
      </c>
      <c r="L105" s="63">
        <f t="shared" si="26"/>
        <v>-446292.65333333524</v>
      </c>
      <c r="M105" s="63">
        <f t="shared" si="29"/>
        <v>1678910.457777774</v>
      </c>
      <c r="N105" s="64">
        <f t="shared" si="22"/>
        <v>419727.61444444268</v>
      </c>
      <c r="O105" s="145"/>
    </row>
    <row r="106" spans="1:15" x14ac:dyDescent="0.25">
      <c r="A106" s="61">
        <v>47026</v>
      </c>
      <c r="B106" s="30" t="str">
        <f t="shared" si="27"/>
        <v>Yr3</v>
      </c>
      <c r="D106" s="63">
        <f t="shared" si="19"/>
        <v>9563414</v>
      </c>
      <c r="E106" s="63">
        <f t="shared" si="28"/>
        <v>9563414</v>
      </c>
      <c r="F106" s="124">
        <f t="shared" si="14"/>
        <v>265650.38888888888</v>
      </c>
      <c r="G106" s="63">
        <f t="shared" si="20"/>
        <v>-9297763.6111111101</v>
      </c>
      <c r="H106" s="63">
        <f t="shared" si="30"/>
        <v>-7703861.2777777798</v>
      </c>
      <c r="I106" s="63">
        <f t="shared" si="23"/>
        <v>1859552.7222222202</v>
      </c>
      <c r="J106" s="63">
        <f t="shared" si="17"/>
        <v>55786.581666666665</v>
      </c>
      <c r="K106" s="68">
        <f t="shared" si="18"/>
        <v>-55786.581666668644</v>
      </c>
      <c r="L106" s="63">
        <f t="shared" si="26"/>
        <v>-390506.07166666863</v>
      </c>
      <c r="M106" s="63">
        <f t="shared" si="29"/>
        <v>1469046.6505555515</v>
      </c>
      <c r="N106" s="64">
        <f t="shared" si="22"/>
        <v>209863.80722222128</v>
      </c>
      <c r="O106" s="145"/>
    </row>
    <row r="107" spans="1:15" x14ac:dyDescent="0.25">
      <c r="A107" s="70">
        <v>47057</v>
      </c>
      <c r="B107" s="30" t="str">
        <f t="shared" si="27"/>
        <v>Yr3</v>
      </c>
      <c r="C107" s="71"/>
      <c r="D107" s="72">
        <f t="shared" si="19"/>
        <v>9563414</v>
      </c>
      <c r="E107" s="72">
        <f t="shared" si="28"/>
        <v>9563414</v>
      </c>
      <c r="F107" s="125">
        <f t="shared" si="14"/>
        <v>265650.38888888888</v>
      </c>
      <c r="G107" s="72">
        <f t="shared" si="20"/>
        <v>-9563413.9999999981</v>
      </c>
      <c r="H107" s="72">
        <f t="shared" si="30"/>
        <v>-7969511.6666666679</v>
      </c>
      <c r="I107" s="72">
        <f t="shared" si="23"/>
        <v>1593902.3333333321</v>
      </c>
      <c r="J107" s="72">
        <f t="shared" si="17"/>
        <v>55786.581666666665</v>
      </c>
      <c r="K107" s="73">
        <f t="shared" si="18"/>
        <v>-1.9790604710578918E-9</v>
      </c>
      <c r="L107" s="72">
        <f t="shared" si="26"/>
        <v>-334719.49000000203</v>
      </c>
      <c r="M107" s="72">
        <f t="shared" si="29"/>
        <v>1259182.84333333</v>
      </c>
      <c r="N107" s="74">
        <f t="shared" si="22"/>
        <v>-1.1641532182693481E-10</v>
      </c>
      <c r="O107" s="145"/>
    </row>
    <row r="110" spans="1:15" x14ac:dyDescent="0.25">
      <c r="A110" s="30" t="s">
        <v>302</v>
      </c>
      <c r="F110" s="130">
        <f>SUM(F72:F83)</f>
        <v>3187804.6666666674</v>
      </c>
    </row>
  </sheetData>
  <printOptions horizontalCentered="1"/>
  <pageMargins left="0.2" right="0.2" top="0.25" bottom="0.5" header="0.3" footer="0.3"/>
  <pageSetup scale="75" firstPageNumber="4" fitToHeight="0" orientation="landscape" useFirstPageNumber="1" r:id="rId1"/>
  <headerFooter>
    <oddFooter>&amp;R&amp;"Times New Roman,Regular"Exh. SEF-3 page &amp;P of 16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O110"/>
  <sheetViews>
    <sheetView workbookViewId="0">
      <pane xSplit="1" ySplit="9" topLeftCell="B50" activePane="bottomRight" state="frozen"/>
      <selection activeCell="C50" sqref="C50"/>
      <selection pane="topRight" activeCell="C50" sqref="C50"/>
      <selection pane="bottomLeft" activeCell="C50" sqref="C50"/>
      <selection pane="bottomRight" activeCell="C55" sqref="C55"/>
    </sheetView>
  </sheetViews>
  <sheetFormatPr defaultColWidth="9.109375" defaultRowHeight="13.2" outlineLevelRow="1" x14ac:dyDescent="0.25"/>
  <cols>
    <col min="1" max="1" width="17.33203125" style="30" customWidth="1"/>
    <col min="2" max="2" width="8.88671875" style="66" bestFit="1" customWidth="1"/>
    <col min="3" max="3" width="11.33203125" style="66" customWidth="1"/>
    <col min="4" max="4" width="11.33203125" style="66" bestFit="1" customWidth="1"/>
    <col min="5" max="5" width="19.5546875" style="66" customWidth="1"/>
    <col min="6" max="6" width="16.33203125" style="66" bestFit="1" customWidth="1"/>
    <col min="7" max="7" width="16.109375" style="66" bestFit="1" customWidth="1"/>
    <col min="8" max="8" width="12.109375" style="66" bestFit="1" customWidth="1"/>
    <col min="9" max="9" width="11.44140625" style="66" bestFit="1" customWidth="1"/>
    <col min="10" max="10" width="15" style="66" bestFit="1" customWidth="1"/>
    <col min="11" max="11" width="16.6640625" style="66" bestFit="1" customWidth="1"/>
    <col min="12" max="12" width="11.33203125" style="66" bestFit="1" customWidth="1"/>
    <col min="13" max="13" width="11.44140625" style="66" bestFit="1" customWidth="1"/>
    <col min="14" max="14" width="11.109375" style="66" bestFit="1" customWidth="1"/>
    <col min="15" max="15" width="6.33203125" style="30" bestFit="1" customWidth="1"/>
    <col min="16" max="16384" width="9.109375" style="30"/>
  </cols>
  <sheetData>
    <row r="1" spans="1:15" x14ac:dyDescent="0.25">
      <c r="A1" s="27" t="s">
        <v>43</v>
      </c>
      <c r="B1" s="28"/>
      <c r="C1" s="28"/>
      <c r="D1" s="28"/>
      <c r="E1" s="28"/>
      <c r="F1" s="28"/>
      <c r="G1" s="28"/>
      <c r="H1" s="28"/>
      <c r="I1" s="28"/>
      <c r="J1" s="29"/>
      <c r="K1" s="29"/>
      <c r="L1" s="29"/>
      <c r="M1" s="29"/>
      <c r="N1" s="30"/>
    </row>
    <row r="2" spans="1:15" x14ac:dyDescent="0.25">
      <c r="A2" s="27" t="s">
        <v>237</v>
      </c>
      <c r="B2" s="28"/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30"/>
    </row>
    <row r="3" spans="1:15" x14ac:dyDescent="0.25">
      <c r="A3" s="28" t="s">
        <v>236</v>
      </c>
      <c r="B3" s="28"/>
      <c r="C3" s="28"/>
      <c r="D3" s="28"/>
      <c r="E3" s="28"/>
      <c r="F3" s="28"/>
      <c r="G3" s="28"/>
      <c r="H3" s="28"/>
      <c r="I3" s="28"/>
      <c r="J3" s="29"/>
      <c r="K3" s="29"/>
      <c r="L3" s="29"/>
      <c r="M3" s="29"/>
      <c r="N3" s="30"/>
    </row>
    <row r="4" spans="1:15" x14ac:dyDescent="0.25">
      <c r="A4" s="28"/>
      <c r="B4" s="28"/>
      <c r="C4" s="31"/>
      <c r="D4" s="32"/>
      <c r="E4" s="33"/>
      <c r="F4" s="34"/>
      <c r="G4" s="34"/>
      <c r="H4" s="34"/>
      <c r="I4" s="34"/>
      <c r="J4" s="35"/>
      <c r="K4" s="36"/>
      <c r="L4" s="35"/>
      <c r="M4" s="35"/>
      <c r="N4" s="30"/>
    </row>
    <row r="5" spans="1:15" x14ac:dyDescent="0.25">
      <c r="A5" s="29"/>
      <c r="B5" s="29"/>
      <c r="C5" s="37" t="s">
        <v>46</v>
      </c>
      <c r="D5" s="38"/>
      <c r="E5" s="35"/>
      <c r="F5" s="39"/>
      <c r="G5" s="39"/>
      <c r="H5" s="39"/>
      <c r="I5" s="39"/>
      <c r="J5" s="40"/>
      <c r="K5" s="39"/>
      <c r="L5" s="39"/>
      <c r="M5" s="39"/>
      <c r="N5" s="30"/>
    </row>
    <row r="6" spans="1:15" x14ac:dyDescent="0.25">
      <c r="A6" s="41"/>
      <c r="B6" s="41"/>
      <c r="C6" s="42" t="s">
        <v>47</v>
      </c>
      <c r="D6" s="42" t="s">
        <v>48</v>
      </c>
      <c r="E6" s="42" t="s">
        <v>49</v>
      </c>
      <c r="F6" s="42" t="s">
        <v>50</v>
      </c>
      <c r="G6" s="42" t="s">
        <v>51</v>
      </c>
      <c r="H6" s="42" t="s">
        <v>52</v>
      </c>
      <c r="I6" s="42" t="s">
        <v>41</v>
      </c>
      <c r="J6" s="42" t="s">
        <v>50</v>
      </c>
      <c r="K6" s="42" t="s">
        <v>51</v>
      </c>
      <c r="L6" s="42" t="s">
        <v>53</v>
      </c>
      <c r="M6" s="43" t="s">
        <v>54</v>
      </c>
      <c r="N6" s="44" t="s">
        <v>48</v>
      </c>
      <c r="O6" s="146" t="s">
        <v>156</v>
      </c>
    </row>
    <row r="7" spans="1:15" x14ac:dyDescent="0.25">
      <c r="A7" s="39" t="s">
        <v>55</v>
      </c>
      <c r="B7" s="45"/>
      <c r="C7" s="39" t="s">
        <v>56</v>
      </c>
      <c r="D7" s="39"/>
      <c r="E7" s="39" t="s">
        <v>48</v>
      </c>
      <c r="F7" s="39" t="s">
        <v>57</v>
      </c>
      <c r="G7" s="39" t="s">
        <v>57</v>
      </c>
      <c r="H7" s="39" t="s">
        <v>57</v>
      </c>
      <c r="I7" s="39" t="s">
        <v>58</v>
      </c>
      <c r="J7" s="39" t="s">
        <v>59</v>
      </c>
      <c r="K7" s="39" t="s">
        <v>59</v>
      </c>
      <c r="L7" s="39" t="s">
        <v>41</v>
      </c>
      <c r="M7" s="46" t="s">
        <v>53</v>
      </c>
      <c r="N7" s="47" t="s">
        <v>60</v>
      </c>
      <c r="O7" s="146" t="s">
        <v>158</v>
      </c>
    </row>
    <row r="8" spans="1:15" x14ac:dyDescent="0.25">
      <c r="A8" s="39" t="s">
        <v>61</v>
      </c>
      <c r="B8" s="45"/>
      <c r="C8" s="39" t="s">
        <v>62</v>
      </c>
      <c r="D8" s="39" t="s">
        <v>63</v>
      </c>
      <c r="E8" s="39" t="s">
        <v>64</v>
      </c>
      <c r="F8" s="39" t="s">
        <v>65</v>
      </c>
      <c r="G8" s="48" t="s">
        <v>66</v>
      </c>
      <c r="H8" s="39" t="s">
        <v>67</v>
      </c>
      <c r="I8" s="39" t="s">
        <v>68</v>
      </c>
      <c r="J8" s="39" t="s">
        <v>69</v>
      </c>
      <c r="K8" s="39" t="s">
        <v>70</v>
      </c>
      <c r="L8" s="39" t="s">
        <v>71</v>
      </c>
      <c r="M8" s="46" t="s">
        <v>72</v>
      </c>
      <c r="N8" s="47" t="s">
        <v>73</v>
      </c>
      <c r="O8" s="147" t="s">
        <v>157</v>
      </c>
    </row>
    <row r="9" spans="1:15" x14ac:dyDescent="0.25">
      <c r="A9" s="49"/>
      <c r="B9" s="49"/>
      <c r="C9" s="50"/>
      <c r="D9" s="50"/>
      <c r="E9" s="50"/>
      <c r="F9" s="51" t="s">
        <v>244</v>
      </c>
      <c r="G9" s="50"/>
      <c r="H9" s="50"/>
      <c r="I9" s="50"/>
      <c r="J9" s="50" t="s">
        <v>75</v>
      </c>
      <c r="K9" s="52"/>
      <c r="L9" s="50"/>
      <c r="M9" s="53"/>
      <c r="N9" s="54"/>
      <c r="O9" s="146">
        <v>0.21</v>
      </c>
    </row>
    <row r="10" spans="1:15" x14ac:dyDescent="0.25">
      <c r="A10" s="55"/>
      <c r="B10" s="29"/>
      <c r="C10" s="39"/>
      <c r="D10" s="56"/>
      <c r="E10" s="57"/>
      <c r="F10" s="39"/>
      <c r="G10" s="39"/>
      <c r="H10" s="56"/>
      <c r="I10" s="56"/>
      <c r="J10" s="58"/>
      <c r="K10" s="58"/>
      <c r="L10" s="58"/>
      <c r="M10" s="59"/>
      <c r="N10" s="60"/>
    </row>
    <row r="11" spans="1:15" x14ac:dyDescent="0.25">
      <c r="A11" s="61" t="s">
        <v>76</v>
      </c>
      <c r="B11" s="61"/>
      <c r="C11" s="62"/>
      <c r="D11" s="56"/>
      <c r="E11" s="63"/>
      <c r="F11" s="56"/>
      <c r="G11" s="56"/>
      <c r="H11" s="56"/>
      <c r="I11" s="56"/>
      <c r="J11" s="63"/>
      <c r="K11" s="63"/>
      <c r="L11" s="63"/>
      <c r="M11" s="59"/>
      <c r="N11" s="64"/>
    </row>
    <row r="12" spans="1:15" hidden="1" outlineLevel="1" x14ac:dyDescent="0.25">
      <c r="A12" s="61">
        <v>44165</v>
      </c>
      <c r="B12" s="61"/>
      <c r="C12" s="62"/>
      <c r="D12" s="56"/>
      <c r="E12" s="63"/>
      <c r="F12" s="56"/>
      <c r="G12" s="56"/>
      <c r="H12" s="56"/>
      <c r="I12" s="56"/>
      <c r="J12" s="63"/>
      <c r="K12" s="63"/>
      <c r="L12" s="63"/>
      <c r="M12" s="58"/>
      <c r="N12" s="64"/>
    </row>
    <row r="13" spans="1:15" hidden="1" outlineLevel="1" x14ac:dyDescent="0.25">
      <c r="A13" s="61">
        <v>44196</v>
      </c>
      <c r="B13" s="61"/>
      <c r="C13" s="62"/>
      <c r="D13" s="56"/>
      <c r="E13" s="63"/>
      <c r="F13" s="56"/>
      <c r="G13" s="56"/>
      <c r="H13" s="56"/>
      <c r="I13" s="56"/>
      <c r="J13" s="63"/>
      <c r="K13" s="63"/>
      <c r="L13" s="63"/>
      <c r="M13" s="58"/>
      <c r="N13" s="64"/>
    </row>
    <row r="14" spans="1:15" hidden="1" outlineLevel="1" x14ac:dyDescent="0.25">
      <c r="A14" s="61">
        <v>44227</v>
      </c>
      <c r="B14" s="61"/>
      <c r="C14" s="62"/>
      <c r="D14" s="56"/>
      <c r="E14" s="63"/>
      <c r="F14" s="56"/>
      <c r="G14" s="56"/>
      <c r="H14" s="56"/>
      <c r="I14" s="56"/>
      <c r="J14" s="63"/>
      <c r="K14" s="63"/>
      <c r="L14" s="63"/>
      <c r="M14" s="58"/>
      <c r="N14" s="64"/>
    </row>
    <row r="15" spans="1:15" hidden="1" outlineLevel="1" x14ac:dyDescent="0.25">
      <c r="A15" s="61">
        <v>44255</v>
      </c>
      <c r="B15" s="61"/>
      <c r="C15" s="62"/>
      <c r="D15" s="56"/>
      <c r="E15" s="63"/>
      <c r="F15" s="56"/>
      <c r="G15" s="56"/>
      <c r="H15" s="56"/>
      <c r="I15" s="56"/>
      <c r="J15" s="63"/>
      <c r="K15" s="63"/>
      <c r="L15" s="63"/>
      <c r="M15" s="58"/>
      <c r="N15" s="64"/>
    </row>
    <row r="16" spans="1:15" hidden="1" outlineLevel="1" x14ac:dyDescent="0.25">
      <c r="A16" s="61">
        <v>44286</v>
      </c>
      <c r="B16" s="61"/>
      <c r="C16" s="62"/>
      <c r="D16" s="56"/>
      <c r="E16" s="63"/>
      <c r="F16" s="56"/>
      <c r="G16" s="56"/>
      <c r="H16" s="56"/>
      <c r="I16" s="56"/>
      <c r="J16" s="63"/>
      <c r="K16" s="63"/>
      <c r="L16" s="63"/>
      <c r="M16" s="58"/>
      <c r="N16" s="64"/>
    </row>
    <row r="17" spans="1:15" hidden="1" outlineLevel="1" x14ac:dyDescent="0.25">
      <c r="A17" s="61">
        <v>44316</v>
      </c>
      <c r="B17" s="61"/>
      <c r="C17" s="62"/>
      <c r="D17" s="56"/>
      <c r="E17" s="63"/>
      <c r="F17" s="56"/>
      <c r="G17" s="56"/>
      <c r="H17" s="56"/>
      <c r="I17" s="56"/>
      <c r="J17" s="63"/>
      <c r="K17" s="63"/>
      <c r="L17" s="63"/>
      <c r="M17" s="58"/>
      <c r="N17" s="64"/>
    </row>
    <row r="18" spans="1:15" hidden="1" outlineLevel="1" x14ac:dyDescent="0.25">
      <c r="A18" s="61">
        <v>44347</v>
      </c>
      <c r="B18" s="61"/>
      <c r="C18" s="62"/>
      <c r="D18" s="56"/>
      <c r="E18" s="63"/>
      <c r="F18" s="56"/>
      <c r="G18" s="56"/>
      <c r="H18" s="56"/>
      <c r="I18" s="56"/>
      <c r="J18" s="63"/>
      <c r="K18" s="63"/>
      <c r="L18" s="63"/>
      <c r="M18" s="58"/>
      <c r="N18" s="64"/>
    </row>
    <row r="19" spans="1:15" hidden="1" outlineLevel="1" x14ac:dyDescent="0.25">
      <c r="A19" s="61">
        <v>44377</v>
      </c>
      <c r="B19" s="61"/>
      <c r="C19" s="62"/>
      <c r="D19" s="56"/>
      <c r="E19" s="63"/>
      <c r="F19" s="56"/>
      <c r="G19" s="56"/>
      <c r="H19" s="56"/>
      <c r="I19" s="56"/>
      <c r="J19" s="63"/>
      <c r="K19" s="63"/>
      <c r="L19" s="63"/>
      <c r="M19" s="58"/>
      <c r="N19" s="64"/>
    </row>
    <row r="20" spans="1:15" hidden="1" outlineLevel="1" x14ac:dyDescent="0.25">
      <c r="A20" s="61">
        <v>44408</v>
      </c>
      <c r="B20" s="61"/>
      <c r="C20" s="62"/>
      <c r="D20" s="56"/>
      <c r="E20" s="63"/>
      <c r="F20" s="56"/>
      <c r="G20" s="56"/>
      <c r="H20" s="56"/>
      <c r="I20" s="56"/>
      <c r="J20" s="63"/>
      <c r="K20" s="63"/>
      <c r="L20" s="63"/>
      <c r="M20" s="58"/>
      <c r="N20" s="64"/>
    </row>
    <row r="21" spans="1:15" hidden="1" outlineLevel="1" x14ac:dyDescent="0.25">
      <c r="A21" s="61">
        <v>44439</v>
      </c>
      <c r="B21" s="61"/>
      <c r="C21" s="62"/>
      <c r="D21" s="56"/>
      <c r="E21" s="63"/>
      <c r="F21" s="56"/>
      <c r="G21" s="56"/>
      <c r="H21" s="56"/>
      <c r="I21" s="56"/>
      <c r="J21" s="63"/>
      <c r="K21" s="63"/>
      <c r="L21" s="63"/>
      <c r="M21" s="58"/>
      <c r="N21" s="64"/>
    </row>
    <row r="22" spans="1:15" hidden="1" outlineLevel="1" x14ac:dyDescent="0.25">
      <c r="A22" s="61">
        <v>44469</v>
      </c>
      <c r="B22" s="61"/>
      <c r="C22" s="79"/>
      <c r="D22" s="56"/>
      <c r="E22" s="63"/>
      <c r="F22" s="56"/>
      <c r="G22" s="56"/>
      <c r="H22" s="56"/>
      <c r="I22" s="56"/>
      <c r="J22" s="63"/>
      <c r="K22" s="63"/>
      <c r="L22" s="63"/>
      <c r="M22" s="58"/>
      <c r="N22" s="64"/>
    </row>
    <row r="23" spans="1:15" hidden="1" outlineLevel="1" x14ac:dyDescent="0.25">
      <c r="A23" s="61">
        <v>44500</v>
      </c>
      <c r="B23" s="61"/>
      <c r="C23" s="79"/>
      <c r="D23" s="56"/>
      <c r="E23" s="63"/>
      <c r="F23" s="56"/>
      <c r="G23" s="56"/>
      <c r="H23" s="56"/>
      <c r="I23" s="56"/>
      <c r="J23" s="63"/>
      <c r="K23" s="63"/>
      <c r="L23" s="63"/>
      <c r="M23" s="58"/>
      <c r="N23" s="64"/>
    </row>
    <row r="24" spans="1:15" collapsed="1" x14ac:dyDescent="0.25">
      <c r="A24" s="61">
        <v>44530</v>
      </c>
      <c r="B24" s="61"/>
      <c r="C24" s="62"/>
      <c r="D24" s="63">
        <f>D11+C24</f>
        <v>0</v>
      </c>
      <c r="E24" s="63">
        <f t="shared" ref="E24:E87" si="0">(D12+D24+SUM(D13:D23)*2)/24</f>
        <v>0</v>
      </c>
      <c r="F24" s="63">
        <v>0</v>
      </c>
      <c r="G24" s="63">
        <v>0</v>
      </c>
      <c r="H24" s="63">
        <v>0</v>
      </c>
      <c r="I24" s="63">
        <v>0</v>
      </c>
      <c r="J24" s="63">
        <f t="shared" ref="J24:J87" si="1">(-C24*0.21)+(F24*0.21)</f>
        <v>0</v>
      </c>
      <c r="K24" s="63">
        <f t="shared" ref="K24:K87" si="2">K23+J24</f>
        <v>0</v>
      </c>
      <c r="L24" s="63">
        <v>0</v>
      </c>
      <c r="M24" s="63">
        <v>0</v>
      </c>
      <c r="N24" s="65">
        <v>0</v>
      </c>
    </row>
    <row r="25" spans="1:15" x14ac:dyDescent="0.25">
      <c r="A25" s="61">
        <v>44561</v>
      </c>
      <c r="B25" s="61"/>
      <c r="C25" s="62"/>
      <c r="D25" s="63">
        <f t="shared" ref="D25:D88" si="3">D24+C25</f>
        <v>0</v>
      </c>
      <c r="E25" s="63">
        <f t="shared" si="0"/>
        <v>0</v>
      </c>
      <c r="F25" s="63">
        <v>0</v>
      </c>
      <c r="G25" s="63">
        <v>0</v>
      </c>
      <c r="H25" s="63">
        <v>0</v>
      </c>
      <c r="I25" s="63">
        <v>0</v>
      </c>
      <c r="J25" s="63">
        <f t="shared" si="1"/>
        <v>0</v>
      </c>
      <c r="K25" s="63">
        <f t="shared" si="2"/>
        <v>0</v>
      </c>
      <c r="L25" s="63">
        <v>0</v>
      </c>
      <c r="M25" s="63">
        <v>0</v>
      </c>
      <c r="N25" s="65">
        <v>0</v>
      </c>
    </row>
    <row r="26" spans="1:15" x14ac:dyDescent="0.25">
      <c r="A26" s="61">
        <v>44592</v>
      </c>
      <c r="B26" s="61"/>
      <c r="C26" s="62"/>
      <c r="D26" s="63">
        <f t="shared" si="3"/>
        <v>0</v>
      </c>
      <c r="E26" s="63">
        <f>(D14+D26+SUM(D15:D25)*2)/24</f>
        <v>0</v>
      </c>
      <c r="F26" s="124"/>
      <c r="G26" s="63">
        <f t="shared" ref="G26:G89" si="4">G25-F26</f>
        <v>0</v>
      </c>
      <c r="H26" s="63">
        <f t="shared" ref="H26:H37" si="5">(G14+G26+SUM(G15:G25)*2)/24</f>
        <v>0</v>
      </c>
      <c r="I26" s="63">
        <f>E26+H26</f>
        <v>0</v>
      </c>
      <c r="J26" s="63">
        <f t="shared" si="1"/>
        <v>0</v>
      </c>
      <c r="K26" s="63">
        <f t="shared" si="2"/>
        <v>0</v>
      </c>
      <c r="L26" s="63">
        <f t="shared" ref="L26:L89" si="6">(K14+K26+SUM(K15:K25)*2)/24</f>
        <v>0</v>
      </c>
      <c r="M26" s="63">
        <f>I26+L26</f>
        <v>0</v>
      </c>
      <c r="N26" s="65">
        <f t="shared" ref="N26:N89" si="7">+D26+G26+K26</f>
        <v>0</v>
      </c>
      <c r="O26" s="145"/>
    </row>
    <row r="27" spans="1:15" x14ac:dyDescent="0.25">
      <c r="A27" s="61">
        <v>44620</v>
      </c>
      <c r="B27" s="61"/>
      <c r="C27" s="62"/>
      <c r="D27" s="63">
        <f t="shared" si="3"/>
        <v>0</v>
      </c>
      <c r="E27" s="63">
        <f>(D15+D27+SUM(D16:D26)*2)/24</f>
        <v>0</v>
      </c>
      <c r="F27" s="124"/>
      <c r="G27" s="63">
        <f t="shared" si="4"/>
        <v>0</v>
      </c>
      <c r="H27" s="63">
        <f t="shared" si="5"/>
        <v>0</v>
      </c>
      <c r="I27" s="63">
        <f t="shared" ref="I27:I90" si="8">E27+H27</f>
        <v>0</v>
      </c>
      <c r="J27" s="63">
        <f t="shared" si="1"/>
        <v>0</v>
      </c>
      <c r="K27" s="63">
        <f t="shared" si="2"/>
        <v>0</v>
      </c>
      <c r="L27" s="63">
        <f t="shared" si="6"/>
        <v>0</v>
      </c>
      <c r="M27" s="63">
        <f t="shared" ref="M27:M36" si="9">I27+L27</f>
        <v>0</v>
      </c>
      <c r="N27" s="65">
        <f t="shared" si="7"/>
        <v>0</v>
      </c>
      <c r="O27" s="145" t="e">
        <f t="shared" ref="O27:O90" si="10">-K27/(D27+G27)</f>
        <v>#DIV/0!</v>
      </c>
    </row>
    <row r="28" spans="1:15" x14ac:dyDescent="0.25">
      <c r="A28" s="61">
        <v>44651</v>
      </c>
      <c r="B28" s="61"/>
      <c r="C28" s="62"/>
      <c r="D28" s="63">
        <f t="shared" si="3"/>
        <v>0</v>
      </c>
      <c r="E28" s="63">
        <f t="shared" si="0"/>
        <v>0</v>
      </c>
      <c r="F28" s="124"/>
      <c r="G28" s="63">
        <f t="shared" si="4"/>
        <v>0</v>
      </c>
      <c r="H28" s="63">
        <f t="shared" si="5"/>
        <v>0</v>
      </c>
      <c r="I28" s="63">
        <f t="shared" si="8"/>
        <v>0</v>
      </c>
      <c r="J28" s="63">
        <f t="shared" si="1"/>
        <v>0</v>
      </c>
      <c r="K28" s="63">
        <f t="shared" si="2"/>
        <v>0</v>
      </c>
      <c r="L28" s="63">
        <f t="shared" si="6"/>
        <v>0</v>
      </c>
      <c r="M28" s="63">
        <f t="shared" si="9"/>
        <v>0</v>
      </c>
      <c r="N28" s="65">
        <f t="shared" si="7"/>
        <v>0</v>
      </c>
      <c r="O28" s="145" t="e">
        <f t="shared" si="10"/>
        <v>#DIV/0!</v>
      </c>
    </row>
    <row r="29" spans="1:15" x14ac:dyDescent="0.25">
      <c r="A29" s="61">
        <v>44681</v>
      </c>
      <c r="B29" s="61"/>
      <c r="C29" s="62"/>
      <c r="D29" s="63">
        <f t="shared" si="3"/>
        <v>0</v>
      </c>
      <c r="E29" s="63">
        <f t="shared" si="0"/>
        <v>0</v>
      </c>
      <c r="F29" s="124"/>
      <c r="G29" s="63">
        <f t="shared" si="4"/>
        <v>0</v>
      </c>
      <c r="H29" s="63">
        <f t="shared" si="5"/>
        <v>0</v>
      </c>
      <c r="I29" s="63">
        <f t="shared" si="8"/>
        <v>0</v>
      </c>
      <c r="J29" s="63">
        <f t="shared" si="1"/>
        <v>0</v>
      </c>
      <c r="K29" s="63">
        <f t="shared" si="2"/>
        <v>0</v>
      </c>
      <c r="L29" s="63">
        <f t="shared" si="6"/>
        <v>0</v>
      </c>
      <c r="M29" s="63">
        <f t="shared" si="9"/>
        <v>0</v>
      </c>
      <c r="N29" s="65">
        <f t="shared" si="7"/>
        <v>0</v>
      </c>
      <c r="O29" s="145" t="e">
        <f t="shared" si="10"/>
        <v>#DIV/0!</v>
      </c>
    </row>
    <row r="30" spans="1:15" x14ac:dyDescent="0.25">
      <c r="A30" s="61">
        <v>44712</v>
      </c>
      <c r="B30" s="61"/>
      <c r="C30" s="62"/>
      <c r="D30" s="63">
        <f t="shared" si="3"/>
        <v>0</v>
      </c>
      <c r="E30" s="63">
        <f t="shared" si="0"/>
        <v>0</v>
      </c>
      <c r="F30" s="124"/>
      <c r="G30" s="63">
        <f t="shared" si="4"/>
        <v>0</v>
      </c>
      <c r="H30" s="63">
        <f t="shared" si="5"/>
        <v>0</v>
      </c>
      <c r="I30" s="63">
        <f t="shared" si="8"/>
        <v>0</v>
      </c>
      <c r="J30" s="63">
        <f t="shared" si="1"/>
        <v>0</v>
      </c>
      <c r="K30" s="63">
        <f t="shared" si="2"/>
        <v>0</v>
      </c>
      <c r="L30" s="63">
        <f t="shared" si="6"/>
        <v>0</v>
      </c>
      <c r="M30" s="63">
        <f t="shared" si="9"/>
        <v>0</v>
      </c>
      <c r="N30" s="65">
        <f t="shared" si="7"/>
        <v>0</v>
      </c>
      <c r="O30" s="145" t="e">
        <f t="shared" si="10"/>
        <v>#DIV/0!</v>
      </c>
    </row>
    <row r="31" spans="1:15" x14ac:dyDescent="0.25">
      <c r="A31" s="61">
        <v>44742</v>
      </c>
      <c r="B31" s="61"/>
      <c r="C31" s="62"/>
      <c r="D31" s="63">
        <f t="shared" si="3"/>
        <v>0</v>
      </c>
      <c r="E31" s="63">
        <f t="shared" si="0"/>
        <v>0</v>
      </c>
      <c r="F31" s="124"/>
      <c r="G31" s="63">
        <f t="shared" si="4"/>
        <v>0</v>
      </c>
      <c r="H31" s="63">
        <f t="shared" si="5"/>
        <v>0</v>
      </c>
      <c r="I31" s="63">
        <f t="shared" si="8"/>
        <v>0</v>
      </c>
      <c r="J31" s="63">
        <f t="shared" si="1"/>
        <v>0</v>
      </c>
      <c r="K31" s="63">
        <f t="shared" si="2"/>
        <v>0</v>
      </c>
      <c r="L31" s="63">
        <f t="shared" si="6"/>
        <v>0</v>
      </c>
      <c r="M31" s="63">
        <f t="shared" si="9"/>
        <v>0</v>
      </c>
      <c r="N31" s="65">
        <f t="shared" si="7"/>
        <v>0</v>
      </c>
      <c r="O31" s="145" t="e">
        <f t="shared" si="10"/>
        <v>#DIV/0!</v>
      </c>
    </row>
    <row r="32" spans="1:15" x14ac:dyDescent="0.25">
      <c r="A32" s="61">
        <v>44773</v>
      </c>
      <c r="C32" s="62"/>
      <c r="D32" s="63">
        <f t="shared" si="3"/>
        <v>0</v>
      </c>
      <c r="E32" s="63">
        <f t="shared" si="0"/>
        <v>0</v>
      </c>
      <c r="F32" s="124"/>
      <c r="G32" s="63">
        <f t="shared" si="4"/>
        <v>0</v>
      </c>
      <c r="H32" s="63">
        <f t="shared" si="5"/>
        <v>0</v>
      </c>
      <c r="I32" s="63">
        <f t="shared" si="8"/>
        <v>0</v>
      </c>
      <c r="J32" s="63">
        <f t="shared" si="1"/>
        <v>0</v>
      </c>
      <c r="K32" s="63">
        <f t="shared" si="2"/>
        <v>0</v>
      </c>
      <c r="L32" s="63">
        <f t="shared" si="6"/>
        <v>0</v>
      </c>
      <c r="M32" s="63">
        <f t="shared" si="9"/>
        <v>0</v>
      </c>
      <c r="N32" s="65">
        <f t="shared" si="7"/>
        <v>0</v>
      </c>
      <c r="O32" s="145" t="e">
        <f t="shared" si="10"/>
        <v>#DIV/0!</v>
      </c>
    </row>
    <row r="33" spans="1:15" x14ac:dyDescent="0.25">
      <c r="A33" s="61">
        <v>44804</v>
      </c>
      <c r="C33" s="62"/>
      <c r="D33" s="63">
        <f t="shared" si="3"/>
        <v>0</v>
      </c>
      <c r="E33" s="63">
        <f t="shared" si="0"/>
        <v>0</v>
      </c>
      <c r="F33" s="124"/>
      <c r="G33" s="63">
        <f t="shared" si="4"/>
        <v>0</v>
      </c>
      <c r="H33" s="63">
        <f t="shared" si="5"/>
        <v>0</v>
      </c>
      <c r="I33" s="63">
        <f t="shared" si="8"/>
        <v>0</v>
      </c>
      <c r="J33" s="63">
        <f t="shared" si="1"/>
        <v>0</v>
      </c>
      <c r="K33" s="63">
        <f t="shared" si="2"/>
        <v>0</v>
      </c>
      <c r="L33" s="63">
        <f t="shared" si="6"/>
        <v>0</v>
      </c>
      <c r="M33" s="63">
        <f t="shared" si="9"/>
        <v>0</v>
      </c>
      <c r="N33" s="65">
        <f t="shared" si="7"/>
        <v>0</v>
      </c>
      <c r="O33" s="145" t="e">
        <f t="shared" si="10"/>
        <v>#DIV/0!</v>
      </c>
    </row>
    <row r="34" spans="1:15" x14ac:dyDescent="0.25">
      <c r="A34" s="61">
        <v>44834</v>
      </c>
      <c r="C34" s="62"/>
      <c r="D34" s="63">
        <f t="shared" si="3"/>
        <v>0</v>
      </c>
      <c r="E34" s="63">
        <f t="shared" si="0"/>
        <v>0</v>
      </c>
      <c r="F34" s="124"/>
      <c r="G34" s="63">
        <f t="shared" si="4"/>
        <v>0</v>
      </c>
      <c r="H34" s="63">
        <f t="shared" si="5"/>
        <v>0</v>
      </c>
      <c r="I34" s="63">
        <f t="shared" si="8"/>
        <v>0</v>
      </c>
      <c r="J34" s="63">
        <f t="shared" si="1"/>
        <v>0</v>
      </c>
      <c r="K34" s="63">
        <f t="shared" si="2"/>
        <v>0</v>
      </c>
      <c r="L34" s="63">
        <f t="shared" si="6"/>
        <v>0</v>
      </c>
      <c r="M34" s="63">
        <f t="shared" si="9"/>
        <v>0</v>
      </c>
      <c r="N34" s="65">
        <f t="shared" si="7"/>
        <v>0</v>
      </c>
      <c r="O34" s="145" t="e">
        <f t="shared" si="10"/>
        <v>#DIV/0!</v>
      </c>
    </row>
    <row r="35" spans="1:15" x14ac:dyDescent="0.25">
      <c r="A35" s="61">
        <v>44865</v>
      </c>
      <c r="C35" s="62"/>
      <c r="D35" s="63">
        <f t="shared" si="3"/>
        <v>0</v>
      </c>
      <c r="E35" s="63">
        <f t="shared" si="0"/>
        <v>0</v>
      </c>
      <c r="F35" s="124"/>
      <c r="G35" s="63">
        <f t="shared" si="4"/>
        <v>0</v>
      </c>
      <c r="H35" s="63">
        <f t="shared" si="5"/>
        <v>0</v>
      </c>
      <c r="I35" s="63">
        <f t="shared" si="8"/>
        <v>0</v>
      </c>
      <c r="J35" s="63">
        <f t="shared" si="1"/>
        <v>0</v>
      </c>
      <c r="K35" s="63">
        <f t="shared" si="2"/>
        <v>0</v>
      </c>
      <c r="L35" s="63">
        <f t="shared" si="6"/>
        <v>0</v>
      </c>
      <c r="M35" s="63">
        <f t="shared" si="9"/>
        <v>0</v>
      </c>
      <c r="N35" s="65">
        <f t="shared" si="7"/>
        <v>0</v>
      </c>
      <c r="O35" s="145" t="e">
        <f t="shared" si="10"/>
        <v>#DIV/0!</v>
      </c>
    </row>
    <row r="36" spans="1:15" x14ac:dyDescent="0.25">
      <c r="A36" s="61">
        <v>44895</v>
      </c>
      <c r="C36" s="62"/>
      <c r="D36" s="63">
        <f t="shared" si="3"/>
        <v>0</v>
      </c>
      <c r="E36" s="63">
        <f t="shared" si="0"/>
        <v>0</v>
      </c>
      <c r="F36" s="124"/>
      <c r="G36" s="63">
        <f t="shared" si="4"/>
        <v>0</v>
      </c>
      <c r="H36" s="63">
        <f t="shared" si="5"/>
        <v>0</v>
      </c>
      <c r="I36" s="63">
        <f t="shared" si="8"/>
        <v>0</v>
      </c>
      <c r="J36" s="63">
        <f t="shared" si="1"/>
        <v>0</v>
      </c>
      <c r="K36" s="63">
        <f t="shared" si="2"/>
        <v>0</v>
      </c>
      <c r="L36" s="63">
        <f t="shared" si="6"/>
        <v>0</v>
      </c>
      <c r="M36" s="63">
        <f t="shared" si="9"/>
        <v>0</v>
      </c>
      <c r="N36" s="65">
        <f t="shared" si="7"/>
        <v>0</v>
      </c>
      <c r="O36" s="145" t="e">
        <f t="shared" si="10"/>
        <v>#DIV/0!</v>
      </c>
    </row>
    <row r="37" spans="1:15" x14ac:dyDescent="0.25">
      <c r="A37" s="61">
        <v>44926</v>
      </c>
      <c r="C37" s="62"/>
      <c r="D37" s="63">
        <f t="shared" si="3"/>
        <v>0</v>
      </c>
      <c r="E37" s="63">
        <f t="shared" si="0"/>
        <v>0</v>
      </c>
      <c r="F37" s="124"/>
      <c r="G37" s="63">
        <f t="shared" si="4"/>
        <v>0</v>
      </c>
      <c r="H37" s="63">
        <f t="shared" si="5"/>
        <v>0</v>
      </c>
      <c r="I37" s="63">
        <f t="shared" si="8"/>
        <v>0</v>
      </c>
      <c r="J37" s="63">
        <f t="shared" si="1"/>
        <v>0</v>
      </c>
      <c r="K37" s="63">
        <f t="shared" si="2"/>
        <v>0</v>
      </c>
      <c r="L37" s="63">
        <f t="shared" si="6"/>
        <v>0</v>
      </c>
      <c r="M37" s="63">
        <f t="shared" ref="M37:M100" si="11">L37+I37</f>
        <v>0</v>
      </c>
      <c r="N37" s="64">
        <f t="shared" si="7"/>
        <v>0</v>
      </c>
      <c r="O37" s="145" t="e">
        <f t="shared" si="10"/>
        <v>#DIV/0!</v>
      </c>
    </row>
    <row r="38" spans="1:15" x14ac:dyDescent="0.25">
      <c r="A38" s="61">
        <v>44957</v>
      </c>
      <c r="B38" s="61"/>
      <c r="C38" s="62"/>
      <c r="D38" s="63">
        <f t="shared" si="3"/>
        <v>0</v>
      </c>
      <c r="E38" s="63">
        <f>(D26+D38+SUM(D27:D37)*2)/24</f>
        <v>0</v>
      </c>
      <c r="F38" s="124"/>
      <c r="G38" s="63">
        <f t="shared" si="4"/>
        <v>0</v>
      </c>
      <c r="H38" s="63">
        <f t="shared" ref="H38:H101" si="12">(G26+G38+SUM(G27:G37)*2)/24</f>
        <v>0</v>
      </c>
      <c r="I38" s="63">
        <f t="shared" si="8"/>
        <v>0</v>
      </c>
      <c r="J38" s="63">
        <f t="shared" si="1"/>
        <v>0</v>
      </c>
      <c r="K38" s="68">
        <f t="shared" si="2"/>
        <v>0</v>
      </c>
      <c r="L38" s="63">
        <f t="shared" si="6"/>
        <v>0</v>
      </c>
      <c r="M38" s="69">
        <f t="shared" si="11"/>
        <v>0</v>
      </c>
      <c r="N38" s="64">
        <f t="shared" si="7"/>
        <v>0</v>
      </c>
      <c r="O38" s="145" t="e">
        <f t="shared" si="10"/>
        <v>#DIV/0!</v>
      </c>
    </row>
    <row r="39" spans="1:15" x14ac:dyDescent="0.25">
      <c r="A39" s="61">
        <v>44985</v>
      </c>
      <c r="B39" s="61"/>
      <c r="C39" s="62"/>
      <c r="D39" s="63">
        <f t="shared" si="3"/>
        <v>0</v>
      </c>
      <c r="E39" s="63">
        <f t="shared" si="0"/>
        <v>0</v>
      </c>
      <c r="F39" s="124"/>
      <c r="G39" s="63">
        <f t="shared" si="4"/>
        <v>0</v>
      </c>
      <c r="H39" s="63">
        <f t="shared" si="12"/>
        <v>0</v>
      </c>
      <c r="I39" s="63">
        <f t="shared" si="8"/>
        <v>0</v>
      </c>
      <c r="J39" s="63">
        <f t="shared" si="1"/>
        <v>0</v>
      </c>
      <c r="K39" s="68">
        <f t="shared" si="2"/>
        <v>0</v>
      </c>
      <c r="L39" s="63">
        <f t="shared" si="6"/>
        <v>0</v>
      </c>
      <c r="M39" s="69">
        <f t="shared" si="11"/>
        <v>0</v>
      </c>
      <c r="N39" s="64">
        <f t="shared" si="7"/>
        <v>0</v>
      </c>
      <c r="O39" s="145" t="e">
        <f t="shared" si="10"/>
        <v>#DIV/0!</v>
      </c>
    </row>
    <row r="40" spans="1:15" x14ac:dyDescent="0.25">
      <c r="A40" s="61">
        <v>45016</v>
      </c>
      <c r="B40" s="61"/>
      <c r="C40" s="62"/>
      <c r="D40" s="63">
        <f t="shared" si="3"/>
        <v>0</v>
      </c>
      <c r="E40" s="63">
        <f t="shared" si="0"/>
        <v>0</v>
      </c>
      <c r="F40" s="124"/>
      <c r="G40" s="63">
        <f t="shared" si="4"/>
        <v>0</v>
      </c>
      <c r="H40" s="63">
        <f t="shared" si="12"/>
        <v>0</v>
      </c>
      <c r="I40" s="63">
        <f t="shared" si="8"/>
        <v>0</v>
      </c>
      <c r="J40" s="63">
        <f t="shared" si="1"/>
        <v>0</v>
      </c>
      <c r="K40" s="68">
        <f t="shared" si="2"/>
        <v>0</v>
      </c>
      <c r="L40" s="63">
        <f t="shared" si="6"/>
        <v>0</v>
      </c>
      <c r="M40" s="69">
        <f t="shared" si="11"/>
        <v>0</v>
      </c>
      <c r="N40" s="64">
        <f t="shared" si="7"/>
        <v>0</v>
      </c>
      <c r="O40" s="145" t="e">
        <f t="shared" si="10"/>
        <v>#DIV/0!</v>
      </c>
    </row>
    <row r="41" spans="1:15" x14ac:dyDescent="0.25">
      <c r="A41" s="61">
        <v>45046</v>
      </c>
      <c r="B41" s="61"/>
      <c r="C41" s="62"/>
      <c r="D41" s="63">
        <f t="shared" si="3"/>
        <v>0</v>
      </c>
      <c r="E41" s="63">
        <f t="shared" si="0"/>
        <v>0</v>
      </c>
      <c r="F41" s="124"/>
      <c r="G41" s="63">
        <f t="shared" si="4"/>
        <v>0</v>
      </c>
      <c r="H41" s="63">
        <f t="shared" si="12"/>
        <v>0</v>
      </c>
      <c r="I41" s="63">
        <f t="shared" si="8"/>
        <v>0</v>
      </c>
      <c r="J41" s="63">
        <f t="shared" si="1"/>
        <v>0</v>
      </c>
      <c r="K41" s="68">
        <f t="shared" si="2"/>
        <v>0</v>
      </c>
      <c r="L41" s="63">
        <f t="shared" si="6"/>
        <v>0</v>
      </c>
      <c r="M41" s="69">
        <f t="shared" si="11"/>
        <v>0</v>
      </c>
      <c r="N41" s="64">
        <f t="shared" si="7"/>
        <v>0</v>
      </c>
      <c r="O41" s="145" t="e">
        <f t="shared" si="10"/>
        <v>#DIV/0!</v>
      </c>
    </row>
    <row r="42" spans="1:15" x14ac:dyDescent="0.25">
      <c r="A42" s="61">
        <v>45077</v>
      </c>
      <c r="B42" s="61"/>
      <c r="C42" s="62"/>
      <c r="D42" s="63">
        <f t="shared" si="3"/>
        <v>0</v>
      </c>
      <c r="E42" s="63">
        <f t="shared" si="0"/>
        <v>0</v>
      </c>
      <c r="F42" s="124"/>
      <c r="G42" s="63">
        <f t="shared" si="4"/>
        <v>0</v>
      </c>
      <c r="H42" s="63">
        <f t="shared" si="12"/>
        <v>0</v>
      </c>
      <c r="I42" s="63">
        <f t="shared" si="8"/>
        <v>0</v>
      </c>
      <c r="J42" s="63">
        <f t="shared" si="1"/>
        <v>0</v>
      </c>
      <c r="K42" s="68">
        <f t="shared" si="2"/>
        <v>0</v>
      </c>
      <c r="L42" s="63">
        <f t="shared" si="6"/>
        <v>0</v>
      </c>
      <c r="M42" s="69">
        <f t="shared" si="11"/>
        <v>0</v>
      </c>
      <c r="N42" s="64">
        <f t="shared" si="7"/>
        <v>0</v>
      </c>
      <c r="O42" s="145" t="e">
        <f t="shared" si="10"/>
        <v>#DIV/0!</v>
      </c>
    </row>
    <row r="43" spans="1:15" x14ac:dyDescent="0.25">
      <c r="A43" s="61">
        <v>45107</v>
      </c>
      <c r="B43" s="61"/>
      <c r="C43" s="62"/>
      <c r="D43" s="63">
        <f t="shared" si="3"/>
        <v>0</v>
      </c>
      <c r="E43" s="63">
        <f t="shared" si="0"/>
        <v>0</v>
      </c>
      <c r="F43" s="124"/>
      <c r="G43" s="63">
        <f t="shared" si="4"/>
        <v>0</v>
      </c>
      <c r="H43" s="63">
        <f t="shared" si="12"/>
        <v>0</v>
      </c>
      <c r="I43" s="63">
        <f t="shared" si="8"/>
        <v>0</v>
      </c>
      <c r="J43" s="63">
        <f t="shared" si="1"/>
        <v>0</v>
      </c>
      <c r="K43" s="68">
        <f t="shared" si="2"/>
        <v>0</v>
      </c>
      <c r="L43" s="63">
        <f t="shared" si="6"/>
        <v>0</v>
      </c>
      <c r="M43" s="69">
        <f t="shared" si="11"/>
        <v>0</v>
      </c>
      <c r="N43" s="64">
        <f t="shared" si="7"/>
        <v>0</v>
      </c>
      <c r="O43" s="145" t="e">
        <f t="shared" si="10"/>
        <v>#DIV/0!</v>
      </c>
    </row>
    <row r="44" spans="1:15" x14ac:dyDescent="0.25">
      <c r="A44" s="61">
        <v>45138</v>
      </c>
      <c r="B44" s="61"/>
      <c r="C44" s="62"/>
      <c r="D44" s="63">
        <f t="shared" si="3"/>
        <v>0</v>
      </c>
      <c r="E44" s="63">
        <f t="shared" si="0"/>
        <v>0</v>
      </c>
      <c r="F44" s="124"/>
      <c r="G44" s="63">
        <f t="shared" si="4"/>
        <v>0</v>
      </c>
      <c r="H44" s="63">
        <f t="shared" si="12"/>
        <v>0</v>
      </c>
      <c r="I44" s="63">
        <f t="shared" si="8"/>
        <v>0</v>
      </c>
      <c r="J44" s="63">
        <f t="shared" si="1"/>
        <v>0</v>
      </c>
      <c r="K44" s="68">
        <f t="shared" si="2"/>
        <v>0</v>
      </c>
      <c r="L44" s="63">
        <f t="shared" si="6"/>
        <v>0</v>
      </c>
      <c r="M44" s="69">
        <f t="shared" si="11"/>
        <v>0</v>
      </c>
      <c r="N44" s="64">
        <f t="shared" si="7"/>
        <v>0</v>
      </c>
      <c r="O44" s="145" t="e">
        <f t="shared" si="10"/>
        <v>#DIV/0!</v>
      </c>
    </row>
    <row r="45" spans="1:15" x14ac:dyDescent="0.25">
      <c r="A45" s="61">
        <v>45169</v>
      </c>
      <c r="B45" s="61"/>
      <c r="C45" s="62"/>
      <c r="D45" s="63">
        <f t="shared" si="3"/>
        <v>0</v>
      </c>
      <c r="E45" s="63">
        <f t="shared" si="0"/>
        <v>0</v>
      </c>
      <c r="F45" s="124"/>
      <c r="G45" s="63">
        <f t="shared" si="4"/>
        <v>0</v>
      </c>
      <c r="H45" s="63">
        <f t="shared" si="12"/>
        <v>0</v>
      </c>
      <c r="I45" s="63">
        <f t="shared" si="8"/>
        <v>0</v>
      </c>
      <c r="J45" s="63">
        <f t="shared" si="1"/>
        <v>0</v>
      </c>
      <c r="K45" s="68">
        <f t="shared" si="2"/>
        <v>0</v>
      </c>
      <c r="L45" s="63">
        <f t="shared" si="6"/>
        <v>0</v>
      </c>
      <c r="M45" s="69">
        <f t="shared" si="11"/>
        <v>0</v>
      </c>
      <c r="N45" s="64">
        <f t="shared" si="7"/>
        <v>0</v>
      </c>
      <c r="O45" s="145" t="e">
        <f t="shared" si="10"/>
        <v>#DIV/0!</v>
      </c>
    </row>
    <row r="46" spans="1:15" x14ac:dyDescent="0.25">
      <c r="A46" s="61">
        <v>45199</v>
      </c>
      <c r="B46" s="61"/>
      <c r="C46" s="62"/>
      <c r="D46" s="63">
        <f t="shared" si="3"/>
        <v>0</v>
      </c>
      <c r="E46" s="63">
        <f t="shared" si="0"/>
        <v>0</v>
      </c>
      <c r="F46" s="124"/>
      <c r="G46" s="63">
        <f t="shared" si="4"/>
        <v>0</v>
      </c>
      <c r="H46" s="63">
        <f t="shared" si="12"/>
        <v>0</v>
      </c>
      <c r="I46" s="63">
        <f t="shared" si="8"/>
        <v>0</v>
      </c>
      <c r="J46" s="63">
        <f t="shared" si="1"/>
        <v>0</v>
      </c>
      <c r="K46" s="68">
        <f t="shared" si="2"/>
        <v>0</v>
      </c>
      <c r="L46" s="63">
        <f t="shared" si="6"/>
        <v>0</v>
      </c>
      <c r="M46" s="69">
        <f t="shared" si="11"/>
        <v>0</v>
      </c>
      <c r="N46" s="64">
        <f t="shared" si="7"/>
        <v>0</v>
      </c>
      <c r="O46" s="145" t="e">
        <f t="shared" si="10"/>
        <v>#DIV/0!</v>
      </c>
    </row>
    <row r="47" spans="1:15" ht="13.8" thickBot="1" x14ac:dyDescent="0.3">
      <c r="A47" s="61">
        <v>45230</v>
      </c>
      <c r="B47" s="61"/>
      <c r="C47" s="62"/>
      <c r="D47" s="63">
        <f t="shared" si="3"/>
        <v>0</v>
      </c>
      <c r="E47" s="63">
        <f t="shared" si="0"/>
        <v>0</v>
      </c>
      <c r="F47" s="124"/>
      <c r="G47" s="63">
        <f t="shared" si="4"/>
        <v>0</v>
      </c>
      <c r="H47" s="63">
        <f t="shared" si="12"/>
        <v>0</v>
      </c>
      <c r="I47" s="63">
        <f t="shared" si="8"/>
        <v>0</v>
      </c>
      <c r="J47" s="63">
        <f t="shared" si="1"/>
        <v>0</v>
      </c>
      <c r="K47" s="68">
        <f t="shared" si="2"/>
        <v>0</v>
      </c>
      <c r="L47" s="63">
        <f t="shared" si="6"/>
        <v>0</v>
      </c>
      <c r="M47" s="69">
        <f t="shared" si="11"/>
        <v>0</v>
      </c>
      <c r="N47" s="64">
        <f t="shared" si="7"/>
        <v>0</v>
      </c>
      <c r="O47" s="145" t="e">
        <f t="shared" si="10"/>
        <v>#DIV/0!</v>
      </c>
    </row>
    <row r="48" spans="1:15" x14ac:dyDescent="0.25">
      <c r="A48" s="134">
        <v>45260</v>
      </c>
      <c r="B48" s="134"/>
      <c r="C48" s="135"/>
      <c r="D48" s="136">
        <f t="shared" si="3"/>
        <v>0</v>
      </c>
      <c r="E48" s="136">
        <f>(D36+D48+SUM(D37:D47)*2)/24</f>
        <v>0</v>
      </c>
      <c r="F48" s="137"/>
      <c r="G48" s="136">
        <f t="shared" si="4"/>
        <v>0</v>
      </c>
      <c r="H48" s="136">
        <f t="shared" si="12"/>
        <v>0</v>
      </c>
      <c r="I48" s="136">
        <f t="shared" si="8"/>
        <v>0</v>
      </c>
      <c r="J48" s="136">
        <f t="shared" si="1"/>
        <v>0</v>
      </c>
      <c r="K48" s="138">
        <f t="shared" si="2"/>
        <v>0</v>
      </c>
      <c r="L48" s="136">
        <f t="shared" si="6"/>
        <v>0</v>
      </c>
      <c r="M48" s="139">
        <f t="shared" si="11"/>
        <v>0</v>
      </c>
      <c r="N48" s="140">
        <f t="shared" si="7"/>
        <v>0</v>
      </c>
      <c r="O48" s="145" t="e">
        <f t="shared" si="10"/>
        <v>#DIV/0!</v>
      </c>
    </row>
    <row r="49" spans="1:15" x14ac:dyDescent="0.25">
      <c r="A49" s="61">
        <v>45291</v>
      </c>
      <c r="B49" s="61"/>
      <c r="C49" s="63"/>
      <c r="D49" s="63">
        <f t="shared" si="3"/>
        <v>0</v>
      </c>
      <c r="E49" s="63">
        <f t="shared" si="0"/>
        <v>0</v>
      </c>
      <c r="F49" s="124"/>
      <c r="G49" s="63">
        <f t="shared" si="4"/>
        <v>0</v>
      </c>
      <c r="H49" s="63">
        <f t="shared" si="12"/>
        <v>0</v>
      </c>
      <c r="I49" s="63">
        <f t="shared" si="8"/>
        <v>0</v>
      </c>
      <c r="J49" s="63">
        <f t="shared" si="1"/>
        <v>0</v>
      </c>
      <c r="K49" s="68">
        <f t="shared" si="2"/>
        <v>0</v>
      </c>
      <c r="L49" s="63">
        <f t="shared" si="6"/>
        <v>0</v>
      </c>
      <c r="M49" s="69">
        <f t="shared" si="11"/>
        <v>0</v>
      </c>
      <c r="N49" s="64">
        <f t="shared" si="7"/>
        <v>0</v>
      </c>
      <c r="O49" s="145" t="e">
        <f t="shared" si="10"/>
        <v>#DIV/0!</v>
      </c>
    </row>
    <row r="50" spans="1:15" x14ac:dyDescent="0.25">
      <c r="A50" s="61">
        <v>45322</v>
      </c>
      <c r="B50" s="61"/>
      <c r="C50" s="63"/>
      <c r="D50" s="63">
        <f t="shared" si="3"/>
        <v>0</v>
      </c>
      <c r="E50" s="63">
        <f t="shared" si="0"/>
        <v>0</v>
      </c>
      <c r="F50" s="124"/>
      <c r="G50" s="63">
        <f t="shared" si="4"/>
        <v>0</v>
      </c>
      <c r="H50" s="63">
        <f t="shared" si="12"/>
        <v>0</v>
      </c>
      <c r="I50" s="63">
        <f t="shared" si="8"/>
        <v>0</v>
      </c>
      <c r="J50" s="63">
        <f t="shared" si="1"/>
        <v>0</v>
      </c>
      <c r="K50" s="68">
        <f t="shared" si="2"/>
        <v>0</v>
      </c>
      <c r="L50" s="63">
        <f t="shared" si="6"/>
        <v>0</v>
      </c>
      <c r="M50" s="69">
        <f t="shared" si="11"/>
        <v>0</v>
      </c>
      <c r="N50" s="64">
        <f t="shared" si="7"/>
        <v>0</v>
      </c>
      <c r="O50" s="145" t="e">
        <f t="shared" si="10"/>
        <v>#DIV/0!</v>
      </c>
    </row>
    <row r="51" spans="1:15" x14ac:dyDescent="0.25">
      <c r="A51" s="61">
        <v>45351</v>
      </c>
      <c r="B51" s="61"/>
      <c r="C51" s="63"/>
      <c r="D51" s="63">
        <f t="shared" si="3"/>
        <v>0</v>
      </c>
      <c r="E51" s="63">
        <f t="shared" si="0"/>
        <v>0</v>
      </c>
      <c r="F51" s="124"/>
      <c r="G51" s="63">
        <f t="shared" si="4"/>
        <v>0</v>
      </c>
      <c r="H51" s="63">
        <f t="shared" si="12"/>
        <v>0</v>
      </c>
      <c r="I51" s="63">
        <f t="shared" si="8"/>
        <v>0</v>
      </c>
      <c r="J51" s="63">
        <f t="shared" si="1"/>
        <v>0</v>
      </c>
      <c r="K51" s="68">
        <f t="shared" si="2"/>
        <v>0</v>
      </c>
      <c r="L51" s="63">
        <f t="shared" si="6"/>
        <v>0</v>
      </c>
      <c r="M51" s="69">
        <f t="shared" si="11"/>
        <v>0</v>
      </c>
      <c r="N51" s="64">
        <f t="shared" si="7"/>
        <v>0</v>
      </c>
      <c r="O51" s="145" t="e">
        <f t="shared" si="10"/>
        <v>#DIV/0!</v>
      </c>
    </row>
    <row r="52" spans="1:15" x14ac:dyDescent="0.25">
      <c r="A52" s="61">
        <v>45382</v>
      </c>
      <c r="B52" s="61"/>
      <c r="C52" s="63"/>
      <c r="D52" s="63">
        <f t="shared" si="3"/>
        <v>0</v>
      </c>
      <c r="E52" s="63">
        <f t="shared" si="0"/>
        <v>0</v>
      </c>
      <c r="F52" s="124"/>
      <c r="G52" s="63">
        <f t="shared" si="4"/>
        <v>0</v>
      </c>
      <c r="H52" s="63">
        <f t="shared" si="12"/>
        <v>0</v>
      </c>
      <c r="I52" s="63">
        <f t="shared" si="8"/>
        <v>0</v>
      </c>
      <c r="J52" s="63">
        <f t="shared" si="1"/>
        <v>0</v>
      </c>
      <c r="K52" s="68">
        <f t="shared" si="2"/>
        <v>0</v>
      </c>
      <c r="L52" s="63">
        <f t="shared" si="6"/>
        <v>0</v>
      </c>
      <c r="M52" s="69">
        <f t="shared" si="11"/>
        <v>0</v>
      </c>
      <c r="N52" s="64">
        <f t="shared" si="7"/>
        <v>0</v>
      </c>
      <c r="O52" s="145" t="e">
        <f t="shared" si="10"/>
        <v>#DIV/0!</v>
      </c>
    </row>
    <row r="53" spans="1:15" x14ac:dyDescent="0.25">
      <c r="A53" s="61">
        <v>45412</v>
      </c>
      <c r="B53" s="61"/>
      <c r="C53" s="63"/>
      <c r="D53" s="63">
        <f t="shared" si="3"/>
        <v>0</v>
      </c>
      <c r="E53" s="63">
        <f t="shared" si="0"/>
        <v>0</v>
      </c>
      <c r="F53" s="124"/>
      <c r="G53" s="63">
        <f t="shared" si="4"/>
        <v>0</v>
      </c>
      <c r="H53" s="63">
        <f t="shared" si="12"/>
        <v>0</v>
      </c>
      <c r="I53" s="63">
        <f t="shared" si="8"/>
        <v>0</v>
      </c>
      <c r="J53" s="63">
        <f t="shared" si="1"/>
        <v>0</v>
      </c>
      <c r="K53" s="68">
        <f t="shared" si="2"/>
        <v>0</v>
      </c>
      <c r="L53" s="63">
        <f t="shared" si="6"/>
        <v>0</v>
      </c>
      <c r="M53" s="69">
        <f t="shared" si="11"/>
        <v>0</v>
      </c>
      <c r="N53" s="64">
        <f t="shared" si="7"/>
        <v>0</v>
      </c>
      <c r="O53" s="145" t="e">
        <f t="shared" si="10"/>
        <v>#DIV/0!</v>
      </c>
    </row>
    <row r="54" spans="1:15" x14ac:dyDescent="0.25">
      <c r="A54" s="61">
        <v>45443</v>
      </c>
      <c r="B54" s="61"/>
      <c r="C54" s="63">
        <f>'One-time deferral transfer'!B34</f>
        <v>2767661.4841691628</v>
      </c>
      <c r="D54" s="63">
        <f t="shared" si="3"/>
        <v>2767661.4841691628</v>
      </c>
      <c r="E54" s="63">
        <f t="shared" si="0"/>
        <v>115319.22850704845</v>
      </c>
      <c r="F54" s="124"/>
      <c r="G54" s="63">
        <f t="shared" si="4"/>
        <v>0</v>
      </c>
      <c r="H54" s="63">
        <f t="shared" si="12"/>
        <v>0</v>
      </c>
      <c r="I54" s="63">
        <f t="shared" si="8"/>
        <v>115319.22850704845</v>
      </c>
      <c r="J54" s="63">
        <f t="shared" si="1"/>
        <v>-581208.9116755242</v>
      </c>
      <c r="K54" s="68">
        <f t="shared" si="2"/>
        <v>-581208.9116755242</v>
      </c>
      <c r="L54" s="63">
        <f t="shared" si="6"/>
        <v>-24217.037986480176</v>
      </c>
      <c r="M54" s="69">
        <f t="shared" si="11"/>
        <v>91102.190520568271</v>
      </c>
      <c r="N54" s="64">
        <f t="shared" si="7"/>
        <v>2186452.5724936388</v>
      </c>
      <c r="O54" s="145">
        <f t="shared" si="10"/>
        <v>0.21</v>
      </c>
    </row>
    <row r="55" spans="1:15" x14ac:dyDescent="0.25">
      <c r="A55" s="61">
        <v>45473</v>
      </c>
      <c r="B55" s="61"/>
      <c r="C55" s="63"/>
      <c r="D55" s="63">
        <f t="shared" si="3"/>
        <v>2767661.4841691628</v>
      </c>
      <c r="E55" s="63">
        <f t="shared" si="0"/>
        <v>345957.68552114535</v>
      </c>
      <c r="F55" s="124"/>
      <c r="G55" s="63">
        <f t="shared" si="4"/>
        <v>0</v>
      </c>
      <c r="H55" s="63">
        <f t="shared" si="12"/>
        <v>0</v>
      </c>
      <c r="I55" s="63">
        <f t="shared" si="8"/>
        <v>345957.68552114535</v>
      </c>
      <c r="J55" s="63">
        <f t="shared" si="1"/>
        <v>0</v>
      </c>
      <c r="K55" s="68">
        <f t="shared" si="2"/>
        <v>-581208.9116755242</v>
      </c>
      <c r="L55" s="63">
        <f t="shared" si="6"/>
        <v>-72651.113959440525</v>
      </c>
      <c r="M55" s="69">
        <f t="shared" si="11"/>
        <v>273306.57156170486</v>
      </c>
      <c r="N55" s="64">
        <f t="shared" si="7"/>
        <v>2186452.5724936388</v>
      </c>
      <c r="O55" s="145">
        <f t="shared" si="10"/>
        <v>0.21</v>
      </c>
    </row>
    <row r="56" spans="1:15" x14ac:dyDescent="0.25">
      <c r="A56" s="61">
        <v>45504</v>
      </c>
      <c r="B56" s="61"/>
      <c r="C56" s="63"/>
      <c r="D56" s="63">
        <f t="shared" si="3"/>
        <v>2767661.4841691628</v>
      </c>
      <c r="E56" s="63">
        <f t="shared" si="0"/>
        <v>576596.14253524225</v>
      </c>
      <c r="F56" s="124"/>
      <c r="G56" s="63">
        <f t="shared" si="4"/>
        <v>0</v>
      </c>
      <c r="H56" s="63">
        <f t="shared" si="12"/>
        <v>0</v>
      </c>
      <c r="I56" s="63">
        <f t="shared" si="8"/>
        <v>576596.14253524225</v>
      </c>
      <c r="J56" s="63">
        <f t="shared" si="1"/>
        <v>0</v>
      </c>
      <c r="K56" s="68">
        <f t="shared" si="2"/>
        <v>-581208.9116755242</v>
      </c>
      <c r="L56" s="63">
        <f t="shared" si="6"/>
        <v>-121085.18993240087</v>
      </c>
      <c r="M56" s="69">
        <f t="shared" si="11"/>
        <v>455510.95260284137</v>
      </c>
      <c r="N56" s="64">
        <f t="shared" si="7"/>
        <v>2186452.5724936388</v>
      </c>
      <c r="O56" s="145">
        <f t="shared" si="10"/>
        <v>0.21</v>
      </c>
    </row>
    <row r="57" spans="1:15" x14ac:dyDescent="0.25">
      <c r="A57" s="61">
        <v>45535</v>
      </c>
      <c r="B57" s="61"/>
      <c r="C57" s="63"/>
      <c r="D57" s="63">
        <f t="shared" si="3"/>
        <v>2767661.4841691628</v>
      </c>
      <c r="E57" s="63">
        <f t="shared" si="0"/>
        <v>807234.59954933915</v>
      </c>
      <c r="F57" s="124"/>
      <c r="G57" s="63">
        <f t="shared" si="4"/>
        <v>0</v>
      </c>
      <c r="H57" s="63">
        <f t="shared" si="12"/>
        <v>0</v>
      </c>
      <c r="I57" s="63">
        <f t="shared" si="8"/>
        <v>807234.59954933915</v>
      </c>
      <c r="J57" s="63">
        <f t="shared" si="1"/>
        <v>0</v>
      </c>
      <c r="K57" s="68">
        <f t="shared" si="2"/>
        <v>-581208.9116755242</v>
      </c>
      <c r="L57" s="63">
        <f t="shared" si="6"/>
        <v>-169519.26590536124</v>
      </c>
      <c r="M57" s="69">
        <f t="shared" si="11"/>
        <v>637715.33364397788</v>
      </c>
      <c r="N57" s="64">
        <f t="shared" si="7"/>
        <v>2186452.5724936388</v>
      </c>
      <c r="O57" s="145">
        <f t="shared" si="10"/>
        <v>0.21</v>
      </c>
    </row>
    <row r="58" spans="1:15" x14ac:dyDescent="0.25">
      <c r="A58" s="61">
        <v>45565</v>
      </c>
      <c r="B58" s="61"/>
      <c r="C58" s="63"/>
      <c r="D58" s="63">
        <f t="shared" si="3"/>
        <v>2767661.4841691628</v>
      </c>
      <c r="E58" s="63">
        <f t="shared" si="0"/>
        <v>1037873.0565634361</v>
      </c>
      <c r="F58" s="124"/>
      <c r="G58" s="63">
        <f t="shared" si="4"/>
        <v>0</v>
      </c>
      <c r="H58" s="63">
        <f t="shared" si="12"/>
        <v>0</v>
      </c>
      <c r="I58" s="63">
        <f t="shared" si="8"/>
        <v>1037873.0565634361</v>
      </c>
      <c r="J58" s="63">
        <f t="shared" si="1"/>
        <v>0</v>
      </c>
      <c r="K58" s="68">
        <f t="shared" si="2"/>
        <v>-581208.9116755242</v>
      </c>
      <c r="L58" s="63">
        <f t="shared" si="6"/>
        <v>-217953.34187832157</v>
      </c>
      <c r="M58" s="69">
        <f t="shared" si="11"/>
        <v>819919.71468511445</v>
      </c>
      <c r="N58" s="64">
        <f t="shared" si="7"/>
        <v>2186452.5724936388</v>
      </c>
      <c r="O58" s="145">
        <f t="shared" si="10"/>
        <v>0.21</v>
      </c>
    </row>
    <row r="59" spans="1:15" ht="13.8" thickBot="1" x14ac:dyDescent="0.3">
      <c r="A59" s="61">
        <v>45596</v>
      </c>
      <c r="B59" s="61"/>
      <c r="C59" s="63"/>
      <c r="D59" s="63">
        <f t="shared" si="3"/>
        <v>2767661.4841691628</v>
      </c>
      <c r="E59" s="199">
        <f t="shared" si="0"/>
        <v>1268511.513577533</v>
      </c>
      <c r="F59" s="124"/>
      <c r="G59" s="63">
        <f t="shared" si="4"/>
        <v>0</v>
      </c>
      <c r="H59" s="199">
        <f t="shared" si="12"/>
        <v>0</v>
      </c>
      <c r="I59" s="63">
        <f t="shared" si="8"/>
        <v>1268511.513577533</v>
      </c>
      <c r="J59" s="63">
        <f t="shared" si="1"/>
        <v>0</v>
      </c>
      <c r="K59" s="68">
        <f t="shared" si="2"/>
        <v>-581208.9116755242</v>
      </c>
      <c r="L59" s="63">
        <f t="shared" si="6"/>
        <v>-266387.41785128188</v>
      </c>
      <c r="M59" s="69">
        <f t="shared" si="11"/>
        <v>1002124.0957262511</v>
      </c>
      <c r="N59" s="64">
        <f t="shared" si="7"/>
        <v>2186452.5724936388</v>
      </c>
      <c r="O59" s="145">
        <f t="shared" si="10"/>
        <v>0.21</v>
      </c>
    </row>
    <row r="60" spans="1:15" x14ac:dyDescent="0.25">
      <c r="A60" s="134">
        <v>45626</v>
      </c>
      <c r="B60" s="141"/>
      <c r="C60" s="136"/>
      <c r="D60" s="136">
        <f t="shared" si="3"/>
        <v>2767661.4841691628</v>
      </c>
      <c r="E60" s="136">
        <f t="shared" si="0"/>
        <v>1499149.9705916299</v>
      </c>
      <c r="F60" s="137"/>
      <c r="G60" s="136">
        <f t="shared" si="4"/>
        <v>0</v>
      </c>
      <c r="H60" s="136">
        <f t="shared" si="12"/>
        <v>0</v>
      </c>
      <c r="I60" s="136">
        <f t="shared" si="8"/>
        <v>1499149.9705916299</v>
      </c>
      <c r="J60" s="136">
        <f t="shared" si="1"/>
        <v>0</v>
      </c>
      <c r="K60" s="138">
        <f t="shared" si="2"/>
        <v>-581208.9116755242</v>
      </c>
      <c r="L60" s="136">
        <f t="shared" si="6"/>
        <v>-314821.49382424221</v>
      </c>
      <c r="M60" s="139">
        <f t="shared" si="11"/>
        <v>1184328.4767673877</v>
      </c>
      <c r="N60" s="140">
        <f t="shared" si="7"/>
        <v>2186452.5724936388</v>
      </c>
      <c r="O60" s="145">
        <f t="shared" si="10"/>
        <v>0.21</v>
      </c>
    </row>
    <row r="61" spans="1:15" x14ac:dyDescent="0.25">
      <c r="A61" s="61">
        <v>45657</v>
      </c>
      <c r="B61" s="30"/>
      <c r="C61" s="63"/>
      <c r="D61" s="63">
        <f t="shared" si="3"/>
        <v>2767661.4841691628</v>
      </c>
      <c r="E61" s="63">
        <f t="shared" si="0"/>
        <v>1729788.4276057268</v>
      </c>
      <c r="F61" s="124"/>
      <c r="G61" s="63">
        <f t="shared" si="4"/>
        <v>0</v>
      </c>
      <c r="H61" s="63">
        <f t="shared" si="12"/>
        <v>0</v>
      </c>
      <c r="I61" s="63">
        <f t="shared" si="8"/>
        <v>1729788.4276057268</v>
      </c>
      <c r="J61" s="63">
        <f t="shared" si="1"/>
        <v>0</v>
      </c>
      <c r="K61" s="68">
        <f t="shared" si="2"/>
        <v>-581208.9116755242</v>
      </c>
      <c r="L61" s="63">
        <f t="shared" si="6"/>
        <v>-363255.56979720254</v>
      </c>
      <c r="M61" s="69">
        <f t="shared" si="11"/>
        <v>1366532.8578085243</v>
      </c>
      <c r="N61" s="64">
        <f t="shared" si="7"/>
        <v>2186452.5724936388</v>
      </c>
      <c r="O61" s="145">
        <f t="shared" si="10"/>
        <v>0.21</v>
      </c>
    </row>
    <row r="62" spans="1:15" x14ac:dyDescent="0.25">
      <c r="A62" s="61">
        <v>45688</v>
      </c>
      <c r="B62" s="30"/>
      <c r="C62" s="63"/>
      <c r="D62" s="63">
        <f t="shared" si="3"/>
        <v>2767661.4841691628</v>
      </c>
      <c r="E62" s="63">
        <f t="shared" si="0"/>
        <v>1960426.8846198237</v>
      </c>
      <c r="F62" s="124"/>
      <c r="G62" s="63">
        <f t="shared" si="4"/>
        <v>0</v>
      </c>
      <c r="H62" s="63">
        <f t="shared" si="12"/>
        <v>0</v>
      </c>
      <c r="I62" s="63">
        <f t="shared" si="8"/>
        <v>1960426.8846198237</v>
      </c>
      <c r="J62" s="63">
        <f t="shared" si="1"/>
        <v>0</v>
      </c>
      <c r="K62" s="68">
        <f t="shared" si="2"/>
        <v>-581208.9116755242</v>
      </c>
      <c r="L62" s="63">
        <f t="shared" si="6"/>
        <v>-411689.64577016287</v>
      </c>
      <c r="M62" s="69">
        <f t="shared" si="11"/>
        <v>1548737.2388496608</v>
      </c>
      <c r="N62" s="64">
        <f t="shared" si="7"/>
        <v>2186452.5724936388</v>
      </c>
      <c r="O62" s="145">
        <f t="shared" si="10"/>
        <v>0.21</v>
      </c>
    </row>
    <row r="63" spans="1:15" x14ac:dyDescent="0.25">
      <c r="A63" s="61">
        <v>45716</v>
      </c>
      <c r="B63" s="30"/>
      <c r="C63" s="63"/>
      <c r="D63" s="63">
        <f t="shared" si="3"/>
        <v>2767661.4841691628</v>
      </c>
      <c r="E63" s="63">
        <f t="shared" si="0"/>
        <v>2191065.3416339206</v>
      </c>
      <c r="F63" s="124"/>
      <c r="G63" s="63">
        <f t="shared" si="4"/>
        <v>0</v>
      </c>
      <c r="H63" s="63">
        <f t="shared" si="12"/>
        <v>0</v>
      </c>
      <c r="I63" s="63">
        <f t="shared" si="8"/>
        <v>2191065.3416339206</v>
      </c>
      <c r="J63" s="63">
        <f t="shared" si="1"/>
        <v>0</v>
      </c>
      <c r="K63" s="68">
        <f t="shared" si="2"/>
        <v>-581208.9116755242</v>
      </c>
      <c r="L63" s="63">
        <f t="shared" si="6"/>
        <v>-460123.7217431232</v>
      </c>
      <c r="M63" s="69">
        <f t="shared" si="11"/>
        <v>1730941.6198907974</v>
      </c>
      <c r="N63" s="64">
        <f t="shared" si="7"/>
        <v>2186452.5724936388</v>
      </c>
      <c r="O63" s="145">
        <f t="shared" si="10"/>
        <v>0.21</v>
      </c>
    </row>
    <row r="64" spans="1:15" x14ac:dyDescent="0.25">
      <c r="A64" s="61">
        <v>45747</v>
      </c>
      <c r="B64" s="30"/>
      <c r="C64" s="63"/>
      <c r="D64" s="63">
        <f t="shared" si="3"/>
        <v>2767661.4841691628</v>
      </c>
      <c r="E64" s="63">
        <f t="shared" si="0"/>
        <v>2421703.7986480175</v>
      </c>
      <c r="F64" s="124"/>
      <c r="G64" s="63">
        <f t="shared" si="4"/>
        <v>0</v>
      </c>
      <c r="H64" s="63">
        <f t="shared" si="12"/>
        <v>0</v>
      </c>
      <c r="I64" s="63">
        <f t="shared" si="8"/>
        <v>2421703.7986480175</v>
      </c>
      <c r="J64" s="63">
        <f t="shared" si="1"/>
        <v>0</v>
      </c>
      <c r="K64" s="68">
        <f t="shared" si="2"/>
        <v>-581208.9116755242</v>
      </c>
      <c r="L64" s="63">
        <f t="shared" si="6"/>
        <v>-508557.79771608353</v>
      </c>
      <c r="M64" s="69">
        <f t="shared" si="11"/>
        <v>1913146.000931934</v>
      </c>
      <c r="N64" s="64">
        <f t="shared" si="7"/>
        <v>2186452.5724936388</v>
      </c>
      <c r="O64" s="145">
        <f t="shared" si="10"/>
        <v>0.21</v>
      </c>
    </row>
    <row r="65" spans="1:15" x14ac:dyDescent="0.25">
      <c r="A65" s="61">
        <v>45777</v>
      </c>
      <c r="B65" s="30"/>
      <c r="C65" s="63"/>
      <c r="D65" s="63">
        <f t="shared" si="3"/>
        <v>2767661.4841691628</v>
      </c>
      <c r="E65" s="63">
        <f t="shared" si="0"/>
        <v>2652342.2556621144</v>
      </c>
      <c r="F65" s="124"/>
      <c r="G65" s="63">
        <f t="shared" si="4"/>
        <v>0</v>
      </c>
      <c r="H65" s="63">
        <f t="shared" si="12"/>
        <v>0</v>
      </c>
      <c r="I65" s="63">
        <f t="shared" si="8"/>
        <v>2652342.2556621144</v>
      </c>
      <c r="J65" s="63">
        <f t="shared" si="1"/>
        <v>0</v>
      </c>
      <c r="K65" s="68">
        <f t="shared" si="2"/>
        <v>-581208.9116755242</v>
      </c>
      <c r="L65" s="63">
        <f t="shared" si="6"/>
        <v>-556991.87368904392</v>
      </c>
      <c r="M65" s="69">
        <f t="shared" si="11"/>
        <v>2095350.3819730706</v>
      </c>
      <c r="N65" s="64">
        <f t="shared" si="7"/>
        <v>2186452.5724936388</v>
      </c>
      <c r="O65" s="145">
        <f t="shared" si="10"/>
        <v>0.21</v>
      </c>
    </row>
    <row r="66" spans="1:15" x14ac:dyDescent="0.25">
      <c r="A66" s="61">
        <v>45808</v>
      </c>
      <c r="B66" s="30"/>
      <c r="C66" s="63"/>
      <c r="D66" s="63">
        <f t="shared" si="3"/>
        <v>2767661.4841691628</v>
      </c>
      <c r="E66" s="63">
        <f t="shared" si="0"/>
        <v>2767661.4841691628</v>
      </c>
      <c r="F66" s="124"/>
      <c r="G66" s="63">
        <f t="shared" si="4"/>
        <v>0</v>
      </c>
      <c r="H66" s="63">
        <f t="shared" si="12"/>
        <v>0</v>
      </c>
      <c r="I66" s="63">
        <f t="shared" si="8"/>
        <v>2767661.4841691628</v>
      </c>
      <c r="J66" s="63">
        <f t="shared" si="1"/>
        <v>0</v>
      </c>
      <c r="K66" s="68">
        <f t="shared" si="2"/>
        <v>-581208.9116755242</v>
      </c>
      <c r="L66" s="63">
        <f t="shared" si="6"/>
        <v>-581208.91167552408</v>
      </c>
      <c r="M66" s="69">
        <f t="shared" si="11"/>
        <v>2186452.5724936388</v>
      </c>
      <c r="N66" s="64">
        <f t="shared" si="7"/>
        <v>2186452.5724936388</v>
      </c>
      <c r="O66" s="145">
        <f t="shared" si="10"/>
        <v>0.21</v>
      </c>
    </row>
    <row r="67" spans="1:15" x14ac:dyDescent="0.25">
      <c r="A67" s="61">
        <v>45838</v>
      </c>
      <c r="B67" s="30"/>
      <c r="C67" s="63"/>
      <c r="D67" s="63">
        <f t="shared" si="3"/>
        <v>2767661.4841691628</v>
      </c>
      <c r="E67" s="63">
        <f t="shared" si="0"/>
        <v>2767661.4841691628</v>
      </c>
      <c r="F67" s="124"/>
      <c r="G67" s="63">
        <f t="shared" si="4"/>
        <v>0</v>
      </c>
      <c r="H67" s="63">
        <f t="shared" si="12"/>
        <v>0</v>
      </c>
      <c r="I67" s="63">
        <f t="shared" si="8"/>
        <v>2767661.4841691628</v>
      </c>
      <c r="J67" s="63">
        <f t="shared" si="1"/>
        <v>0</v>
      </c>
      <c r="K67" s="68">
        <f t="shared" si="2"/>
        <v>-581208.9116755242</v>
      </c>
      <c r="L67" s="63">
        <f t="shared" si="6"/>
        <v>-581208.91167552408</v>
      </c>
      <c r="M67" s="69">
        <f t="shared" si="11"/>
        <v>2186452.5724936388</v>
      </c>
      <c r="N67" s="64">
        <f t="shared" si="7"/>
        <v>2186452.5724936388</v>
      </c>
      <c r="O67" s="145">
        <f t="shared" si="10"/>
        <v>0.21</v>
      </c>
    </row>
    <row r="68" spans="1:15" x14ac:dyDescent="0.25">
      <c r="A68" s="61">
        <v>45869</v>
      </c>
      <c r="B68" s="30"/>
      <c r="C68" s="63"/>
      <c r="D68" s="63">
        <f t="shared" si="3"/>
        <v>2767661.4841691628</v>
      </c>
      <c r="E68" s="63">
        <f t="shared" si="0"/>
        <v>2767661.4841691628</v>
      </c>
      <c r="F68" s="124"/>
      <c r="G68" s="63">
        <f t="shared" si="4"/>
        <v>0</v>
      </c>
      <c r="H68" s="63">
        <f t="shared" si="12"/>
        <v>0</v>
      </c>
      <c r="I68" s="63">
        <f t="shared" si="8"/>
        <v>2767661.4841691628</v>
      </c>
      <c r="J68" s="63">
        <f t="shared" si="1"/>
        <v>0</v>
      </c>
      <c r="K68" s="68">
        <f t="shared" si="2"/>
        <v>-581208.9116755242</v>
      </c>
      <c r="L68" s="63">
        <f t="shared" si="6"/>
        <v>-581208.91167552408</v>
      </c>
      <c r="M68" s="69">
        <f t="shared" si="11"/>
        <v>2186452.5724936388</v>
      </c>
      <c r="N68" s="64">
        <f t="shared" si="7"/>
        <v>2186452.5724936388</v>
      </c>
      <c r="O68" s="145">
        <f t="shared" si="10"/>
        <v>0.21</v>
      </c>
    </row>
    <row r="69" spans="1:15" x14ac:dyDescent="0.25">
      <c r="A69" s="61">
        <v>45900</v>
      </c>
      <c r="B69" s="30"/>
      <c r="C69" s="63"/>
      <c r="D69" s="63">
        <f t="shared" si="3"/>
        <v>2767661.4841691628</v>
      </c>
      <c r="E69" s="63">
        <f t="shared" si="0"/>
        <v>2767661.4841691628</v>
      </c>
      <c r="F69" s="124"/>
      <c r="G69" s="63">
        <f t="shared" si="4"/>
        <v>0</v>
      </c>
      <c r="H69" s="63">
        <f t="shared" si="12"/>
        <v>0</v>
      </c>
      <c r="I69" s="63">
        <f t="shared" si="8"/>
        <v>2767661.4841691628</v>
      </c>
      <c r="J69" s="63">
        <f t="shared" si="1"/>
        <v>0</v>
      </c>
      <c r="K69" s="68">
        <f t="shared" si="2"/>
        <v>-581208.9116755242</v>
      </c>
      <c r="L69" s="63">
        <f t="shared" si="6"/>
        <v>-581208.91167552408</v>
      </c>
      <c r="M69" s="69">
        <f t="shared" si="11"/>
        <v>2186452.5724936388</v>
      </c>
      <c r="N69" s="64">
        <f t="shared" si="7"/>
        <v>2186452.5724936388</v>
      </c>
      <c r="O69" s="145">
        <f t="shared" si="10"/>
        <v>0.21</v>
      </c>
    </row>
    <row r="70" spans="1:15" x14ac:dyDescent="0.25">
      <c r="A70" s="61">
        <v>45930</v>
      </c>
      <c r="B70" s="30"/>
      <c r="C70" s="63"/>
      <c r="D70" s="63">
        <f t="shared" si="3"/>
        <v>2767661.4841691628</v>
      </c>
      <c r="E70" s="63">
        <f t="shared" si="0"/>
        <v>2767661.4841691628</v>
      </c>
      <c r="F70" s="124"/>
      <c r="G70" s="63">
        <f t="shared" si="4"/>
        <v>0</v>
      </c>
      <c r="H70" s="63">
        <f t="shared" si="12"/>
        <v>0</v>
      </c>
      <c r="I70" s="63">
        <f t="shared" si="8"/>
        <v>2767661.4841691628</v>
      </c>
      <c r="J70" s="63">
        <f t="shared" si="1"/>
        <v>0</v>
      </c>
      <c r="K70" s="68">
        <f t="shared" si="2"/>
        <v>-581208.9116755242</v>
      </c>
      <c r="L70" s="63">
        <f t="shared" si="6"/>
        <v>-581208.91167552408</v>
      </c>
      <c r="M70" s="69">
        <f t="shared" si="11"/>
        <v>2186452.5724936388</v>
      </c>
      <c r="N70" s="64">
        <f t="shared" si="7"/>
        <v>2186452.5724936388</v>
      </c>
      <c r="O70" s="145">
        <f t="shared" si="10"/>
        <v>0.21</v>
      </c>
    </row>
    <row r="71" spans="1:15" ht="13.8" thickBot="1" x14ac:dyDescent="0.3">
      <c r="A71" s="61">
        <v>45961</v>
      </c>
      <c r="B71" s="30"/>
      <c r="C71" s="63"/>
      <c r="D71" s="63">
        <f t="shared" si="3"/>
        <v>2767661.4841691628</v>
      </c>
      <c r="E71" s="63">
        <f t="shared" si="0"/>
        <v>2767661.4841691628</v>
      </c>
      <c r="F71" s="124"/>
      <c r="G71" s="63">
        <f t="shared" si="4"/>
        <v>0</v>
      </c>
      <c r="H71" s="63">
        <f t="shared" si="12"/>
        <v>0</v>
      </c>
      <c r="I71" s="63">
        <f t="shared" si="8"/>
        <v>2767661.4841691628</v>
      </c>
      <c r="J71" s="63">
        <f t="shared" si="1"/>
        <v>0</v>
      </c>
      <c r="K71" s="68">
        <f t="shared" si="2"/>
        <v>-581208.9116755242</v>
      </c>
      <c r="L71" s="63">
        <f t="shared" si="6"/>
        <v>-581208.91167552408</v>
      </c>
      <c r="M71" s="69">
        <f t="shared" si="11"/>
        <v>2186452.5724936388</v>
      </c>
      <c r="N71" s="64">
        <f t="shared" si="7"/>
        <v>2186452.5724936388</v>
      </c>
      <c r="O71" s="145">
        <f t="shared" si="10"/>
        <v>0.21</v>
      </c>
    </row>
    <row r="72" spans="1:15" x14ac:dyDescent="0.25">
      <c r="A72" s="134">
        <v>45991</v>
      </c>
      <c r="B72" s="141" t="s">
        <v>239</v>
      </c>
      <c r="C72" s="136"/>
      <c r="D72" s="136">
        <f t="shared" si="3"/>
        <v>2767661.4841691628</v>
      </c>
      <c r="E72" s="136">
        <f t="shared" si="0"/>
        <v>2767661.4841691628</v>
      </c>
      <c r="F72" s="137">
        <f>E72/36</f>
        <v>76879.485671365634</v>
      </c>
      <c r="G72" s="136">
        <f t="shared" si="4"/>
        <v>-76879.485671365634</v>
      </c>
      <c r="H72" s="136">
        <f t="shared" si="12"/>
        <v>-3203.3119029735681</v>
      </c>
      <c r="I72" s="136">
        <f t="shared" si="8"/>
        <v>2764458.172266189</v>
      </c>
      <c r="J72" s="136">
        <f t="shared" si="1"/>
        <v>16144.691990986783</v>
      </c>
      <c r="K72" s="138">
        <f t="shared" si="2"/>
        <v>-565064.21968453738</v>
      </c>
      <c r="L72" s="136">
        <f t="shared" si="6"/>
        <v>-580536.21617589961</v>
      </c>
      <c r="M72" s="139">
        <f t="shared" si="11"/>
        <v>2183921.9560902892</v>
      </c>
      <c r="N72" s="140">
        <f t="shared" si="7"/>
        <v>2125717.7788132597</v>
      </c>
      <c r="O72" s="145">
        <f t="shared" si="10"/>
        <v>0.21</v>
      </c>
    </row>
    <row r="73" spans="1:15" x14ac:dyDescent="0.25">
      <c r="A73" s="61">
        <v>46022</v>
      </c>
      <c r="B73" s="30" t="str">
        <f>B72</f>
        <v>Yr1</v>
      </c>
      <c r="C73" s="63"/>
      <c r="D73" s="63">
        <f t="shared" si="3"/>
        <v>2767661.4841691628</v>
      </c>
      <c r="E73" s="63">
        <f t="shared" si="0"/>
        <v>2767661.4841691628</v>
      </c>
      <c r="F73" s="124">
        <f>F72</f>
        <v>76879.485671365634</v>
      </c>
      <c r="G73" s="63">
        <f t="shared" si="4"/>
        <v>-153758.97134273127</v>
      </c>
      <c r="H73" s="63">
        <f t="shared" si="12"/>
        <v>-12813.247611894272</v>
      </c>
      <c r="I73" s="63">
        <f t="shared" si="8"/>
        <v>2754848.2365572685</v>
      </c>
      <c r="J73" s="63">
        <f t="shared" si="1"/>
        <v>16144.691990986783</v>
      </c>
      <c r="K73" s="68">
        <f t="shared" si="2"/>
        <v>-548919.52769355057</v>
      </c>
      <c r="L73" s="63">
        <f t="shared" si="6"/>
        <v>-578518.1296770263</v>
      </c>
      <c r="M73" s="69">
        <f t="shared" si="11"/>
        <v>2176330.106880242</v>
      </c>
      <c r="N73" s="64">
        <f t="shared" si="7"/>
        <v>2064982.985132881</v>
      </c>
      <c r="O73" s="145">
        <f t="shared" si="10"/>
        <v>0.21</v>
      </c>
    </row>
    <row r="74" spans="1:15" x14ac:dyDescent="0.25">
      <c r="A74" s="61">
        <v>46053</v>
      </c>
      <c r="B74" s="30" t="str">
        <f t="shared" ref="B74:B82" si="13">B73</f>
        <v>Yr1</v>
      </c>
      <c r="C74" s="30"/>
      <c r="D74" s="63">
        <f t="shared" si="3"/>
        <v>2767661.4841691628</v>
      </c>
      <c r="E74" s="63">
        <f t="shared" si="0"/>
        <v>2767661.4841691628</v>
      </c>
      <c r="F74" s="124">
        <f t="shared" ref="F74:F107" si="14">F73</f>
        <v>76879.485671365634</v>
      </c>
      <c r="G74" s="63">
        <f t="shared" si="4"/>
        <v>-230638.4570140969</v>
      </c>
      <c r="H74" s="63">
        <f t="shared" si="12"/>
        <v>-28829.807126762113</v>
      </c>
      <c r="I74" s="63">
        <f t="shared" si="8"/>
        <v>2738831.6770424005</v>
      </c>
      <c r="J74" s="63">
        <f t="shared" si="1"/>
        <v>16144.691990986783</v>
      </c>
      <c r="K74" s="68">
        <f t="shared" si="2"/>
        <v>-532774.83570256375</v>
      </c>
      <c r="L74" s="63">
        <f t="shared" si="6"/>
        <v>-575154.65217890404</v>
      </c>
      <c r="M74" s="69">
        <f t="shared" si="11"/>
        <v>2163677.0248634964</v>
      </c>
      <c r="N74" s="64">
        <f t="shared" si="7"/>
        <v>2004248.1914525023</v>
      </c>
      <c r="O74" s="145">
        <f t="shared" si="10"/>
        <v>0.20999999999999996</v>
      </c>
    </row>
    <row r="75" spans="1:15" x14ac:dyDescent="0.25">
      <c r="A75" s="61">
        <v>46081</v>
      </c>
      <c r="B75" s="30" t="str">
        <f t="shared" si="13"/>
        <v>Yr1</v>
      </c>
      <c r="C75" s="30"/>
      <c r="D75" s="63">
        <f t="shared" si="3"/>
        <v>2767661.4841691628</v>
      </c>
      <c r="E75" s="63">
        <f t="shared" si="0"/>
        <v>2767661.4841691628</v>
      </c>
      <c r="F75" s="124">
        <f t="shared" si="14"/>
        <v>76879.485671365634</v>
      </c>
      <c r="G75" s="63">
        <f t="shared" si="4"/>
        <v>-307517.94268546253</v>
      </c>
      <c r="H75" s="63">
        <f t="shared" si="12"/>
        <v>-51252.990447577089</v>
      </c>
      <c r="I75" s="63">
        <f t="shared" si="8"/>
        <v>2716408.4937215857</v>
      </c>
      <c r="J75" s="63">
        <f t="shared" si="1"/>
        <v>16144.691990986783</v>
      </c>
      <c r="K75" s="68">
        <f t="shared" si="2"/>
        <v>-516630.14371157699</v>
      </c>
      <c r="L75" s="63">
        <f t="shared" si="6"/>
        <v>-570445.78368153283</v>
      </c>
      <c r="M75" s="69">
        <f t="shared" si="11"/>
        <v>2145962.7100400529</v>
      </c>
      <c r="N75" s="64">
        <f t="shared" si="7"/>
        <v>1943513.3977721233</v>
      </c>
      <c r="O75" s="145">
        <f t="shared" si="10"/>
        <v>0.20999999999999996</v>
      </c>
    </row>
    <row r="76" spans="1:15" x14ac:dyDescent="0.25">
      <c r="A76" s="61">
        <v>46112</v>
      </c>
      <c r="B76" s="30" t="str">
        <f t="shared" si="13"/>
        <v>Yr1</v>
      </c>
      <c r="C76" s="30"/>
      <c r="D76" s="63">
        <f t="shared" si="3"/>
        <v>2767661.4841691628</v>
      </c>
      <c r="E76" s="63">
        <f t="shared" si="0"/>
        <v>2767661.4841691628</v>
      </c>
      <c r="F76" s="124">
        <f t="shared" si="14"/>
        <v>76879.485671365634</v>
      </c>
      <c r="G76" s="63">
        <f t="shared" si="4"/>
        <v>-384397.42835682817</v>
      </c>
      <c r="H76" s="63">
        <f t="shared" si="12"/>
        <v>-80082.797574339202</v>
      </c>
      <c r="I76" s="63">
        <f t="shared" si="8"/>
        <v>2687578.6865948234</v>
      </c>
      <c r="J76" s="63">
        <f t="shared" si="1"/>
        <v>16144.691990986783</v>
      </c>
      <c r="K76" s="68">
        <f t="shared" si="2"/>
        <v>-500485.45172059024</v>
      </c>
      <c r="L76" s="63">
        <f t="shared" si="6"/>
        <v>-564391.52418491279</v>
      </c>
      <c r="M76" s="69">
        <f t="shared" si="11"/>
        <v>2123187.1624099105</v>
      </c>
      <c r="N76" s="64">
        <f t="shared" si="7"/>
        <v>1882778.6040917444</v>
      </c>
      <c r="O76" s="145">
        <f t="shared" si="10"/>
        <v>0.21</v>
      </c>
    </row>
    <row r="77" spans="1:15" x14ac:dyDescent="0.25">
      <c r="A77" s="61">
        <v>46142</v>
      </c>
      <c r="B77" s="30" t="str">
        <f t="shared" si="13"/>
        <v>Yr1</v>
      </c>
      <c r="C77" s="30"/>
      <c r="D77" s="63">
        <f t="shared" si="3"/>
        <v>2767661.4841691628</v>
      </c>
      <c r="E77" s="63">
        <f t="shared" si="0"/>
        <v>2767661.4841691628</v>
      </c>
      <c r="F77" s="124">
        <f t="shared" si="14"/>
        <v>76879.485671365634</v>
      </c>
      <c r="G77" s="63">
        <f t="shared" si="4"/>
        <v>-461276.9140281938</v>
      </c>
      <c r="H77" s="63">
        <f t="shared" si="12"/>
        <v>-115319.22850704845</v>
      </c>
      <c r="I77" s="63">
        <f t="shared" si="8"/>
        <v>2652342.2556621144</v>
      </c>
      <c r="J77" s="63">
        <f t="shared" si="1"/>
        <v>16144.691990986783</v>
      </c>
      <c r="K77" s="68">
        <f t="shared" si="2"/>
        <v>-484340.75972960348</v>
      </c>
      <c r="L77" s="63">
        <f t="shared" si="6"/>
        <v>-556991.87368904392</v>
      </c>
      <c r="M77" s="69">
        <f t="shared" si="11"/>
        <v>2095350.3819730706</v>
      </c>
      <c r="N77" s="64">
        <f t="shared" si="7"/>
        <v>1822043.8104113655</v>
      </c>
      <c r="O77" s="145">
        <f t="shared" si="10"/>
        <v>0.21</v>
      </c>
    </row>
    <row r="78" spans="1:15" x14ac:dyDescent="0.25">
      <c r="A78" s="61">
        <v>46173</v>
      </c>
      <c r="B78" s="30" t="str">
        <f t="shared" si="13"/>
        <v>Yr1</v>
      </c>
      <c r="C78" s="30"/>
      <c r="D78" s="63">
        <f t="shared" si="3"/>
        <v>2767661.4841691628</v>
      </c>
      <c r="E78" s="63">
        <f t="shared" si="0"/>
        <v>2767661.4841691628</v>
      </c>
      <c r="F78" s="124">
        <f t="shared" si="14"/>
        <v>76879.485671365634</v>
      </c>
      <c r="G78" s="63">
        <f t="shared" si="4"/>
        <v>-538156.39969955944</v>
      </c>
      <c r="H78" s="63">
        <f t="shared" si="12"/>
        <v>-156962.28324570484</v>
      </c>
      <c r="I78" s="63">
        <f t="shared" si="8"/>
        <v>2610699.2009234577</v>
      </c>
      <c r="J78" s="63">
        <f t="shared" si="1"/>
        <v>16144.691990986783</v>
      </c>
      <c r="K78" s="68">
        <f t="shared" si="2"/>
        <v>-468196.06773861672</v>
      </c>
      <c r="L78" s="63">
        <f t="shared" si="6"/>
        <v>-548246.83219392621</v>
      </c>
      <c r="M78" s="69">
        <f t="shared" si="11"/>
        <v>2062452.3687295315</v>
      </c>
      <c r="N78" s="64">
        <f t="shared" si="7"/>
        <v>1761309.0167309865</v>
      </c>
      <c r="O78" s="145">
        <f t="shared" si="10"/>
        <v>0.21000000000000002</v>
      </c>
    </row>
    <row r="79" spans="1:15" x14ac:dyDescent="0.25">
      <c r="A79" s="61">
        <v>46203</v>
      </c>
      <c r="B79" s="30" t="str">
        <f t="shared" si="13"/>
        <v>Yr1</v>
      </c>
      <c r="D79" s="63">
        <f t="shared" si="3"/>
        <v>2767661.4841691628</v>
      </c>
      <c r="E79" s="63">
        <f t="shared" si="0"/>
        <v>2767661.4841691628</v>
      </c>
      <c r="F79" s="124">
        <f t="shared" si="14"/>
        <v>76879.485671365634</v>
      </c>
      <c r="G79" s="63">
        <f t="shared" si="4"/>
        <v>-615035.88537092507</v>
      </c>
      <c r="H79" s="63">
        <f t="shared" si="12"/>
        <v>-205011.96179030836</v>
      </c>
      <c r="I79" s="63">
        <f t="shared" si="8"/>
        <v>2562649.5223788545</v>
      </c>
      <c r="J79" s="63">
        <f t="shared" si="1"/>
        <v>16144.691990986783</v>
      </c>
      <c r="K79" s="68">
        <f t="shared" si="2"/>
        <v>-452051.37574762997</v>
      </c>
      <c r="L79" s="63">
        <f t="shared" si="6"/>
        <v>-538156.39969955932</v>
      </c>
      <c r="M79" s="63">
        <f t="shared" si="11"/>
        <v>2024493.122679295</v>
      </c>
      <c r="N79" s="64">
        <f t="shared" si="7"/>
        <v>1700574.2230506078</v>
      </c>
      <c r="O79" s="145">
        <f t="shared" si="10"/>
        <v>0.21000000000000002</v>
      </c>
    </row>
    <row r="80" spans="1:15" x14ac:dyDescent="0.25">
      <c r="A80" s="61">
        <v>46234</v>
      </c>
      <c r="B80" s="30" t="str">
        <f t="shared" si="13"/>
        <v>Yr1</v>
      </c>
      <c r="D80" s="63">
        <f t="shared" si="3"/>
        <v>2767661.4841691628</v>
      </c>
      <c r="E80" s="63">
        <f t="shared" si="0"/>
        <v>2767661.4841691628</v>
      </c>
      <c r="F80" s="124">
        <f t="shared" si="14"/>
        <v>76879.485671365634</v>
      </c>
      <c r="G80" s="63">
        <f t="shared" si="4"/>
        <v>-691915.3710422907</v>
      </c>
      <c r="H80" s="63">
        <f t="shared" si="12"/>
        <v>-259468.26414085901</v>
      </c>
      <c r="I80" s="63">
        <f t="shared" si="8"/>
        <v>2508193.2200283036</v>
      </c>
      <c r="J80" s="63">
        <f t="shared" si="1"/>
        <v>16144.691990986783</v>
      </c>
      <c r="K80" s="68">
        <f t="shared" si="2"/>
        <v>-435906.68375664321</v>
      </c>
      <c r="L80" s="63">
        <f t="shared" si="6"/>
        <v>-526720.57620594383</v>
      </c>
      <c r="M80" s="63">
        <f t="shared" si="11"/>
        <v>1981472.6438223599</v>
      </c>
      <c r="N80" s="64">
        <f t="shared" si="7"/>
        <v>1639839.4293702289</v>
      </c>
      <c r="O80" s="145">
        <f t="shared" si="10"/>
        <v>0.21000000000000002</v>
      </c>
    </row>
    <row r="81" spans="1:15" x14ac:dyDescent="0.25">
      <c r="A81" s="61">
        <v>46265</v>
      </c>
      <c r="B81" s="30" t="str">
        <f t="shared" si="13"/>
        <v>Yr1</v>
      </c>
      <c r="D81" s="63">
        <f t="shared" si="3"/>
        <v>2767661.4841691628</v>
      </c>
      <c r="E81" s="63">
        <f t="shared" si="0"/>
        <v>2767661.4841691628</v>
      </c>
      <c r="F81" s="124">
        <f t="shared" si="14"/>
        <v>76879.485671365634</v>
      </c>
      <c r="G81" s="63">
        <f t="shared" si="4"/>
        <v>-768794.85671365634</v>
      </c>
      <c r="H81" s="63">
        <f t="shared" si="12"/>
        <v>-320331.19029735681</v>
      </c>
      <c r="I81" s="63">
        <f t="shared" si="8"/>
        <v>2447330.293871806</v>
      </c>
      <c r="J81" s="63">
        <f t="shared" si="1"/>
        <v>16144.691990986783</v>
      </c>
      <c r="K81" s="68">
        <f t="shared" si="2"/>
        <v>-419761.99176565645</v>
      </c>
      <c r="L81" s="63">
        <f t="shared" si="6"/>
        <v>-513939.36171307933</v>
      </c>
      <c r="M81" s="63">
        <f t="shared" si="11"/>
        <v>1933390.9321587267</v>
      </c>
      <c r="N81" s="64">
        <f t="shared" si="7"/>
        <v>1579104.63568985</v>
      </c>
      <c r="O81" s="145">
        <f t="shared" si="10"/>
        <v>0.21000000000000005</v>
      </c>
    </row>
    <row r="82" spans="1:15" x14ac:dyDescent="0.25">
      <c r="A82" s="61">
        <v>46295</v>
      </c>
      <c r="B82" s="30" t="str">
        <f t="shared" si="13"/>
        <v>Yr1</v>
      </c>
      <c r="D82" s="63">
        <f t="shared" si="3"/>
        <v>2767661.4841691628</v>
      </c>
      <c r="E82" s="63">
        <f t="shared" si="0"/>
        <v>2767661.4841691628</v>
      </c>
      <c r="F82" s="124">
        <f t="shared" si="14"/>
        <v>76879.485671365634</v>
      </c>
      <c r="G82" s="63">
        <f t="shared" si="4"/>
        <v>-845674.34238502197</v>
      </c>
      <c r="H82" s="63">
        <f t="shared" si="12"/>
        <v>-387600.74025980174</v>
      </c>
      <c r="I82" s="63">
        <f t="shared" si="8"/>
        <v>2380060.7439093608</v>
      </c>
      <c r="J82" s="63">
        <f t="shared" si="1"/>
        <v>16144.691990986783</v>
      </c>
      <c r="K82" s="68">
        <f t="shared" si="2"/>
        <v>-403617.29977466969</v>
      </c>
      <c r="L82" s="63">
        <f t="shared" si="6"/>
        <v>-499812.75622096582</v>
      </c>
      <c r="M82" s="63">
        <f t="shared" si="11"/>
        <v>1880247.987688395</v>
      </c>
      <c r="N82" s="64">
        <f t="shared" si="7"/>
        <v>1518369.8420094713</v>
      </c>
      <c r="O82" s="145">
        <f t="shared" si="10"/>
        <v>0.21000000000000005</v>
      </c>
    </row>
    <row r="83" spans="1:15" ht="13.8" thickBot="1" x14ac:dyDescent="0.3">
      <c r="A83" s="61">
        <v>46326</v>
      </c>
      <c r="B83" s="30" t="str">
        <f>B82</f>
        <v>Yr1</v>
      </c>
      <c r="D83" s="63">
        <f t="shared" si="3"/>
        <v>2767661.4841691628</v>
      </c>
      <c r="E83" s="63">
        <f t="shared" si="0"/>
        <v>2767661.4841691628</v>
      </c>
      <c r="F83" s="124">
        <f t="shared" si="14"/>
        <v>76879.485671365634</v>
      </c>
      <c r="G83" s="63">
        <f t="shared" si="4"/>
        <v>-922553.8280563876</v>
      </c>
      <c r="H83" s="63">
        <f t="shared" si="12"/>
        <v>-461276.9140281938</v>
      </c>
      <c r="I83" s="63">
        <f t="shared" si="8"/>
        <v>2306384.570140969</v>
      </c>
      <c r="J83" s="63">
        <f t="shared" si="1"/>
        <v>16144.691990986783</v>
      </c>
      <c r="K83" s="68">
        <f t="shared" si="2"/>
        <v>-387472.60778368294</v>
      </c>
      <c r="L83" s="63">
        <f t="shared" si="6"/>
        <v>-484340.75972960354</v>
      </c>
      <c r="M83" s="63">
        <f t="shared" si="11"/>
        <v>1822043.8104113655</v>
      </c>
      <c r="N83" s="64">
        <f t="shared" si="7"/>
        <v>1457635.0483290923</v>
      </c>
      <c r="O83" s="145">
        <f t="shared" si="10"/>
        <v>0.21000000000000008</v>
      </c>
    </row>
    <row r="84" spans="1:15" x14ac:dyDescent="0.25">
      <c r="A84" s="134">
        <v>46356</v>
      </c>
      <c r="B84" s="141" t="s">
        <v>240</v>
      </c>
      <c r="C84" s="141"/>
      <c r="D84" s="136">
        <f t="shared" si="3"/>
        <v>2767661.4841691628</v>
      </c>
      <c r="E84" s="136">
        <f t="shared" si="0"/>
        <v>2767661.4841691628</v>
      </c>
      <c r="F84" s="124">
        <f t="shared" si="14"/>
        <v>76879.485671365634</v>
      </c>
      <c r="G84" s="136">
        <f t="shared" si="4"/>
        <v>-999433.31372775324</v>
      </c>
      <c r="H84" s="136">
        <f t="shared" si="12"/>
        <v>-538156.39969955944</v>
      </c>
      <c r="I84" s="136">
        <f t="shared" si="8"/>
        <v>2229505.0844696034</v>
      </c>
      <c r="J84" s="136">
        <f t="shared" si="1"/>
        <v>16144.691990986783</v>
      </c>
      <c r="K84" s="138">
        <f t="shared" si="2"/>
        <v>-371327.91579269618</v>
      </c>
      <c r="L84" s="136">
        <f t="shared" si="6"/>
        <v>-468196.06773861678</v>
      </c>
      <c r="M84" s="136">
        <f t="shared" si="11"/>
        <v>1761309.0167309865</v>
      </c>
      <c r="N84" s="140">
        <f t="shared" si="7"/>
        <v>1396900.2546487134</v>
      </c>
      <c r="O84" s="145">
        <f t="shared" si="10"/>
        <v>0.2100000000000001</v>
      </c>
    </row>
    <row r="85" spans="1:15" x14ac:dyDescent="0.25">
      <c r="A85" s="61">
        <v>46387</v>
      </c>
      <c r="B85" s="30" t="str">
        <f>B84</f>
        <v>Yr2</v>
      </c>
      <c r="D85" s="63">
        <f t="shared" si="3"/>
        <v>2767661.4841691628</v>
      </c>
      <c r="E85" s="63">
        <f t="shared" si="0"/>
        <v>2767661.4841691628</v>
      </c>
      <c r="F85" s="124">
        <f t="shared" si="14"/>
        <v>76879.485671365634</v>
      </c>
      <c r="G85" s="63">
        <f t="shared" si="4"/>
        <v>-1076312.7993991189</v>
      </c>
      <c r="H85" s="63">
        <f t="shared" si="12"/>
        <v>-615035.88537092507</v>
      </c>
      <c r="I85" s="63">
        <f t="shared" si="8"/>
        <v>2152625.5987982377</v>
      </c>
      <c r="J85" s="63">
        <f t="shared" si="1"/>
        <v>16144.691990986783</v>
      </c>
      <c r="K85" s="68">
        <f t="shared" si="2"/>
        <v>-355183.22380170942</v>
      </c>
      <c r="L85" s="63">
        <f t="shared" si="6"/>
        <v>-452051.37574762997</v>
      </c>
      <c r="M85" s="63">
        <f t="shared" si="11"/>
        <v>1700574.2230506078</v>
      </c>
      <c r="N85" s="64">
        <f t="shared" si="7"/>
        <v>1336165.4609683345</v>
      </c>
      <c r="O85" s="145">
        <f t="shared" si="10"/>
        <v>0.2100000000000001</v>
      </c>
    </row>
    <row r="86" spans="1:15" s="328" customFormat="1" x14ac:dyDescent="0.25">
      <c r="A86" s="323">
        <v>46418</v>
      </c>
      <c r="B86" s="30" t="str">
        <f t="shared" ref="B86:B95" si="15">B85</f>
        <v>Yr2</v>
      </c>
      <c r="C86" s="324"/>
      <c r="D86" s="199">
        <f t="shared" si="3"/>
        <v>2767661.4841691628</v>
      </c>
      <c r="E86" s="199">
        <f t="shared" si="0"/>
        <v>2767661.4841691628</v>
      </c>
      <c r="F86" s="124">
        <f t="shared" si="14"/>
        <v>76879.485671365634</v>
      </c>
      <c r="G86" s="199">
        <f t="shared" si="4"/>
        <v>-1153192.2850704845</v>
      </c>
      <c r="H86" s="199">
        <f t="shared" si="12"/>
        <v>-691915.3710422907</v>
      </c>
      <c r="I86" s="199">
        <f t="shared" si="8"/>
        <v>2075746.1131268721</v>
      </c>
      <c r="J86" s="199">
        <f t="shared" si="1"/>
        <v>16144.691990986783</v>
      </c>
      <c r="K86" s="326">
        <f t="shared" si="2"/>
        <v>-339038.53181072266</v>
      </c>
      <c r="L86" s="199">
        <f t="shared" si="6"/>
        <v>-435906.68375664321</v>
      </c>
      <c r="M86" s="199">
        <f t="shared" si="11"/>
        <v>1639839.4293702289</v>
      </c>
      <c r="N86" s="327">
        <f t="shared" si="7"/>
        <v>1275430.6672879555</v>
      </c>
      <c r="O86" s="330">
        <f t="shared" si="10"/>
        <v>0.21000000000000013</v>
      </c>
    </row>
    <row r="87" spans="1:15" x14ac:dyDescent="0.25">
      <c r="A87" s="61">
        <v>46446</v>
      </c>
      <c r="B87" s="30" t="str">
        <f t="shared" si="15"/>
        <v>Yr2</v>
      </c>
      <c r="D87" s="63">
        <f t="shared" si="3"/>
        <v>2767661.4841691628</v>
      </c>
      <c r="E87" s="63">
        <f t="shared" si="0"/>
        <v>2767661.4841691628</v>
      </c>
      <c r="F87" s="124">
        <f t="shared" si="14"/>
        <v>76879.485671365634</v>
      </c>
      <c r="G87" s="63">
        <f t="shared" si="4"/>
        <v>-1230071.7707418501</v>
      </c>
      <c r="H87" s="63">
        <f t="shared" si="12"/>
        <v>-768794.85671365634</v>
      </c>
      <c r="I87" s="63">
        <f t="shared" si="8"/>
        <v>1998866.6274555065</v>
      </c>
      <c r="J87" s="63">
        <f t="shared" si="1"/>
        <v>16144.691990986783</v>
      </c>
      <c r="K87" s="68">
        <f t="shared" si="2"/>
        <v>-322893.83981973591</v>
      </c>
      <c r="L87" s="63">
        <f t="shared" si="6"/>
        <v>-419761.99176565645</v>
      </c>
      <c r="M87" s="63">
        <f t="shared" si="11"/>
        <v>1579104.63568985</v>
      </c>
      <c r="N87" s="64">
        <f t="shared" si="7"/>
        <v>1214695.8736075768</v>
      </c>
      <c r="O87" s="145">
        <f t="shared" si="10"/>
        <v>0.21000000000000016</v>
      </c>
    </row>
    <row r="88" spans="1:15" x14ac:dyDescent="0.25">
      <c r="A88" s="61">
        <v>46477</v>
      </c>
      <c r="B88" s="30" t="str">
        <f t="shared" si="15"/>
        <v>Yr2</v>
      </c>
      <c r="D88" s="63">
        <f t="shared" si="3"/>
        <v>2767661.4841691628</v>
      </c>
      <c r="E88" s="63">
        <f t="shared" ref="E88:E95" si="16">(D76+D88+SUM(D77:D87)*2)/24</f>
        <v>2767661.4841691628</v>
      </c>
      <c r="F88" s="124">
        <f t="shared" si="14"/>
        <v>76879.485671365634</v>
      </c>
      <c r="G88" s="63">
        <f t="shared" si="4"/>
        <v>-1306951.2564132158</v>
      </c>
      <c r="H88" s="63">
        <f t="shared" si="12"/>
        <v>-845674.34238502197</v>
      </c>
      <c r="I88" s="63">
        <f t="shared" si="8"/>
        <v>1921987.1417841408</v>
      </c>
      <c r="J88" s="63">
        <f t="shared" ref="J88:J107" si="17">(-C88*0.21)+(F88*0.21)</f>
        <v>16144.691990986783</v>
      </c>
      <c r="K88" s="68">
        <f t="shared" ref="K88:K107" si="18">K87+J88</f>
        <v>-306749.14782874915</v>
      </c>
      <c r="L88" s="63">
        <f t="shared" si="6"/>
        <v>-403617.29977466975</v>
      </c>
      <c r="M88" s="63">
        <f t="shared" si="11"/>
        <v>1518369.842009471</v>
      </c>
      <c r="N88" s="64">
        <f t="shared" si="7"/>
        <v>1153961.0799271979</v>
      </c>
      <c r="O88" s="145">
        <f t="shared" si="10"/>
        <v>0.21000000000000019</v>
      </c>
    </row>
    <row r="89" spans="1:15" x14ac:dyDescent="0.25">
      <c r="A89" s="61">
        <v>46507</v>
      </c>
      <c r="B89" s="30" t="str">
        <f t="shared" si="15"/>
        <v>Yr2</v>
      </c>
      <c r="D89" s="63">
        <f t="shared" ref="D89:D107" si="19">D88+C89</f>
        <v>2767661.4841691628</v>
      </c>
      <c r="E89" s="63">
        <f t="shared" si="16"/>
        <v>2767661.4841691628</v>
      </c>
      <c r="F89" s="124">
        <f t="shared" si="14"/>
        <v>76879.485671365634</v>
      </c>
      <c r="G89" s="63">
        <f t="shared" si="4"/>
        <v>-1383830.7420845814</v>
      </c>
      <c r="H89" s="63">
        <f t="shared" si="12"/>
        <v>-922553.8280563876</v>
      </c>
      <c r="I89" s="63">
        <f t="shared" si="8"/>
        <v>1845107.6561127752</v>
      </c>
      <c r="J89" s="63">
        <f t="shared" si="17"/>
        <v>16144.691990986783</v>
      </c>
      <c r="K89" s="68">
        <f t="shared" si="18"/>
        <v>-290604.45583776239</v>
      </c>
      <c r="L89" s="63">
        <f t="shared" si="6"/>
        <v>-387472.60778368294</v>
      </c>
      <c r="M89" s="63">
        <f t="shared" si="11"/>
        <v>1457635.0483290923</v>
      </c>
      <c r="N89" s="64">
        <f t="shared" si="7"/>
        <v>1093226.286246819</v>
      </c>
      <c r="O89" s="145">
        <f t="shared" si="10"/>
        <v>0.21000000000000021</v>
      </c>
    </row>
    <row r="90" spans="1:15" x14ac:dyDescent="0.25">
      <c r="A90" s="61">
        <v>46538</v>
      </c>
      <c r="B90" s="30" t="str">
        <f t="shared" si="15"/>
        <v>Yr2</v>
      </c>
      <c r="D90" s="63">
        <f t="shared" si="19"/>
        <v>2767661.4841691628</v>
      </c>
      <c r="E90" s="63">
        <f t="shared" si="16"/>
        <v>2767661.4841691628</v>
      </c>
      <c r="F90" s="124">
        <f t="shared" si="14"/>
        <v>76879.485671365634</v>
      </c>
      <c r="G90" s="63">
        <f t="shared" ref="G90:G107" si="20">G89-F90</f>
        <v>-1460710.227755947</v>
      </c>
      <c r="H90" s="63">
        <f t="shared" si="12"/>
        <v>-999433.31372775324</v>
      </c>
      <c r="I90" s="63">
        <f t="shared" si="8"/>
        <v>1768228.1704414096</v>
      </c>
      <c r="J90" s="63">
        <f t="shared" si="17"/>
        <v>16144.691990986783</v>
      </c>
      <c r="K90" s="68">
        <f t="shared" si="18"/>
        <v>-274459.76384677563</v>
      </c>
      <c r="L90" s="63">
        <f t="shared" ref="L90:L95" si="21">(K78+K90+SUM(K79:K89)*2)/24</f>
        <v>-371327.91579269618</v>
      </c>
      <c r="M90" s="63">
        <f t="shared" si="11"/>
        <v>1396900.2546487134</v>
      </c>
      <c r="N90" s="64">
        <f t="shared" ref="N90:N107" si="22">+D90+G90+K90</f>
        <v>1032491.4925664401</v>
      </c>
      <c r="O90" s="145">
        <f t="shared" si="10"/>
        <v>0.21000000000000024</v>
      </c>
    </row>
    <row r="91" spans="1:15" x14ac:dyDescent="0.25">
      <c r="A91" s="61">
        <v>46568</v>
      </c>
      <c r="B91" s="30" t="str">
        <f t="shared" si="15"/>
        <v>Yr2</v>
      </c>
      <c r="D91" s="63">
        <f t="shared" si="19"/>
        <v>2767661.4841691628</v>
      </c>
      <c r="E91" s="63">
        <f t="shared" si="16"/>
        <v>2767661.4841691628</v>
      </c>
      <c r="F91" s="124">
        <f t="shared" si="14"/>
        <v>76879.485671365634</v>
      </c>
      <c r="G91" s="63">
        <f t="shared" si="20"/>
        <v>-1537589.7134273127</v>
      </c>
      <c r="H91" s="63">
        <f t="shared" si="12"/>
        <v>-1076312.7993991189</v>
      </c>
      <c r="I91" s="63">
        <f t="shared" ref="I91:I107" si="23">E91+H91</f>
        <v>1691348.6847700439</v>
      </c>
      <c r="J91" s="63">
        <f t="shared" si="17"/>
        <v>16144.691990986783</v>
      </c>
      <c r="K91" s="68">
        <f t="shared" si="18"/>
        <v>-258315.07185578885</v>
      </c>
      <c r="L91" s="63">
        <f t="shared" si="21"/>
        <v>-355183.22380170942</v>
      </c>
      <c r="M91" s="63">
        <f t="shared" si="11"/>
        <v>1336165.4609683345</v>
      </c>
      <c r="N91" s="64">
        <f t="shared" si="22"/>
        <v>971756.69888606132</v>
      </c>
      <c r="O91" s="145">
        <f t="shared" ref="O91:O94" si="24">-K91/(D91+G91)</f>
        <v>0.21000000000000027</v>
      </c>
    </row>
    <row r="92" spans="1:15" x14ac:dyDescent="0.25">
      <c r="A92" s="61">
        <v>46599</v>
      </c>
      <c r="B92" s="30" t="str">
        <f t="shared" si="15"/>
        <v>Yr2</v>
      </c>
      <c r="D92" s="63">
        <f t="shared" si="19"/>
        <v>2767661.4841691628</v>
      </c>
      <c r="E92" s="63">
        <f t="shared" si="16"/>
        <v>2767661.4841691628</v>
      </c>
      <c r="F92" s="124">
        <f t="shared" si="14"/>
        <v>76879.485671365634</v>
      </c>
      <c r="G92" s="63">
        <f t="shared" si="20"/>
        <v>-1614469.1990986783</v>
      </c>
      <c r="H92" s="63">
        <f t="shared" si="12"/>
        <v>-1153192.2850704845</v>
      </c>
      <c r="I92" s="63">
        <f t="shared" si="23"/>
        <v>1614469.1990986783</v>
      </c>
      <c r="J92" s="63">
        <f t="shared" si="17"/>
        <v>16144.691990986783</v>
      </c>
      <c r="K92" s="68">
        <f t="shared" si="18"/>
        <v>-242170.37986480206</v>
      </c>
      <c r="L92" s="63">
        <f t="shared" si="21"/>
        <v>-339038.53181072272</v>
      </c>
      <c r="M92" s="63">
        <f t="shared" si="11"/>
        <v>1275430.6672879555</v>
      </c>
      <c r="N92" s="64">
        <f t="shared" si="22"/>
        <v>911021.90520568239</v>
      </c>
      <c r="O92" s="145">
        <f t="shared" si="24"/>
        <v>0.21000000000000027</v>
      </c>
    </row>
    <row r="93" spans="1:15" x14ac:dyDescent="0.25">
      <c r="A93" s="61">
        <v>46630</v>
      </c>
      <c r="B93" s="30" t="str">
        <f t="shared" si="15"/>
        <v>Yr2</v>
      </c>
      <c r="D93" s="63">
        <f t="shared" si="19"/>
        <v>2767661.4841691628</v>
      </c>
      <c r="E93" s="63">
        <f t="shared" si="16"/>
        <v>2767661.4841691628</v>
      </c>
      <c r="F93" s="124">
        <f t="shared" si="14"/>
        <v>76879.485671365634</v>
      </c>
      <c r="G93" s="63">
        <f t="shared" si="20"/>
        <v>-1691348.6847700439</v>
      </c>
      <c r="H93" s="63">
        <f t="shared" si="12"/>
        <v>-1230071.7707418501</v>
      </c>
      <c r="I93" s="63">
        <f t="shared" si="23"/>
        <v>1537589.7134273127</v>
      </c>
      <c r="J93" s="63">
        <f t="shared" si="17"/>
        <v>16144.691990986783</v>
      </c>
      <c r="K93" s="68">
        <f t="shared" si="18"/>
        <v>-226025.68787381527</v>
      </c>
      <c r="L93" s="63">
        <f t="shared" si="21"/>
        <v>-322893.83981973591</v>
      </c>
      <c r="M93" s="63">
        <f t="shared" si="11"/>
        <v>1214695.8736075768</v>
      </c>
      <c r="N93" s="64">
        <f t="shared" si="22"/>
        <v>850287.11152530357</v>
      </c>
      <c r="O93" s="145">
        <f t="shared" si="24"/>
        <v>0.2100000000000003</v>
      </c>
    </row>
    <row r="94" spans="1:15" x14ac:dyDescent="0.25">
      <c r="A94" s="61">
        <v>46660</v>
      </c>
      <c r="B94" s="30" t="str">
        <f t="shared" si="15"/>
        <v>Yr2</v>
      </c>
      <c r="D94" s="63">
        <f t="shared" si="19"/>
        <v>2767661.4841691628</v>
      </c>
      <c r="E94" s="63">
        <f t="shared" si="16"/>
        <v>2767661.4841691628</v>
      </c>
      <c r="F94" s="124">
        <f t="shared" si="14"/>
        <v>76879.485671365634</v>
      </c>
      <c r="G94" s="63">
        <f t="shared" si="20"/>
        <v>-1768228.1704414096</v>
      </c>
      <c r="H94" s="63">
        <f t="shared" si="12"/>
        <v>-1306951.2564132158</v>
      </c>
      <c r="I94" s="63">
        <f t="shared" si="23"/>
        <v>1460710.227755947</v>
      </c>
      <c r="J94" s="63">
        <f t="shared" si="17"/>
        <v>16144.691990986783</v>
      </c>
      <c r="K94" s="68">
        <f t="shared" si="18"/>
        <v>-209880.99588282849</v>
      </c>
      <c r="L94" s="63">
        <f t="shared" si="21"/>
        <v>-306749.14782874909</v>
      </c>
      <c r="M94" s="63">
        <f t="shared" si="11"/>
        <v>1153961.0799271979</v>
      </c>
      <c r="N94" s="64">
        <f t="shared" si="22"/>
        <v>789552.31784492475</v>
      </c>
      <c r="O94" s="145">
        <f t="shared" si="24"/>
        <v>0.2100000000000003</v>
      </c>
    </row>
    <row r="95" spans="1:15" ht="13.8" thickBot="1" x14ac:dyDescent="0.3">
      <c r="A95" s="61">
        <v>46691</v>
      </c>
      <c r="B95" s="30" t="str">
        <f t="shared" si="15"/>
        <v>Yr2</v>
      </c>
      <c r="D95" s="63">
        <f t="shared" si="19"/>
        <v>2767661.4841691628</v>
      </c>
      <c r="E95" s="63">
        <f t="shared" si="16"/>
        <v>2767661.4841691628</v>
      </c>
      <c r="F95" s="124">
        <f t="shared" si="14"/>
        <v>76879.485671365634</v>
      </c>
      <c r="G95" s="63">
        <f t="shared" si="20"/>
        <v>-1845107.6561127752</v>
      </c>
      <c r="H95" s="63">
        <f t="shared" si="12"/>
        <v>-1383830.7420845814</v>
      </c>
      <c r="I95" s="63">
        <f t="shared" si="23"/>
        <v>1383830.7420845814</v>
      </c>
      <c r="J95" s="63">
        <f t="shared" si="17"/>
        <v>16144.691990986783</v>
      </c>
      <c r="K95" s="68">
        <f t="shared" si="18"/>
        <v>-193736.3038918417</v>
      </c>
      <c r="L95" s="63">
        <f t="shared" si="21"/>
        <v>-290604.45583776239</v>
      </c>
      <c r="M95" s="63">
        <f t="shared" si="11"/>
        <v>1093226.286246819</v>
      </c>
      <c r="N95" s="64">
        <f t="shared" si="22"/>
        <v>728817.52416454593</v>
      </c>
      <c r="O95" s="145"/>
    </row>
    <row r="96" spans="1:15" x14ac:dyDescent="0.25">
      <c r="A96" s="134">
        <v>46721</v>
      </c>
      <c r="B96" s="141" t="s">
        <v>241</v>
      </c>
      <c r="C96" s="141"/>
      <c r="D96" s="136">
        <f t="shared" si="19"/>
        <v>2767661.4841691628</v>
      </c>
      <c r="E96" s="136">
        <f t="shared" ref="E96:E98" si="25">(D84+D96+SUM(D85:D95)*2)/24</f>
        <v>2767661.4841691628</v>
      </c>
      <c r="F96" s="137">
        <f t="shared" si="14"/>
        <v>76879.485671365634</v>
      </c>
      <c r="G96" s="136">
        <f t="shared" si="20"/>
        <v>-1921987.1417841408</v>
      </c>
      <c r="H96" s="136">
        <f t="shared" si="12"/>
        <v>-1460710.227755947</v>
      </c>
      <c r="I96" s="136">
        <f t="shared" si="23"/>
        <v>1306951.2564132158</v>
      </c>
      <c r="J96" s="136">
        <f t="shared" si="17"/>
        <v>16144.691990986783</v>
      </c>
      <c r="K96" s="138">
        <f t="shared" si="18"/>
        <v>-177591.61190085491</v>
      </c>
      <c r="L96" s="136">
        <f t="shared" ref="L96:L107" si="26">(K84+K96+SUM(K85:K95)*2)/24</f>
        <v>-274459.76384677563</v>
      </c>
      <c r="M96" s="136">
        <f t="shared" si="11"/>
        <v>1032491.4925664401</v>
      </c>
      <c r="N96" s="140">
        <f t="shared" si="22"/>
        <v>668082.73048416711</v>
      </c>
      <c r="O96" s="145"/>
    </row>
    <row r="97" spans="1:15" x14ac:dyDescent="0.25">
      <c r="A97" s="61">
        <v>46752</v>
      </c>
      <c r="B97" s="30" t="str">
        <f>B96</f>
        <v>Yr3</v>
      </c>
      <c r="D97" s="63">
        <f t="shared" si="19"/>
        <v>2767661.4841691628</v>
      </c>
      <c r="E97" s="63">
        <f t="shared" si="25"/>
        <v>2767661.4841691628</v>
      </c>
      <c r="F97" s="124">
        <f t="shared" si="14"/>
        <v>76879.485671365634</v>
      </c>
      <c r="G97" s="63">
        <f t="shared" si="20"/>
        <v>-1998866.6274555065</v>
      </c>
      <c r="H97" s="63">
        <f t="shared" si="12"/>
        <v>-1537589.7134273127</v>
      </c>
      <c r="I97" s="63">
        <f t="shared" si="23"/>
        <v>1230071.7707418501</v>
      </c>
      <c r="J97" s="63">
        <f t="shared" si="17"/>
        <v>16144.691990986783</v>
      </c>
      <c r="K97" s="68">
        <f t="shared" si="18"/>
        <v>-161446.91990986813</v>
      </c>
      <c r="L97" s="63">
        <f t="shared" si="26"/>
        <v>-258315.07185578882</v>
      </c>
      <c r="M97" s="63">
        <f t="shared" si="11"/>
        <v>971756.69888606132</v>
      </c>
      <c r="N97" s="64">
        <f t="shared" si="22"/>
        <v>607347.93680378818</v>
      </c>
      <c r="O97" s="145"/>
    </row>
    <row r="98" spans="1:15" x14ac:dyDescent="0.25">
      <c r="A98" s="61">
        <v>46783</v>
      </c>
      <c r="B98" s="30" t="str">
        <f t="shared" ref="B98:B107" si="27">B97</f>
        <v>Yr3</v>
      </c>
      <c r="D98" s="63">
        <f t="shared" si="19"/>
        <v>2767661.4841691628</v>
      </c>
      <c r="E98" s="63">
        <f t="shared" si="25"/>
        <v>2767661.4841691628</v>
      </c>
      <c r="F98" s="124">
        <f t="shared" si="14"/>
        <v>76879.485671365634</v>
      </c>
      <c r="G98" s="63">
        <f t="shared" si="20"/>
        <v>-2075746.1131268721</v>
      </c>
      <c r="H98" s="63">
        <f t="shared" si="12"/>
        <v>-1614469.1990986783</v>
      </c>
      <c r="I98" s="63">
        <f t="shared" si="23"/>
        <v>1153192.2850704845</v>
      </c>
      <c r="J98" s="63">
        <f t="shared" si="17"/>
        <v>16144.691990986783</v>
      </c>
      <c r="K98" s="68">
        <f t="shared" si="18"/>
        <v>-145302.22791888134</v>
      </c>
      <c r="L98" s="63">
        <f t="shared" si="26"/>
        <v>-242170.37986480203</v>
      </c>
      <c r="M98" s="63">
        <f t="shared" si="11"/>
        <v>911021.9052056825</v>
      </c>
      <c r="N98" s="64">
        <f t="shared" si="22"/>
        <v>546613.14312340936</v>
      </c>
      <c r="O98" s="145"/>
    </row>
    <row r="99" spans="1:15" x14ac:dyDescent="0.25">
      <c r="A99" s="61">
        <v>46812</v>
      </c>
      <c r="B99" s="30" t="str">
        <f t="shared" si="27"/>
        <v>Yr3</v>
      </c>
      <c r="D99" s="63">
        <f t="shared" si="19"/>
        <v>2767661.4841691628</v>
      </c>
      <c r="E99" s="63">
        <f t="shared" ref="E99:E107" si="28">(D87+D99+SUM(D88:D98)*2)/24</f>
        <v>2767661.4841691628</v>
      </c>
      <c r="F99" s="124">
        <f t="shared" si="14"/>
        <v>76879.485671365634</v>
      </c>
      <c r="G99" s="63">
        <f t="shared" si="20"/>
        <v>-2152625.5987982377</v>
      </c>
      <c r="H99" s="63">
        <f t="shared" si="12"/>
        <v>-1691348.6847700439</v>
      </c>
      <c r="I99" s="63">
        <f t="shared" si="23"/>
        <v>1076312.7993991189</v>
      </c>
      <c r="J99" s="63">
        <f t="shared" si="17"/>
        <v>16144.691990986783</v>
      </c>
      <c r="K99" s="68">
        <f t="shared" si="18"/>
        <v>-129157.53592789455</v>
      </c>
      <c r="L99" s="63">
        <f t="shared" si="26"/>
        <v>-226025.68787381527</v>
      </c>
      <c r="M99" s="63">
        <f t="shared" si="11"/>
        <v>850287.11152530357</v>
      </c>
      <c r="N99" s="64">
        <f t="shared" si="22"/>
        <v>485878.34944303054</v>
      </c>
      <c r="O99" s="145"/>
    </row>
    <row r="100" spans="1:15" x14ac:dyDescent="0.25">
      <c r="A100" s="61">
        <v>46843</v>
      </c>
      <c r="B100" s="30" t="str">
        <f t="shared" si="27"/>
        <v>Yr3</v>
      </c>
      <c r="D100" s="63">
        <f t="shared" si="19"/>
        <v>2767661.4841691628</v>
      </c>
      <c r="E100" s="63">
        <f t="shared" si="28"/>
        <v>2767661.4841691628</v>
      </c>
      <c r="F100" s="124">
        <f t="shared" si="14"/>
        <v>76879.485671365634</v>
      </c>
      <c r="G100" s="63">
        <f t="shared" si="20"/>
        <v>-2229505.0844696034</v>
      </c>
      <c r="H100" s="63">
        <f t="shared" si="12"/>
        <v>-1768228.1704414096</v>
      </c>
      <c r="I100" s="63">
        <f t="shared" si="23"/>
        <v>999433.31372775324</v>
      </c>
      <c r="J100" s="63">
        <f t="shared" si="17"/>
        <v>16144.691990986783</v>
      </c>
      <c r="K100" s="68">
        <f t="shared" si="18"/>
        <v>-113012.84393690777</v>
      </c>
      <c r="L100" s="63">
        <f t="shared" si="26"/>
        <v>-209880.99588282846</v>
      </c>
      <c r="M100" s="63">
        <f t="shared" si="11"/>
        <v>789552.31784492475</v>
      </c>
      <c r="N100" s="64">
        <f t="shared" si="22"/>
        <v>425143.55576265167</v>
      </c>
      <c r="O100" s="145"/>
    </row>
    <row r="101" spans="1:15" x14ac:dyDescent="0.25">
      <c r="A101" s="61">
        <v>46873</v>
      </c>
      <c r="B101" s="30" t="str">
        <f t="shared" si="27"/>
        <v>Yr3</v>
      </c>
      <c r="D101" s="63">
        <f t="shared" si="19"/>
        <v>2767661.4841691628</v>
      </c>
      <c r="E101" s="63">
        <f t="shared" si="28"/>
        <v>2767661.4841691628</v>
      </c>
      <c r="F101" s="124">
        <f t="shared" si="14"/>
        <v>76879.485671365634</v>
      </c>
      <c r="G101" s="63">
        <f t="shared" si="20"/>
        <v>-2306384.570140969</v>
      </c>
      <c r="H101" s="63">
        <f t="shared" si="12"/>
        <v>-1845107.6561127752</v>
      </c>
      <c r="I101" s="63">
        <f t="shared" si="23"/>
        <v>922553.8280563876</v>
      </c>
      <c r="J101" s="63">
        <f t="shared" si="17"/>
        <v>16144.691990986783</v>
      </c>
      <c r="K101" s="68">
        <f t="shared" si="18"/>
        <v>-96868.151945920981</v>
      </c>
      <c r="L101" s="63">
        <f t="shared" si="26"/>
        <v>-193736.30389184167</v>
      </c>
      <c r="M101" s="63">
        <f t="shared" ref="M101:M107" si="29">L101+I101</f>
        <v>728817.52416454593</v>
      </c>
      <c r="N101" s="64">
        <f t="shared" si="22"/>
        <v>364408.76208227279</v>
      </c>
      <c r="O101" s="145"/>
    </row>
    <row r="102" spans="1:15" x14ac:dyDescent="0.25">
      <c r="A102" s="61">
        <v>46904</v>
      </c>
      <c r="B102" s="30" t="str">
        <f t="shared" si="27"/>
        <v>Yr3</v>
      </c>
      <c r="D102" s="63">
        <f t="shared" si="19"/>
        <v>2767661.4841691628</v>
      </c>
      <c r="E102" s="63">
        <f t="shared" si="28"/>
        <v>2767661.4841691628</v>
      </c>
      <c r="F102" s="124">
        <f t="shared" si="14"/>
        <v>76879.485671365634</v>
      </c>
      <c r="G102" s="63">
        <f t="shared" si="20"/>
        <v>-2383264.0558123346</v>
      </c>
      <c r="H102" s="63">
        <f t="shared" ref="H102:H107" si="30">(G90+G102+SUM(G91:G101)*2)/24</f>
        <v>-1921987.1417841408</v>
      </c>
      <c r="I102" s="63">
        <f t="shared" si="23"/>
        <v>845674.34238502197</v>
      </c>
      <c r="J102" s="63">
        <f t="shared" si="17"/>
        <v>16144.691990986783</v>
      </c>
      <c r="K102" s="68">
        <f t="shared" si="18"/>
        <v>-80723.459954934195</v>
      </c>
      <c r="L102" s="63">
        <f t="shared" si="26"/>
        <v>-177591.61190085488</v>
      </c>
      <c r="M102" s="63">
        <f t="shared" si="29"/>
        <v>668082.73048416711</v>
      </c>
      <c r="N102" s="64">
        <f t="shared" si="22"/>
        <v>303673.96840189397</v>
      </c>
      <c r="O102" s="145"/>
    </row>
    <row r="103" spans="1:15" x14ac:dyDescent="0.25">
      <c r="A103" s="61">
        <v>46934</v>
      </c>
      <c r="B103" s="30" t="str">
        <f t="shared" si="27"/>
        <v>Yr3</v>
      </c>
      <c r="D103" s="63">
        <f t="shared" si="19"/>
        <v>2767661.4841691628</v>
      </c>
      <c r="E103" s="63">
        <f t="shared" si="28"/>
        <v>2767661.4841691628</v>
      </c>
      <c r="F103" s="124">
        <f t="shared" si="14"/>
        <v>76879.485671365634</v>
      </c>
      <c r="G103" s="63">
        <f t="shared" si="20"/>
        <v>-2460143.5414837003</v>
      </c>
      <c r="H103" s="63">
        <f t="shared" si="30"/>
        <v>-1998866.6274555062</v>
      </c>
      <c r="I103" s="63">
        <f t="shared" si="23"/>
        <v>768794.85671365657</v>
      </c>
      <c r="J103" s="63">
        <f t="shared" si="17"/>
        <v>16144.691990986783</v>
      </c>
      <c r="K103" s="68">
        <f t="shared" si="18"/>
        <v>-64578.767963947408</v>
      </c>
      <c r="L103" s="63">
        <f t="shared" si="26"/>
        <v>-161446.91990986813</v>
      </c>
      <c r="M103" s="63">
        <f t="shared" si="29"/>
        <v>607347.93680378841</v>
      </c>
      <c r="N103" s="64">
        <f t="shared" si="22"/>
        <v>242939.17472151513</v>
      </c>
      <c r="O103" s="145"/>
    </row>
    <row r="104" spans="1:15" x14ac:dyDescent="0.25">
      <c r="A104" s="61">
        <v>46965</v>
      </c>
      <c r="B104" s="30" t="str">
        <f t="shared" si="27"/>
        <v>Yr3</v>
      </c>
      <c r="D104" s="63">
        <f t="shared" si="19"/>
        <v>2767661.4841691628</v>
      </c>
      <c r="E104" s="63">
        <f t="shared" si="28"/>
        <v>2767661.4841691628</v>
      </c>
      <c r="F104" s="124">
        <f t="shared" si="14"/>
        <v>76879.485671365634</v>
      </c>
      <c r="G104" s="63">
        <f t="shared" si="20"/>
        <v>-2537023.0271550659</v>
      </c>
      <c r="H104" s="63">
        <f t="shared" si="30"/>
        <v>-2075746.1131268721</v>
      </c>
      <c r="I104" s="63">
        <f t="shared" si="23"/>
        <v>691915.3710422907</v>
      </c>
      <c r="J104" s="63">
        <f t="shared" si="17"/>
        <v>16144.691990986783</v>
      </c>
      <c r="K104" s="68">
        <f t="shared" si="18"/>
        <v>-48434.075972960622</v>
      </c>
      <c r="L104" s="63">
        <f t="shared" si="26"/>
        <v>-145302.22791888134</v>
      </c>
      <c r="M104" s="63">
        <f t="shared" si="29"/>
        <v>546613.14312340936</v>
      </c>
      <c r="N104" s="64">
        <f t="shared" si="22"/>
        <v>182204.38104113628</v>
      </c>
      <c r="O104" s="145"/>
    </row>
    <row r="105" spans="1:15" x14ac:dyDescent="0.25">
      <c r="A105" s="61">
        <v>46996</v>
      </c>
      <c r="B105" s="30" t="str">
        <f t="shared" si="27"/>
        <v>Yr3</v>
      </c>
      <c r="D105" s="63">
        <f t="shared" si="19"/>
        <v>2767661.4841691628</v>
      </c>
      <c r="E105" s="63">
        <f t="shared" si="28"/>
        <v>2767661.4841691628</v>
      </c>
      <c r="F105" s="124">
        <f t="shared" si="14"/>
        <v>76879.485671365634</v>
      </c>
      <c r="G105" s="63">
        <f t="shared" si="20"/>
        <v>-2613902.5128264315</v>
      </c>
      <c r="H105" s="63">
        <f t="shared" si="30"/>
        <v>-2152625.5987982377</v>
      </c>
      <c r="I105" s="63">
        <f t="shared" si="23"/>
        <v>615035.88537092507</v>
      </c>
      <c r="J105" s="63">
        <f t="shared" si="17"/>
        <v>16144.691990986783</v>
      </c>
      <c r="K105" s="68">
        <f t="shared" si="18"/>
        <v>-32289.383981973839</v>
      </c>
      <c r="L105" s="63">
        <f t="shared" si="26"/>
        <v>-129157.53592789454</v>
      </c>
      <c r="M105" s="63">
        <f t="shared" si="29"/>
        <v>485878.34944303054</v>
      </c>
      <c r="N105" s="64">
        <f t="shared" si="22"/>
        <v>121469.58736075743</v>
      </c>
      <c r="O105" s="145"/>
    </row>
    <row r="106" spans="1:15" x14ac:dyDescent="0.25">
      <c r="A106" s="61">
        <v>47026</v>
      </c>
      <c r="B106" s="30" t="str">
        <f t="shared" si="27"/>
        <v>Yr3</v>
      </c>
      <c r="D106" s="63">
        <f t="shared" si="19"/>
        <v>2767661.4841691628</v>
      </c>
      <c r="E106" s="63">
        <f t="shared" si="28"/>
        <v>2767661.4841691628</v>
      </c>
      <c r="F106" s="124">
        <f t="shared" si="14"/>
        <v>76879.485671365634</v>
      </c>
      <c r="G106" s="63">
        <f t="shared" si="20"/>
        <v>-2690781.9984977972</v>
      </c>
      <c r="H106" s="63">
        <f t="shared" si="30"/>
        <v>-2229505.0844696034</v>
      </c>
      <c r="I106" s="63">
        <f t="shared" si="23"/>
        <v>538156.39969955944</v>
      </c>
      <c r="J106" s="63">
        <f t="shared" si="17"/>
        <v>16144.691990986783</v>
      </c>
      <c r="K106" s="68">
        <f t="shared" si="18"/>
        <v>-16144.691990987056</v>
      </c>
      <c r="L106" s="63">
        <f t="shared" si="26"/>
        <v>-113012.84393690777</v>
      </c>
      <c r="M106" s="63">
        <f t="shared" si="29"/>
        <v>425143.55576265167</v>
      </c>
      <c r="N106" s="64">
        <f t="shared" si="22"/>
        <v>60734.793680378578</v>
      </c>
      <c r="O106" s="145"/>
    </row>
    <row r="107" spans="1:15" x14ac:dyDescent="0.25">
      <c r="A107" s="70">
        <v>47057</v>
      </c>
      <c r="B107" s="30" t="str">
        <f t="shared" si="27"/>
        <v>Yr3</v>
      </c>
      <c r="C107" s="71"/>
      <c r="D107" s="72">
        <f t="shared" si="19"/>
        <v>2767661.4841691628</v>
      </c>
      <c r="E107" s="72">
        <f t="shared" si="28"/>
        <v>2767661.4841691628</v>
      </c>
      <c r="F107" s="125">
        <f t="shared" si="14"/>
        <v>76879.485671365634</v>
      </c>
      <c r="G107" s="72">
        <f t="shared" si="20"/>
        <v>-2767661.4841691628</v>
      </c>
      <c r="H107" s="72">
        <f t="shared" si="30"/>
        <v>-2306384.5701409685</v>
      </c>
      <c r="I107" s="72">
        <f t="shared" si="23"/>
        <v>461276.91402819427</v>
      </c>
      <c r="J107" s="72">
        <f t="shared" si="17"/>
        <v>16144.691990986783</v>
      </c>
      <c r="K107" s="73">
        <f t="shared" si="18"/>
        <v>-2.7284841053187847E-10</v>
      </c>
      <c r="L107" s="72">
        <f t="shared" si="26"/>
        <v>-96868.151945920967</v>
      </c>
      <c r="M107" s="72">
        <f t="shared" si="29"/>
        <v>364408.76208227332</v>
      </c>
      <c r="N107" s="74">
        <f t="shared" si="22"/>
        <v>-2.7284841053187847E-10</v>
      </c>
      <c r="O107" s="145"/>
    </row>
    <row r="110" spans="1:15" x14ac:dyDescent="0.25">
      <c r="A110" s="30" t="s">
        <v>301</v>
      </c>
      <c r="F110" s="130">
        <f>SUM(F72:F83)</f>
        <v>922553.8280563876</v>
      </c>
    </row>
  </sheetData>
  <phoneticPr fontId="26" type="noConversion"/>
  <printOptions horizontalCentered="1"/>
  <pageMargins left="0.2" right="0.2" top="0.25" bottom="0.5" header="0.3" footer="0.3"/>
  <pageSetup scale="75" firstPageNumber="4" fitToHeight="0" orientation="landscape" useFirstPageNumber="1" r:id="rId1"/>
  <headerFooter>
    <oddFooter>&amp;R&amp;"Times New Roman,Regular"Exh. SEF-3 page &amp;P of 16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6D2D08F0ACA094CAFAD91419FF15D67" ma:contentTypeVersion="19" ma:contentTypeDescription="" ma:contentTypeScope="" ma:versionID="7a91c3bf717eb7df18249ce690cd9e1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Pending</CaseStatus>
    <OpenedDate xmlns="dc463f71-b30c-4ab2-9473-d307f9d35888">2025-09-30T07:00:00+00:00</OpenedDate>
    <SignificantOrder xmlns="dc463f71-b30c-4ab2-9473-d307f9d35888">false</SignificantOrder>
    <Date1 xmlns="dc463f71-b30c-4ab2-9473-d307f9d35888">2025-09-30T07:00:00+00:00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250744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D6B3A99-5ACD-424D-857A-1B2A18B32622}"/>
</file>

<file path=customXml/itemProps2.xml><?xml version="1.0" encoding="utf-8"?>
<ds:datastoreItem xmlns:ds="http://schemas.openxmlformats.org/officeDocument/2006/customXml" ds:itemID="{EA54A9D4-7B8E-471F-BAA3-CA4C638A23B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03A34CD-A655-44C5-86B6-32C20C32B877}"/>
</file>

<file path=customXml/itemProps4.xml><?xml version="1.0" encoding="utf-8"?>
<ds:datastoreItem xmlns:ds="http://schemas.openxmlformats.org/officeDocument/2006/customXml" ds:itemID="{800657A9-4DC7-47D4-AA7D-6FB82A0063BD}">
  <ds:schemaRefs>
    <ds:schemaRef ds:uri="http://schemas.microsoft.com/sharepoint/v3"/>
    <ds:schemaRef ds:uri="http://purl.org/dc/terms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c463f71-b30c-4ab2-9473-d307f9d35888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15</vt:i4>
      </vt:variant>
    </vt:vector>
  </HeadingPairs>
  <TitlesOfParts>
    <vt:vector size="43" baseType="lpstr">
      <vt:lpstr>Rev Req</vt:lpstr>
      <vt:lpstr>Tracker Monthly True-up Detail</vt:lpstr>
      <vt:lpstr>Monthly Return Cals</vt:lpstr>
      <vt:lpstr>Actual O&amp;M</vt:lpstr>
      <vt:lpstr>LNG Forecast O&amp;M</vt:lpstr>
      <vt:lpstr>Plant Additions thr Oct 2026</vt:lpstr>
      <vt:lpstr>Total Deferrals Summary </vt:lpstr>
      <vt:lpstr>Post Oct 23 LNG Retrn Def</vt:lpstr>
      <vt:lpstr>Post Oct 23 LNG Depr Deferra </vt:lpstr>
      <vt:lpstr>Post Oct 23 LNG O&amp;M Deferral </vt:lpstr>
      <vt:lpstr>Updated LNG O&amp;M Deferral</vt:lpstr>
      <vt:lpstr>UpdateLNG Depreciation Deferral</vt:lpstr>
      <vt:lpstr>Updated LNG Return Deferral</vt:lpstr>
      <vt:lpstr>One-time deferral transfer</vt:lpstr>
      <vt:lpstr>Actls Depr Deferral</vt:lpstr>
      <vt:lpstr>Gas Con Factor</vt:lpstr>
      <vt:lpstr>approved COC</vt:lpstr>
      <vt:lpstr>Prior frm Cmply Filing -&gt;&gt; </vt:lpstr>
      <vt:lpstr>Cmply. Filed</vt:lpstr>
      <vt:lpstr>Plant Additions</vt:lpstr>
      <vt:lpstr>Deferrals ---&gt;</vt:lpstr>
      <vt:lpstr>Total Deferrals</vt:lpstr>
      <vt:lpstr>LNG O&amp;M Deferral</vt:lpstr>
      <vt:lpstr>LNG Depreciation Deferral</vt:lpstr>
      <vt:lpstr>LNG Return Deferral</vt:lpstr>
      <vt:lpstr>ROR</vt:lpstr>
      <vt:lpstr>O&amp;M</vt:lpstr>
      <vt:lpstr>Gas Conv Factor</vt:lpstr>
      <vt:lpstr>'Actls Depr Deferral'!Print_Area</vt:lpstr>
      <vt:lpstr>'Gas Conv Factor'!Print_Area</vt:lpstr>
      <vt:lpstr>'Monthly Return Cals'!Print_Area</vt:lpstr>
      <vt:lpstr>ROR!Print_Area</vt:lpstr>
      <vt:lpstr>'Tracker Monthly True-up Detail'!Print_Area</vt:lpstr>
      <vt:lpstr>'LNG Depreciation Deferral'!Print_Titles</vt:lpstr>
      <vt:lpstr>'LNG O&amp;M Deferral'!Print_Titles</vt:lpstr>
      <vt:lpstr>'LNG Return Deferral'!Print_Titles</vt:lpstr>
      <vt:lpstr>'O&amp;M'!Print_Titles</vt:lpstr>
      <vt:lpstr>'Post Oct 23 LNG Depr Deferra '!Print_Titles</vt:lpstr>
      <vt:lpstr>'Post Oct 23 LNG O&amp;M Deferral '!Print_Titles</vt:lpstr>
      <vt:lpstr>'Post Oct 23 LNG Retrn Def'!Print_Titles</vt:lpstr>
      <vt:lpstr>'Updated LNG O&amp;M Deferral'!Print_Titles</vt:lpstr>
      <vt:lpstr>'Updated LNG Return Deferral'!Print_Titles</vt:lpstr>
      <vt:lpstr>'UpdateLNG Depreciation Deferral'!Print_Titles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Free, Susan</dc:creator>
  <cp:lastModifiedBy>Pham, Linh</cp:lastModifiedBy>
  <cp:lastPrinted>2023-05-04T16:55:32Z</cp:lastPrinted>
  <dcterms:created xsi:type="dcterms:W3CDTF">2022-08-17T20:22:00Z</dcterms:created>
  <dcterms:modified xsi:type="dcterms:W3CDTF">2025-09-05T16:51:46Z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0x0101006E56B4D1795A2E4DB2F0B01679ED314A00C6D2D08F0ACA094CAFAD91419FF15D67</vt:lpwstr>
  </property>
  <property fmtid="{D5CDD505-2E9C-101B-9397-08002B2CF9AE}" pid="3" name="_docset_NoMedatataSyncRequired">
    <vt:lpwstr>False</vt:lpwstr>
  </property>
  <property fmtid="{D5CDD505-2E9C-101B-9397-08002B2CF9AE}" pid="4" name="MSIP_Label_b689cc04-6351-41d8-9f1d-a834e5351c1d_Enabled">
    <vt:lpwstr>true</vt:lpwstr>
  </property>
  <property fmtid="{D5CDD505-2E9C-101B-9397-08002B2CF9AE}" pid="5" name="MSIP_Label_b689cc04-6351-41d8-9f1d-a834e5351c1d_SetDate">
    <vt:lpwstr>2025-08-27T16:32:51Z</vt:lpwstr>
  </property>
  <property fmtid="{D5CDD505-2E9C-101B-9397-08002B2CF9AE}" pid="6" name="MSIP_Label_b689cc04-6351-41d8-9f1d-a834e5351c1d_Method">
    <vt:lpwstr>Standard</vt:lpwstr>
  </property>
  <property fmtid="{D5CDD505-2E9C-101B-9397-08002B2CF9AE}" pid="7" name="MSIP_Label_b689cc04-6351-41d8-9f1d-a834e5351c1d_Name">
    <vt:lpwstr>Internal Use Only</vt:lpwstr>
  </property>
  <property fmtid="{D5CDD505-2E9C-101B-9397-08002B2CF9AE}" pid="8" name="MSIP_Label_b689cc04-6351-41d8-9f1d-a834e5351c1d_SiteId">
    <vt:lpwstr>58e8b525-6212-4087-a0d0-fa755583444b</vt:lpwstr>
  </property>
  <property fmtid="{D5CDD505-2E9C-101B-9397-08002B2CF9AE}" pid="9" name="MSIP_Label_b689cc04-6351-41d8-9f1d-a834e5351c1d_ActionId">
    <vt:lpwstr>de90b45c-cf13-4fe5-932a-17ac4b749d18</vt:lpwstr>
  </property>
  <property fmtid="{D5CDD505-2E9C-101B-9397-08002B2CF9AE}" pid="10" name="MSIP_Label_b689cc04-6351-41d8-9f1d-a834e5351c1d_ContentBits">
    <vt:lpwstr>0</vt:lpwstr>
  </property>
  <property fmtid="{D5CDD505-2E9C-101B-9397-08002B2CF9AE}" pid="11" name="MSIP_Label_b689cc04-6351-41d8-9f1d-a834e5351c1d_Tag">
    <vt:lpwstr>10, 3, 0, 1</vt:lpwstr>
  </property>
</Properties>
</file>