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1.xml" ContentType="application/vnd.openxmlformats-officedocument.spreadsheetml.externalLink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Txhous10fps03rf\orport01fps01\PUBLIC\Evan Burmester\WUTC\Commodity Rebate Filings\2024\Bremerton\"/>
    </mc:Choice>
  </mc:AlternateContent>
  <xr:revisionPtr revIDLastSave="0" documentId="8_{C375E516-3111-4E3D-9AB3-CB5FB9CE4E31}" xr6:coauthVersionLast="47" xr6:coauthVersionMax="47" xr10:uidLastSave="{00000000-0000-0000-0000-000000000000}"/>
  <bookViews>
    <workbookView xWindow="50280" yWindow="5505" windowWidth="29040" windowHeight="15720" tabRatio="967" firstSheet="2" activeTab="8" xr2:uid="{BB05D747-D818-4B67-9744-493C5BBE6A7B}"/>
  </bookViews>
  <sheets>
    <sheet name="Rebate Analysis" sheetId="40" r:id="rId1"/>
    <sheet name="Calculation of Revenue" sheetId="34" r:id="rId2"/>
    <sheet name="Reg. Res'l - SS Mix &amp; Prices" sheetId="35" r:id="rId3"/>
    <sheet name="Composition - CRC" sheetId="43" r:id="rId4"/>
    <sheet name="Reg. MF - SS Mix &amp; Prices" sheetId="36" r:id="rId5"/>
    <sheet name="Total Company Tonnage" sheetId="41" r:id="rId6"/>
    <sheet name="Commodity Prices - JMK" sheetId="39" r:id="rId7"/>
    <sheet name="Customer Counts" sheetId="38" r:id="rId8"/>
    <sheet name="MF Units" sheetId="42" r:id="rId9"/>
  </sheets>
  <externalReferences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  <externalReference r:id="rId31"/>
    <externalReference r:id="rId32"/>
    <externalReference r:id="rId33"/>
  </externalReferences>
  <definedNames>
    <definedName name="_xlnm.Print_Area" localSheetId="1">'Calculation of Revenue'!$A$1:$K$47</definedName>
    <definedName name="_xlnm.Print_Area" localSheetId="6">'Commodity Prices - JMK'!$A$1:$K$21</definedName>
    <definedName name="_xlnm.Print_Area" localSheetId="7">'Customer Counts'!$A$1:$I$24</definedName>
    <definedName name="_xlnm.Print_Area" localSheetId="0">'Rebate Analysis'!$AQ$1:$AV$67</definedName>
    <definedName name="_xlnm.Print_Area" localSheetId="4">'Reg. MF - SS Mix &amp; Prices'!$A$1:$M$68</definedName>
    <definedName name="_xlnm.Print_Area" localSheetId="2">'Reg. Res''l - SS Mix &amp; Prices'!$A$1:$M$70</definedName>
    <definedName name="_xlnm.Print_Area" localSheetId="5">'Total Company Tonnage'!$A$1:$T$61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15" i="43" l="1"/>
  <c r="X14" i="43"/>
  <c r="X13" i="43"/>
  <c r="X12" i="43"/>
  <c r="X11" i="43"/>
  <c r="X10" i="43"/>
  <c r="X9" i="43"/>
  <c r="X8" i="43"/>
  <c r="X7" i="43"/>
  <c r="X6" i="43"/>
  <c r="X5" i="43"/>
  <c r="K20" i="39"/>
  <c r="J20" i="39"/>
  <c r="I20" i="39"/>
  <c r="H20" i="39"/>
  <c r="G20" i="39"/>
  <c r="F20" i="39"/>
  <c r="E20" i="39"/>
  <c r="D20" i="39"/>
  <c r="C20" i="39"/>
  <c r="B20" i="39"/>
  <c r="H21" i="41"/>
  <c r="F21" i="41"/>
  <c r="C21" i="41"/>
  <c r="B21" i="41"/>
  <c r="D20" i="38"/>
  <c r="C20" i="38"/>
  <c r="B20" i="38"/>
  <c r="V15" i="43"/>
  <c r="V14" i="43"/>
  <c r="V13" i="43"/>
  <c r="V12" i="43"/>
  <c r="V11" i="43"/>
  <c r="V10" i="43"/>
  <c r="V9" i="43"/>
  <c r="V8" i="43"/>
  <c r="V7" i="43"/>
  <c r="V6" i="43"/>
  <c r="V5" i="43"/>
  <c r="K19" i="39"/>
  <c r="J19" i="39"/>
  <c r="I19" i="39"/>
  <c r="H19" i="39"/>
  <c r="G19" i="39"/>
  <c r="F19" i="39"/>
  <c r="E19" i="39"/>
  <c r="D19" i="39"/>
  <c r="C19" i="39"/>
  <c r="B19" i="39"/>
  <c r="K18" i="39"/>
  <c r="L50" i="35"/>
  <c r="L50" i="36"/>
  <c r="J18" i="39"/>
  <c r="K50" i="35"/>
  <c r="K50" i="36"/>
  <c r="I18" i="39"/>
  <c r="H18" i="39"/>
  <c r="G18" i="39"/>
  <c r="F18" i="39"/>
  <c r="E18" i="39"/>
  <c r="D18" i="39"/>
  <c r="C18" i="39"/>
  <c r="D50" i="35"/>
  <c r="D50" i="36"/>
  <c r="B18" i="39"/>
  <c r="T15" i="43"/>
  <c r="T14" i="43"/>
  <c r="T13" i="43"/>
  <c r="T12" i="43"/>
  <c r="Z12" i="43"/>
  <c r="T11" i="43"/>
  <c r="T10" i="43"/>
  <c r="T9" i="43"/>
  <c r="T8" i="43"/>
  <c r="T7" i="43"/>
  <c r="T6" i="43"/>
  <c r="T5" i="43"/>
  <c r="K17" i="39"/>
  <c r="L49" i="35"/>
  <c r="L49" i="36"/>
  <c r="J17" i="39"/>
  <c r="K49" i="35"/>
  <c r="K49" i="36"/>
  <c r="I17" i="39"/>
  <c r="H17" i="39"/>
  <c r="G17" i="39"/>
  <c r="F17" i="39"/>
  <c r="E17" i="39"/>
  <c r="D17" i="39"/>
  <c r="C17" i="39"/>
  <c r="D49" i="35"/>
  <c r="D49" i="36"/>
  <c r="B17" i="39"/>
  <c r="C49" i="35"/>
  <c r="R15" i="43"/>
  <c r="R14" i="43"/>
  <c r="R13" i="43"/>
  <c r="R12" i="43"/>
  <c r="R11" i="43"/>
  <c r="R10" i="43"/>
  <c r="R9" i="43"/>
  <c r="R8" i="43"/>
  <c r="R7" i="43"/>
  <c r="R6" i="43"/>
  <c r="R5" i="43"/>
  <c r="C21" i="38"/>
  <c r="P15" i="43"/>
  <c r="P14" i="43"/>
  <c r="P13" i="43"/>
  <c r="P12" i="43"/>
  <c r="P11" i="43"/>
  <c r="P10" i="43"/>
  <c r="P9" i="43"/>
  <c r="P8" i="43"/>
  <c r="P7" i="43"/>
  <c r="P6" i="43"/>
  <c r="P5" i="43"/>
  <c r="K16" i="39"/>
  <c r="J16" i="39"/>
  <c r="I16" i="39"/>
  <c r="H16" i="39"/>
  <c r="G16" i="39"/>
  <c r="F16" i="39"/>
  <c r="E16" i="39"/>
  <c r="D16" i="39"/>
  <c r="E48" i="35"/>
  <c r="E48" i="36"/>
  <c r="C16" i="39"/>
  <c r="D48" i="35"/>
  <c r="D48" i="36"/>
  <c r="B16" i="39"/>
  <c r="B16" i="41"/>
  <c r="K15" i="39"/>
  <c r="J15" i="39"/>
  <c r="I15" i="39"/>
  <c r="H15" i="39"/>
  <c r="G15" i="39"/>
  <c r="G47" i="35"/>
  <c r="H47" i="36"/>
  <c r="F15" i="39"/>
  <c r="H47" i="35"/>
  <c r="G47" i="36"/>
  <c r="E15" i="39"/>
  <c r="D15" i="39"/>
  <c r="C15" i="39"/>
  <c r="B15" i="39"/>
  <c r="N15" i="43"/>
  <c r="N14" i="43"/>
  <c r="N13" i="43"/>
  <c r="N12" i="43"/>
  <c r="N11" i="43"/>
  <c r="N10" i="43"/>
  <c r="N9" i="43"/>
  <c r="N8" i="43"/>
  <c r="N7" i="43"/>
  <c r="N6" i="43"/>
  <c r="N5" i="43"/>
  <c r="N16" i="43"/>
  <c r="L15" i="43"/>
  <c r="L14" i="43"/>
  <c r="L13" i="43"/>
  <c r="L12" i="43"/>
  <c r="L11" i="43"/>
  <c r="L10" i="43"/>
  <c r="L9" i="43"/>
  <c r="L8" i="43"/>
  <c r="L16" i="43"/>
  <c r="L7" i="43"/>
  <c r="L6" i="43"/>
  <c r="L5" i="43"/>
  <c r="K14" i="39"/>
  <c r="J14" i="39"/>
  <c r="I14" i="39"/>
  <c r="H14" i="39"/>
  <c r="G14" i="39"/>
  <c r="G46" i="35"/>
  <c r="H46" i="36"/>
  <c r="F14" i="39"/>
  <c r="H46" i="35"/>
  <c r="G46" i="36"/>
  <c r="E14" i="39"/>
  <c r="D14" i="39"/>
  <c r="C14" i="39"/>
  <c r="B14" i="39"/>
  <c r="K13" i="39"/>
  <c r="J13" i="39"/>
  <c r="I13" i="39"/>
  <c r="J45" i="35"/>
  <c r="J45" i="36"/>
  <c r="H13" i="39"/>
  <c r="I45" i="35"/>
  <c r="I45" i="36"/>
  <c r="G13" i="39"/>
  <c r="F13" i="39"/>
  <c r="E13" i="39"/>
  <c r="D13" i="39"/>
  <c r="C13" i="39"/>
  <c r="B13" i="39"/>
  <c r="J15" i="43"/>
  <c r="J14" i="43"/>
  <c r="J13" i="43"/>
  <c r="J12" i="43"/>
  <c r="J11" i="43"/>
  <c r="J10" i="43"/>
  <c r="J9" i="43"/>
  <c r="J8" i="43"/>
  <c r="J7" i="43"/>
  <c r="J6" i="43"/>
  <c r="J5" i="43"/>
  <c r="H15" i="43"/>
  <c r="H14" i="43"/>
  <c r="H13" i="43"/>
  <c r="H12" i="43"/>
  <c r="H11" i="43"/>
  <c r="H10" i="43"/>
  <c r="H9" i="43"/>
  <c r="H8" i="43"/>
  <c r="H7" i="43"/>
  <c r="H6" i="43"/>
  <c r="H5" i="43"/>
  <c r="K12" i="39"/>
  <c r="J12" i="39"/>
  <c r="K44" i="35"/>
  <c r="K44" i="36"/>
  <c r="I12" i="39"/>
  <c r="J44" i="35"/>
  <c r="J44" i="36"/>
  <c r="H12" i="39"/>
  <c r="G12" i="39"/>
  <c r="F12" i="39"/>
  <c r="E12" i="39"/>
  <c r="D12" i="39"/>
  <c r="E44" i="35"/>
  <c r="E44" i="36"/>
  <c r="C12" i="39"/>
  <c r="B12" i="39"/>
  <c r="C44" i="35"/>
  <c r="K11" i="39"/>
  <c r="L43" i="35"/>
  <c r="J11" i="39"/>
  <c r="K43" i="35"/>
  <c r="K43" i="36"/>
  <c r="I11" i="39"/>
  <c r="H11" i="39"/>
  <c r="F11" i="39"/>
  <c r="G11" i="39"/>
  <c r="G43" i="35"/>
  <c r="E11" i="39"/>
  <c r="F43" i="35"/>
  <c r="D11" i="39"/>
  <c r="C11" i="39"/>
  <c r="B11" i="39"/>
  <c r="F15" i="43"/>
  <c r="F14" i="43"/>
  <c r="F12" i="43"/>
  <c r="F11" i="43"/>
  <c r="F10" i="43"/>
  <c r="F9" i="43"/>
  <c r="F8" i="43"/>
  <c r="F7" i="43"/>
  <c r="F6" i="43"/>
  <c r="F5" i="43"/>
  <c r="F16" i="43"/>
  <c r="D12" i="41"/>
  <c r="D21" i="38"/>
  <c r="B21" i="38"/>
  <c r="C13" i="40"/>
  <c r="K10" i="39"/>
  <c r="J10" i="39"/>
  <c r="K42" i="35"/>
  <c r="I10" i="39"/>
  <c r="J42" i="35"/>
  <c r="J42" i="36"/>
  <c r="H10" i="39"/>
  <c r="I42" i="35"/>
  <c r="G10" i="39"/>
  <c r="G42" i="35"/>
  <c r="H42" i="36"/>
  <c r="F10" i="39"/>
  <c r="H42" i="35"/>
  <c r="E10" i="39"/>
  <c r="D10" i="39"/>
  <c r="E42" i="35"/>
  <c r="E42" i="36"/>
  <c r="C10" i="39"/>
  <c r="D42" i="35"/>
  <c r="D42" i="36"/>
  <c r="B10" i="39"/>
  <c r="C42" i="35"/>
  <c r="D15" i="43"/>
  <c r="D14" i="43"/>
  <c r="D13" i="43"/>
  <c r="D12" i="43"/>
  <c r="D11" i="43"/>
  <c r="D10" i="43"/>
  <c r="B10" i="43"/>
  <c r="D9" i="43"/>
  <c r="B9" i="43"/>
  <c r="D8" i="43"/>
  <c r="D7" i="43"/>
  <c r="D16" i="43"/>
  <c r="D6" i="43"/>
  <c r="D5" i="43"/>
  <c r="K9" i="39"/>
  <c r="J9" i="39"/>
  <c r="K41" i="35"/>
  <c r="I9" i="39"/>
  <c r="J41" i="35"/>
  <c r="J41" i="36"/>
  <c r="H9" i="39"/>
  <c r="I41" i="35"/>
  <c r="G9" i="39"/>
  <c r="G41" i="35"/>
  <c r="F9" i="39"/>
  <c r="H41" i="35"/>
  <c r="E9" i="39"/>
  <c r="F41" i="35"/>
  <c r="F41" i="36"/>
  <c r="D9" i="39"/>
  <c r="E41" i="35"/>
  <c r="E41" i="36"/>
  <c r="C9" i="39"/>
  <c r="D41" i="35"/>
  <c r="D41" i="36"/>
  <c r="B9" i="39"/>
  <c r="C41" i="35"/>
  <c r="B15" i="43"/>
  <c r="B14" i="43"/>
  <c r="B13" i="43"/>
  <c r="B12" i="43"/>
  <c r="B11" i="43"/>
  <c r="B8" i="43"/>
  <c r="B7" i="43"/>
  <c r="B6" i="43"/>
  <c r="B5" i="43"/>
  <c r="C11" i="40"/>
  <c r="E11" i="40"/>
  <c r="A62" i="40"/>
  <c r="D47" i="40"/>
  <c r="D45" i="40"/>
  <c r="A44" i="40"/>
  <c r="D13" i="40"/>
  <c r="D11" i="40"/>
  <c r="D19" i="41"/>
  <c r="J39" i="41"/>
  <c r="I18" i="41"/>
  <c r="D19" i="34"/>
  <c r="B33" i="35"/>
  <c r="C33" i="35"/>
  <c r="J49" i="35"/>
  <c r="J49" i="36"/>
  <c r="I49" i="35"/>
  <c r="C18" i="34"/>
  <c r="L48" i="35"/>
  <c r="L48" i="36"/>
  <c r="D37" i="34"/>
  <c r="D39" i="34"/>
  <c r="L47" i="35"/>
  <c r="L47" i="36"/>
  <c r="L46" i="35"/>
  <c r="L46" i="36"/>
  <c r="E46" i="35"/>
  <c r="E46" i="36"/>
  <c r="D47" i="35"/>
  <c r="D47" i="36"/>
  <c r="D46" i="35"/>
  <c r="D46" i="36"/>
  <c r="D14" i="41"/>
  <c r="J34" i="41"/>
  <c r="C11" i="34"/>
  <c r="D14" i="34"/>
  <c r="I13" i="41"/>
  <c r="D13" i="41"/>
  <c r="J33" i="41"/>
  <c r="I11" i="41"/>
  <c r="I10" i="41"/>
  <c r="S73" i="40"/>
  <c r="AN11" i="40"/>
  <c r="AO11" i="40"/>
  <c r="AU11" i="40"/>
  <c r="AZ11" i="40"/>
  <c r="BA11" i="40"/>
  <c r="BG11" i="40"/>
  <c r="BG14" i="40"/>
  <c r="BG22" i="40"/>
  <c r="BL11" i="40"/>
  <c r="BM11" i="40"/>
  <c r="BS11" i="40"/>
  <c r="AU13" i="40"/>
  <c r="AU14" i="40"/>
  <c r="AU22" i="40"/>
  <c r="BG13" i="40"/>
  <c r="BS13" i="40"/>
  <c r="AA14" i="40"/>
  <c r="AC29" i="40"/>
  <c r="AD30" i="40"/>
  <c r="AC24" i="40"/>
  <c r="AG14" i="40"/>
  <c r="AI24" i="40"/>
  <c r="AM14" i="40"/>
  <c r="AS14" i="40"/>
  <c r="AU29" i="40"/>
  <c r="AV30" i="40"/>
  <c r="AN13" i="40"/>
  <c r="AY14" i="40"/>
  <c r="BA24" i="40"/>
  <c r="BE14" i="40"/>
  <c r="BG29" i="40"/>
  <c r="BK14" i="40"/>
  <c r="BM24" i="40"/>
  <c r="BQ14" i="40"/>
  <c r="BS24" i="40"/>
  <c r="BS14" i="40"/>
  <c r="BS22" i="40"/>
  <c r="AC28" i="40"/>
  <c r="AI28" i="40"/>
  <c r="BA28" i="40"/>
  <c r="BG28" i="40"/>
  <c r="BM28" i="40"/>
  <c r="BS28" i="40"/>
  <c r="BA29" i="40"/>
  <c r="AJ34" i="40"/>
  <c r="Y44" i="40"/>
  <c r="AE44" i="40"/>
  <c r="AK44" i="40"/>
  <c r="AQ44" i="40"/>
  <c r="AW44" i="40"/>
  <c r="BC44" i="40"/>
  <c r="BI44" i="40"/>
  <c r="BO44" i="40"/>
  <c r="AN45" i="40"/>
  <c r="AO45" i="40"/>
  <c r="AU45" i="40"/>
  <c r="AU48" i="40"/>
  <c r="AU56" i="40"/>
  <c r="AV60" i="40"/>
  <c r="AZ45" i="40"/>
  <c r="BA45" i="40"/>
  <c r="BG45" i="40"/>
  <c r="BL45" i="40"/>
  <c r="BM45" i="40"/>
  <c r="BS45" i="40"/>
  <c r="AU47" i="40"/>
  <c r="BG47" i="40"/>
  <c r="BG48" i="40"/>
  <c r="BG56" i="40"/>
  <c r="BS47" i="40"/>
  <c r="AA48" i="40"/>
  <c r="AC63" i="40"/>
  <c r="AG48" i="40"/>
  <c r="AM48" i="40"/>
  <c r="AS48" i="40"/>
  <c r="AY48" i="40"/>
  <c r="BE48" i="40"/>
  <c r="BG63" i="40"/>
  <c r="BG58" i="40"/>
  <c r="BK48" i="40"/>
  <c r="BM58" i="40"/>
  <c r="BQ48" i="40"/>
  <c r="AC58" i="40"/>
  <c r="AU58" i="40"/>
  <c r="BS58" i="40"/>
  <c r="Y62" i="40"/>
  <c r="AC62" i="40"/>
  <c r="AE62" i="40"/>
  <c r="AI62" i="40"/>
  <c r="AK62" i="40"/>
  <c r="AQ62" i="40"/>
  <c r="AW62" i="40"/>
  <c r="BA62" i="40"/>
  <c r="BC62" i="40"/>
  <c r="BG62" i="40"/>
  <c r="BI62" i="40"/>
  <c r="BM62" i="40"/>
  <c r="BO62" i="40"/>
  <c r="BS62" i="40"/>
  <c r="AU63" i="40"/>
  <c r="AV64" i="40"/>
  <c r="AN47" i="40"/>
  <c r="BM63" i="40"/>
  <c r="BS63" i="40"/>
  <c r="BN64" i="40"/>
  <c r="E10" i="38"/>
  <c r="F10" i="38"/>
  <c r="G10" i="38"/>
  <c r="E12" i="38"/>
  <c r="F12" i="38"/>
  <c r="G12" i="38"/>
  <c r="E13" i="38"/>
  <c r="F13" i="38"/>
  <c r="G13" i="38"/>
  <c r="E15" i="38"/>
  <c r="F15" i="38"/>
  <c r="E16" i="38"/>
  <c r="F16" i="38"/>
  <c r="G16" i="38"/>
  <c r="E18" i="38"/>
  <c r="F18" i="38"/>
  <c r="G18" i="38"/>
  <c r="E19" i="38"/>
  <c r="F19" i="38"/>
  <c r="G19" i="38"/>
  <c r="E20" i="38"/>
  <c r="F20" i="38"/>
  <c r="G20" i="38"/>
  <c r="D34" i="34"/>
  <c r="B26" i="36"/>
  <c r="D36" i="34"/>
  <c r="B28" i="36"/>
  <c r="C28" i="36"/>
  <c r="D38" i="34"/>
  <c r="B30" i="36"/>
  <c r="D40" i="34"/>
  <c r="B32" i="36"/>
  <c r="D41" i="34"/>
  <c r="B33" i="36"/>
  <c r="C33" i="36"/>
  <c r="D42" i="34"/>
  <c r="B34" i="36"/>
  <c r="C34" i="36"/>
  <c r="D43" i="34"/>
  <c r="B35" i="36"/>
  <c r="D44" i="34"/>
  <c r="B36" i="36"/>
  <c r="D33" i="34"/>
  <c r="B25" i="36"/>
  <c r="C25" i="36"/>
  <c r="D16" i="34"/>
  <c r="B30" i="35"/>
  <c r="C30" i="35"/>
  <c r="D17" i="34"/>
  <c r="D18" i="34"/>
  <c r="D20" i="34"/>
  <c r="B34" i="35"/>
  <c r="C34" i="35"/>
  <c r="D21" i="34"/>
  <c r="B35" i="35"/>
  <c r="C35" i="35"/>
  <c r="C66" i="35"/>
  <c r="D22" i="34"/>
  <c r="K22" i="34"/>
  <c r="D11" i="34"/>
  <c r="B25" i="35"/>
  <c r="I15" i="41"/>
  <c r="I17" i="41"/>
  <c r="I19" i="41"/>
  <c r="I20" i="41"/>
  <c r="I21" i="41"/>
  <c r="X21" i="41"/>
  <c r="Y21" i="41"/>
  <c r="Y12" i="41"/>
  <c r="Y13" i="41"/>
  <c r="Y14" i="41"/>
  <c r="Y15" i="41"/>
  <c r="Y16" i="41"/>
  <c r="Y17" i="41"/>
  <c r="Y18" i="41"/>
  <c r="Y19" i="41"/>
  <c r="Y20" i="41"/>
  <c r="X22" i="41"/>
  <c r="J20" i="41"/>
  <c r="J21" i="41"/>
  <c r="D20" i="42"/>
  <c r="C20" i="42"/>
  <c r="I20" i="38"/>
  <c r="C44" i="34"/>
  <c r="D19" i="42"/>
  <c r="C19" i="42"/>
  <c r="I19" i="38"/>
  <c r="C43" i="34"/>
  <c r="D10" i="42"/>
  <c r="C10" i="42"/>
  <c r="I10" i="38"/>
  <c r="C34" i="34"/>
  <c r="D11" i="42"/>
  <c r="C11" i="42"/>
  <c r="I11" i="38"/>
  <c r="C35" i="34"/>
  <c r="D12" i="42"/>
  <c r="C12" i="42"/>
  <c r="I12" i="38"/>
  <c r="C36" i="34"/>
  <c r="D13" i="42"/>
  <c r="C13" i="42"/>
  <c r="D14" i="42"/>
  <c r="C14" i="42"/>
  <c r="I14" i="38"/>
  <c r="C38" i="34"/>
  <c r="D15" i="42"/>
  <c r="C15" i="42"/>
  <c r="I15" i="38"/>
  <c r="C39" i="34"/>
  <c r="D16" i="42"/>
  <c r="C16" i="42"/>
  <c r="I16" i="38"/>
  <c r="C40" i="34"/>
  <c r="D17" i="42"/>
  <c r="C17" i="42"/>
  <c r="I17" i="38"/>
  <c r="C41" i="34"/>
  <c r="D18" i="42"/>
  <c r="C18" i="42"/>
  <c r="I18" i="38"/>
  <c r="C42" i="34"/>
  <c r="D9" i="42"/>
  <c r="C9" i="42"/>
  <c r="J51" i="41"/>
  <c r="J52" i="41"/>
  <c r="J53" i="41"/>
  <c r="J54" i="41"/>
  <c r="J55" i="41"/>
  <c r="J56" i="41"/>
  <c r="J57" i="41"/>
  <c r="J58" i="41"/>
  <c r="J59" i="41"/>
  <c r="D11" i="41"/>
  <c r="J31" i="41"/>
  <c r="D13" i="34"/>
  <c r="B27" i="35"/>
  <c r="D15" i="41"/>
  <c r="G15" i="41"/>
  <c r="D16" i="41"/>
  <c r="G16" i="41"/>
  <c r="J36" i="41"/>
  <c r="D17" i="41"/>
  <c r="J37" i="41"/>
  <c r="D18" i="41"/>
  <c r="J38" i="41"/>
  <c r="D20" i="41"/>
  <c r="G20" i="41"/>
  <c r="D21" i="41"/>
  <c r="J41" i="41"/>
  <c r="D12" i="34"/>
  <c r="C14" i="34"/>
  <c r="C13" i="34"/>
  <c r="C12" i="34"/>
  <c r="C15" i="34"/>
  <c r="C17" i="34"/>
  <c r="I17" i="34"/>
  <c r="C19" i="34"/>
  <c r="C20" i="34"/>
  <c r="C21" i="34"/>
  <c r="C22" i="34"/>
  <c r="L41" i="35"/>
  <c r="L41" i="36"/>
  <c r="C19" i="35"/>
  <c r="C19" i="36"/>
  <c r="C18" i="35"/>
  <c r="C17" i="35"/>
  <c r="C17" i="36"/>
  <c r="C18" i="36"/>
  <c r="C16" i="35"/>
  <c r="C15" i="35"/>
  <c r="C15" i="36"/>
  <c r="C16" i="36"/>
  <c r="C14" i="35"/>
  <c r="C14" i="36"/>
  <c r="C13" i="35"/>
  <c r="C12" i="35"/>
  <c r="C12" i="36"/>
  <c r="C11" i="35"/>
  <c r="C10" i="35"/>
  <c r="C10" i="36"/>
  <c r="F42" i="35"/>
  <c r="F42" i="36"/>
  <c r="L42" i="35"/>
  <c r="L42" i="36"/>
  <c r="D43" i="35"/>
  <c r="D43" i="36"/>
  <c r="E43" i="35"/>
  <c r="E43" i="36"/>
  <c r="H43" i="35"/>
  <c r="G43" i="36"/>
  <c r="I43" i="35"/>
  <c r="I43" i="36"/>
  <c r="J43" i="35"/>
  <c r="J43" i="36"/>
  <c r="D44" i="35"/>
  <c r="D44" i="36"/>
  <c r="F44" i="35"/>
  <c r="F44" i="36"/>
  <c r="G44" i="35"/>
  <c r="H44" i="35"/>
  <c r="G44" i="36"/>
  <c r="I44" i="35"/>
  <c r="I44" i="36"/>
  <c r="L44" i="35"/>
  <c r="D45" i="35"/>
  <c r="D45" i="36"/>
  <c r="E45" i="35"/>
  <c r="E45" i="36"/>
  <c r="F45" i="35"/>
  <c r="F45" i="36"/>
  <c r="G45" i="35"/>
  <c r="H45" i="36"/>
  <c r="H45" i="35"/>
  <c r="G45" i="36"/>
  <c r="K45" i="35"/>
  <c r="K45" i="36"/>
  <c r="L45" i="35"/>
  <c r="L45" i="36"/>
  <c r="F46" i="35"/>
  <c r="F46" i="36"/>
  <c r="I46" i="35"/>
  <c r="I46" i="36"/>
  <c r="J46" i="35"/>
  <c r="J46" i="36"/>
  <c r="K46" i="35"/>
  <c r="K46" i="36"/>
  <c r="E47" i="35"/>
  <c r="E47" i="36"/>
  <c r="F47" i="35"/>
  <c r="F47" i="36"/>
  <c r="I47" i="35"/>
  <c r="I47" i="36"/>
  <c r="J47" i="35"/>
  <c r="J47" i="36"/>
  <c r="K47" i="35"/>
  <c r="F48" i="35"/>
  <c r="F48" i="36"/>
  <c r="G48" i="35"/>
  <c r="H48" i="36"/>
  <c r="H48" i="35"/>
  <c r="G48" i="36"/>
  <c r="I48" i="35"/>
  <c r="I48" i="36"/>
  <c r="J48" i="35"/>
  <c r="K48" i="35"/>
  <c r="K48" i="36"/>
  <c r="E49" i="35"/>
  <c r="E49" i="36"/>
  <c r="F49" i="35"/>
  <c r="F49" i="36"/>
  <c r="G49" i="35"/>
  <c r="H49" i="36"/>
  <c r="H49" i="35"/>
  <c r="G49" i="36"/>
  <c r="E50" i="35"/>
  <c r="E50" i="36"/>
  <c r="F50" i="35"/>
  <c r="F50" i="36"/>
  <c r="G50" i="35"/>
  <c r="H50" i="36"/>
  <c r="H50" i="35"/>
  <c r="G50" i="36"/>
  <c r="I50" i="35"/>
  <c r="I50" i="36"/>
  <c r="J50" i="35"/>
  <c r="J50" i="36"/>
  <c r="D51" i="35"/>
  <c r="E51" i="35"/>
  <c r="E51" i="36"/>
  <c r="F51" i="35"/>
  <c r="F51" i="36"/>
  <c r="G51" i="35"/>
  <c r="H51" i="36"/>
  <c r="H51" i="35"/>
  <c r="I51" i="35"/>
  <c r="J51" i="35"/>
  <c r="J51" i="36"/>
  <c r="K51" i="35"/>
  <c r="K51" i="36"/>
  <c r="L51" i="35"/>
  <c r="L51" i="36"/>
  <c r="D52" i="35"/>
  <c r="D52" i="36"/>
  <c r="E52" i="35"/>
  <c r="E52" i="36"/>
  <c r="F52" i="35"/>
  <c r="G52" i="35"/>
  <c r="H52" i="36"/>
  <c r="H52" i="35"/>
  <c r="G52" i="36"/>
  <c r="I52" i="35"/>
  <c r="I52" i="36"/>
  <c r="J52" i="35"/>
  <c r="J52" i="36"/>
  <c r="K52" i="35"/>
  <c r="L52" i="35"/>
  <c r="C43" i="35"/>
  <c r="C58" i="35"/>
  <c r="D35" i="34"/>
  <c r="B27" i="36"/>
  <c r="C27" i="36"/>
  <c r="C45" i="35"/>
  <c r="C60" i="35"/>
  <c r="C45" i="36"/>
  <c r="C60" i="36"/>
  <c r="C46" i="35"/>
  <c r="C61" i="35"/>
  <c r="C46" i="36"/>
  <c r="C47" i="35"/>
  <c r="C48" i="35"/>
  <c r="C48" i="36"/>
  <c r="C63" i="36"/>
  <c r="C50" i="35"/>
  <c r="C50" i="36"/>
  <c r="C65" i="36"/>
  <c r="C51" i="35"/>
  <c r="C51" i="36"/>
  <c r="C52" i="35"/>
  <c r="C67" i="35"/>
  <c r="C52" i="36"/>
  <c r="C67" i="36"/>
  <c r="F52" i="36"/>
  <c r="K52" i="36"/>
  <c r="L52" i="36"/>
  <c r="H44" i="36"/>
  <c r="L44" i="36"/>
  <c r="D51" i="36"/>
  <c r="I51" i="36"/>
  <c r="B31" i="36"/>
  <c r="C31" i="36"/>
  <c r="B28" i="35"/>
  <c r="C28" i="35"/>
  <c r="K14" i="34"/>
  <c r="I49" i="36"/>
  <c r="G14" i="41"/>
  <c r="K11" i="34"/>
  <c r="D10" i="41"/>
  <c r="C25" i="35"/>
  <c r="D15" i="34"/>
  <c r="J50" i="41"/>
  <c r="Y10" i="41"/>
  <c r="E9" i="38"/>
  <c r="F9" i="38"/>
  <c r="G9" i="38"/>
  <c r="F22" i="41"/>
  <c r="I16" i="41"/>
  <c r="C16" i="34"/>
  <c r="I16" i="34"/>
  <c r="J49" i="41"/>
  <c r="E14" i="38"/>
  <c r="F14" i="38"/>
  <c r="G14" i="38"/>
  <c r="H22" i="41"/>
  <c r="BS29" i="40"/>
  <c r="BT30" i="40"/>
  <c r="BL13" i="40"/>
  <c r="BM13" i="40"/>
  <c r="BM14" i="40"/>
  <c r="BM22" i="40"/>
  <c r="BN26" i="40"/>
  <c r="BN32" i="40"/>
  <c r="BB30" i="40"/>
  <c r="BH30" i="40"/>
  <c r="AZ13" i="40"/>
  <c r="BA13" i="40"/>
  <c r="BT64" i="40"/>
  <c r="BL47" i="40"/>
  <c r="BM47" i="40"/>
  <c r="BS48" i="40"/>
  <c r="BS56" i="40"/>
  <c r="BT60" i="40"/>
  <c r="BT66" i="40"/>
  <c r="BM29" i="40"/>
  <c r="BN30" i="40"/>
  <c r="AU24" i="40"/>
  <c r="AV26" i="40"/>
  <c r="AV32" i="40"/>
  <c r="H11" i="34"/>
  <c r="K47" i="36"/>
  <c r="C11" i="36"/>
  <c r="J60" i="41"/>
  <c r="C21" i="35"/>
  <c r="C13" i="36"/>
  <c r="BB64" i="40"/>
  <c r="G11" i="41"/>
  <c r="BA63" i="40"/>
  <c r="BA58" i="40"/>
  <c r="G13" i="41"/>
  <c r="C20" i="35"/>
  <c r="AO58" i="40"/>
  <c r="AO63" i="40"/>
  <c r="AP64" i="40"/>
  <c r="BA14" i="40"/>
  <c r="BA22" i="40"/>
  <c r="BB26" i="40"/>
  <c r="AH11" i="40"/>
  <c r="AI11" i="40"/>
  <c r="AO13" i="40"/>
  <c r="AO14" i="40"/>
  <c r="AO22" i="40"/>
  <c r="AI29" i="40"/>
  <c r="AJ30" i="40"/>
  <c r="AB13" i="40"/>
  <c r="AC13" i="40"/>
  <c r="AI63" i="40"/>
  <c r="AJ64" i="40"/>
  <c r="AI58" i="40"/>
  <c r="BM48" i="40"/>
  <c r="BM56" i="40"/>
  <c r="BN60" i="40"/>
  <c r="BN66" i="40"/>
  <c r="AV66" i="40"/>
  <c r="H33" i="34"/>
  <c r="BH64" i="40"/>
  <c r="AD64" i="40"/>
  <c r="BT26" i="40"/>
  <c r="I14" i="41"/>
  <c r="AO47" i="40"/>
  <c r="AO48" i="40"/>
  <c r="AO56" i="40"/>
  <c r="AP60" i="40"/>
  <c r="AH45" i="40"/>
  <c r="AI45" i="40"/>
  <c r="BH60" i="40"/>
  <c r="AO24" i="40"/>
  <c r="AO29" i="40"/>
  <c r="AP30" i="40"/>
  <c r="AH13" i="40"/>
  <c r="Y11" i="41"/>
  <c r="BG24" i="40"/>
  <c r="BH26" i="40"/>
  <c r="BH32" i="40"/>
  <c r="B29" i="35"/>
  <c r="C29" i="35"/>
  <c r="J30" i="41"/>
  <c r="G10" i="41"/>
  <c r="BB32" i="40"/>
  <c r="H12" i="34"/>
  <c r="I12" i="34"/>
  <c r="I11" i="34"/>
  <c r="BT32" i="40"/>
  <c r="AH47" i="40"/>
  <c r="AP66" i="40"/>
  <c r="H35" i="34"/>
  <c r="C21" i="36"/>
  <c r="AP26" i="40"/>
  <c r="AP32" i="40"/>
  <c r="H13" i="34"/>
  <c r="BH66" i="40"/>
  <c r="AZ47" i="40"/>
  <c r="BA47" i="40"/>
  <c r="BA48" i="40"/>
  <c r="BA56" i="40"/>
  <c r="BB60" i="40"/>
  <c r="BB66" i="40"/>
  <c r="C20" i="36"/>
  <c r="AB11" i="40"/>
  <c r="AC11" i="40"/>
  <c r="AC14" i="40"/>
  <c r="AC22" i="40"/>
  <c r="AD26" i="40"/>
  <c r="AD32" i="40"/>
  <c r="AI13" i="40"/>
  <c r="AI14" i="40"/>
  <c r="AI22" i="40"/>
  <c r="AJ26" i="40"/>
  <c r="AJ32" i="40"/>
  <c r="AJ36" i="40"/>
  <c r="AB47" i="40"/>
  <c r="AC47" i="40"/>
  <c r="H34" i="34"/>
  <c r="AI47" i="40"/>
  <c r="AI48" i="40"/>
  <c r="AI56" i="40"/>
  <c r="AJ60" i="40"/>
  <c r="AJ66" i="40"/>
  <c r="AB45" i="40"/>
  <c r="AC45" i="40"/>
  <c r="AC48" i="40"/>
  <c r="AC56" i="40"/>
  <c r="AD60" i="40"/>
  <c r="AD66" i="40"/>
  <c r="I13" i="34"/>
  <c r="H14" i="34"/>
  <c r="H36" i="34"/>
  <c r="H37" i="34"/>
  <c r="I14" i="34"/>
  <c r="H15" i="34"/>
  <c r="H16" i="34"/>
  <c r="H38" i="34"/>
  <c r="H39" i="34"/>
  <c r="H17" i="34"/>
  <c r="H40" i="34"/>
  <c r="H18" i="34"/>
  <c r="H19" i="34"/>
  <c r="H41" i="34"/>
  <c r="H20" i="34"/>
  <c r="I19" i="34"/>
  <c r="H42" i="34"/>
  <c r="H43" i="34"/>
  <c r="I20" i="34"/>
  <c r="H21" i="34"/>
  <c r="H22" i="34"/>
  <c r="I22" i="34"/>
  <c r="H44" i="34"/>
  <c r="E11" i="38"/>
  <c r="F11" i="38"/>
  <c r="C25" i="34"/>
  <c r="G11" i="38"/>
  <c r="C26" i="36"/>
  <c r="B26" i="35"/>
  <c r="K12" i="34"/>
  <c r="K13" i="34"/>
  <c r="C27" i="35"/>
  <c r="G12" i="41"/>
  <c r="J32" i="41"/>
  <c r="I12" i="41"/>
  <c r="C22" i="41"/>
  <c r="Y22" i="41"/>
  <c r="B22" i="41"/>
  <c r="C26" i="35"/>
  <c r="C59" i="35"/>
  <c r="C44" i="36"/>
  <c r="C59" i="36"/>
  <c r="B29" i="36"/>
  <c r="C29" i="36"/>
  <c r="J35" i="41"/>
  <c r="K15" i="34"/>
  <c r="I15" i="34"/>
  <c r="K16" i="34"/>
  <c r="C30" i="36"/>
  <c r="C61" i="36"/>
  <c r="C47" i="36"/>
  <c r="C62" i="36"/>
  <c r="B31" i="35"/>
  <c r="C31" i="35"/>
  <c r="C62" i="35"/>
  <c r="G15" i="38"/>
  <c r="K18" i="34"/>
  <c r="K17" i="34"/>
  <c r="J48" i="36"/>
  <c r="C32" i="36"/>
  <c r="B32" i="35"/>
  <c r="G17" i="41"/>
  <c r="G18" i="41"/>
  <c r="E17" i="38"/>
  <c r="C23" i="34"/>
  <c r="I18" i="34"/>
  <c r="K19" i="34"/>
  <c r="C32" i="35"/>
  <c r="C63" i="35"/>
  <c r="F17" i="38"/>
  <c r="G17" i="38"/>
  <c r="B23" i="38"/>
  <c r="D45" i="34"/>
  <c r="K20" i="34"/>
  <c r="D23" i="34"/>
  <c r="G19" i="41"/>
  <c r="J40" i="41"/>
  <c r="I21" i="34"/>
  <c r="I23" i="34"/>
  <c r="H23" i="34"/>
  <c r="K21" i="34"/>
  <c r="C14" i="40"/>
  <c r="E24" i="40"/>
  <c r="E13" i="40"/>
  <c r="E14" i="40"/>
  <c r="G51" i="36"/>
  <c r="G41" i="36"/>
  <c r="H41" i="36"/>
  <c r="E10" i="43"/>
  <c r="P11" i="41"/>
  <c r="E9" i="43"/>
  <c r="N11" i="41"/>
  <c r="E11" i="43"/>
  <c r="Q11" i="41"/>
  <c r="E5" i="43"/>
  <c r="E6" i="43"/>
  <c r="K11" i="41"/>
  <c r="E15" i="43"/>
  <c r="E12" i="43"/>
  <c r="R11" i="41"/>
  <c r="E7" i="43"/>
  <c r="L11" i="41"/>
  <c r="E13" i="43"/>
  <c r="S11" i="41"/>
  <c r="K42" i="36"/>
  <c r="G7" i="43"/>
  <c r="L12" i="41"/>
  <c r="C64" i="35"/>
  <c r="C49" i="36"/>
  <c r="C64" i="36"/>
  <c r="I41" i="36"/>
  <c r="E8" i="43"/>
  <c r="M11" i="41"/>
  <c r="E14" i="43"/>
  <c r="O11" i="41"/>
  <c r="G42" i="36"/>
  <c r="L43" i="36"/>
  <c r="C6" i="43"/>
  <c r="K10" i="41"/>
  <c r="G6" i="43"/>
  <c r="K12" i="41"/>
  <c r="C57" i="35"/>
  <c r="C42" i="36"/>
  <c r="C57" i="36"/>
  <c r="F43" i="36"/>
  <c r="G11" i="43"/>
  <c r="Q12" i="41"/>
  <c r="G9" i="43"/>
  <c r="N12" i="41"/>
  <c r="G15" i="43"/>
  <c r="G10" i="43"/>
  <c r="P12" i="41"/>
  <c r="G13" i="43"/>
  <c r="S12" i="41"/>
  <c r="G5" i="43"/>
  <c r="G8" i="43"/>
  <c r="M12" i="41"/>
  <c r="G14" i="43"/>
  <c r="O12" i="41"/>
  <c r="K41" i="36"/>
  <c r="H43" i="36"/>
  <c r="C15" i="43"/>
  <c r="C56" i="35"/>
  <c r="C41" i="36"/>
  <c r="C56" i="36"/>
  <c r="I42" i="36"/>
  <c r="G12" i="43"/>
  <c r="R12" i="41"/>
  <c r="B16" i="43"/>
  <c r="C43" i="36"/>
  <c r="C58" i="36"/>
  <c r="C65" i="35"/>
  <c r="E29" i="40"/>
  <c r="N51" i="41"/>
  <c r="N32" i="41"/>
  <c r="H12" i="35"/>
  <c r="J12" i="35"/>
  <c r="Q32" i="41"/>
  <c r="Q51" i="41"/>
  <c r="D11" i="35"/>
  <c r="T11" i="41"/>
  <c r="K50" i="41"/>
  <c r="K31" i="41"/>
  <c r="K32" i="41"/>
  <c r="D12" i="35"/>
  <c r="K51" i="41"/>
  <c r="T12" i="41"/>
  <c r="G11" i="35"/>
  <c r="O50" i="41"/>
  <c r="O31" i="41"/>
  <c r="L32" i="41"/>
  <c r="E12" i="35"/>
  <c r="L51" i="41"/>
  <c r="E16" i="43"/>
  <c r="K49" i="41"/>
  <c r="K30" i="41"/>
  <c r="D10" i="35"/>
  <c r="M31" i="41"/>
  <c r="F11" i="35"/>
  <c r="M50" i="41"/>
  <c r="Q31" i="41"/>
  <c r="J11" i="35"/>
  <c r="Q50" i="41"/>
  <c r="O32" i="41"/>
  <c r="G12" i="35"/>
  <c r="O51" i="41"/>
  <c r="M32" i="41"/>
  <c r="M51" i="41"/>
  <c r="F12" i="35"/>
  <c r="C13" i="43"/>
  <c r="S10" i="41"/>
  <c r="C9" i="43"/>
  <c r="N10" i="41"/>
  <c r="C12" i="43"/>
  <c r="R10" i="41"/>
  <c r="C11" i="43"/>
  <c r="Q10" i="41"/>
  <c r="C10" i="43"/>
  <c r="P10" i="41"/>
  <c r="C5" i="43"/>
  <c r="C14" i="43"/>
  <c r="O10" i="41"/>
  <c r="C7" i="43"/>
  <c r="L10" i="41"/>
  <c r="C8" i="43"/>
  <c r="M10" i="41"/>
  <c r="G16" i="43"/>
  <c r="H11" i="35"/>
  <c r="N31" i="41"/>
  <c r="N50" i="41"/>
  <c r="L12" i="35"/>
  <c r="S32" i="41"/>
  <c r="S51" i="41"/>
  <c r="S31" i="41"/>
  <c r="L11" i="35"/>
  <c r="S50" i="41"/>
  <c r="I11" i="35"/>
  <c r="P50" i="41"/>
  <c r="P31" i="41"/>
  <c r="K11" i="35"/>
  <c r="R31" i="41"/>
  <c r="R50" i="41"/>
  <c r="K12" i="35"/>
  <c r="R51" i="41"/>
  <c r="R32" i="41"/>
  <c r="P51" i="41"/>
  <c r="I12" i="35"/>
  <c r="P32" i="41"/>
  <c r="L50" i="41"/>
  <c r="L31" i="41"/>
  <c r="E11" i="35"/>
  <c r="R30" i="41"/>
  <c r="R49" i="41"/>
  <c r="K10" i="35"/>
  <c r="M12" i="35"/>
  <c r="B12" i="35"/>
  <c r="D27" i="35"/>
  <c r="D58" i="35"/>
  <c r="D12" i="36"/>
  <c r="I26" i="35"/>
  <c r="I57" i="35"/>
  <c r="I11" i="36"/>
  <c r="I26" i="36"/>
  <c r="I57" i="36"/>
  <c r="L12" i="36"/>
  <c r="L27" i="36"/>
  <c r="L58" i="36"/>
  <c r="L27" i="35"/>
  <c r="L58" i="35"/>
  <c r="N30" i="41"/>
  <c r="N49" i="41"/>
  <c r="H10" i="35"/>
  <c r="F11" i="36"/>
  <c r="F26" i="36"/>
  <c r="F57" i="36"/>
  <c r="F26" i="35"/>
  <c r="F57" i="35"/>
  <c r="E12" i="36"/>
  <c r="E27" i="36"/>
  <c r="E58" i="36"/>
  <c r="E27" i="35"/>
  <c r="E58" i="35"/>
  <c r="M30" i="41"/>
  <c r="M49" i="41"/>
  <c r="F10" i="35"/>
  <c r="L10" i="35"/>
  <c r="S49" i="41"/>
  <c r="S30" i="41"/>
  <c r="J27" i="35"/>
  <c r="J58" i="35"/>
  <c r="J12" i="36"/>
  <c r="J27" i="36"/>
  <c r="J58" i="36"/>
  <c r="K27" i="35"/>
  <c r="K58" i="35"/>
  <c r="K12" i="36"/>
  <c r="K27" i="36"/>
  <c r="K58" i="36"/>
  <c r="L26" i="35"/>
  <c r="L57" i="35"/>
  <c r="L11" i="36"/>
  <c r="L26" i="36"/>
  <c r="L57" i="36"/>
  <c r="E10" i="35"/>
  <c r="L30" i="41"/>
  <c r="L49" i="41"/>
  <c r="F27" i="35"/>
  <c r="F58" i="35"/>
  <c r="F12" i="36"/>
  <c r="F27" i="36"/>
  <c r="F58" i="36"/>
  <c r="D10" i="36"/>
  <c r="D25" i="35"/>
  <c r="D56" i="35"/>
  <c r="H27" i="35"/>
  <c r="H58" i="35"/>
  <c r="G12" i="36"/>
  <c r="G27" i="36"/>
  <c r="G58" i="36"/>
  <c r="I12" i="36"/>
  <c r="I27" i="36"/>
  <c r="I58" i="36"/>
  <c r="I27" i="35"/>
  <c r="I58" i="35"/>
  <c r="G10" i="35"/>
  <c r="O30" i="41"/>
  <c r="O49" i="41"/>
  <c r="C16" i="43"/>
  <c r="J26" i="35"/>
  <c r="J57" i="35"/>
  <c r="J11" i="36"/>
  <c r="J26" i="36"/>
  <c r="J57" i="36"/>
  <c r="H11" i="36"/>
  <c r="H26" i="36"/>
  <c r="H57" i="36"/>
  <c r="G26" i="35"/>
  <c r="G57" i="35"/>
  <c r="K26" i="35"/>
  <c r="K57" i="35"/>
  <c r="K11" i="36"/>
  <c r="K26" i="36"/>
  <c r="K57" i="36"/>
  <c r="G11" i="36"/>
  <c r="G26" i="36"/>
  <c r="G57" i="36"/>
  <c r="H26" i="35"/>
  <c r="H57" i="35"/>
  <c r="P49" i="41"/>
  <c r="P30" i="41"/>
  <c r="I10" i="35"/>
  <c r="T10" i="41"/>
  <c r="T32" i="41"/>
  <c r="D32" i="41"/>
  <c r="T51" i="41"/>
  <c r="D51" i="41"/>
  <c r="C51" i="41"/>
  <c r="T50" i="41"/>
  <c r="D50" i="41"/>
  <c r="T31" i="41"/>
  <c r="D31" i="41"/>
  <c r="E26" i="35"/>
  <c r="E57" i="35"/>
  <c r="E11" i="36"/>
  <c r="E26" i="36"/>
  <c r="E57" i="36"/>
  <c r="Q49" i="41"/>
  <c r="Q30" i="41"/>
  <c r="J10" i="35"/>
  <c r="G27" i="35"/>
  <c r="G58" i="35"/>
  <c r="H12" i="36"/>
  <c r="H27" i="36"/>
  <c r="H58" i="36"/>
  <c r="B11" i="35"/>
  <c r="D26" i="35"/>
  <c r="D57" i="35"/>
  <c r="B57" i="35"/>
  <c r="F12" i="34"/>
  <c r="M11" i="35"/>
  <c r="D11" i="36"/>
  <c r="C50" i="41"/>
  <c r="L25" i="35"/>
  <c r="L56" i="35"/>
  <c r="L10" i="36"/>
  <c r="L25" i="36"/>
  <c r="L56" i="36"/>
  <c r="B12" i="36"/>
  <c r="D27" i="36"/>
  <c r="D58" i="36"/>
  <c r="B58" i="36"/>
  <c r="F35" i="34"/>
  <c r="G12" i="34"/>
  <c r="E12" i="34"/>
  <c r="M10" i="35"/>
  <c r="F10" i="36"/>
  <c r="F25" i="36"/>
  <c r="F56" i="36"/>
  <c r="F25" i="35"/>
  <c r="F56" i="35"/>
  <c r="B56" i="35"/>
  <c r="F11" i="34"/>
  <c r="H25" i="35"/>
  <c r="H56" i="35"/>
  <c r="G10" i="36"/>
  <c r="G25" i="36"/>
  <c r="G56" i="36"/>
  <c r="B58" i="35"/>
  <c r="F13" i="34"/>
  <c r="I10" i="36"/>
  <c r="I25" i="36"/>
  <c r="I56" i="36"/>
  <c r="I25" i="35"/>
  <c r="I56" i="35"/>
  <c r="E25" i="35"/>
  <c r="E56" i="35"/>
  <c r="E10" i="36"/>
  <c r="E25" i="36"/>
  <c r="E56" i="36"/>
  <c r="G25" i="35"/>
  <c r="G56" i="35"/>
  <c r="H10" i="36"/>
  <c r="H25" i="36"/>
  <c r="H56" i="36"/>
  <c r="D25" i="36"/>
  <c r="D56" i="36"/>
  <c r="M27" i="35"/>
  <c r="M12" i="36"/>
  <c r="M27" i="36"/>
  <c r="K25" i="35"/>
  <c r="K56" i="35"/>
  <c r="K10" i="36"/>
  <c r="K25" i="36"/>
  <c r="K56" i="36"/>
  <c r="B11" i="36"/>
  <c r="D26" i="36"/>
  <c r="D57" i="36"/>
  <c r="B57" i="36"/>
  <c r="F34" i="34"/>
  <c r="J25" i="35"/>
  <c r="J56" i="35"/>
  <c r="J10" i="36"/>
  <c r="J25" i="36"/>
  <c r="J56" i="36"/>
  <c r="M11" i="36"/>
  <c r="M26" i="36"/>
  <c r="M26" i="35"/>
  <c r="T30" i="41"/>
  <c r="D30" i="41"/>
  <c r="T49" i="41"/>
  <c r="D49" i="41"/>
  <c r="C49" i="41"/>
  <c r="G11" i="34"/>
  <c r="E11" i="34"/>
  <c r="B56" i="36"/>
  <c r="F33" i="34"/>
  <c r="E34" i="34"/>
  <c r="M10" i="36"/>
  <c r="M25" i="35"/>
  <c r="G13" i="34"/>
  <c r="E13" i="34"/>
  <c r="B10" i="35"/>
  <c r="E35" i="34"/>
  <c r="E33" i="34"/>
  <c r="M25" i="36"/>
  <c r="B10" i="36"/>
  <c r="C35" i="36"/>
  <c r="C66" i="36"/>
  <c r="B37" i="36"/>
  <c r="I22" i="41"/>
  <c r="J61" i="41"/>
  <c r="G21" i="41"/>
  <c r="D22" i="41"/>
  <c r="G22" i="41"/>
  <c r="C36" i="36"/>
  <c r="K23" i="34"/>
  <c r="B36" i="35"/>
  <c r="J42" i="41"/>
  <c r="E21" i="38"/>
  <c r="F21" i="38"/>
  <c r="G21" i="38"/>
  <c r="Z6" i="43"/>
  <c r="M7" i="43"/>
  <c r="L15" i="41"/>
  <c r="Z11" i="43"/>
  <c r="C37" i="36"/>
  <c r="C36" i="35"/>
  <c r="B37" i="35"/>
  <c r="C37" i="35"/>
  <c r="L35" i="41"/>
  <c r="L54" i="41"/>
  <c r="E15" i="35"/>
  <c r="H16" i="43"/>
  <c r="J16" i="43"/>
  <c r="K7" i="43"/>
  <c r="L14" i="41"/>
  <c r="K15" i="43"/>
  <c r="M5" i="43"/>
  <c r="M6" i="43"/>
  <c r="K15" i="41"/>
  <c r="M13" i="43"/>
  <c r="S15" i="41"/>
  <c r="M12" i="43"/>
  <c r="R15" i="41"/>
  <c r="M11" i="43"/>
  <c r="Q15" i="41"/>
  <c r="M9" i="43"/>
  <c r="N15" i="41"/>
  <c r="M14" i="43"/>
  <c r="O15" i="41"/>
  <c r="M10" i="43"/>
  <c r="P15" i="41"/>
  <c r="O8" i="43"/>
  <c r="M16" i="41"/>
  <c r="O7" i="43"/>
  <c r="L16" i="41"/>
  <c r="O12" i="43"/>
  <c r="R16" i="41"/>
  <c r="O6" i="43"/>
  <c r="K16" i="41"/>
  <c r="O14" i="43"/>
  <c r="O16" i="41"/>
  <c r="O15" i="43"/>
  <c r="O11" i="43"/>
  <c r="Q16" i="41"/>
  <c r="O10" i="43"/>
  <c r="P16" i="41"/>
  <c r="O9" i="43"/>
  <c r="N16" i="41"/>
  <c r="O13" i="43"/>
  <c r="S16" i="41"/>
  <c r="P16" i="43"/>
  <c r="Z5" i="43"/>
  <c r="Q13" i="43"/>
  <c r="S17" i="41"/>
  <c r="M15" i="43"/>
  <c r="M8" i="43"/>
  <c r="M15" i="41"/>
  <c r="Z7" i="43"/>
  <c r="Z15" i="43"/>
  <c r="Z8" i="43"/>
  <c r="O5" i="43"/>
  <c r="W9" i="43"/>
  <c r="N20" i="41"/>
  <c r="W15" i="43"/>
  <c r="Z10" i="43"/>
  <c r="Z14" i="43"/>
  <c r="V16" i="43"/>
  <c r="Z13" i="43"/>
  <c r="W8" i="43"/>
  <c r="M20" i="41"/>
  <c r="Z9" i="43"/>
  <c r="T16" i="43"/>
  <c r="R16" i="43"/>
  <c r="S11" i="43"/>
  <c r="Q18" i="41"/>
  <c r="X16" i="43"/>
  <c r="Y12" i="43"/>
  <c r="R21" i="41"/>
  <c r="Y6" i="43"/>
  <c r="K21" i="41"/>
  <c r="C68" i="36"/>
  <c r="C68" i="35"/>
  <c r="C70" i="35"/>
  <c r="E14" i="35"/>
  <c r="L34" i="41"/>
  <c r="L53" i="41"/>
  <c r="F15" i="35"/>
  <c r="M54" i="41"/>
  <c r="M35" i="41"/>
  <c r="Q55" i="41"/>
  <c r="J16" i="35"/>
  <c r="Q36" i="41"/>
  <c r="O35" i="41"/>
  <c r="O54" i="41"/>
  <c r="G15" i="35"/>
  <c r="I16" i="35"/>
  <c r="P55" i="41"/>
  <c r="P36" i="41"/>
  <c r="O55" i="41"/>
  <c r="O36" i="41"/>
  <c r="G16" i="35"/>
  <c r="Q35" i="41"/>
  <c r="J15" i="35"/>
  <c r="Q54" i="41"/>
  <c r="I13" i="43"/>
  <c r="S13" i="41"/>
  <c r="I11" i="43"/>
  <c r="Q13" i="41"/>
  <c r="I8" i="43"/>
  <c r="M13" i="41"/>
  <c r="I12" i="43"/>
  <c r="R13" i="41"/>
  <c r="I14" i="43"/>
  <c r="O13" i="41"/>
  <c r="I15" i="43"/>
  <c r="I7" i="43"/>
  <c r="L13" i="41"/>
  <c r="I5" i="43"/>
  <c r="I9" i="43"/>
  <c r="N13" i="41"/>
  <c r="I6" i="43"/>
  <c r="K13" i="41"/>
  <c r="H15" i="35"/>
  <c r="N54" i="41"/>
  <c r="N35" i="41"/>
  <c r="D16" i="35"/>
  <c r="T16" i="41"/>
  <c r="K55" i="41"/>
  <c r="K36" i="41"/>
  <c r="R54" i="41"/>
  <c r="K15" i="35"/>
  <c r="R35" i="41"/>
  <c r="I10" i="43"/>
  <c r="P13" i="41"/>
  <c r="Z16" i="43"/>
  <c r="AA13" i="43"/>
  <c r="R36" i="41"/>
  <c r="R55" i="41"/>
  <c r="K16" i="35"/>
  <c r="S35" i="41"/>
  <c r="S54" i="41"/>
  <c r="L15" i="35"/>
  <c r="E30" i="35"/>
  <c r="E61" i="35"/>
  <c r="E15" i="36"/>
  <c r="E30" i="36"/>
  <c r="E61" i="36"/>
  <c r="I15" i="35"/>
  <c r="P54" i="41"/>
  <c r="P35" i="41"/>
  <c r="S37" i="41"/>
  <c r="S56" i="41"/>
  <c r="L17" i="35"/>
  <c r="K14" i="43"/>
  <c r="O14" i="41"/>
  <c r="K11" i="43"/>
  <c r="Q14" i="41"/>
  <c r="K13" i="43"/>
  <c r="S14" i="41"/>
  <c r="K10" i="43"/>
  <c r="P14" i="41"/>
  <c r="K5" i="43"/>
  <c r="K9" i="43"/>
  <c r="N14" i="41"/>
  <c r="K8" i="43"/>
  <c r="M14" i="41"/>
  <c r="K6" i="43"/>
  <c r="K14" i="41"/>
  <c r="K12" i="43"/>
  <c r="R14" i="41"/>
  <c r="Q6" i="43"/>
  <c r="K17" i="41"/>
  <c r="Q14" i="43"/>
  <c r="O17" i="41"/>
  <c r="Q15" i="43"/>
  <c r="Q8" i="43"/>
  <c r="M17" i="41"/>
  <c r="Q11" i="43"/>
  <c r="Q17" i="41"/>
  <c r="Q9" i="43"/>
  <c r="N17" i="41"/>
  <c r="Q7" i="43"/>
  <c r="L17" i="41"/>
  <c r="Q10" i="43"/>
  <c r="P17" i="41"/>
  <c r="Q12" i="43"/>
  <c r="R17" i="41"/>
  <c r="S55" i="41"/>
  <c r="S36" i="41"/>
  <c r="L16" i="35"/>
  <c r="K35" i="41"/>
  <c r="D15" i="35"/>
  <c r="T15" i="41"/>
  <c r="K54" i="41"/>
  <c r="O16" i="43"/>
  <c r="Q5" i="43"/>
  <c r="E16" i="35"/>
  <c r="L55" i="41"/>
  <c r="L36" i="41"/>
  <c r="N36" i="41"/>
  <c r="H16" i="35"/>
  <c r="N55" i="41"/>
  <c r="M36" i="41"/>
  <c r="F16" i="35"/>
  <c r="M55" i="41"/>
  <c r="M16" i="43"/>
  <c r="AA11" i="43"/>
  <c r="AA6" i="43"/>
  <c r="AA15" i="43"/>
  <c r="AA5" i="43"/>
  <c r="AA7" i="43"/>
  <c r="AA12" i="43"/>
  <c r="AA8" i="43"/>
  <c r="AA10" i="43"/>
  <c r="AA9" i="43"/>
  <c r="J18" i="35"/>
  <c r="Q57" i="41"/>
  <c r="Q38" i="41"/>
  <c r="U15" i="43"/>
  <c r="U8" i="43"/>
  <c r="M19" i="41"/>
  <c r="U6" i="43"/>
  <c r="K19" i="41"/>
  <c r="U12" i="43"/>
  <c r="R19" i="41"/>
  <c r="U11" i="43"/>
  <c r="Q19" i="41"/>
  <c r="U10" i="43"/>
  <c r="P19" i="41"/>
  <c r="U9" i="43"/>
  <c r="N19" i="41"/>
  <c r="S5" i="43"/>
  <c r="S8" i="43"/>
  <c r="M18" i="41"/>
  <c r="S7" i="43"/>
  <c r="L18" i="41"/>
  <c r="S15" i="43"/>
  <c r="S9" i="43"/>
  <c r="N18" i="41"/>
  <c r="S14" i="43"/>
  <c r="O18" i="41"/>
  <c r="S12" i="43"/>
  <c r="R18" i="41"/>
  <c r="S13" i="43"/>
  <c r="S18" i="41"/>
  <c r="S6" i="43"/>
  <c r="K18" i="41"/>
  <c r="U7" i="43"/>
  <c r="L19" i="41"/>
  <c r="U14" i="43"/>
  <c r="O19" i="41"/>
  <c r="N59" i="41"/>
  <c r="H20" i="35"/>
  <c r="N40" i="41"/>
  <c r="W14" i="43"/>
  <c r="O20" i="41"/>
  <c r="W12" i="43"/>
  <c r="R20" i="41"/>
  <c r="W6" i="43"/>
  <c r="K20" i="41"/>
  <c r="W11" i="43"/>
  <c r="Q20" i="41"/>
  <c r="W13" i="43"/>
  <c r="S20" i="41"/>
  <c r="W10" i="43"/>
  <c r="P20" i="41"/>
  <c r="W5" i="43"/>
  <c r="U13" i="43"/>
  <c r="S19" i="41"/>
  <c r="F20" i="35"/>
  <c r="M59" i="41"/>
  <c r="M40" i="41"/>
  <c r="U5" i="43"/>
  <c r="W7" i="43"/>
  <c r="L20" i="41"/>
  <c r="S10" i="43"/>
  <c r="P18" i="41"/>
  <c r="Y7" i="43"/>
  <c r="L21" i="41"/>
  <c r="Y13" i="43"/>
  <c r="S21" i="41"/>
  <c r="S60" i="41"/>
  <c r="Y15" i="43"/>
  <c r="Y5" i="43"/>
  <c r="Y8" i="43"/>
  <c r="M21" i="41"/>
  <c r="Y11" i="43"/>
  <c r="Q21" i="41"/>
  <c r="Q60" i="41"/>
  <c r="Y9" i="43"/>
  <c r="N21" i="41"/>
  <c r="N60" i="41"/>
  <c r="Y10" i="43"/>
  <c r="P21" i="41"/>
  <c r="P41" i="41"/>
  <c r="Y14" i="43"/>
  <c r="O21" i="41"/>
  <c r="O41" i="41"/>
  <c r="S41" i="41"/>
  <c r="L21" i="35"/>
  <c r="M41" i="41"/>
  <c r="F21" i="35"/>
  <c r="M60" i="41"/>
  <c r="K21" i="35"/>
  <c r="R41" i="41"/>
  <c r="R60" i="41"/>
  <c r="K60" i="41"/>
  <c r="K41" i="41"/>
  <c r="D21" i="35"/>
  <c r="L60" i="41"/>
  <c r="E21" i="35"/>
  <c r="L41" i="41"/>
  <c r="H30" i="35"/>
  <c r="H61" i="35"/>
  <c r="G15" i="36"/>
  <c r="G30" i="36"/>
  <c r="G61" i="36"/>
  <c r="J31" i="35"/>
  <c r="J62" i="35"/>
  <c r="J16" i="36"/>
  <c r="J31" i="36"/>
  <c r="J62" i="36"/>
  <c r="J17" i="35"/>
  <c r="Q56" i="41"/>
  <c r="Q37" i="41"/>
  <c r="N53" i="41"/>
  <c r="N34" i="41"/>
  <c r="H14" i="35"/>
  <c r="T13" i="41"/>
  <c r="K52" i="41"/>
  <c r="D13" i="35"/>
  <c r="K33" i="41"/>
  <c r="Q52" i="41"/>
  <c r="J13" i="35"/>
  <c r="Q33" i="41"/>
  <c r="M56" i="41"/>
  <c r="F17" i="35"/>
  <c r="M37" i="41"/>
  <c r="K16" i="43"/>
  <c r="K31" i="35"/>
  <c r="K62" i="35"/>
  <c r="K16" i="36"/>
  <c r="K31" i="36"/>
  <c r="K62" i="36"/>
  <c r="N52" i="41"/>
  <c r="H13" i="35"/>
  <c r="N33" i="41"/>
  <c r="L13" i="35"/>
  <c r="S52" i="41"/>
  <c r="S33" i="41"/>
  <c r="D30" i="35"/>
  <c r="D61" i="35"/>
  <c r="D15" i="36"/>
  <c r="M15" i="35"/>
  <c r="H17" i="35"/>
  <c r="N56" i="41"/>
  <c r="N37" i="41"/>
  <c r="L31" i="35"/>
  <c r="L62" i="35"/>
  <c r="L16" i="36"/>
  <c r="L31" i="36"/>
  <c r="L62" i="36"/>
  <c r="E16" i="36"/>
  <c r="E31" i="36"/>
  <c r="E62" i="36"/>
  <c r="E31" i="35"/>
  <c r="E62" i="35"/>
  <c r="P53" i="41"/>
  <c r="P34" i="41"/>
  <c r="I14" i="35"/>
  <c r="I16" i="43"/>
  <c r="I31" i="35"/>
  <c r="I62" i="35"/>
  <c r="I16" i="36"/>
  <c r="I31" i="36"/>
  <c r="I62" i="36"/>
  <c r="F30" i="35"/>
  <c r="F61" i="35"/>
  <c r="F15" i="36"/>
  <c r="F30" i="36"/>
  <c r="F61" i="36"/>
  <c r="K30" i="35"/>
  <c r="K61" i="35"/>
  <c r="K15" i="36"/>
  <c r="K30" i="36"/>
  <c r="K61" i="36"/>
  <c r="O37" i="41"/>
  <c r="G17" i="35"/>
  <c r="O56" i="41"/>
  <c r="L33" i="41"/>
  <c r="L52" i="41"/>
  <c r="E13" i="35"/>
  <c r="K37" i="41"/>
  <c r="K56" i="41"/>
  <c r="T17" i="41"/>
  <c r="D17" i="35"/>
  <c r="Q34" i="41"/>
  <c r="Q53" i="41"/>
  <c r="J14" i="35"/>
  <c r="D31" i="35"/>
  <c r="D62" i="35"/>
  <c r="M16" i="35"/>
  <c r="B16" i="35"/>
  <c r="D16" i="36"/>
  <c r="F14" i="35"/>
  <c r="M34" i="41"/>
  <c r="M42" i="41"/>
  <c r="M53" i="41"/>
  <c r="F16" i="36"/>
  <c r="F31" i="36"/>
  <c r="F62" i="36"/>
  <c r="F31" i="35"/>
  <c r="F62" i="35"/>
  <c r="L14" i="35"/>
  <c r="S34" i="41"/>
  <c r="S53" i="41"/>
  <c r="I15" i="36"/>
  <c r="I30" i="36"/>
  <c r="I61" i="36"/>
  <c r="I30" i="35"/>
  <c r="I61" i="35"/>
  <c r="T36" i="41"/>
  <c r="D36" i="41"/>
  <c r="T55" i="41"/>
  <c r="D55" i="41"/>
  <c r="C55" i="41"/>
  <c r="J15" i="36"/>
  <c r="J30" i="36"/>
  <c r="J61" i="36"/>
  <c r="J30" i="35"/>
  <c r="J61" i="35"/>
  <c r="R56" i="41"/>
  <c r="R37" i="41"/>
  <c r="K17" i="35"/>
  <c r="P56" i="41"/>
  <c r="P37" i="41"/>
  <c r="I17" i="35"/>
  <c r="K14" i="35"/>
  <c r="R34" i="41"/>
  <c r="R53" i="41"/>
  <c r="O34" i="41"/>
  <c r="G14" i="35"/>
  <c r="O53" i="41"/>
  <c r="P33" i="41"/>
  <c r="I13" i="35"/>
  <c r="P52" i="41"/>
  <c r="G13" i="35"/>
  <c r="O52" i="41"/>
  <c r="O33" i="41"/>
  <c r="G31" i="35"/>
  <c r="G62" i="35"/>
  <c r="H16" i="36"/>
  <c r="H31" i="36"/>
  <c r="H62" i="36"/>
  <c r="M33" i="41"/>
  <c r="F13" i="35"/>
  <c r="M52" i="41"/>
  <c r="Q16" i="43"/>
  <c r="G30" i="35"/>
  <c r="G61" i="35"/>
  <c r="H15" i="36"/>
  <c r="H30" i="36"/>
  <c r="H61" i="36"/>
  <c r="D54" i="41"/>
  <c r="AA14" i="43"/>
  <c r="AA16" i="43"/>
  <c r="G16" i="36"/>
  <c r="G31" i="36"/>
  <c r="G62" i="36"/>
  <c r="H31" i="35"/>
  <c r="H62" i="35"/>
  <c r="T54" i="41"/>
  <c r="T35" i="41"/>
  <c r="D35" i="41"/>
  <c r="L37" i="41"/>
  <c r="L56" i="41"/>
  <c r="E17" i="35"/>
  <c r="K53" i="41"/>
  <c r="D14" i="35"/>
  <c r="T14" i="41"/>
  <c r="K34" i="41"/>
  <c r="L32" i="35"/>
  <c r="L63" i="35"/>
  <c r="L17" i="36"/>
  <c r="L32" i="36"/>
  <c r="L63" i="36"/>
  <c r="L30" i="35"/>
  <c r="L61" i="35"/>
  <c r="L15" i="36"/>
  <c r="L30" i="36"/>
  <c r="L61" i="36"/>
  <c r="R52" i="41"/>
  <c r="R61" i="41"/>
  <c r="K13" i="35"/>
  <c r="R33" i="41"/>
  <c r="E14" i="36"/>
  <c r="E29" i="36"/>
  <c r="E60" i="36"/>
  <c r="E29" i="35"/>
  <c r="E60" i="35"/>
  <c r="F19" i="35"/>
  <c r="M39" i="41"/>
  <c r="M58" i="41"/>
  <c r="S16" i="43"/>
  <c r="S38" i="41"/>
  <c r="S57" i="41"/>
  <c r="L18" i="35"/>
  <c r="F35" i="35"/>
  <c r="F66" i="35"/>
  <c r="F20" i="36"/>
  <c r="F35" i="36"/>
  <c r="F66" i="36"/>
  <c r="O59" i="41"/>
  <c r="G20" i="35"/>
  <c r="O40" i="41"/>
  <c r="R57" i="41"/>
  <c r="K18" i="35"/>
  <c r="R38" i="41"/>
  <c r="I19" i="35"/>
  <c r="P58" i="41"/>
  <c r="P39" i="41"/>
  <c r="J18" i="36"/>
  <c r="J33" i="36"/>
  <c r="J64" i="36"/>
  <c r="J33" i="35"/>
  <c r="J64" i="35"/>
  <c r="L38" i="41"/>
  <c r="L57" i="41"/>
  <c r="E18" i="35"/>
  <c r="L58" i="41"/>
  <c r="L39" i="41"/>
  <c r="E19" i="35"/>
  <c r="T18" i="41"/>
  <c r="K38" i="41"/>
  <c r="D18" i="35"/>
  <c r="K57" i="41"/>
  <c r="S58" i="41"/>
  <c r="S61" i="41"/>
  <c r="S39" i="41"/>
  <c r="L19" i="35"/>
  <c r="O57" i="41"/>
  <c r="O38" i="41"/>
  <c r="O42" i="41"/>
  <c r="G18" i="35"/>
  <c r="Q58" i="41"/>
  <c r="Q39" i="41"/>
  <c r="J19" i="35"/>
  <c r="E20" i="35"/>
  <c r="L40" i="41"/>
  <c r="L59" i="41"/>
  <c r="K59" i="41"/>
  <c r="T20" i="41"/>
  <c r="K40" i="41"/>
  <c r="D20" i="35"/>
  <c r="R40" i="41"/>
  <c r="K20" i="35"/>
  <c r="R59" i="41"/>
  <c r="W16" i="43"/>
  <c r="G20" i="36"/>
  <c r="G35" i="36"/>
  <c r="G66" i="36"/>
  <c r="H35" i="35"/>
  <c r="H66" i="35"/>
  <c r="H18" i="35"/>
  <c r="N57" i="41"/>
  <c r="N38" i="41"/>
  <c r="R39" i="41"/>
  <c r="K19" i="35"/>
  <c r="R58" i="41"/>
  <c r="S59" i="41"/>
  <c r="L20" i="35"/>
  <c r="S40" i="41"/>
  <c r="G19" i="35"/>
  <c r="O39" i="41"/>
  <c r="O58" i="41"/>
  <c r="U16" i="43"/>
  <c r="J20" i="35"/>
  <c r="Q59" i="41"/>
  <c r="Q40" i="41"/>
  <c r="F18" i="35"/>
  <c r="M38" i="41"/>
  <c r="M57" i="41"/>
  <c r="N58" i="41"/>
  <c r="N61" i="41"/>
  <c r="N39" i="41"/>
  <c r="H19" i="35"/>
  <c r="P38" i="41"/>
  <c r="P57" i="41"/>
  <c r="I18" i="35"/>
  <c r="I20" i="35"/>
  <c r="P40" i="41"/>
  <c r="P59" i="41"/>
  <c r="K39" i="41"/>
  <c r="T19" i="41"/>
  <c r="D19" i="35"/>
  <c r="K58" i="41"/>
  <c r="N41" i="41"/>
  <c r="J21" i="35"/>
  <c r="J36" i="35"/>
  <c r="I21" i="35"/>
  <c r="I21" i="36"/>
  <c r="I36" i="36"/>
  <c r="H21" i="35"/>
  <c r="H36" i="35"/>
  <c r="O60" i="41"/>
  <c r="G21" i="35"/>
  <c r="H21" i="36"/>
  <c r="H36" i="36"/>
  <c r="Q41" i="41"/>
  <c r="P60" i="41"/>
  <c r="Y16" i="43"/>
  <c r="T21" i="41"/>
  <c r="T60" i="41"/>
  <c r="E36" i="35"/>
  <c r="E21" i="36"/>
  <c r="E36" i="36"/>
  <c r="K36" i="35"/>
  <c r="K21" i="36"/>
  <c r="K36" i="36"/>
  <c r="F36" i="35"/>
  <c r="F21" i="36"/>
  <c r="F36" i="36"/>
  <c r="D36" i="35"/>
  <c r="D21" i="36"/>
  <c r="L21" i="36"/>
  <c r="L36" i="36"/>
  <c r="L36" i="35"/>
  <c r="G21" i="36"/>
  <c r="G36" i="36"/>
  <c r="E32" i="35"/>
  <c r="E63" i="35"/>
  <c r="E17" i="36"/>
  <c r="E32" i="36"/>
  <c r="E63" i="36"/>
  <c r="K32" i="35"/>
  <c r="K63" i="35"/>
  <c r="K17" i="36"/>
  <c r="K32" i="36"/>
  <c r="K63" i="36"/>
  <c r="M17" i="35"/>
  <c r="D32" i="35"/>
  <c r="D63" i="35"/>
  <c r="B63" i="35"/>
  <c r="F18" i="34"/>
  <c r="D17" i="36"/>
  <c r="B17" i="35"/>
  <c r="G32" i="35"/>
  <c r="G63" i="35"/>
  <c r="H17" i="36"/>
  <c r="H32" i="36"/>
  <c r="H63" i="36"/>
  <c r="D31" i="36"/>
  <c r="D62" i="36"/>
  <c r="B62" i="36"/>
  <c r="F39" i="34"/>
  <c r="T56" i="41"/>
  <c r="T37" i="41"/>
  <c r="D37" i="41"/>
  <c r="D13" i="36"/>
  <c r="M13" i="35"/>
  <c r="D28" i="35"/>
  <c r="D59" i="35"/>
  <c r="J17" i="36"/>
  <c r="J32" i="36"/>
  <c r="J63" i="36"/>
  <c r="J32" i="35"/>
  <c r="J63" i="35"/>
  <c r="F29" i="35"/>
  <c r="F60" i="35"/>
  <c r="F14" i="36"/>
  <c r="F29" i="36"/>
  <c r="F60" i="36"/>
  <c r="D56" i="41"/>
  <c r="I29" i="35"/>
  <c r="I60" i="35"/>
  <c r="I14" i="36"/>
  <c r="I29" i="36"/>
  <c r="I60" i="36"/>
  <c r="L28" i="35"/>
  <c r="L59" i="35"/>
  <c r="L13" i="36"/>
  <c r="L28" i="36"/>
  <c r="L59" i="36"/>
  <c r="T52" i="41"/>
  <c r="D52" i="41"/>
  <c r="T33" i="41"/>
  <c r="D33" i="41"/>
  <c r="G17" i="36"/>
  <c r="G32" i="36"/>
  <c r="G63" i="36"/>
  <c r="H32" i="35"/>
  <c r="H63" i="35"/>
  <c r="P42" i="41"/>
  <c r="R42" i="41"/>
  <c r="D34" i="41"/>
  <c r="K14" i="36"/>
  <c r="K29" i="36"/>
  <c r="K60" i="36"/>
  <c r="K29" i="35"/>
  <c r="K60" i="35"/>
  <c r="B62" i="35"/>
  <c r="F17" i="34"/>
  <c r="E13" i="36"/>
  <c r="E28" i="36"/>
  <c r="E59" i="36"/>
  <c r="E28" i="35"/>
  <c r="E59" i="35"/>
  <c r="M30" i="35"/>
  <c r="M15" i="36"/>
  <c r="M30" i="36"/>
  <c r="H28" i="35"/>
  <c r="H59" i="35"/>
  <c r="G13" i="36"/>
  <c r="G28" i="36"/>
  <c r="G59" i="36"/>
  <c r="H29" i="35"/>
  <c r="H60" i="35"/>
  <c r="G14" i="36"/>
  <c r="G29" i="36"/>
  <c r="G60" i="36"/>
  <c r="C54" i="41"/>
  <c r="H13" i="36"/>
  <c r="H28" i="36"/>
  <c r="H59" i="36"/>
  <c r="G28" i="35"/>
  <c r="G59" i="35"/>
  <c r="F32" i="35"/>
  <c r="F63" i="35"/>
  <c r="F17" i="36"/>
  <c r="F32" i="36"/>
  <c r="F63" i="36"/>
  <c r="K42" i="41"/>
  <c r="Q61" i="41"/>
  <c r="L61" i="41"/>
  <c r="T34" i="41"/>
  <c r="T53" i="41"/>
  <c r="D53" i="41"/>
  <c r="C53" i="41"/>
  <c r="F28" i="35"/>
  <c r="F59" i="35"/>
  <c r="F13" i="36"/>
  <c r="F28" i="36"/>
  <c r="F59" i="36"/>
  <c r="I28" i="35"/>
  <c r="I59" i="35"/>
  <c r="I13" i="36"/>
  <c r="I28" i="36"/>
  <c r="I59" i="36"/>
  <c r="I32" i="35"/>
  <c r="I63" i="35"/>
  <c r="I17" i="36"/>
  <c r="I32" i="36"/>
  <c r="I63" i="36"/>
  <c r="J14" i="36"/>
  <c r="J29" i="36"/>
  <c r="J60" i="36"/>
  <c r="J29" i="35"/>
  <c r="J60" i="35"/>
  <c r="D30" i="36"/>
  <c r="D61" i="36"/>
  <c r="B61" i="36"/>
  <c r="F38" i="34"/>
  <c r="B15" i="36"/>
  <c r="H14" i="36"/>
  <c r="H29" i="36"/>
  <c r="H60" i="36"/>
  <c r="G29" i="35"/>
  <c r="G60" i="35"/>
  <c r="K61" i="41"/>
  <c r="M61" i="41"/>
  <c r="L14" i="36"/>
  <c r="L29" i="36"/>
  <c r="L60" i="36"/>
  <c r="L29" i="35"/>
  <c r="L60" i="35"/>
  <c r="M31" i="35"/>
  <c r="M16" i="36"/>
  <c r="M31" i="36"/>
  <c r="O61" i="41"/>
  <c r="L42" i="41"/>
  <c r="S42" i="41"/>
  <c r="K28" i="35"/>
  <c r="K59" i="35"/>
  <c r="K13" i="36"/>
  <c r="K28" i="36"/>
  <c r="K59" i="36"/>
  <c r="D14" i="36"/>
  <c r="D29" i="35"/>
  <c r="D60" i="35"/>
  <c r="M14" i="35"/>
  <c r="B15" i="35"/>
  <c r="J13" i="36"/>
  <c r="J28" i="36"/>
  <c r="J59" i="36"/>
  <c r="J28" i="35"/>
  <c r="J59" i="35"/>
  <c r="B61" i="35"/>
  <c r="F16" i="34"/>
  <c r="H34" i="35"/>
  <c r="H65" i="35"/>
  <c r="G19" i="36"/>
  <c r="G34" i="36"/>
  <c r="G65" i="36"/>
  <c r="M19" i="35"/>
  <c r="B19" i="35"/>
  <c r="D34" i="35"/>
  <c r="D65" i="35"/>
  <c r="D19" i="36"/>
  <c r="T40" i="41"/>
  <c r="D40" i="41"/>
  <c r="T59" i="41"/>
  <c r="D59" i="41"/>
  <c r="C59" i="41"/>
  <c r="T39" i="41"/>
  <c r="T58" i="41"/>
  <c r="D33" i="35"/>
  <c r="D64" i="35"/>
  <c r="M18" i="35"/>
  <c r="B18" i="35"/>
  <c r="D18" i="36"/>
  <c r="E33" i="35"/>
  <c r="E64" i="35"/>
  <c r="E18" i="36"/>
  <c r="E33" i="36"/>
  <c r="E64" i="36"/>
  <c r="G33" i="35"/>
  <c r="G64" i="35"/>
  <c r="H18" i="36"/>
  <c r="H33" i="36"/>
  <c r="H64" i="36"/>
  <c r="D39" i="41"/>
  <c r="T38" i="41"/>
  <c r="D38" i="41"/>
  <c r="T57" i="41"/>
  <c r="H20" i="36"/>
  <c r="H35" i="36"/>
  <c r="H66" i="36"/>
  <c r="G35" i="35"/>
  <c r="G66" i="35"/>
  <c r="L33" i="35"/>
  <c r="L64" i="35"/>
  <c r="L18" i="36"/>
  <c r="L33" i="36"/>
  <c r="L64" i="36"/>
  <c r="D57" i="41"/>
  <c r="K34" i="35"/>
  <c r="K65" i="35"/>
  <c r="K19" i="36"/>
  <c r="K34" i="36"/>
  <c r="K65" i="36"/>
  <c r="K35" i="35"/>
  <c r="K66" i="35"/>
  <c r="K20" i="36"/>
  <c r="K35" i="36"/>
  <c r="K66" i="36"/>
  <c r="L19" i="36"/>
  <c r="L34" i="36"/>
  <c r="L65" i="36"/>
  <c r="L34" i="35"/>
  <c r="L65" i="35"/>
  <c r="E19" i="36"/>
  <c r="E34" i="36"/>
  <c r="E65" i="36"/>
  <c r="E34" i="35"/>
  <c r="E65" i="35"/>
  <c r="P61" i="41"/>
  <c r="L35" i="35"/>
  <c r="L66" i="35"/>
  <c r="L20" i="36"/>
  <c r="L35" i="36"/>
  <c r="L66" i="36"/>
  <c r="J20" i="36"/>
  <c r="J35" i="36"/>
  <c r="J66" i="36"/>
  <c r="J35" i="35"/>
  <c r="J66" i="35"/>
  <c r="K18" i="36"/>
  <c r="K33" i="36"/>
  <c r="K64" i="36"/>
  <c r="K33" i="35"/>
  <c r="K64" i="35"/>
  <c r="I20" i="36"/>
  <c r="I35" i="36"/>
  <c r="I66" i="36"/>
  <c r="I35" i="35"/>
  <c r="I66" i="35"/>
  <c r="G34" i="35"/>
  <c r="G65" i="35"/>
  <c r="H19" i="36"/>
  <c r="H34" i="36"/>
  <c r="H65" i="36"/>
  <c r="E35" i="35"/>
  <c r="E66" i="35"/>
  <c r="E20" i="36"/>
  <c r="E35" i="36"/>
  <c r="E66" i="36"/>
  <c r="F34" i="35"/>
  <c r="F65" i="35"/>
  <c r="F19" i="36"/>
  <c r="F34" i="36"/>
  <c r="F65" i="36"/>
  <c r="D58" i="41"/>
  <c r="Q42" i="41"/>
  <c r="F33" i="35"/>
  <c r="F64" i="35"/>
  <c r="F18" i="36"/>
  <c r="F33" i="36"/>
  <c r="F64" i="36"/>
  <c r="N42" i="41"/>
  <c r="I33" i="35"/>
  <c r="I64" i="35"/>
  <c r="I18" i="36"/>
  <c r="I33" i="36"/>
  <c r="I64" i="36"/>
  <c r="G18" i="36"/>
  <c r="G33" i="36"/>
  <c r="G64" i="36"/>
  <c r="H33" i="35"/>
  <c r="H64" i="35"/>
  <c r="D35" i="35"/>
  <c r="D66" i="35"/>
  <c r="M20" i="35"/>
  <c r="B20" i="35"/>
  <c r="D20" i="36"/>
  <c r="J19" i="36"/>
  <c r="J34" i="36"/>
  <c r="J65" i="36"/>
  <c r="J34" i="35"/>
  <c r="J65" i="35"/>
  <c r="I19" i="36"/>
  <c r="I34" i="36"/>
  <c r="I65" i="36"/>
  <c r="I34" i="35"/>
  <c r="I65" i="35"/>
  <c r="J21" i="36"/>
  <c r="J36" i="36"/>
  <c r="G36" i="35"/>
  <c r="G67" i="35"/>
  <c r="I36" i="35"/>
  <c r="I67" i="35"/>
  <c r="T41" i="41"/>
  <c r="M21" i="35"/>
  <c r="B21" i="35"/>
  <c r="D41" i="41"/>
  <c r="D60" i="41"/>
  <c r="D36" i="36"/>
  <c r="I37" i="35"/>
  <c r="L67" i="35"/>
  <c r="E67" i="35"/>
  <c r="F67" i="35"/>
  <c r="K67" i="36"/>
  <c r="G67" i="36"/>
  <c r="D67" i="35"/>
  <c r="E67" i="36"/>
  <c r="I67" i="36"/>
  <c r="M36" i="35"/>
  <c r="J67" i="36"/>
  <c r="H67" i="36"/>
  <c r="K67" i="35"/>
  <c r="H67" i="35"/>
  <c r="H68" i="35"/>
  <c r="L67" i="36"/>
  <c r="J67" i="35"/>
  <c r="F67" i="36"/>
  <c r="C52" i="41"/>
  <c r="G68" i="36"/>
  <c r="F37" i="36"/>
  <c r="G17" i="34"/>
  <c r="E17" i="34"/>
  <c r="C56" i="41"/>
  <c r="M13" i="36"/>
  <c r="M28" i="36"/>
  <c r="M28" i="35"/>
  <c r="J37" i="35"/>
  <c r="I68" i="36"/>
  <c r="I37" i="36"/>
  <c r="G68" i="35"/>
  <c r="D28" i="36"/>
  <c r="D59" i="36"/>
  <c r="B59" i="36"/>
  <c r="F36" i="34"/>
  <c r="B13" i="36"/>
  <c r="D32" i="36"/>
  <c r="D63" i="36"/>
  <c r="B63" i="36"/>
  <c r="F40" i="34"/>
  <c r="B17" i="36"/>
  <c r="M29" i="35"/>
  <c r="M14" i="36"/>
  <c r="M29" i="36"/>
  <c r="B14" i="35"/>
  <c r="M17" i="36"/>
  <c r="M32" i="36"/>
  <c r="M32" i="35"/>
  <c r="B60" i="35"/>
  <c r="F15" i="34"/>
  <c r="E38" i="34"/>
  <c r="B16" i="36"/>
  <c r="C58" i="41"/>
  <c r="E39" i="34"/>
  <c r="D29" i="36"/>
  <c r="D60" i="36"/>
  <c r="B60" i="36"/>
  <c r="F37" i="34"/>
  <c r="B14" i="36"/>
  <c r="G16" i="34"/>
  <c r="E16" i="34"/>
  <c r="B59" i="35"/>
  <c r="F14" i="34"/>
  <c r="E18" i="34"/>
  <c r="G18" i="34"/>
  <c r="K37" i="35"/>
  <c r="G37" i="36"/>
  <c r="F68" i="36"/>
  <c r="K68" i="36"/>
  <c r="J68" i="35"/>
  <c r="J70" i="35"/>
  <c r="I21" i="39"/>
  <c r="B13" i="35"/>
  <c r="T61" i="41"/>
  <c r="G37" i="35"/>
  <c r="H68" i="36"/>
  <c r="E68" i="36"/>
  <c r="F37" i="35"/>
  <c r="F70" i="35"/>
  <c r="E21" i="39"/>
  <c r="D33" i="36"/>
  <c r="D64" i="36"/>
  <c r="B64" i="36"/>
  <c r="F41" i="34"/>
  <c r="D34" i="36"/>
  <c r="D65" i="36"/>
  <c r="B65" i="36"/>
  <c r="F42" i="34"/>
  <c r="K37" i="36"/>
  <c r="K68" i="35"/>
  <c r="F68" i="35"/>
  <c r="H37" i="36"/>
  <c r="D42" i="41"/>
  <c r="J22" i="41"/>
  <c r="M33" i="35"/>
  <c r="M37" i="35"/>
  <c r="M18" i="36"/>
  <c r="M33" i="36"/>
  <c r="B65" i="35"/>
  <c r="F20" i="34"/>
  <c r="E37" i="36"/>
  <c r="D37" i="35"/>
  <c r="E68" i="35"/>
  <c r="L68" i="36"/>
  <c r="J68" i="36"/>
  <c r="E37" i="35"/>
  <c r="B64" i="35"/>
  <c r="F19" i="34"/>
  <c r="M34" i="35"/>
  <c r="M19" i="36"/>
  <c r="M34" i="36"/>
  <c r="B66" i="35"/>
  <c r="F21" i="34"/>
  <c r="J37" i="36"/>
  <c r="D35" i="36"/>
  <c r="D66" i="36"/>
  <c r="B66" i="36"/>
  <c r="F43" i="34"/>
  <c r="C57" i="41"/>
  <c r="L37" i="36"/>
  <c r="L68" i="35"/>
  <c r="T42" i="41"/>
  <c r="H37" i="35"/>
  <c r="L37" i="35"/>
  <c r="I68" i="35"/>
  <c r="I70" i="35"/>
  <c r="H21" i="39"/>
  <c r="M35" i="35"/>
  <c r="M20" i="36"/>
  <c r="M35" i="36"/>
  <c r="M21" i="36"/>
  <c r="M36" i="36"/>
  <c r="C60" i="41"/>
  <c r="T22" i="41"/>
  <c r="L70" i="35"/>
  <c r="K21" i="39"/>
  <c r="K22" i="41"/>
  <c r="G70" i="35"/>
  <c r="G21" i="39"/>
  <c r="D61" i="41"/>
  <c r="B21" i="36"/>
  <c r="D68" i="35"/>
  <c r="D70" i="35"/>
  <c r="C21" i="39"/>
  <c r="B67" i="35"/>
  <c r="D67" i="36"/>
  <c r="H70" i="35"/>
  <c r="F21" i="39"/>
  <c r="K70" i="35"/>
  <c r="J21" i="39"/>
  <c r="E40" i="34"/>
  <c r="G15" i="34"/>
  <c r="E15" i="34"/>
  <c r="E37" i="34"/>
  <c r="E36" i="34"/>
  <c r="E70" i="35"/>
  <c r="D21" i="39"/>
  <c r="R22" i="41"/>
  <c r="D37" i="36"/>
  <c r="M22" i="41"/>
  <c r="G14" i="34"/>
  <c r="E14" i="34"/>
  <c r="G19" i="34"/>
  <c r="E19" i="34"/>
  <c r="E41" i="34"/>
  <c r="P22" i="41"/>
  <c r="L22" i="41"/>
  <c r="Q22" i="41"/>
  <c r="E21" i="34"/>
  <c r="E43" i="34"/>
  <c r="G21" i="34"/>
  <c r="B20" i="36"/>
  <c r="O22" i="41"/>
  <c r="N22" i="41"/>
  <c r="B18" i="36"/>
  <c r="S22" i="41"/>
  <c r="M37" i="36"/>
  <c r="E20" i="34"/>
  <c r="E42" i="34"/>
  <c r="G20" i="34"/>
  <c r="B19" i="36"/>
  <c r="D68" i="36"/>
  <c r="B67" i="36"/>
  <c r="B68" i="35"/>
  <c r="F22" i="34"/>
  <c r="F44" i="34"/>
  <c r="B68" i="36"/>
  <c r="F23" i="34"/>
  <c r="E22" i="34"/>
  <c r="G22" i="34"/>
  <c r="E16" i="40"/>
  <c r="G23" i="34"/>
  <c r="E23" i="34"/>
  <c r="F25" i="34"/>
  <c r="M25" i="34"/>
  <c r="E44" i="34"/>
  <c r="E45" i="34"/>
  <c r="F45" i="34"/>
  <c r="E50" i="40"/>
  <c r="E22" i="40"/>
  <c r="F26" i="40"/>
  <c r="E28" i="40"/>
  <c r="F30" i="40"/>
  <c r="F32" i="40"/>
  <c r="E62" i="40"/>
  <c r="G36" i="34"/>
  <c r="K36" i="34"/>
  <c r="I36" i="34"/>
  <c r="I9" i="38"/>
  <c r="C33" i="34"/>
  <c r="C45" i="40"/>
  <c r="E45" i="40"/>
  <c r="G34" i="34"/>
  <c r="K34" i="34"/>
  <c r="I34" i="34"/>
  <c r="K35" i="34"/>
  <c r="I35" i="34"/>
  <c r="G35" i="34"/>
  <c r="I41" i="34"/>
  <c r="K41" i="34"/>
  <c r="G41" i="34"/>
  <c r="G44" i="34"/>
  <c r="I44" i="34"/>
  <c r="K44" i="34"/>
  <c r="G40" i="34"/>
  <c r="I40" i="34"/>
  <c r="K40" i="34"/>
  <c r="I13" i="38"/>
  <c r="C47" i="40"/>
  <c r="I39" i="34"/>
  <c r="G39" i="34"/>
  <c r="K39" i="34"/>
  <c r="G38" i="34"/>
  <c r="K38" i="34"/>
  <c r="I38" i="34"/>
  <c r="G42" i="34"/>
  <c r="I42" i="34"/>
  <c r="K42" i="34"/>
  <c r="K43" i="34"/>
  <c r="I43" i="34"/>
  <c r="G43" i="34"/>
  <c r="G33" i="34"/>
  <c r="K33" i="34"/>
  <c r="I33" i="34"/>
  <c r="C48" i="40"/>
  <c r="E47" i="40"/>
  <c r="E48" i="40"/>
  <c r="E56" i="40"/>
  <c r="I21" i="38"/>
  <c r="I23" i="38"/>
  <c r="C37" i="34"/>
  <c r="K37" i="34"/>
  <c r="C45" i="34"/>
  <c r="I37" i="34"/>
  <c r="I45" i="34"/>
  <c r="H45" i="34"/>
  <c r="G37" i="34"/>
  <c r="E63" i="40"/>
  <c r="F64" i="40"/>
  <c r="E58" i="40"/>
  <c r="F60" i="40"/>
  <c r="F66" i="40"/>
  <c r="K45" i="34"/>
  <c r="G45" i="3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WMI-USER</author>
  </authors>
  <commentList>
    <comment ref="K7" authorId="0" shapeId="0" xr:uid="{9BA4B739-04BA-45CB-803D-2572157BC7D8}">
      <text>
        <r>
          <rPr>
            <sz val="8"/>
            <color indexed="81"/>
            <rFont val="Tahoma"/>
            <family val="2"/>
          </rPr>
          <t xml:space="preserve">$0/ton….value pays for outbound freight.
</t>
        </r>
      </text>
    </comment>
  </commentList>
</comments>
</file>

<file path=xl/sharedStrings.xml><?xml version="1.0" encoding="utf-8"?>
<sst xmlns="http://schemas.openxmlformats.org/spreadsheetml/2006/main" count="899" uniqueCount="180">
  <si>
    <t>Tons</t>
  </si>
  <si>
    <t>UBC</t>
  </si>
  <si>
    <t>HDPE</t>
  </si>
  <si>
    <t>PET</t>
  </si>
  <si>
    <t>Glass</t>
  </si>
  <si>
    <t>January</t>
  </si>
  <si>
    <t>February</t>
  </si>
  <si>
    <t>Revenue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</si>
  <si>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</si>
  <si>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</si>
  <si>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</si>
  <si>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</si>
  <si>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</si>
  <si>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</si>
  <si>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</si>
  <si>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</si>
  <si>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</si>
  <si>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</si>
  <si>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WM - Brem-Air</t>
  </si>
  <si>
    <t>Residential</t>
  </si>
  <si>
    <t>Multi-family</t>
  </si>
  <si>
    <t>Weighted</t>
  </si>
  <si>
    <t>Total</t>
  </si>
  <si>
    <t>Res'l</t>
  </si>
  <si>
    <t>MF</t>
  </si>
  <si>
    <t>Average</t>
  </si>
  <si>
    <t>Revenue/</t>
  </si>
  <si>
    <t>Credit/</t>
  </si>
  <si>
    <t>Credits</t>
  </si>
  <si>
    <t>lbs./</t>
  </si>
  <si>
    <t>Customers</t>
  </si>
  <si>
    <t>Rate/ton</t>
  </si>
  <si>
    <t>Customer</t>
  </si>
  <si>
    <t>Billed</t>
  </si>
  <si>
    <t>Unit</t>
  </si>
  <si>
    <t>Oct</t>
  </si>
  <si>
    <t>Nov</t>
  </si>
  <si>
    <t>Dec</t>
  </si>
  <si>
    <t>Feb</t>
  </si>
  <si>
    <t>Mar</t>
  </si>
  <si>
    <t>Apr</t>
  </si>
  <si>
    <t>Jun</t>
  </si>
  <si>
    <t>Jul</t>
  </si>
  <si>
    <t>Aug</t>
  </si>
  <si>
    <t>Prior 12 Months</t>
  </si>
  <si>
    <t>Jan</t>
  </si>
  <si>
    <t>Baled</t>
  </si>
  <si>
    <t>Steel Cans</t>
  </si>
  <si>
    <t>Mixed</t>
  </si>
  <si>
    <t>MP</t>
  </si>
  <si>
    <t>OCC</t>
  </si>
  <si>
    <t>Aluminum</t>
  </si>
  <si>
    <t>Tin</t>
  </si>
  <si>
    <t>Natural</t>
  </si>
  <si>
    <t>Colored</t>
  </si>
  <si>
    <t>Plastics</t>
  </si>
  <si>
    <t>SS Mix:</t>
  </si>
  <si>
    <t>Price/ton:</t>
  </si>
  <si>
    <t>Sep</t>
  </si>
  <si>
    <t>SS Tons</t>
  </si>
  <si>
    <t>Revenue:</t>
  </si>
  <si>
    <t>Brem-Air commodity adjustment</t>
  </si>
  <si>
    <t>Based on previous UTC Staff analyses</t>
  </si>
  <si>
    <t>Commodity</t>
  </si>
  <si>
    <t>Credit</t>
  </si>
  <si>
    <t>Sep - Oct projected value without adjustment factor</t>
  </si>
  <si>
    <t>Nov - Aug projected value without adjustment factor</t>
  </si>
  <si>
    <t>Actual Commodity Revenue (gross revenue from affiliated processor)</t>
  </si>
  <si>
    <t>Owe Customer (company)</t>
  </si>
  <si>
    <t>Total Customers</t>
  </si>
  <si>
    <t>Commodity Adjustment</t>
  </si>
  <si>
    <t>Projected Value</t>
  </si>
  <si>
    <t>Residential Commodity Adjustment</t>
  </si>
  <si>
    <t>Multi-family Commodity Adjustment</t>
  </si>
  <si>
    <t>Brem-Air Disposal</t>
  </si>
  <si>
    <t>M/F</t>
  </si>
  <si>
    <t>Counts</t>
  </si>
  <si>
    <t>Units</t>
  </si>
  <si>
    <t>Average Count</t>
  </si>
  <si>
    <t>Projected Revenue Sep 2013-Aug 2014</t>
  </si>
  <si>
    <t>Month</t>
  </si>
  <si>
    <t>Passback Price/ton schedule</t>
  </si>
  <si>
    <t>ONP 6</t>
  </si>
  <si>
    <t>Mixed Paper</t>
  </si>
  <si>
    <t>Alum.</t>
  </si>
  <si>
    <t>Plastics 3-7</t>
  </si>
  <si>
    <t>Residue</t>
  </si>
  <si>
    <t>Summary of Single Stream Commodity Mix and Prices</t>
  </si>
  <si>
    <t>Residential Tonnage</t>
  </si>
  <si>
    <t>MF Tonnage</t>
  </si>
  <si>
    <t>WUTC</t>
  </si>
  <si>
    <t>Non -reg</t>
  </si>
  <si>
    <t>ONP</t>
  </si>
  <si>
    <t>%</t>
  </si>
  <si>
    <t>Reg.</t>
  </si>
  <si>
    <t>2014-2015</t>
  </si>
  <si>
    <t>Projected Revenue Sep 2014-Aug 2015</t>
  </si>
  <si>
    <t>2015-2016</t>
  </si>
  <si>
    <t>Newspaper</t>
  </si>
  <si>
    <t>Delivered</t>
  </si>
  <si>
    <t>Projected Revenue Sep 2015-Aug 2016</t>
  </si>
  <si>
    <t>Single</t>
  </si>
  <si>
    <t>Family</t>
  </si>
  <si>
    <t>Single Family</t>
  </si>
  <si>
    <t>Multi-Family</t>
  </si>
  <si>
    <t>Tonnage Delivered to JMK Recycling</t>
  </si>
  <si>
    <t>2016-2017</t>
  </si>
  <si>
    <t>Projected Revenue Sep 2016-Aug 2017</t>
  </si>
  <si>
    <t>2017-2018</t>
  </si>
  <si>
    <t>Projected Revenue Sep 2017-Aug 2018</t>
  </si>
  <si>
    <t>Weighted Average</t>
  </si>
  <si>
    <t>2018-2019</t>
  </si>
  <si>
    <t>Row Labels</t>
  </si>
  <si>
    <t>Rate</t>
  </si>
  <si>
    <t># of</t>
  </si>
  <si>
    <t>MF units</t>
  </si>
  <si>
    <t>Amounts</t>
  </si>
  <si>
    <t>45R</t>
  </si>
  <si>
    <t>BW1</t>
  </si>
  <si>
    <t>BW4</t>
  </si>
  <si>
    <t>BWM</t>
  </si>
  <si>
    <t>Projected Revenue Sep 2018-Aug 2019 (annualization of most recent six months)</t>
  </si>
  <si>
    <t>Billed Revenue</t>
  </si>
  <si>
    <t>Commodity Prices at JMK</t>
  </si>
  <si>
    <t>Calculation of the Number of MF Units</t>
  </si>
  <si>
    <t>Projected Revenue Sep 2018-Aug 2019</t>
  </si>
  <si>
    <t>Projected Revenue Sep 2019-Aug 2020 (annualization of most recent six months)</t>
  </si>
  <si>
    <t>Total Company</t>
  </si>
  <si>
    <t>Sold</t>
  </si>
  <si>
    <t>Sep; 2019</t>
  </si>
  <si>
    <t>Jan; 2020</t>
  </si>
  <si>
    <t>Bremerton</t>
  </si>
  <si>
    <t>Port</t>
  </si>
  <si>
    <t>Orchard</t>
  </si>
  <si>
    <t>Mix Paper</t>
  </si>
  <si>
    <t>HDPE Natl</t>
  </si>
  <si>
    <t>HDPE Col</t>
  </si>
  <si>
    <t>#3 - 7</t>
  </si>
  <si>
    <t>Tin Cans</t>
  </si>
  <si>
    <t>E</t>
  </si>
  <si>
    <t>G</t>
  </si>
  <si>
    <t>I</t>
  </si>
  <si>
    <t>K</t>
  </si>
  <si>
    <t>M</t>
  </si>
  <si>
    <t>O</t>
  </si>
  <si>
    <t>Q</t>
  </si>
  <si>
    <t>S</t>
  </si>
  <si>
    <t>U</t>
  </si>
  <si>
    <t>W</t>
  </si>
  <si>
    <t>Y</t>
  </si>
  <si>
    <t>2020-2021</t>
  </si>
  <si>
    <t>Residential Commodity Adjustment credit (charge)</t>
  </si>
  <si>
    <t>Multi-Family Commodity Adjustment credit (charge)</t>
  </si>
  <si>
    <t>Composition - CRC</t>
  </si>
  <si>
    <t>BW2</t>
  </si>
  <si>
    <t xml:space="preserve">Projected Revenue Sep 2021-Aug 2022 </t>
  </si>
  <si>
    <t>2021-2022</t>
  </si>
  <si>
    <t>Projected Revenue Sep 2020-Aug 2021</t>
  </si>
  <si>
    <t xml:space="preserve">Projected Revenue Sep 2020-Aug 2021 </t>
  </si>
  <si>
    <t>Estimated cost of customer notice letters</t>
  </si>
  <si>
    <t>Residential Commodity Adjustment - as including cost of customer notices</t>
  </si>
  <si>
    <t>Projected Revenue Sep 2019-Aug 2020</t>
  </si>
  <si>
    <t>2022-2023</t>
  </si>
  <si>
    <t>Projected Revenue Sep 2021-Aug 2022</t>
  </si>
  <si>
    <t>Tonnage Delivered to JMK Recycling - per Enspire</t>
  </si>
  <si>
    <t>WUTC Recycling Counts - per Enspire</t>
  </si>
  <si>
    <t xml:space="preserve">Projected Revenue Sep 2022-Aug 2023 </t>
  </si>
  <si>
    <t>2023-2024</t>
  </si>
  <si>
    <t>*Due to the closure of CRC from Nov 2022-Aug 2023, we are utilizing the composition from the previously approved commodity rebate filing from last year. This figures impact only the composition of recycling material.</t>
  </si>
  <si>
    <t>Projected Revenue Sep 2022-Aug 2023</t>
  </si>
  <si>
    <t>Projected Revenue Sep 2023-Aug 2024</t>
  </si>
  <si>
    <t>Sep; 2023</t>
  </si>
  <si>
    <t>Jan; 2024</t>
  </si>
  <si>
    <t>2024-2025</t>
  </si>
  <si>
    <t>2025-2026</t>
  </si>
  <si>
    <t>Sep., 2024</t>
  </si>
  <si>
    <t>Jan., 2025</t>
  </si>
  <si>
    <t>Sep; 2024</t>
  </si>
  <si>
    <t>Jan; 2025</t>
  </si>
  <si>
    <t>September 2024 -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</si>
</sst>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8">
    <numFmt numFmtId="8" formatCode="&quot;$&quot;#,##0.00_);[Red]\(&quot;$&quot;#,##0.00\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%"/>
    <numFmt numFmtId="167" formatCode="_(&quot;$&quot;* #,##0.0000_);_(&quot;$&quot;* \(#,##0.0000\);_(&quot;$&quot;* &quot;-&quot;??_);_(@_)"/>
  </numFmts>
  <fonts count="87" x14ac:knownFonts="1">
    <font>
      <sz val="10"/>
      <name val="Arial"/>
    </font>
    <font>
      <sz val="10"/>
      <name val="Arial"/>
      <family val="2"/>
    </font>
    <font>
      <b/>
      <sz val="12"/>
      <name val="Arial"/>
      <family val="2"/>
    </font>
    <font>
      <sz val="10"/>
      <color indexed="10"/>
      <name val="Arial"/>
      <family val="2"/>
    </font>
    <font>
      <sz val="8"/>
      <color indexed="81"/>
      <name val="Tahoma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  <font>
      <b/>
      <sz val="20"/>
      <name val="Arial"/>
      <family val="2"/>
    </font>
    <font>
      <b/>
      <sz val="11"/>
      <name val="Arial"/>
      <family val="2"/>
    </font>
    <font>
      <b/>
      <i/>
      <u/>
      <sz val="10"/>
      <name val="Arial"/>
      <family val="2"/>
    </font>
    <font>
      <u val="singleAccounting"/>
      <sz val="10"/>
      <name val="Arial"/>
      <family val="2"/>
    </font>
    <font>
      <b/>
      <u val="doubleAccounting"/>
      <sz val="10"/>
      <name val="Arial"/>
      <family val="2"/>
    </font>
    <font>
      <u val="doubleAccounting"/>
      <sz val="10"/>
      <name val="Arial"/>
      <family val="2"/>
    </font>
    <font>
      <sz val="12"/>
      <name val="Comic Sans MS"/>
      <family val="4"/>
    </font>
    <font>
      <b/>
      <sz val="11"/>
      <color indexed="10"/>
      <name val="Comic Sans MS"/>
      <family val="4"/>
    </font>
    <font>
      <b/>
      <sz val="16"/>
      <name val="Arial"/>
      <family val="2"/>
    </font>
    <font>
      <i/>
      <u/>
      <sz val="12"/>
      <name val="Comic Sans MS"/>
      <family val="4"/>
    </font>
    <font>
      <b/>
      <sz val="10"/>
      <name val="Comic Sans MS"/>
      <family val="4"/>
    </font>
    <font>
      <b/>
      <sz val="10"/>
      <color indexed="12"/>
      <name val="Arial"/>
      <family val="2"/>
    </font>
    <font>
      <sz val="9"/>
      <name val="Arial"/>
      <family val="2"/>
    </font>
    <font>
      <b/>
      <sz val="11"/>
      <name val="Comic Sans MS"/>
      <family val="4"/>
    </font>
    <font>
      <sz val="12"/>
      <name val="Arial"/>
      <family val="2"/>
    </font>
    <font>
      <u val="singleAccounting"/>
      <sz val="12"/>
      <name val="Arial"/>
      <family val="2"/>
    </font>
    <font>
      <b/>
      <u val="doubleAccounting"/>
      <sz val="12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i/>
      <u/>
      <sz val="12"/>
      <name val="Arial"/>
      <family val="2"/>
    </font>
    <font>
      <b/>
      <u val="double"/>
      <sz val="12"/>
      <name val="Arial"/>
      <family val="2"/>
    </font>
    <font>
      <u/>
      <sz val="10"/>
      <name val="Arial"/>
      <family val="2"/>
    </font>
    <font>
      <b/>
      <u val="double"/>
      <sz val="10"/>
      <name val="Arial"/>
      <family val="2"/>
    </font>
    <font>
      <b/>
      <sz val="9"/>
      <name val="Arial"/>
      <family val="2"/>
    </font>
    <font>
      <b/>
      <u val="doubleAccounting"/>
      <sz val="11"/>
      <name val="Comic Sans MS"/>
      <family val="4"/>
    </font>
    <font>
      <sz val="8"/>
      <name val="Arial"/>
      <family val="2"/>
    </font>
    <font>
      <sz val="11"/>
      <color indexed="8"/>
      <name val="Calibri"/>
      <family val="2"/>
    </font>
    <font>
      <sz val="8"/>
      <color indexed="56"/>
      <name val="Arial"/>
      <family val="2"/>
    </font>
    <font>
      <sz val="10"/>
      <name val="MS Sans Serif"/>
      <family val="2"/>
    </font>
    <font>
      <b/>
      <sz val="10"/>
      <name val="MS Sans Serif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sz val="10"/>
      <color theme="0"/>
      <name val="Times New Roman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rgb="FF9C0006"/>
      <name val="Times New Roman"/>
      <family val="2"/>
    </font>
    <font>
      <b/>
      <sz val="11"/>
      <color rgb="FFFA7D00"/>
      <name val="Calibri"/>
      <family val="2"/>
      <scheme val="minor"/>
    </font>
    <font>
      <b/>
      <sz val="10"/>
      <color rgb="FFFA7D00"/>
      <name val="Times New Roman"/>
      <family val="2"/>
    </font>
    <font>
      <b/>
      <sz val="11"/>
      <color theme="0"/>
      <name val="Calibri"/>
      <family val="2"/>
      <scheme val="minor"/>
    </font>
    <font>
      <b/>
      <sz val="10"/>
      <color theme="0"/>
      <name val="Times New Roman"/>
      <family val="2"/>
    </font>
    <font>
      <i/>
      <sz val="11"/>
      <color rgb="FF7F7F7F"/>
      <name val="Calibri"/>
      <family val="2"/>
      <scheme val="minor"/>
    </font>
    <font>
      <i/>
      <sz val="10"/>
      <color rgb="FF7F7F7F"/>
      <name val="Times New Roman"/>
      <family val="2"/>
    </font>
    <font>
      <sz val="11"/>
      <color rgb="FF006100"/>
      <name val="Calibri"/>
      <family val="2"/>
      <scheme val="minor"/>
    </font>
    <font>
      <sz val="10"/>
      <color rgb="FF006100"/>
      <name val="Times New Roman"/>
      <family val="2"/>
    </font>
    <font>
      <b/>
      <sz val="15"/>
      <color theme="3"/>
      <name val="Calibri"/>
      <family val="2"/>
      <scheme val="minor"/>
    </font>
    <font>
      <b/>
      <sz val="15"/>
      <color theme="3"/>
      <name val="Times New Roman"/>
      <family val="2"/>
    </font>
    <font>
      <b/>
      <sz val="13"/>
      <color theme="3"/>
      <name val="Calibri"/>
      <family val="2"/>
      <scheme val="minor"/>
    </font>
    <font>
      <b/>
      <sz val="13"/>
      <color theme="3"/>
      <name val="Times New Roman"/>
      <family val="2"/>
    </font>
    <font>
      <b/>
      <sz val="11"/>
      <color theme="3"/>
      <name val="Calibri"/>
      <family val="2"/>
      <scheme val="minor"/>
    </font>
    <font>
      <b/>
      <sz val="11"/>
      <color theme="3"/>
      <name val="Times New Roman"/>
      <family val="2"/>
    </font>
    <font>
      <sz val="11"/>
      <color rgb="FF3F3F76"/>
      <name val="Calibri"/>
      <family val="2"/>
      <scheme val="minor"/>
    </font>
    <font>
      <sz val="10"/>
      <color rgb="FF3F3F76"/>
      <name val="Times New Roman"/>
      <family val="2"/>
    </font>
    <font>
      <sz val="11"/>
      <color rgb="FFFA7D00"/>
      <name val="Calibri"/>
      <family val="2"/>
      <scheme val="minor"/>
    </font>
    <font>
      <sz val="10"/>
      <color rgb="FFFA7D00"/>
      <name val="Times New Roman"/>
      <family val="2"/>
    </font>
    <font>
      <sz val="11"/>
      <color rgb="FF9C5700"/>
      <name val="Calibri"/>
      <family val="2"/>
      <scheme val="minor"/>
    </font>
    <font>
      <sz val="10"/>
      <color rgb="FF9C6500"/>
      <name val="Times New Roman"/>
      <family val="2"/>
    </font>
    <font>
      <sz val="11"/>
      <color rgb="FF9C65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0"/>
      <color rgb="FF3F3F3F"/>
      <name val="Times New Roman"/>
      <family val="2"/>
    </font>
    <font>
      <sz val="18"/>
      <color theme="3"/>
      <name val="Cambria"/>
      <family val="2"/>
      <scheme val="major"/>
    </font>
    <font>
      <b/>
      <sz val="18"/>
      <color theme="3"/>
      <name val="Cambria"/>
      <family val="2"/>
      <scheme val="major"/>
    </font>
    <font>
      <b/>
      <sz val="10"/>
      <color theme="1"/>
      <name val="Times New Roman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rgb="FFFF0000"/>
      <name val="Times New Roman"/>
      <family val="2"/>
    </font>
    <font>
      <b/>
      <sz val="9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u val="doubleAccounting"/>
      <sz val="10"/>
      <color theme="1"/>
      <name val="Arial"/>
      <family val="2"/>
    </font>
    <font>
      <b/>
      <sz val="16"/>
      <color theme="1"/>
      <name val="Arial"/>
      <family val="2"/>
    </font>
    <font>
      <sz val="9"/>
      <color rgb="FFFF0000"/>
      <name val="Arial"/>
      <family val="2"/>
    </font>
    <font>
      <b/>
      <u val="singleAccounting"/>
      <sz val="12"/>
      <color theme="1"/>
      <name val="Arial"/>
      <family val="2"/>
    </font>
    <font>
      <sz val="10"/>
      <color rgb="FFFF0000"/>
      <name val="Arial"/>
      <family val="2"/>
    </font>
    <font>
      <u val="singleAccounting"/>
      <sz val="9"/>
      <color rgb="FFFF0000"/>
      <name val="Arial"/>
      <family val="2"/>
    </font>
    <font>
      <sz val="12"/>
      <color rgb="FFFF000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mediumGray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44">
    <xf numFmtId="0" fontId="0" fillId="0" borderId="0"/>
    <xf numFmtId="0" fontId="41" fillId="6" borderId="0" applyNumberFormat="0" applyBorder="0" applyAlignment="0" applyProtection="0"/>
    <xf numFmtId="0" fontId="42" fillId="6" borderId="0" applyNumberFormat="0" applyBorder="0" applyAlignment="0" applyProtection="0"/>
    <xf numFmtId="0" fontId="41" fillId="7" borderId="0" applyNumberFormat="0" applyBorder="0" applyAlignment="0" applyProtection="0"/>
    <xf numFmtId="0" fontId="42" fillId="7" borderId="0" applyNumberFormat="0" applyBorder="0" applyAlignment="0" applyProtection="0"/>
    <xf numFmtId="0" fontId="41" fillId="8" borderId="0" applyNumberFormat="0" applyBorder="0" applyAlignment="0" applyProtection="0"/>
    <xf numFmtId="0" fontId="42" fillId="8" borderId="0" applyNumberFormat="0" applyBorder="0" applyAlignment="0" applyProtection="0"/>
    <xf numFmtId="0" fontId="41" fillId="9" borderId="0" applyNumberFormat="0" applyBorder="0" applyAlignment="0" applyProtection="0"/>
    <xf numFmtId="0" fontId="42" fillId="9" borderId="0" applyNumberFormat="0" applyBorder="0" applyAlignment="0" applyProtection="0"/>
    <xf numFmtId="0" fontId="41" fillId="10" borderId="0" applyNumberFormat="0" applyBorder="0" applyAlignment="0" applyProtection="0"/>
    <xf numFmtId="0" fontId="42" fillId="10" borderId="0" applyNumberFormat="0" applyBorder="0" applyAlignment="0" applyProtection="0"/>
    <xf numFmtId="0" fontId="41" fillId="11" borderId="0" applyNumberFormat="0" applyBorder="0" applyAlignment="0" applyProtection="0"/>
    <xf numFmtId="0" fontId="42" fillId="11" borderId="0" applyNumberFormat="0" applyBorder="0" applyAlignment="0" applyProtection="0"/>
    <xf numFmtId="0" fontId="41" fillId="12" borderId="0" applyNumberFormat="0" applyBorder="0" applyAlignment="0" applyProtection="0"/>
    <xf numFmtId="0" fontId="42" fillId="12" borderId="0" applyNumberFormat="0" applyBorder="0" applyAlignment="0" applyProtection="0"/>
    <xf numFmtId="0" fontId="41" fillId="13" borderId="0" applyNumberFormat="0" applyBorder="0" applyAlignment="0" applyProtection="0"/>
    <xf numFmtId="0" fontId="42" fillId="13" borderId="0" applyNumberFormat="0" applyBorder="0" applyAlignment="0" applyProtection="0"/>
    <xf numFmtId="0" fontId="41" fillId="14" borderId="0" applyNumberFormat="0" applyBorder="0" applyAlignment="0" applyProtection="0"/>
    <xf numFmtId="0" fontId="42" fillId="14" borderId="0" applyNumberFormat="0" applyBorder="0" applyAlignment="0" applyProtection="0"/>
    <xf numFmtId="0" fontId="41" fillId="15" borderId="0" applyNumberFormat="0" applyBorder="0" applyAlignment="0" applyProtection="0"/>
    <xf numFmtId="0" fontId="42" fillId="15" borderId="0" applyNumberFormat="0" applyBorder="0" applyAlignment="0" applyProtection="0"/>
    <xf numFmtId="0" fontId="41" fillId="16" borderId="0" applyNumberFormat="0" applyBorder="0" applyAlignment="0" applyProtection="0"/>
    <xf numFmtId="0" fontId="42" fillId="16" borderId="0" applyNumberFormat="0" applyBorder="0" applyAlignment="0" applyProtection="0"/>
    <xf numFmtId="0" fontId="41" fillId="17" borderId="0" applyNumberFormat="0" applyBorder="0" applyAlignment="0" applyProtection="0"/>
    <xf numFmtId="0" fontId="42" fillId="17" borderId="0" applyNumberFormat="0" applyBorder="0" applyAlignment="0" applyProtection="0"/>
    <xf numFmtId="0" fontId="43" fillId="18" borderId="0" applyNumberFormat="0" applyBorder="0" applyAlignment="0" applyProtection="0"/>
    <xf numFmtId="0" fontId="41" fillId="18" borderId="0" applyNumberFormat="0" applyBorder="0" applyAlignment="0" applyProtection="0"/>
    <xf numFmtId="0" fontId="41" fillId="18" borderId="0" applyNumberFormat="0" applyBorder="0" applyAlignment="0" applyProtection="0"/>
    <xf numFmtId="0" fontId="44" fillId="18" borderId="0" applyNumberFormat="0" applyBorder="0" applyAlignment="0" applyProtection="0"/>
    <xf numFmtId="0" fontId="43" fillId="19" borderId="0" applyNumberFormat="0" applyBorder="0" applyAlignment="0" applyProtection="0"/>
    <xf numFmtId="0" fontId="41" fillId="19" borderId="0" applyNumberFormat="0" applyBorder="0" applyAlignment="0" applyProtection="0"/>
    <xf numFmtId="0" fontId="41" fillId="19" borderId="0" applyNumberFormat="0" applyBorder="0" applyAlignment="0" applyProtection="0"/>
    <xf numFmtId="0" fontId="44" fillId="19" borderId="0" applyNumberFormat="0" applyBorder="0" applyAlignment="0" applyProtection="0"/>
    <xf numFmtId="0" fontId="43" fillId="20" borderId="0" applyNumberFormat="0" applyBorder="0" applyAlignment="0" applyProtection="0"/>
    <xf numFmtId="0" fontId="41" fillId="20" borderId="0" applyNumberFormat="0" applyBorder="0" applyAlignment="0" applyProtection="0"/>
    <xf numFmtId="0" fontId="41" fillId="20" borderId="0" applyNumberFormat="0" applyBorder="0" applyAlignment="0" applyProtection="0"/>
    <xf numFmtId="0" fontId="44" fillId="20" borderId="0" applyNumberFormat="0" applyBorder="0" applyAlignment="0" applyProtection="0"/>
    <xf numFmtId="0" fontId="43" fillId="21" borderId="0" applyNumberFormat="0" applyBorder="0" applyAlignment="0" applyProtection="0"/>
    <xf numFmtId="0" fontId="41" fillId="21" borderId="0" applyNumberFormat="0" applyBorder="0" applyAlignment="0" applyProtection="0"/>
    <xf numFmtId="0" fontId="41" fillId="21" borderId="0" applyNumberFormat="0" applyBorder="0" applyAlignment="0" applyProtection="0"/>
    <xf numFmtId="0" fontId="44" fillId="21" borderId="0" applyNumberFormat="0" applyBorder="0" applyAlignment="0" applyProtection="0"/>
    <xf numFmtId="0" fontId="43" fillId="22" borderId="0" applyNumberFormat="0" applyBorder="0" applyAlignment="0" applyProtection="0"/>
    <xf numFmtId="0" fontId="41" fillId="22" borderId="0" applyNumberFormat="0" applyBorder="0" applyAlignment="0" applyProtection="0"/>
    <xf numFmtId="0" fontId="41" fillId="22" borderId="0" applyNumberFormat="0" applyBorder="0" applyAlignment="0" applyProtection="0"/>
    <xf numFmtId="0" fontId="44" fillId="22" borderId="0" applyNumberFormat="0" applyBorder="0" applyAlignment="0" applyProtection="0"/>
    <xf numFmtId="0" fontId="43" fillId="23" borderId="0" applyNumberFormat="0" applyBorder="0" applyAlignment="0" applyProtection="0"/>
    <xf numFmtId="0" fontId="41" fillId="23" borderId="0" applyNumberFormat="0" applyBorder="0" applyAlignment="0" applyProtection="0"/>
    <xf numFmtId="0" fontId="41" fillId="23" borderId="0" applyNumberFormat="0" applyBorder="0" applyAlignment="0" applyProtection="0"/>
    <xf numFmtId="0" fontId="44" fillId="23" borderId="0" applyNumberFormat="0" applyBorder="0" applyAlignment="0" applyProtection="0"/>
    <xf numFmtId="0" fontId="44" fillId="24" borderId="0" applyNumberFormat="0" applyBorder="0" applyAlignment="0" applyProtection="0"/>
    <xf numFmtId="0" fontId="43" fillId="24" borderId="0" applyNumberFormat="0" applyBorder="0" applyAlignment="0" applyProtection="0"/>
    <xf numFmtId="0" fontId="44" fillId="25" borderId="0" applyNumberFormat="0" applyBorder="0" applyAlignment="0" applyProtection="0"/>
    <xf numFmtId="0" fontId="43" fillId="25" borderId="0" applyNumberFormat="0" applyBorder="0" applyAlignment="0" applyProtection="0"/>
    <xf numFmtId="0" fontId="44" fillId="26" borderId="0" applyNumberFormat="0" applyBorder="0" applyAlignment="0" applyProtection="0"/>
    <xf numFmtId="0" fontId="43" fillId="26" borderId="0" applyNumberFormat="0" applyBorder="0" applyAlignment="0" applyProtection="0"/>
    <xf numFmtId="0" fontId="44" fillId="27" borderId="0" applyNumberFormat="0" applyBorder="0" applyAlignment="0" applyProtection="0"/>
    <xf numFmtId="0" fontId="43" fillId="27" borderId="0" applyNumberFormat="0" applyBorder="0" applyAlignment="0" applyProtection="0"/>
    <xf numFmtId="0" fontId="44" fillId="28" borderId="0" applyNumberFormat="0" applyBorder="0" applyAlignment="0" applyProtection="0"/>
    <xf numFmtId="0" fontId="43" fillId="28" borderId="0" applyNumberFormat="0" applyBorder="0" applyAlignment="0" applyProtection="0"/>
    <xf numFmtId="0" fontId="44" fillId="29" borderId="0" applyNumberFormat="0" applyBorder="0" applyAlignment="0" applyProtection="0"/>
    <xf numFmtId="0" fontId="43" fillId="29" borderId="0" applyNumberFormat="0" applyBorder="0" applyAlignment="0" applyProtection="0"/>
    <xf numFmtId="0" fontId="45" fillId="30" borderId="0" applyNumberFormat="0" applyBorder="0" applyAlignment="0" applyProtection="0"/>
    <xf numFmtId="0" fontId="46" fillId="30" borderId="0" applyNumberFormat="0" applyBorder="0" applyAlignment="0" applyProtection="0"/>
    <xf numFmtId="0" fontId="47" fillId="31" borderId="16" applyNumberFormat="0" applyAlignment="0" applyProtection="0"/>
    <xf numFmtId="0" fontId="48" fillId="31" borderId="16" applyNumberFormat="0" applyAlignment="0" applyProtection="0"/>
    <xf numFmtId="0" fontId="49" fillId="32" borderId="17" applyNumberFormat="0" applyAlignment="0" applyProtection="0"/>
    <xf numFmtId="0" fontId="50" fillId="32" borderId="17" applyNumberFormat="0" applyAlignment="0" applyProtection="0"/>
    <xf numFmtId="43" fontId="8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42" fillId="0" borderId="0" applyFont="0" applyFill="0" applyBorder="0" applyAlignment="0" applyProtection="0"/>
    <xf numFmtId="43" fontId="41" fillId="0" borderId="0" applyFont="0" applyFill="0" applyBorder="0" applyAlignment="0" applyProtection="0"/>
    <xf numFmtId="44" fontId="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41" fillId="0" borderId="0" applyFont="0" applyFill="0" applyBorder="0" applyAlignment="0" applyProtection="0"/>
    <xf numFmtId="44" fontId="35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41" fillId="0" borderId="0" applyFont="0" applyFill="0" applyBorder="0" applyAlignment="0" applyProtection="0"/>
    <xf numFmtId="0" fontId="51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53" fillId="33" borderId="0" applyNumberFormat="0" applyBorder="0" applyAlignment="0" applyProtection="0"/>
    <xf numFmtId="0" fontId="54" fillId="33" borderId="0" applyNumberFormat="0" applyBorder="0" applyAlignment="0" applyProtection="0"/>
    <xf numFmtId="0" fontId="55" fillId="0" borderId="18" applyNumberFormat="0" applyFill="0" applyAlignment="0" applyProtection="0"/>
    <xf numFmtId="0" fontId="56" fillId="0" borderId="18" applyNumberFormat="0" applyFill="0" applyAlignment="0" applyProtection="0"/>
    <xf numFmtId="0" fontId="57" fillId="0" borderId="19" applyNumberFormat="0" applyFill="0" applyAlignment="0" applyProtection="0"/>
    <xf numFmtId="0" fontId="58" fillId="0" borderId="19" applyNumberFormat="0" applyFill="0" applyAlignment="0" applyProtection="0"/>
    <xf numFmtId="0" fontId="59" fillId="0" borderId="20" applyNumberFormat="0" applyFill="0" applyAlignment="0" applyProtection="0"/>
    <xf numFmtId="0" fontId="60" fillId="0" borderId="20" applyNumberFormat="0" applyFill="0" applyAlignment="0" applyProtection="0"/>
    <xf numFmtId="0" fontId="59" fillId="0" borderId="0" applyNumberFormat="0" applyFill="0" applyBorder="0" applyAlignment="0" applyProtection="0"/>
    <xf numFmtId="0" fontId="60" fillId="0" borderId="0" applyNumberFormat="0" applyFill="0" applyBorder="0" applyAlignment="0" applyProtection="0"/>
    <xf numFmtId="0" fontId="61" fillId="34" borderId="16" applyNumberFormat="0" applyAlignment="0" applyProtection="0"/>
    <xf numFmtId="0" fontId="62" fillId="34" borderId="16" applyNumberFormat="0" applyAlignment="0" applyProtection="0"/>
    <xf numFmtId="0" fontId="34" fillId="2" borderId="0"/>
    <xf numFmtId="0" fontId="63" fillId="0" borderId="21" applyNumberFormat="0" applyFill="0" applyAlignment="0" applyProtection="0"/>
    <xf numFmtId="0" fontId="64" fillId="0" borderId="21" applyNumberFormat="0" applyFill="0" applyAlignment="0" applyProtection="0"/>
    <xf numFmtId="0" fontId="66" fillId="35" borderId="0" applyNumberFormat="0" applyBorder="0" applyAlignment="0" applyProtection="0"/>
    <xf numFmtId="0" fontId="65" fillId="35" borderId="0" applyNumberFormat="0" applyBorder="0" applyAlignment="0" applyProtection="0"/>
    <xf numFmtId="0" fontId="65" fillId="35" borderId="0" applyNumberFormat="0" applyBorder="0" applyAlignment="0" applyProtection="0"/>
    <xf numFmtId="0" fontId="67" fillId="35" borderId="0" applyNumberFormat="0" applyBorder="0" applyAlignment="0" applyProtection="0"/>
    <xf numFmtId="0" fontId="41" fillId="0" borderId="0"/>
    <xf numFmtId="0" fontId="41" fillId="0" borderId="0"/>
    <xf numFmtId="0" fontId="42" fillId="0" borderId="0"/>
    <xf numFmtId="0" fontId="68" fillId="0" borderId="0"/>
    <xf numFmtId="0" fontId="1" fillId="0" borderId="0"/>
    <xf numFmtId="0" fontId="1" fillId="0" borderId="0"/>
    <xf numFmtId="0" fontId="41" fillId="0" borderId="0"/>
    <xf numFmtId="0" fontId="41" fillId="0" borderId="0"/>
    <xf numFmtId="0" fontId="41" fillId="0" borderId="0"/>
    <xf numFmtId="0" fontId="1" fillId="0" borderId="0"/>
    <xf numFmtId="0" fontId="1" fillId="0" borderId="0"/>
    <xf numFmtId="0" fontId="42" fillId="0" borderId="0"/>
    <xf numFmtId="0" fontId="42" fillId="36" borderId="22" applyNumberFormat="0" applyFont="0" applyAlignment="0" applyProtection="0"/>
    <xf numFmtId="0" fontId="41" fillId="36" borderId="22" applyNumberFormat="0" applyFont="0" applyAlignment="0" applyProtection="0"/>
    <xf numFmtId="0" fontId="69" fillId="31" borderId="23" applyNumberFormat="0" applyAlignment="0" applyProtection="0"/>
    <xf numFmtId="0" fontId="70" fillId="31" borderId="23" applyNumberFormat="0" applyAlignment="0" applyProtection="0"/>
    <xf numFmtId="9" fontId="27" fillId="0" borderId="0" applyFont="0" applyFill="0" applyBorder="0" applyAlignment="0" applyProtection="0"/>
    <xf numFmtId="9" fontId="4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41" fillId="0" borderId="0" applyFont="0" applyFill="0" applyBorder="0" applyAlignment="0" applyProtection="0"/>
    <xf numFmtId="38" fontId="36" fillId="0" borderId="0" applyNumberFormat="0" applyFont="0" applyFill="0" applyBorder="0">
      <alignment horizontal="left" indent="4"/>
      <protection locked="0"/>
    </xf>
    <xf numFmtId="0" fontId="37" fillId="0" borderId="0" applyNumberFormat="0" applyFont="0" applyFill="0" applyBorder="0" applyAlignment="0" applyProtection="0">
      <alignment horizontal="left"/>
    </xf>
    <xf numFmtId="15" fontId="37" fillId="0" borderId="0" applyFont="0" applyFill="0" applyBorder="0" applyAlignment="0" applyProtection="0"/>
    <xf numFmtId="4" fontId="37" fillId="0" borderId="0" applyFont="0" applyFill="0" applyBorder="0" applyAlignment="0" applyProtection="0"/>
    <xf numFmtId="0" fontId="38" fillId="0" borderId="1">
      <alignment horizontal="center"/>
    </xf>
    <xf numFmtId="3" fontId="37" fillId="0" borderId="0" applyFont="0" applyFill="0" applyBorder="0" applyAlignment="0" applyProtection="0"/>
    <xf numFmtId="0" fontId="37" fillId="3" borderId="0" applyNumberFormat="0" applyFont="0" applyBorder="0" applyAlignment="0" applyProtection="0"/>
    <xf numFmtId="0" fontId="71" fillId="0" borderId="0" applyNumberFormat="0" applyFill="0" applyBorder="0" applyAlignment="0" applyProtection="0"/>
    <xf numFmtId="0" fontId="72" fillId="0" borderId="0" applyNumberFormat="0" applyFill="0" applyBorder="0" applyAlignment="0" applyProtection="0"/>
    <xf numFmtId="0" fontId="1" fillId="0" borderId="2" applyNumberFormat="0" applyFill="0" applyAlignment="0" applyProtection="0"/>
    <xf numFmtId="0" fontId="73" fillId="0" borderId="24" applyNumberFormat="0" applyFill="0" applyAlignment="0" applyProtection="0"/>
    <xf numFmtId="0" fontId="74" fillId="0" borderId="24" applyNumberFormat="0" applyFill="0" applyAlignment="0" applyProtection="0"/>
    <xf numFmtId="0" fontId="7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164" fontId="23" fillId="4" borderId="0" applyFont="0" applyFill="0" applyBorder="0" applyAlignment="0" applyProtection="0">
      <alignment wrapText="1"/>
    </xf>
  </cellStyleXfs>
  <cellXfs count="693">
    <xf numFmtId="0" fontId="0" fillId="0" borderId="0" xfId="0"/>
    <xf numFmtId="0" fontId="2" fillId="0" borderId="0" xfId="0" applyFont="1"/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0" xfId="0" applyFont="1"/>
    <xf numFmtId="0" fontId="7" fillId="0" borderId="0" xfId="0" applyFont="1"/>
    <xf numFmtId="0" fontId="5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6" fillId="0" borderId="0" xfId="0" applyFont="1" applyAlignment="1" applyProtection="1">
      <alignment horizontal="center"/>
    </xf>
    <xf numFmtId="0" fontId="11" fillId="0" borderId="0" xfId="0" applyFont="1" applyProtection="1"/>
    <xf numFmtId="0" fontId="1" fillId="0" borderId="0" xfId="0" applyFont="1" applyProtection="1"/>
    <xf numFmtId="164" fontId="1" fillId="0" borderId="0" xfId="67" applyNumberFormat="1" applyFont="1"/>
    <xf numFmtId="43" fontId="0" fillId="0" borderId="0" xfId="0" applyNumberFormat="1"/>
    <xf numFmtId="44" fontId="0" fillId="0" borderId="0" xfId="75" applyFont="1"/>
    <xf numFmtId="165" fontId="1" fillId="0" borderId="0" xfId="75" applyNumberFormat="1" applyFont="1" applyBorder="1" applyAlignment="1" applyProtection="1">
      <alignment horizontal="center"/>
    </xf>
    <xf numFmtId="165" fontId="0" fillId="0" borderId="0" xfId="75" applyNumberFormat="1" applyFont="1"/>
    <xf numFmtId="43" fontId="0" fillId="0" borderId="0" xfId="67" applyFont="1"/>
    <xf numFmtId="44" fontId="1" fillId="0" borderId="0" xfId="75" applyFont="1"/>
    <xf numFmtId="164" fontId="12" fillId="0" borderId="0" xfId="67" applyNumberFormat="1" applyFont="1"/>
    <xf numFmtId="43" fontId="12" fillId="0" borderId="0" xfId="0" applyNumberFormat="1" applyFont="1"/>
    <xf numFmtId="44" fontId="12" fillId="0" borderId="0" xfId="75" applyFont="1"/>
    <xf numFmtId="165" fontId="12" fillId="0" borderId="0" xfId="75" applyNumberFormat="1" applyFont="1" applyBorder="1" applyAlignment="1" applyProtection="1">
      <alignment horizontal="center"/>
    </xf>
    <xf numFmtId="165" fontId="12" fillId="0" borderId="0" xfId="75" applyNumberFormat="1" applyFont="1"/>
    <xf numFmtId="43" fontId="12" fillId="0" borderId="0" xfId="67" applyFont="1"/>
    <xf numFmtId="0" fontId="12" fillId="0" borderId="0" xfId="0" applyFont="1"/>
    <xf numFmtId="164" fontId="13" fillId="0" borderId="0" xfId="0" applyNumberFormat="1" applyFont="1"/>
    <xf numFmtId="43" fontId="13" fillId="0" borderId="0" xfId="0" applyNumberFormat="1" applyFont="1"/>
    <xf numFmtId="44" fontId="13" fillId="0" borderId="0" xfId="0" applyNumberFormat="1" applyFont="1" applyProtection="1"/>
    <xf numFmtId="165" fontId="13" fillId="0" borderId="0" xfId="75" applyNumberFormat="1" applyFont="1" applyProtection="1"/>
    <xf numFmtId="44" fontId="13" fillId="0" borderId="0" xfId="75" applyFont="1"/>
    <xf numFmtId="0" fontId="14" fillId="0" borderId="0" xfId="0" applyFont="1"/>
    <xf numFmtId="43" fontId="13" fillId="0" borderId="0" xfId="67" applyFont="1"/>
    <xf numFmtId="0" fontId="13" fillId="0" borderId="0" xfId="0" applyFont="1"/>
    <xf numFmtId="44" fontId="0" fillId="0" borderId="0" xfId="0" applyNumberFormat="1"/>
    <xf numFmtId="165" fontId="13" fillId="0" borderId="0" xfId="0" applyNumberFormat="1" applyFont="1"/>
    <xf numFmtId="0" fontId="1" fillId="0" borderId="0" xfId="108"/>
    <xf numFmtId="0" fontId="5" fillId="0" borderId="0" xfId="108" applyFont="1" applyAlignment="1">
      <alignment horizontal="center"/>
    </xf>
    <xf numFmtId="0" fontId="6" fillId="0" borderId="0" xfId="108" applyFont="1" applyAlignment="1">
      <alignment horizontal="center"/>
    </xf>
    <xf numFmtId="10" fontId="0" fillId="0" borderId="0" xfId="0" applyNumberFormat="1"/>
    <xf numFmtId="0" fontId="23" fillId="0" borderId="0" xfId="0" applyFont="1"/>
    <xf numFmtId="0" fontId="23" fillId="0" borderId="0" xfId="0" applyFont="1" applyAlignment="1">
      <alignment horizontal="center"/>
    </xf>
    <xf numFmtId="164" fontId="23" fillId="0" borderId="0" xfId="67" applyNumberFormat="1" applyFont="1"/>
    <xf numFmtId="164" fontId="24" fillId="0" borderId="0" xfId="67" applyNumberFormat="1" applyFont="1"/>
    <xf numFmtId="164" fontId="25" fillId="0" borderId="0" xfId="0" applyNumberFormat="1" applyFont="1"/>
    <xf numFmtId="0" fontId="25" fillId="0" borderId="0" xfId="0" applyFont="1"/>
    <xf numFmtId="0" fontId="26" fillId="0" borderId="0" xfId="0" applyFont="1" applyAlignment="1">
      <alignment horizontal="center"/>
    </xf>
    <xf numFmtId="0" fontId="5" fillId="5" borderId="3" xfId="0" applyFont="1" applyFill="1" applyBorder="1"/>
    <xf numFmtId="0" fontId="0" fillId="5" borderId="3" xfId="0" applyFill="1" applyBorder="1"/>
    <xf numFmtId="0" fontId="5" fillId="5" borderId="3" xfId="0" applyFont="1" applyFill="1" applyBorder="1" applyAlignment="1">
      <alignment horizontal="center"/>
    </xf>
    <xf numFmtId="0" fontId="0" fillId="0" borderId="3" xfId="0" applyBorder="1"/>
    <xf numFmtId="0" fontId="5" fillId="5" borderId="3" xfId="0" applyFont="1" applyFill="1" applyBorder="1" applyAlignment="1" applyProtection="1">
      <alignment horizontal="center"/>
    </xf>
    <xf numFmtId="0" fontId="0" fillId="0" borderId="3" xfId="0" applyFill="1" applyBorder="1"/>
    <xf numFmtId="0" fontId="3" fillId="0" borderId="3" xfId="0" applyFont="1" applyFill="1" applyBorder="1"/>
    <xf numFmtId="10" fontId="0" fillId="0" borderId="0" xfId="120" applyNumberFormat="1" applyFont="1"/>
    <xf numFmtId="0" fontId="6" fillId="0" borderId="0" xfId="108" applyFont="1" applyFill="1" applyAlignment="1">
      <alignment horizontal="center"/>
    </xf>
    <xf numFmtId="10" fontId="1" fillId="0" borderId="0" xfId="120" applyNumberFormat="1" applyFont="1" applyAlignment="1">
      <alignment horizontal="right"/>
    </xf>
    <xf numFmtId="10" fontId="1" fillId="0" borderId="0" xfId="108" applyNumberFormat="1" applyFont="1" applyAlignment="1">
      <alignment horizontal="right"/>
    </xf>
    <xf numFmtId="10" fontId="1" fillId="0" borderId="0" xfId="120" applyNumberFormat="1" applyFont="1"/>
    <xf numFmtId="44" fontId="5" fillId="0" borderId="3" xfId="0" applyNumberFormat="1" applyFont="1" applyBorder="1"/>
    <xf numFmtId="0" fontId="11" fillId="0" borderId="0" xfId="0" applyFont="1" applyAlignment="1">
      <alignment horizontal="left"/>
    </xf>
    <xf numFmtId="0" fontId="28" fillId="0" borderId="0" xfId="0" applyFont="1" applyAlignment="1">
      <alignment horizontal="left"/>
    </xf>
    <xf numFmtId="44" fontId="1" fillId="0" borderId="0" xfId="0" applyNumberFormat="1" applyFont="1"/>
    <xf numFmtId="2" fontId="0" fillId="0" borderId="0" xfId="0" applyNumberFormat="1"/>
    <xf numFmtId="9" fontId="0" fillId="0" borderId="0" xfId="120" applyFont="1"/>
    <xf numFmtId="10" fontId="1" fillId="0" borderId="0" xfId="0" applyNumberFormat="1" applyFont="1"/>
    <xf numFmtId="2" fontId="30" fillId="0" borderId="0" xfId="0" applyNumberFormat="1" applyFont="1"/>
    <xf numFmtId="0" fontId="15" fillId="37" borderId="4" xfId="0" applyFont="1" applyFill="1" applyBorder="1"/>
    <xf numFmtId="0" fontId="15" fillId="37" borderId="5" xfId="0" applyFont="1" applyFill="1" applyBorder="1"/>
    <xf numFmtId="0" fontId="0" fillId="37" borderId="5" xfId="0" applyFill="1" applyBorder="1"/>
    <xf numFmtId="0" fontId="5" fillId="37" borderId="6" xfId="0" applyFont="1" applyFill="1" applyBorder="1"/>
    <xf numFmtId="0" fontId="5" fillId="37" borderId="0" xfId="0" applyFont="1" applyFill="1" applyBorder="1"/>
    <xf numFmtId="0" fontId="16" fillId="37" borderId="0" xfId="0" applyFont="1" applyFill="1" applyBorder="1"/>
    <xf numFmtId="0" fontId="0" fillId="37" borderId="0" xfId="0" applyFill="1" applyBorder="1"/>
    <xf numFmtId="15" fontId="5" fillId="37" borderId="6" xfId="0" applyNumberFormat="1" applyFont="1" applyFill="1" applyBorder="1"/>
    <xf numFmtId="15" fontId="5" fillId="37" borderId="0" xfId="0" applyNumberFormat="1" applyFont="1" applyFill="1" applyBorder="1"/>
    <xf numFmtId="0" fontId="0" fillId="37" borderId="6" xfId="0" applyFill="1" applyBorder="1"/>
    <xf numFmtId="0" fontId="5" fillId="37" borderId="0" xfId="0" applyFont="1" applyFill="1" applyBorder="1" applyAlignment="1">
      <alignment horizontal="center"/>
    </xf>
    <xf numFmtId="0" fontId="6" fillId="37" borderId="0" xfId="0" applyFont="1" applyFill="1" applyBorder="1" applyAlignment="1">
      <alignment horizontal="center"/>
    </xf>
    <xf numFmtId="0" fontId="19" fillId="37" borderId="7" xfId="0" applyFont="1" applyFill="1" applyBorder="1"/>
    <xf numFmtId="0" fontId="19" fillId="37" borderId="0" xfId="0" applyFont="1" applyFill="1" applyBorder="1"/>
    <xf numFmtId="0" fontId="0" fillId="37" borderId="0" xfId="0" applyFill="1" applyBorder="1" applyAlignment="1">
      <alignment horizontal="center"/>
    </xf>
    <xf numFmtId="0" fontId="1" fillId="37" borderId="6" xfId="0" applyFont="1" applyFill="1" applyBorder="1"/>
    <xf numFmtId="41" fontId="0" fillId="37" borderId="0" xfId="0" applyNumberFormat="1" applyFill="1" applyBorder="1"/>
    <xf numFmtId="44" fontId="20" fillId="37" borderId="0" xfId="75" applyFont="1" applyFill="1" applyBorder="1"/>
    <xf numFmtId="0" fontId="21" fillId="37" borderId="0" xfId="0" applyFont="1" applyFill="1" applyBorder="1"/>
    <xf numFmtId="41" fontId="12" fillId="37" borderId="0" xfId="0" applyNumberFormat="1" applyFont="1" applyFill="1" applyBorder="1"/>
    <xf numFmtId="41" fontId="5" fillId="37" borderId="0" xfId="0" applyNumberFormat="1" applyFont="1" applyFill="1" applyBorder="1"/>
    <xf numFmtId="164" fontId="0" fillId="37" borderId="0" xfId="0" applyNumberFormat="1" applyFill="1" applyBorder="1"/>
    <xf numFmtId="0" fontId="1" fillId="37" borderId="6" xfId="0" applyFont="1" applyFill="1" applyBorder="1" applyAlignment="1">
      <alignment horizontal="right"/>
    </xf>
    <xf numFmtId="44" fontId="1" fillId="37" borderId="0" xfId="75" applyFont="1" applyFill="1" applyBorder="1"/>
    <xf numFmtId="44" fontId="12" fillId="37" borderId="0" xfId="75" applyNumberFormat="1" applyFont="1" applyFill="1" applyBorder="1"/>
    <xf numFmtId="44" fontId="22" fillId="37" borderId="8" xfId="75" applyNumberFormat="1" applyFont="1" applyFill="1" applyBorder="1"/>
    <xf numFmtId="44" fontId="22" fillId="37" borderId="0" xfId="75" applyNumberFormat="1" applyFont="1" applyFill="1" applyBorder="1"/>
    <xf numFmtId="0" fontId="5" fillId="37" borderId="9" xfId="0" applyFont="1" applyFill="1" applyBorder="1" applyAlignment="1">
      <alignment horizontal="center"/>
    </xf>
    <xf numFmtId="44" fontId="1" fillId="37" borderId="0" xfId="75" applyNumberFormat="1" applyFont="1" applyFill="1" applyBorder="1"/>
    <xf numFmtId="165" fontId="1" fillId="37" borderId="0" xfId="75" applyNumberFormat="1" applyFont="1" applyFill="1" applyBorder="1"/>
    <xf numFmtId="43" fontId="12" fillId="37" borderId="0" xfId="0" applyNumberFormat="1" applyFont="1" applyFill="1" applyBorder="1"/>
    <xf numFmtId="44" fontId="22" fillId="37" borderId="8" xfId="75" applyFont="1" applyFill="1" applyBorder="1"/>
    <xf numFmtId="44" fontId="22" fillId="37" borderId="0" xfId="75" applyFont="1" applyFill="1" applyBorder="1"/>
    <xf numFmtId="164" fontId="23" fillId="0" borderId="0" xfId="68" applyNumberFormat="1" applyFont="1"/>
    <xf numFmtId="0" fontId="2" fillId="0" borderId="0" xfId="0" applyFont="1" applyAlignment="1">
      <alignment horizontal="center"/>
    </xf>
    <xf numFmtId="0" fontId="15" fillId="38" borderId="4" xfId="0" applyFont="1" applyFill="1" applyBorder="1"/>
    <xf numFmtId="0" fontId="15" fillId="38" borderId="5" xfId="0" applyFont="1" applyFill="1" applyBorder="1"/>
    <xf numFmtId="0" fontId="0" fillId="38" borderId="5" xfId="0" applyFill="1" applyBorder="1"/>
    <xf numFmtId="0" fontId="5" fillId="38" borderId="6" xfId="0" applyFont="1" applyFill="1" applyBorder="1"/>
    <xf numFmtId="0" fontId="5" fillId="38" borderId="0" xfId="0" applyFont="1" applyFill="1" applyBorder="1"/>
    <xf numFmtId="0" fontId="16" fillId="38" borderId="0" xfId="0" applyFont="1" applyFill="1" applyBorder="1"/>
    <xf numFmtId="0" fontId="0" fillId="38" borderId="0" xfId="0" applyFill="1" applyBorder="1"/>
    <xf numFmtId="15" fontId="5" fillId="38" borderId="6" xfId="0" applyNumberFormat="1" applyFont="1" applyFill="1" applyBorder="1"/>
    <xf numFmtId="15" fontId="5" fillId="38" borderId="0" xfId="0" applyNumberFormat="1" applyFont="1" applyFill="1" applyBorder="1"/>
    <xf numFmtId="0" fontId="0" fillId="38" borderId="6" xfId="0" applyFill="1" applyBorder="1"/>
    <xf numFmtId="0" fontId="5" fillId="38" borderId="0" xfId="0" applyFont="1" applyFill="1" applyBorder="1" applyAlignment="1">
      <alignment horizontal="center"/>
    </xf>
    <xf numFmtId="0" fontId="6" fillId="38" borderId="0" xfId="0" applyFont="1" applyFill="1" applyBorder="1" applyAlignment="1">
      <alignment horizontal="center"/>
    </xf>
    <xf numFmtId="0" fontId="19" fillId="38" borderId="7" xfId="0" applyFont="1" applyFill="1" applyBorder="1"/>
    <xf numFmtId="0" fontId="19" fillId="38" borderId="0" xfId="0" applyFont="1" applyFill="1" applyBorder="1"/>
    <xf numFmtId="0" fontId="0" fillId="38" borderId="0" xfId="0" applyFill="1" applyBorder="1" applyAlignment="1">
      <alignment horizontal="center"/>
    </xf>
    <xf numFmtId="0" fontId="1" fillId="38" borderId="6" xfId="0" applyFont="1" applyFill="1" applyBorder="1"/>
    <xf numFmtId="41" fontId="0" fillId="38" borderId="0" xfId="0" applyNumberFormat="1" applyFill="1" applyBorder="1"/>
    <xf numFmtId="44" fontId="20" fillId="38" borderId="0" xfId="75" applyFont="1" applyFill="1" applyBorder="1"/>
    <xf numFmtId="0" fontId="21" fillId="38" borderId="0" xfId="0" applyFont="1" applyFill="1" applyBorder="1"/>
    <xf numFmtId="41" fontId="12" fillId="38" borderId="0" xfId="0" applyNumberFormat="1" applyFont="1" applyFill="1" applyBorder="1"/>
    <xf numFmtId="41" fontId="5" fillId="38" borderId="0" xfId="0" applyNumberFormat="1" applyFont="1" applyFill="1" applyBorder="1"/>
    <xf numFmtId="164" fontId="0" fillId="38" borderId="0" xfId="0" applyNumberFormat="1" applyFill="1" applyBorder="1"/>
    <xf numFmtId="0" fontId="1" fillId="38" borderId="6" xfId="0" applyFont="1" applyFill="1" applyBorder="1" applyAlignment="1">
      <alignment horizontal="right"/>
    </xf>
    <xf numFmtId="44" fontId="1" fillId="38" borderId="0" xfId="75" applyFont="1" applyFill="1" applyBorder="1"/>
    <xf numFmtId="44" fontId="12" fillId="38" borderId="0" xfId="75" applyNumberFormat="1" applyFont="1" applyFill="1" applyBorder="1"/>
    <xf numFmtId="44" fontId="22" fillId="38" borderId="8" xfId="75" applyNumberFormat="1" applyFont="1" applyFill="1" applyBorder="1"/>
    <xf numFmtId="44" fontId="22" fillId="38" borderId="0" xfId="75" applyNumberFormat="1" applyFont="1" applyFill="1" applyBorder="1"/>
    <xf numFmtId="0" fontId="5" fillId="38" borderId="9" xfId="0" applyFont="1" applyFill="1" applyBorder="1" applyAlignment="1">
      <alignment horizontal="center"/>
    </xf>
    <xf numFmtId="44" fontId="1" fillId="38" borderId="0" xfId="75" applyNumberFormat="1" applyFont="1" applyFill="1" applyBorder="1"/>
    <xf numFmtId="165" fontId="1" fillId="38" borderId="0" xfId="75" applyNumberFormat="1" applyFont="1" applyFill="1" applyBorder="1"/>
    <xf numFmtId="43" fontId="12" fillId="38" borderId="0" xfId="0" applyNumberFormat="1" applyFont="1" applyFill="1" applyBorder="1"/>
    <xf numFmtId="44" fontId="22" fillId="38" borderId="8" xfId="75" applyFont="1" applyFill="1" applyBorder="1"/>
    <xf numFmtId="44" fontId="22" fillId="38" borderId="0" xfId="75" applyFont="1" applyFill="1" applyBorder="1"/>
    <xf numFmtId="10" fontId="1" fillId="0" borderId="0" xfId="120" applyNumberFormat="1" applyFont="1" applyFill="1" applyAlignment="1"/>
    <xf numFmtId="166" fontId="23" fillId="0" borderId="0" xfId="120" applyNumberFormat="1" applyFont="1"/>
    <xf numFmtId="166" fontId="29" fillId="0" borderId="0" xfId="120" applyNumberFormat="1" applyFont="1"/>
    <xf numFmtId="167" fontId="20" fillId="38" borderId="0" xfId="75" applyNumberFormat="1" applyFont="1" applyFill="1" applyBorder="1"/>
    <xf numFmtId="44" fontId="20" fillId="38" borderId="0" xfId="75" applyNumberFormat="1" applyFont="1" applyFill="1" applyBorder="1"/>
    <xf numFmtId="166" fontId="24" fillId="0" borderId="0" xfId="120" applyNumberFormat="1" applyFont="1"/>
    <xf numFmtId="0" fontId="9" fillId="0" borderId="0" xfId="0" applyFont="1" applyAlignment="1"/>
    <xf numFmtId="0" fontId="0" fillId="0" borderId="0" xfId="0" applyAlignment="1"/>
    <xf numFmtId="0" fontId="10" fillId="0" borderId="0" xfId="0" applyFont="1" applyAlignment="1"/>
    <xf numFmtId="0" fontId="1" fillId="0" borderId="0" xfId="0" quotePrefix="1" applyFont="1" applyAlignment="1"/>
    <xf numFmtId="43" fontId="0" fillId="0" borderId="0" xfId="0" applyNumberFormat="1" applyAlignment="1"/>
    <xf numFmtId="2" fontId="0" fillId="0" borderId="0" xfId="0" applyNumberFormat="1" applyAlignment="1"/>
    <xf numFmtId="2" fontId="30" fillId="0" borderId="0" xfId="0" applyNumberFormat="1" applyFont="1" applyAlignment="1"/>
    <xf numFmtId="43" fontId="13" fillId="0" borderId="0" xfId="0" applyNumberFormat="1" applyFont="1" applyAlignment="1"/>
    <xf numFmtId="2" fontId="31" fillId="0" borderId="0" xfId="0" applyNumberFormat="1" applyFont="1" applyAlignment="1"/>
    <xf numFmtId="10" fontId="31" fillId="0" borderId="0" xfId="120" applyNumberFormat="1" applyFont="1" applyAlignment="1"/>
    <xf numFmtId="0" fontId="77" fillId="0" borderId="0" xfId="0" applyFont="1" applyBorder="1" applyAlignment="1"/>
    <xf numFmtId="10" fontId="0" fillId="0" borderId="0" xfId="0" applyNumberFormat="1" applyAlignment="1"/>
    <xf numFmtId="43" fontId="0" fillId="0" borderId="0" xfId="67" applyFont="1" applyAlignment="1"/>
    <xf numFmtId="43" fontId="12" fillId="0" borderId="0" xfId="67" applyFont="1" applyAlignment="1"/>
    <xf numFmtId="0" fontId="15" fillId="39" borderId="4" xfId="0" applyFont="1" applyFill="1" applyBorder="1"/>
    <xf numFmtId="0" fontId="15" fillId="39" borderId="5" xfId="0" applyFont="1" applyFill="1" applyBorder="1"/>
    <xf numFmtId="0" fontId="0" fillId="39" borderId="5" xfId="0" applyFill="1" applyBorder="1"/>
    <xf numFmtId="0" fontId="5" fillId="39" borderId="6" xfId="0" applyFont="1" applyFill="1" applyBorder="1"/>
    <xf numFmtId="0" fontId="5" fillId="39" borderId="0" xfId="0" applyFont="1" applyFill="1" applyBorder="1"/>
    <xf numFmtId="0" fontId="16" fillId="39" borderId="0" xfId="0" applyFont="1" applyFill="1" applyBorder="1"/>
    <xf numFmtId="0" fontId="0" fillId="39" borderId="0" xfId="0" applyFill="1" applyBorder="1"/>
    <xf numFmtId="15" fontId="5" fillId="39" borderId="6" xfId="0" applyNumberFormat="1" applyFont="1" applyFill="1" applyBorder="1"/>
    <xf numFmtId="15" fontId="5" fillId="39" borderId="0" xfId="0" applyNumberFormat="1" applyFont="1" applyFill="1" applyBorder="1"/>
    <xf numFmtId="0" fontId="0" fillId="39" borderId="6" xfId="0" applyFill="1" applyBorder="1"/>
    <xf numFmtId="0" fontId="5" fillId="39" borderId="0" xfId="0" applyFont="1" applyFill="1" applyBorder="1" applyAlignment="1">
      <alignment horizontal="center"/>
    </xf>
    <xf numFmtId="0" fontId="6" fillId="39" borderId="0" xfId="0" applyFont="1" applyFill="1" applyBorder="1" applyAlignment="1">
      <alignment horizontal="center"/>
    </xf>
    <xf numFmtId="0" fontId="19" fillId="39" borderId="7" xfId="0" applyFont="1" applyFill="1" applyBorder="1"/>
    <xf numFmtId="0" fontId="19" fillId="39" borderId="0" xfId="0" applyFont="1" applyFill="1" applyBorder="1"/>
    <xf numFmtId="0" fontId="0" fillId="39" borderId="0" xfId="0" applyFill="1" applyBorder="1" applyAlignment="1">
      <alignment horizontal="center"/>
    </xf>
    <xf numFmtId="0" fontId="1" fillId="39" borderId="6" xfId="0" applyFont="1" applyFill="1" applyBorder="1"/>
    <xf numFmtId="41" fontId="0" fillId="39" borderId="0" xfId="0" applyNumberFormat="1" applyFill="1" applyBorder="1"/>
    <xf numFmtId="44" fontId="20" fillId="39" borderId="0" xfId="75" applyNumberFormat="1" applyFont="1" applyFill="1" applyBorder="1"/>
    <xf numFmtId="167" fontId="20" fillId="39" borderId="0" xfId="75" applyNumberFormat="1" applyFont="1" applyFill="1" applyBorder="1"/>
    <xf numFmtId="0" fontId="21" fillId="39" borderId="0" xfId="0" applyFont="1" applyFill="1" applyBorder="1"/>
    <xf numFmtId="41" fontId="12" fillId="39" borderId="0" xfId="0" applyNumberFormat="1" applyFont="1" applyFill="1" applyBorder="1"/>
    <xf numFmtId="41" fontId="5" fillId="39" borderId="0" xfId="0" applyNumberFormat="1" applyFont="1" applyFill="1" applyBorder="1"/>
    <xf numFmtId="164" fontId="0" fillId="39" borderId="0" xfId="0" applyNumberFormat="1" applyFill="1" applyBorder="1"/>
    <xf numFmtId="0" fontId="1" fillId="39" borderId="6" xfId="0" applyFont="1" applyFill="1" applyBorder="1" applyAlignment="1">
      <alignment horizontal="right"/>
    </xf>
    <xf numFmtId="0" fontId="5" fillId="39" borderId="9" xfId="0" applyFont="1" applyFill="1" applyBorder="1" applyAlignment="1">
      <alignment horizontal="center"/>
    </xf>
    <xf numFmtId="44" fontId="20" fillId="39" borderId="0" xfId="75" applyFont="1" applyFill="1" applyBorder="1"/>
    <xf numFmtId="165" fontId="1" fillId="39" borderId="0" xfId="75" applyNumberFormat="1" applyFont="1" applyFill="1" applyBorder="1"/>
    <xf numFmtId="0" fontId="0" fillId="39" borderId="1" xfId="0" applyFill="1" applyBorder="1"/>
    <xf numFmtId="2" fontId="0" fillId="0" borderId="0" xfId="0" applyNumberFormat="1" applyFill="1" applyAlignment="1"/>
    <xf numFmtId="2" fontId="30" fillId="0" borderId="0" xfId="0" applyNumberFormat="1" applyFont="1" applyFill="1" applyAlignment="1"/>
    <xf numFmtId="10" fontId="30" fillId="0" borderId="0" xfId="120" applyNumberFormat="1" applyFont="1" applyFill="1" applyAlignment="1"/>
    <xf numFmtId="0" fontId="15" fillId="40" borderId="4" xfId="0" applyFont="1" applyFill="1" applyBorder="1"/>
    <xf numFmtId="0" fontId="15" fillId="40" borderId="5" xfId="0" applyFont="1" applyFill="1" applyBorder="1"/>
    <xf numFmtId="0" fontId="0" fillId="40" borderId="5" xfId="0" applyFill="1" applyBorder="1"/>
    <xf numFmtId="0" fontId="5" fillId="40" borderId="6" xfId="0" applyFont="1" applyFill="1" applyBorder="1"/>
    <xf numFmtId="0" fontId="5" fillId="40" borderId="0" xfId="0" applyFont="1" applyFill="1" applyBorder="1"/>
    <xf numFmtId="0" fontId="16" fillId="40" borderId="0" xfId="0" applyFont="1" applyFill="1" applyBorder="1"/>
    <xf numFmtId="0" fontId="0" fillId="40" borderId="0" xfId="0" applyFill="1" applyBorder="1"/>
    <xf numFmtId="15" fontId="5" fillId="40" borderId="6" xfId="0" applyNumberFormat="1" applyFont="1" applyFill="1" applyBorder="1"/>
    <xf numFmtId="15" fontId="5" fillId="40" borderId="0" xfId="0" applyNumberFormat="1" applyFont="1" applyFill="1" applyBorder="1"/>
    <xf numFmtId="0" fontId="0" fillId="40" borderId="6" xfId="0" applyFill="1" applyBorder="1"/>
    <xf numFmtId="0" fontId="5" fillId="40" borderId="0" xfId="0" applyFont="1" applyFill="1" applyBorder="1" applyAlignment="1">
      <alignment horizontal="center"/>
    </xf>
    <xf numFmtId="0" fontId="6" fillId="40" borderId="0" xfId="0" applyFont="1" applyFill="1" applyBorder="1" applyAlignment="1">
      <alignment horizontal="center"/>
    </xf>
    <xf numFmtId="0" fontId="19" fillId="40" borderId="7" xfId="0" applyFont="1" applyFill="1" applyBorder="1"/>
    <xf numFmtId="0" fontId="19" fillId="40" borderId="0" xfId="0" applyFont="1" applyFill="1" applyBorder="1"/>
    <xf numFmtId="0" fontId="0" fillId="40" borderId="0" xfId="0" applyFill="1" applyBorder="1" applyAlignment="1">
      <alignment horizontal="center"/>
    </xf>
    <xf numFmtId="0" fontId="1" fillId="40" borderId="6" xfId="0" applyFont="1" applyFill="1" applyBorder="1"/>
    <xf numFmtId="41" fontId="0" fillId="40" borderId="0" xfId="0" applyNumberFormat="1" applyFill="1" applyBorder="1"/>
    <xf numFmtId="44" fontId="20" fillId="40" borderId="0" xfId="75" applyNumberFormat="1" applyFont="1" applyFill="1" applyBorder="1"/>
    <xf numFmtId="167" fontId="20" fillId="40" borderId="0" xfId="75" applyNumberFormat="1" applyFont="1" applyFill="1" applyBorder="1"/>
    <xf numFmtId="0" fontId="21" fillId="40" borderId="0" xfId="0" applyFont="1" applyFill="1" applyBorder="1"/>
    <xf numFmtId="41" fontId="12" fillId="40" borderId="0" xfId="0" applyNumberFormat="1" applyFont="1" applyFill="1" applyBorder="1"/>
    <xf numFmtId="41" fontId="5" fillId="40" borderId="0" xfId="0" applyNumberFormat="1" applyFont="1" applyFill="1" applyBorder="1"/>
    <xf numFmtId="164" fontId="0" fillId="40" borderId="0" xfId="0" applyNumberFormat="1" applyFill="1" applyBorder="1"/>
    <xf numFmtId="0" fontId="1" fillId="40" borderId="6" xfId="0" applyFont="1" applyFill="1" applyBorder="1" applyAlignment="1">
      <alignment horizontal="right"/>
    </xf>
    <xf numFmtId="0" fontId="5" fillId="40" borderId="9" xfId="0" applyFont="1" applyFill="1" applyBorder="1" applyAlignment="1">
      <alignment horizontal="center"/>
    </xf>
    <xf numFmtId="44" fontId="20" fillId="40" borderId="0" xfId="75" applyFont="1" applyFill="1" applyBorder="1"/>
    <xf numFmtId="165" fontId="1" fillId="40" borderId="0" xfId="75" applyNumberFormat="1" applyFont="1" applyFill="1" applyBorder="1"/>
    <xf numFmtId="0" fontId="0" fillId="40" borderId="1" xfId="0" applyFill="1" applyBorder="1"/>
    <xf numFmtId="10" fontId="0" fillId="0" borderId="0" xfId="120" applyNumberFormat="1" applyFont="1" applyAlignment="1"/>
    <xf numFmtId="165" fontId="0" fillId="0" borderId="0" xfId="0" applyNumberFormat="1"/>
    <xf numFmtId="44" fontId="21" fillId="0" borderId="0" xfId="75" applyFont="1" applyFill="1" applyBorder="1" applyProtection="1">
      <protection locked="0"/>
    </xf>
    <xf numFmtId="44" fontId="21" fillId="0" borderId="0" xfId="75" applyFont="1" applyBorder="1"/>
    <xf numFmtId="43" fontId="1" fillId="0" borderId="0" xfId="0" applyNumberFormat="1" applyFont="1" applyAlignment="1"/>
    <xf numFmtId="43" fontId="12" fillId="0" borderId="0" xfId="0" applyNumberFormat="1" applyFont="1" applyAlignment="1"/>
    <xf numFmtId="17" fontId="32" fillId="0" borderId="3" xfId="0" applyNumberFormat="1" applyFont="1" applyFill="1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0" fillId="40" borderId="10" xfId="0" applyFill="1" applyBorder="1"/>
    <xf numFmtId="0" fontId="0" fillId="40" borderId="11" xfId="0" applyFill="1" applyBorder="1"/>
    <xf numFmtId="0" fontId="5" fillId="40" borderId="11" xfId="0" applyFont="1" applyFill="1" applyBorder="1"/>
    <xf numFmtId="44" fontId="1" fillId="40" borderId="11" xfId="75" applyFont="1" applyFill="1" applyBorder="1"/>
    <xf numFmtId="44" fontId="12" fillId="40" borderId="11" xfId="75" applyNumberFormat="1" applyFont="1" applyFill="1" applyBorder="1"/>
    <xf numFmtId="44" fontId="22" fillId="40" borderId="12" xfId="75" applyNumberFormat="1" applyFont="1" applyFill="1" applyBorder="1"/>
    <xf numFmtId="44" fontId="22" fillId="40" borderId="11" xfId="75" applyNumberFormat="1" applyFont="1" applyFill="1" applyBorder="1"/>
    <xf numFmtId="44" fontId="1" fillId="40" borderId="11" xfId="75" applyNumberFormat="1" applyFont="1" applyFill="1" applyBorder="1"/>
    <xf numFmtId="44" fontId="22" fillId="40" borderId="12" xfId="75" applyFont="1" applyFill="1" applyBorder="1"/>
    <xf numFmtId="0" fontId="5" fillId="40" borderId="13" xfId="0" applyFont="1" applyFill="1" applyBorder="1"/>
    <xf numFmtId="0" fontId="5" fillId="40" borderId="1" xfId="0" applyFont="1" applyFill="1" applyBorder="1"/>
    <xf numFmtId="44" fontId="22" fillId="40" borderId="14" xfId="75" applyFont="1" applyFill="1" applyBorder="1"/>
    <xf numFmtId="0" fontId="0" fillId="39" borderId="10" xfId="0" applyFill="1" applyBorder="1"/>
    <xf numFmtId="0" fontId="0" fillId="39" borderId="11" xfId="0" applyFill="1" applyBorder="1"/>
    <xf numFmtId="0" fontId="5" fillId="39" borderId="11" xfId="0" applyFont="1" applyFill="1" applyBorder="1"/>
    <xf numFmtId="44" fontId="1" fillId="39" borderId="11" xfId="75" applyFont="1" applyFill="1" applyBorder="1"/>
    <xf numFmtId="44" fontId="12" fillId="39" borderId="11" xfId="75" applyNumberFormat="1" applyFont="1" applyFill="1" applyBorder="1"/>
    <xf numFmtId="44" fontId="22" fillId="39" borderId="12" xfId="75" applyNumberFormat="1" applyFont="1" applyFill="1" applyBorder="1"/>
    <xf numFmtId="44" fontId="22" fillId="39" borderId="11" xfId="75" applyNumberFormat="1" applyFont="1" applyFill="1" applyBorder="1"/>
    <xf numFmtId="44" fontId="1" fillId="39" borderId="11" xfId="75" applyNumberFormat="1" applyFont="1" applyFill="1" applyBorder="1"/>
    <xf numFmtId="43" fontId="12" fillId="39" borderId="11" xfId="0" applyNumberFormat="1" applyFont="1" applyFill="1" applyBorder="1"/>
    <xf numFmtId="44" fontId="22" fillId="39" borderId="12" xfId="75" applyFont="1" applyFill="1" applyBorder="1"/>
    <xf numFmtId="0" fontId="5" fillId="39" borderId="13" xfId="0" applyFont="1" applyFill="1" applyBorder="1"/>
    <xf numFmtId="0" fontId="5" fillId="39" borderId="1" xfId="0" applyFont="1" applyFill="1" applyBorder="1"/>
    <xf numFmtId="44" fontId="22" fillId="39" borderId="14" xfId="75" applyFont="1" applyFill="1" applyBorder="1"/>
    <xf numFmtId="44" fontId="5" fillId="0" borderId="0" xfId="75" applyFont="1"/>
    <xf numFmtId="164" fontId="0" fillId="0" borderId="0" xfId="67" applyNumberFormat="1" applyFont="1"/>
    <xf numFmtId="44" fontId="6" fillId="0" borderId="0" xfId="75" applyFont="1" applyAlignment="1">
      <alignment horizontal="center"/>
    </xf>
    <xf numFmtId="44" fontId="12" fillId="40" borderId="11" xfId="75" applyFont="1" applyFill="1" applyBorder="1"/>
    <xf numFmtId="10" fontId="78" fillId="0" borderId="0" xfId="120" applyNumberFormat="1" applyFont="1" applyFill="1" applyAlignment="1"/>
    <xf numFmtId="0" fontId="5" fillId="0" borderId="0" xfId="108" applyFont="1" applyFill="1" applyAlignment="1">
      <alignment horizontal="center"/>
    </xf>
    <xf numFmtId="164" fontId="24" fillId="0" borderId="0" xfId="68" applyNumberFormat="1" applyFont="1"/>
    <xf numFmtId="165" fontId="13" fillId="0" borderId="0" xfId="75" applyNumberFormat="1" applyFont="1"/>
    <xf numFmtId="0" fontId="15" fillId="41" borderId="4" xfId="0" applyFont="1" applyFill="1" applyBorder="1"/>
    <xf numFmtId="0" fontId="15" fillId="41" borderId="5" xfId="0" applyFont="1" applyFill="1" applyBorder="1"/>
    <xf numFmtId="0" fontId="0" fillId="41" borderId="5" xfId="0" applyFill="1" applyBorder="1"/>
    <xf numFmtId="0" fontId="0" fillId="41" borderId="10" xfId="0" applyFill="1" applyBorder="1"/>
    <xf numFmtId="0" fontId="5" fillId="41" borderId="6" xfId="0" applyFont="1" applyFill="1" applyBorder="1"/>
    <xf numFmtId="0" fontId="5" fillId="41" borderId="0" xfId="0" applyFont="1" applyFill="1" applyBorder="1"/>
    <xf numFmtId="0" fontId="16" fillId="41" borderId="0" xfId="0" applyFont="1" applyFill="1" applyBorder="1"/>
    <xf numFmtId="0" fontId="0" fillId="41" borderId="0" xfId="0" applyFill="1" applyBorder="1"/>
    <xf numFmtId="0" fontId="0" fillId="41" borderId="11" xfId="0" applyFill="1" applyBorder="1"/>
    <xf numFmtId="15" fontId="5" fillId="41" borderId="6" xfId="0" applyNumberFormat="1" applyFont="1" applyFill="1" applyBorder="1"/>
    <xf numFmtId="15" fontId="5" fillId="41" borderId="0" xfId="0" applyNumberFormat="1" applyFont="1" applyFill="1" applyBorder="1"/>
    <xf numFmtId="0" fontId="0" fillId="41" borderId="6" xfId="0" applyFill="1" applyBorder="1"/>
    <xf numFmtId="0" fontId="5" fillId="41" borderId="0" xfId="0" applyFont="1" applyFill="1" applyBorder="1" applyAlignment="1">
      <alignment horizontal="center"/>
    </xf>
    <xf numFmtId="0" fontId="6" fillId="41" borderId="0" xfId="0" applyFont="1" applyFill="1" applyBorder="1" applyAlignment="1">
      <alignment horizontal="center"/>
    </xf>
    <xf numFmtId="0" fontId="19" fillId="41" borderId="7" xfId="0" applyFont="1" applyFill="1" applyBorder="1"/>
    <xf numFmtId="0" fontId="19" fillId="41" borderId="0" xfId="0" applyFont="1" applyFill="1" applyBorder="1"/>
    <xf numFmtId="0" fontId="0" fillId="41" borderId="0" xfId="0" applyFill="1" applyBorder="1" applyAlignment="1">
      <alignment horizontal="center"/>
    </xf>
    <xf numFmtId="0" fontId="1" fillId="41" borderId="6" xfId="0" applyFont="1" applyFill="1" applyBorder="1"/>
    <xf numFmtId="41" fontId="0" fillId="41" borderId="0" xfId="0" applyNumberFormat="1" applyFill="1" applyBorder="1"/>
    <xf numFmtId="44" fontId="20" fillId="41" borderId="0" xfId="75" applyNumberFormat="1" applyFont="1" applyFill="1" applyBorder="1"/>
    <xf numFmtId="167" fontId="20" fillId="41" borderId="0" xfId="75" applyNumberFormat="1" applyFont="1" applyFill="1" applyBorder="1"/>
    <xf numFmtId="0" fontId="21" fillId="41" borderId="0" xfId="0" applyFont="1" applyFill="1" applyBorder="1"/>
    <xf numFmtId="41" fontId="12" fillId="41" borderId="0" xfId="0" applyNumberFormat="1" applyFont="1" applyFill="1" applyBorder="1"/>
    <xf numFmtId="41" fontId="5" fillId="41" borderId="0" xfId="0" applyNumberFormat="1" applyFont="1" applyFill="1" applyBorder="1"/>
    <xf numFmtId="0" fontId="5" fillId="41" borderId="11" xfId="0" applyFont="1" applyFill="1" applyBorder="1"/>
    <xf numFmtId="164" fontId="0" fillId="41" borderId="0" xfId="0" applyNumberFormat="1" applyFill="1" applyBorder="1"/>
    <xf numFmtId="0" fontId="1" fillId="41" borderId="6" xfId="0" applyFont="1" applyFill="1" applyBorder="1" applyAlignment="1">
      <alignment horizontal="right"/>
    </xf>
    <xf numFmtId="44" fontId="1" fillId="41" borderId="11" xfId="75" applyFont="1" applyFill="1" applyBorder="1"/>
    <xf numFmtId="44" fontId="12" fillId="41" borderId="11" xfId="75" applyNumberFormat="1" applyFont="1" applyFill="1" applyBorder="1"/>
    <xf numFmtId="44" fontId="22" fillId="41" borderId="12" xfId="75" applyNumberFormat="1" applyFont="1" applyFill="1" applyBorder="1"/>
    <xf numFmtId="44" fontId="22" fillId="41" borderId="11" xfId="75" applyNumberFormat="1" applyFont="1" applyFill="1" applyBorder="1"/>
    <xf numFmtId="0" fontId="5" fillId="41" borderId="9" xfId="0" applyFont="1" applyFill="1" applyBorder="1" applyAlignment="1">
      <alignment horizontal="center"/>
    </xf>
    <xf numFmtId="44" fontId="20" fillId="41" borderId="0" xfId="75" applyFont="1" applyFill="1" applyBorder="1"/>
    <xf numFmtId="44" fontId="1" fillId="41" borderId="11" xfId="75" applyNumberFormat="1" applyFont="1" applyFill="1" applyBorder="1"/>
    <xf numFmtId="165" fontId="1" fillId="41" borderId="0" xfId="75" applyNumberFormat="1" applyFont="1" applyFill="1" applyBorder="1"/>
    <xf numFmtId="43" fontId="12" fillId="41" borderId="11" xfId="0" applyNumberFormat="1" applyFont="1" applyFill="1" applyBorder="1"/>
    <xf numFmtId="44" fontId="22" fillId="41" borderId="12" xfId="75" applyFont="1" applyFill="1" applyBorder="1"/>
    <xf numFmtId="0" fontId="5" fillId="41" borderId="13" xfId="0" applyFont="1" applyFill="1" applyBorder="1"/>
    <xf numFmtId="0" fontId="5" fillId="41" borderId="1" xfId="0" applyFont="1" applyFill="1" applyBorder="1"/>
    <xf numFmtId="0" fontId="0" fillId="41" borderId="1" xfId="0" applyFill="1" applyBorder="1"/>
    <xf numFmtId="44" fontId="22" fillId="41" borderId="14" xfId="75" applyFont="1" applyFill="1" applyBorder="1"/>
    <xf numFmtId="0" fontId="15" fillId="42" borderId="5" xfId="0" applyFont="1" applyFill="1" applyBorder="1"/>
    <xf numFmtId="0" fontId="0" fillId="42" borderId="5" xfId="0" applyFill="1" applyBorder="1"/>
    <xf numFmtId="0" fontId="0" fillId="42" borderId="10" xfId="0" applyFill="1" applyBorder="1"/>
    <xf numFmtId="0" fontId="5" fillId="42" borderId="6" xfId="0" applyFont="1" applyFill="1" applyBorder="1"/>
    <xf numFmtId="0" fontId="5" fillId="42" borderId="0" xfId="0" applyFont="1" applyFill="1" applyBorder="1"/>
    <xf numFmtId="0" fontId="16" fillId="42" borderId="0" xfId="0" applyFont="1" applyFill="1" applyBorder="1"/>
    <xf numFmtId="0" fontId="0" fillId="42" borderId="0" xfId="0" applyFill="1" applyBorder="1"/>
    <xf numFmtId="0" fontId="0" fillId="42" borderId="11" xfId="0" applyFill="1" applyBorder="1"/>
    <xf numFmtId="15" fontId="5" fillId="42" borderId="0" xfId="0" applyNumberFormat="1" applyFont="1" applyFill="1" applyBorder="1"/>
    <xf numFmtId="0" fontId="0" fillId="42" borderId="6" xfId="0" applyFill="1" applyBorder="1"/>
    <xf numFmtId="0" fontId="5" fillId="42" borderId="0" xfId="0" applyFont="1" applyFill="1" applyBorder="1" applyAlignment="1">
      <alignment horizontal="center"/>
    </xf>
    <xf numFmtId="0" fontId="6" fillId="42" borderId="0" xfId="0" applyFont="1" applyFill="1" applyBorder="1" applyAlignment="1">
      <alignment horizontal="center"/>
    </xf>
    <xf numFmtId="0" fontId="19" fillId="42" borderId="7" xfId="0" applyFont="1" applyFill="1" applyBorder="1"/>
    <xf numFmtId="0" fontId="19" fillId="42" borderId="0" xfId="0" applyFont="1" applyFill="1" applyBorder="1"/>
    <xf numFmtId="0" fontId="0" fillId="42" borderId="0" xfId="0" applyFill="1" applyBorder="1" applyAlignment="1">
      <alignment horizontal="center"/>
    </xf>
    <xf numFmtId="0" fontId="1" fillId="42" borderId="6" xfId="0" applyFont="1" applyFill="1" applyBorder="1"/>
    <xf numFmtId="41" fontId="0" fillId="42" borderId="0" xfId="0" applyNumberFormat="1" applyFill="1" applyBorder="1"/>
    <xf numFmtId="44" fontId="20" fillId="42" borderId="0" xfId="75" applyNumberFormat="1" applyFont="1" applyFill="1" applyBorder="1"/>
    <xf numFmtId="167" fontId="20" fillId="42" borderId="0" xfId="75" applyNumberFormat="1" applyFont="1" applyFill="1" applyBorder="1"/>
    <xf numFmtId="0" fontId="21" fillId="42" borderId="0" xfId="0" applyFont="1" applyFill="1" applyBorder="1"/>
    <xf numFmtId="41" fontId="12" fillId="42" borderId="0" xfId="0" applyNumberFormat="1" applyFont="1" applyFill="1" applyBorder="1"/>
    <xf numFmtId="41" fontId="5" fillId="42" borderId="0" xfId="0" applyNumberFormat="1" applyFont="1" applyFill="1" applyBorder="1"/>
    <xf numFmtId="0" fontId="5" fillId="42" borderId="11" xfId="0" applyFont="1" applyFill="1" applyBorder="1"/>
    <xf numFmtId="164" fontId="0" fillId="42" borderId="0" xfId="0" applyNumberFormat="1" applyFill="1" applyBorder="1"/>
    <xf numFmtId="0" fontId="1" fillId="42" borderId="6" xfId="0" applyFont="1" applyFill="1" applyBorder="1" applyAlignment="1">
      <alignment horizontal="right"/>
    </xf>
    <xf numFmtId="44" fontId="1" fillId="42" borderId="11" xfId="75" applyFont="1" applyFill="1" applyBorder="1"/>
    <xf numFmtId="44" fontId="12" fillId="42" borderId="11" xfId="75" applyNumberFormat="1" applyFont="1" applyFill="1" applyBorder="1"/>
    <xf numFmtId="44" fontId="22" fillId="42" borderId="12" xfId="75" applyNumberFormat="1" applyFont="1" applyFill="1" applyBorder="1"/>
    <xf numFmtId="44" fontId="22" fillId="42" borderId="11" xfId="75" applyNumberFormat="1" applyFont="1" applyFill="1" applyBorder="1"/>
    <xf numFmtId="0" fontId="18" fillId="42" borderId="6" xfId="0" applyFont="1" applyFill="1" applyBorder="1" applyAlignment="1">
      <alignment horizontal="center"/>
    </xf>
    <xf numFmtId="0" fontId="5" fillId="42" borderId="9" xfId="0" applyFont="1" applyFill="1" applyBorder="1" applyAlignment="1">
      <alignment horizontal="center"/>
    </xf>
    <xf numFmtId="44" fontId="20" fillId="42" borderId="0" xfId="75" applyFont="1" applyFill="1" applyBorder="1"/>
    <xf numFmtId="44" fontId="1" fillId="42" borderId="11" xfId="75" applyNumberFormat="1" applyFont="1" applyFill="1" applyBorder="1"/>
    <xf numFmtId="165" fontId="1" fillId="42" borderId="0" xfId="75" applyNumberFormat="1" applyFont="1" applyFill="1" applyBorder="1"/>
    <xf numFmtId="44" fontId="12" fillId="42" borderId="11" xfId="75" applyFont="1" applyFill="1" applyBorder="1"/>
    <xf numFmtId="44" fontId="22" fillId="42" borderId="12" xfId="75" applyFont="1" applyFill="1" applyBorder="1"/>
    <xf numFmtId="0" fontId="5" fillId="42" borderId="13" xfId="0" applyFont="1" applyFill="1" applyBorder="1"/>
    <xf numFmtId="0" fontId="5" fillId="42" borderId="1" xfId="0" applyFont="1" applyFill="1" applyBorder="1"/>
    <xf numFmtId="0" fontId="0" fillId="42" borderId="1" xfId="0" applyFill="1" applyBorder="1"/>
    <xf numFmtId="44" fontId="22" fillId="42" borderId="14" xfId="75" applyFont="1" applyFill="1" applyBorder="1"/>
    <xf numFmtId="166" fontId="0" fillId="0" borderId="0" xfId="120" applyNumberFormat="1" applyFont="1" applyAlignment="1"/>
    <xf numFmtId="43" fontId="1" fillId="0" borderId="0" xfId="67" applyFont="1"/>
    <xf numFmtId="10" fontId="1" fillId="0" borderId="0" xfId="120" applyNumberFormat="1" applyFont="1" applyAlignment="1"/>
    <xf numFmtId="10" fontId="30" fillId="0" borderId="0" xfId="120" applyNumberFormat="1" applyFont="1" applyAlignment="1"/>
    <xf numFmtId="43" fontId="31" fillId="0" borderId="0" xfId="67" applyFont="1" applyAlignment="1"/>
    <xf numFmtId="0" fontId="79" fillId="0" borderId="0" xfId="0" applyFont="1" applyBorder="1"/>
    <xf numFmtId="0" fontId="1" fillId="0" borderId="0" xfId="0" applyFont="1" applyAlignment="1"/>
    <xf numFmtId="0" fontId="15" fillId="43" borderId="4" xfId="0" applyFont="1" applyFill="1" applyBorder="1"/>
    <xf numFmtId="0" fontId="15" fillId="43" borderId="5" xfId="0" applyFont="1" applyFill="1" applyBorder="1"/>
    <xf numFmtId="0" fontId="0" fillId="43" borderId="5" xfId="0" applyFill="1" applyBorder="1"/>
    <xf numFmtId="0" fontId="0" fillId="43" borderId="10" xfId="0" applyFill="1" applyBorder="1"/>
    <xf numFmtId="0" fontId="5" fillId="43" borderId="6" xfId="0" applyFont="1" applyFill="1" applyBorder="1"/>
    <xf numFmtId="0" fontId="5" fillId="43" borderId="0" xfId="0" applyFont="1" applyFill="1" applyBorder="1"/>
    <xf numFmtId="0" fontId="16" fillId="43" borderId="0" xfId="0" applyFont="1" applyFill="1" applyBorder="1"/>
    <xf numFmtId="0" fontId="0" fillId="43" borderId="0" xfId="0" applyFill="1" applyBorder="1"/>
    <xf numFmtId="0" fontId="0" fillId="43" borderId="11" xfId="0" applyFill="1" applyBorder="1"/>
    <xf numFmtId="15" fontId="5" fillId="43" borderId="6" xfId="0" applyNumberFormat="1" applyFont="1" applyFill="1" applyBorder="1"/>
    <xf numFmtId="15" fontId="5" fillId="43" borderId="0" xfId="0" applyNumberFormat="1" applyFont="1" applyFill="1" applyBorder="1"/>
    <xf numFmtId="0" fontId="0" fillId="43" borderId="6" xfId="0" applyFill="1" applyBorder="1"/>
    <xf numFmtId="0" fontId="5" fillId="43" borderId="0" xfId="0" applyFont="1" applyFill="1" applyBorder="1" applyAlignment="1">
      <alignment horizontal="center"/>
    </xf>
    <xf numFmtId="0" fontId="6" fillId="43" borderId="0" xfId="0" applyFont="1" applyFill="1" applyBorder="1" applyAlignment="1">
      <alignment horizontal="center"/>
    </xf>
    <xf numFmtId="0" fontId="19" fillId="43" borderId="7" xfId="0" applyFont="1" applyFill="1" applyBorder="1"/>
    <xf numFmtId="0" fontId="19" fillId="43" borderId="0" xfId="0" applyFont="1" applyFill="1" applyBorder="1"/>
    <xf numFmtId="0" fontId="0" fillId="43" borderId="0" xfId="0" applyFill="1" applyBorder="1" applyAlignment="1">
      <alignment horizontal="center"/>
    </xf>
    <xf numFmtId="0" fontId="1" fillId="43" borderId="6" xfId="0" applyFont="1" applyFill="1" applyBorder="1"/>
    <xf numFmtId="41" fontId="0" fillId="43" borderId="0" xfId="0" applyNumberFormat="1" applyFill="1" applyBorder="1"/>
    <xf numFmtId="44" fontId="20" fillId="43" borderId="0" xfId="75" applyNumberFormat="1" applyFont="1" applyFill="1" applyBorder="1"/>
    <xf numFmtId="167" fontId="20" fillId="43" borderId="0" xfId="75" applyNumberFormat="1" applyFont="1" applyFill="1" applyBorder="1"/>
    <xf numFmtId="0" fontId="21" fillId="43" borderId="0" xfId="0" applyFont="1" applyFill="1" applyBorder="1"/>
    <xf numFmtId="41" fontId="12" fillId="43" borderId="0" xfId="0" applyNumberFormat="1" applyFont="1" applyFill="1" applyBorder="1"/>
    <xf numFmtId="41" fontId="5" fillId="43" borderId="0" xfId="0" applyNumberFormat="1" applyFont="1" applyFill="1" applyBorder="1"/>
    <xf numFmtId="0" fontId="5" fillId="43" borderId="11" xfId="0" applyFont="1" applyFill="1" applyBorder="1"/>
    <xf numFmtId="164" fontId="0" fillId="43" borderId="0" xfId="0" applyNumberFormat="1" applyFill="1" applyBorder="1"/>
    <xf numFmtId="0" fontId="1" fillId="43" borderId="6" xfId="0" applyFont="1" applyFill="1" applyBorder="1" applyAlignment="1">
      <alignment horizontal="right"/>
    </xf>
    <xf numFmtId="44" fontId="1" fillId="43" borderId="11" xfId="75" applyFont="1" applyFill="1" applyBorder="1"/>
    <xf numFmtId="44" fontId="12" fillId="43" borderId="11" xfId="75" applyNumberFormat="1" applyFont="1" applyFill="1" applyBorder="1"/>
    <xf numFmtId="44" fontId="22" fillId="43" borderId="12" xfId="75" applyNumberFormat="1" applyFont="1" applyFill="1" applyBorder="1"/>
    <xf numFmtId="44" fontId="22" fillId="43" borderId="11" xfId="75" applyNumberFormat="1" applyFont="1" applyFill="1" applyBorder="1"/>
    <xf numFmtId="0" fontId="5" fillId="43" borderId="9" xfId="0" applyFont="1" applyFill="1" applyBorder="1" applyAlignment="1">
      <alignment horizontal="center"/>
    </xf>
    <xf numFmtId="44" fontId="1" fillId="43" borderId="11" xfId="75" applyNumberFormat="1" applyFont="1" applyFill="1" applyBorder="1"/>
    <xf numFmtId="165" fontId="1" fillId="43" borderId="0" xfId="75" applyNumberFormat="1" applyFont="1" applyFill="1" applyBorder="1"/>
    <xf numFmtId="44" fontId="12" fillId="43" borderId="11" xfId="75" applyFont="1" applyFill="1" applyBorder="1"/>
    <xf numFmtId="44" fontId="22" fillId="43" borderId="12" xfId="75" applyFont="1" applyFill="1" applyBorder="1"/>
    <xf numFmtId="0" fontId="5" fillId="43" borderId="13" xfId="0" applyFont="1" applyFill="1" applyBorder="1"/>
    <xf numFmtId="0" fontId="5" fillId="43" borderId="1" xfId="0" applyFont="1" applyFill="1" applyBorder="1"/>
    <xf numFmtId="0" fontId="0" fillId="43" borderId="1" xfId="0" applyFill="1" applyBorder="1"/>
    <xf numFmtId="44" fontId="22" fillId="43" borderId="14" xfId="75" applyFont="1" applyFill="1" applyBorder="1"/>
    <xf numFmtId="8" fontId="0" fillId="43" borderId="0" xfId="0" applyNumberFormat="1" applyFill="1" applyBorder="1"/>
    <xf numFmtId="44" fontId="33" fillId="43" borderId="11" xfId="75" applyNumberFormat="1" applyFont="1" applyFill="1" applyBorder="1"/>
    <xf numFmtId="0" fontId="2" fillId="43" borderId="6" xfId="0" applyFont="1" applyFill="1" applyBorder="1"/>
    <xf numFmtId="44" fontId="22" fillId="42" borderId="14" xfId="75" applyNumberFormat="1" applyFont="1" applyFill="1" applyBorder="1"/>
    <xf numFmtId="44" fontId="22" fillId="40" borderId="14" xfId="75" applyNumberFormat="1" applyFont="1" applyFill="1" applyBorder="1"/>
    <xf numFmtId="44" fontId="22" fillId="41" borderId="14" xfId="75" applyNumberFormat="1" applyFont="1" applyFill="1" applyBorder="1"/>
    <xf numFmtId="44" fontId="22" fillId="39" borderId="14" xfId="75" applyNumberFormat="1" applyFont="1" applyFill="1" applyBorder="1"/>
    <xf numFmtId="0" fontId="5" fillId="38" borderId="13" xfId="0" applyFont="1" applyFill="1" applyBorder="1"/>
    <xf numFmtId="0" fontId="5" fillId="38" borderId="1" xfId="0" applyFont="1" applyFill="1" applyBorder="1"/>
    <xf numFmtId="0" fontId="0" fillId="38" borderId="1" xfId="0" applyFill="1" applyBorder="1"/>
    <xf numFmtId="44" fontId="22" fillId="38" borderId="1" xfId="75" applyNumberFormat="1" applyFont="1" applyFill="1" applyBorder="1"/>
    <xf numFmtId="0" fontId="5" fillId="37" borderId="13" xfId="0" applyFont="1" applyFill="1" applyBorder="1"/>
    <xf numFmtId="0" fontId="5" fillId="37" borderId="1" xfId="0" applyFont="1" applyFill="1" applyBorder="1"/>
    <xf numFmtId="0" fontId="0" fillId="37" borderId="1" xfId="0" applyFill="1" applyBorder="1"/>
    <xf numFmtId="44" fontId="22" fillId="37" borderId="1" xfId="75" applyNumberFormat="1" applyFont="1" applyFill="1" applyBorder="1"/>
    <xf numFmtId="0" fontId="0" fillId="43" borderId="14" xfId="0" applyFill="1" applyBorder="1"/>
    <xf numFmtId="0" fontId="19" fillId="42" borderId="9" xfId="0" applyFont="1" applyFill="1" applyBorder="1"/>
    <xf numFmtId="0" fontId="1" fillId="42" borderId="0" xfId="0" applyFont="1" applyFill="1" applyBorder="1"/>
    <xf numFmtId="0" fontId="1" fillId="42" borderId="0" xfId="0" applyFont="1" applyFill="1" applyBorder="1" applyAlignment="1">
      <alignment horizontal="right"/>
    </xf>
    <xf numFmtId="0" fontId="0" fillId="43" borderId="13" xfId="0" applyFill="1" applyBorder="1"/>
    <xf numFmtId="0" fontId="78" fillId="0" borderId="0" xfId="0" applyFont="1" applyBorder="1"/>
    <xf numFmtId="10" fontId="1" fillId="0" borderId="0" xfId="120" applyNumberFormat="1" applyFont="1" applyBorder="1" applyAlignment="1">
      <alignment horizontal="right"/>
    </xf>
    <xf numFmtId="0" fontId="32" fillId="0" borderId="0" xfId="0" applyFont="1" applyBorder="1" applyAlignment="1">
      <alignment horizontal="center"/>
    </xf>
    <xf numFmtId="43" fontId="1" fillId="0" borderId="0" xfId="67" applyFont="1" applyBorder="1" applyAlignment="1" applyProtection="1">
      <alignment horizontal="right"/>
      <protection locked="0"/>
    </xf>
    <xf numFmtId="0" fontId="0" fillId="0" borderId="0" xfId="0" applyBorder="1"/>
    <xf numFmtId="43" fontId="12" fillId="0" borderId="0" xfId="67" applyFont="1" applyBorder="1" applyAlignment="1" applyProtection="1">
      <alignment horizontal="right"/>
      <protection locked="0"/>
    </xf>
    <xf numFmtId="0" fontId="5" fillId="0" borderId="0" xfId="0" applyFont="1" applyBorder="1"/>
    <xf numFmtId="10" fontId="12" fillId="0" borderId="0" xfId="120" applyNumberFormat="1" applyFont="1" applyBorder="1" applyAlignment="1">
      <alignment horizontal="right"/>
    </xf>
    <xf numFmtId="43" fontId="80" fillId="0" borderId="0" xfId="67" applyFont="1" applyBorder="1"/>
    <xf numFmtId="166" fontId="13" fillId="0" borderId="0" xfId="120" applyNumberFormat="1" applyFont="1" applyBorder="1" applyAlignment="1">
      <alignment horizontal="right"/>
    </xf>
    <xf numFmtId="43" fontId="13" fillId="0" borderId="0" xfId="68" applyFont="1" applyBorder="1"/>
    <xf numFmtId="43" fontId="13" fillId="0" borderId="0" xfId="67" applyFont="1" applyBorder="1" applyAlignment="1">
      <alignment horizontal="right"/>
    </xf>
    <xf numFmtId="0" fontId="81" fillId="0" borderId="0" xfId="0" applyFont="1" applyFill="1"/>
    <xf numFmtId="44" fontId="82" fillId="0" borderId="3" xfId="75" applyFont="1" applyFill="1" applyBorder="1" applyProtection="1">
      <protection locked="0"/>
    </xf>
    <xf numFmtId="0" fontId="5" fillId="43" borderId="0" xfId="0" applyFont="1" applyFill="1"/>
    <xf numFmtId="0" fontId="0" fillId="43" borderId="0" xfId="0" applyFill="1"/>
    <xf numFmtId="165" fontId="39" fillId="43" borderId="0" xfId="76" applyNumberFormat="1" applyFont="1" applyFill="1" applyBorder="1"/>
    <xf numFmtId="44" fontId="83" fillId="43" borderId="11" xfId="76" applyFont="1" applyFill="1" applyBorder="1"/>
    <xf numFmtId="8" fontId="0" fillId="43" borderId="0" xfId="0" applyNumberFormat="1" applyFill="1"/>
    <xf numFmtId="44" fontId="22" fillId="43" borderId="11" xfId="76" applyFont="1" applyFill="1" applyBorder="1"/>
    <xf numFmtId="44" fontId="33" fillId="43" borderId="11" xfId="76" applyFont="1" applyFill="1" applyBorder="1"/>
    <xf numFmtId="0" fontId="15" fillId="44" borderId="4" xfId="0" applyFont="1" applyFill="1" applyBorder="1"/>
    <xf numFmtId="0" fontId="15" fillId="44" borderId="5" xfId="0" applyFont="1" applyFill="1" applyBorder="1"/>
    <xf numFmtId="0" fontId="0" fillId="44" borderId="5" xfId="0" applyFill="1" applyBorder="1"/>
    <xf numFmtId="0" fontId="0" fillId="44" borderId="10" xfId="0" applyFill="1" applyBorder="1"/>
    <xf numFmtId="0" fontId="5" fillId="44" borderId="6" xfId="0" applyFont="1" applyFill="1" applyBorder="1"/>
    <xf numFmtId="0" fontId="5" fillId="44" borderId="0" xfId="0" applyFont="1" applyFill="1" applyBorder="1"/>
    <xf numFmtId="0" fontId="16" fillId="44" borderId="0" xfId="0" applyFont="1" applyFill="1" applyBorder="1"/>
    <xf numFmtId="0" fontId="0" fillId="44" borderId="0" xfId="0" applyFill="1" applyBorder="1"/>
    <xf numFmtId="0" fontId="0" fillId="44" borderId="11" xfId="0" applyFill="1" applyBorder="1"/>
    <xf numFmtId="15" fontId="5" fillId="44" borderId="6" xfId="0" applyNumberFormat="1" applyFont="1" applyFill="1" applyBorder="1"/>
    <xf numFmtId="15" fontId="5" fillId="44" borderId="0" xfId="0" applyNumberFormat="1" applyFont="1" applyFill="1" applyBorder="1"/>
    <xf numFmtId="0" fontId="0" fillId="44" borderId="6" xfId="0" applyFill="1" applyBorder="1"/>
    <xf numFmtId="0" fontId="5" fillId="44" borderId="0" xfId="0" applyFont="1" applyFill="1" applyBorder="1" applyAlignment="1">
      <alignment horizontal="center"/>
    </xf>
    <xf numFmtId="0" fontId="6" fillId="44" borderId="0" xfId="0" applyFont="1" applyFill="1" applyBorder="1" applyAlignment="1">
      <alignment horizontal="center"/>
    </xf>
    <xf numFmtId="0" fontId="19" fillId="44" borderId="7" xfId="0" applyFont="1" applyFill="1" applyBorder="1"/>
    <xf numFmtId="0" fontId="19" fillId="44" borderId="0" xfId="0" applyFont="1" applyFill="1" applyBorder="1"/>
    <xf numFmtId="0" fontId="0" fillId="44" borderId="0" xfId="0" applyFill="1" applyBorder="1" applyAlignment="1">
      <alignment horizontal="center"/>
    </xf>
    <xf numFmtId="0" fontId="1" fillId="44" borderId="6" xfId="0" applyFont="1" applyFill="1" applyBorder="1"/>
    <xf numFmtId="41" fontId="0" fillId="44" borderId="0" xfId="0" applyNumberFormat="1" applyFill="1" applyBorder="1"/>
    <xf numFmtId="44" fontId="20" fillId="44" borderId="0" xfId="75" applyNumberFormat="1" applyFont="1" applyFill="1" applyBorder="1"/>
    <xf numFmtId="167" fontId="20" fillId="44" borderId="0" xfId="75" applyNumberFormat="1" applyFont="1" applyFill="1" applyBorder="1"/>
    <xf numFmtId="0" fontId="21" fillId="44" borderId="0" xfId="0" applyFont="1" applyFill="1" applyBorder="1"/>
    <xf numFmtId="41" fontId="12" fillId="44" borderId="0" xfId="0" applyNumberFormat="1" applyFont="1" applyFill="1" applyBorder="1"/>
    <xf numFmtId="41" fontId="5" fillId="44" borderId="0" xfId="0" applyNumberFormat="1" applyFont="1" applyFill="1" applyBorder="1"/>
    <xf numFmtId="0" fontId="5" fillId="44" borderId="11" xfId="0" applyFont="1" applyFill="1" applyBorder="1"/>
    <xf numFmtId="164" fontId="0" fillId="44" borderId="0" xfId="0" applyNumberFormat="1" applyFill="1" applyBorder="1"/>
    <xf numFmtId="0" fontId="1" fillId="44" borderId="6" xfId="0" applyFont="1" applyFill="1" applyBorder="1" applyAlignment="1">
      <alignment horizontal="right"/>
    </xf>
    <xf numFmtId="44" fontId="1" fillId="44" borderId="11" xfId="75" applyFont="1" applyFill="1" applyBorder="1"/>
    <xf numFmtId="44" fontId="12" fillId="44" borderId="11" xfId="75" applyNumberFormat="1" applyFont="1" applyFill="1" applyBorder="1"/>
    <xf numFmtId="44" fontId="22" fillId="44" borderId="12" xfId="75" applyNumberFormat="1" applyFont="1" applyFill="1" applyBorder="1"/>
    <xf numFmtId="44" fontId="22" fillId="44" borderId="11" xfId="75" applyNumberFormat="1" applyFont="1" applyFill="1" applyBorder="1"/>
    <xf numFmtId="165" fontId="39" fillId="44" borderId="0" xfId="75" applyNumberFormat="1" applyFont="1" applyFill="1" applyBorder="1"/>
    <xf numFmtId="44" fontId="83" fillId="44" borderId="11" xfId="75" applyFont="1" applyFill="1" applyBorder="1"/>
    <xf numFmtId="8" fontId="0" fillId="44" borderId="0" xfId="0" applyNumberFormat="1" applyFill="1" applyBorder="1"/>
    <xf numFmtId="0" fontId="2" fillId="44" borderId="6" xfId="0" applyFont="1" applyFill="1" applyBorder="1"/>
    <xf numFmtId="44" fontId="33" fillId="44" borderId="11" xfId="75" applyNumberFormat="1" applyFont="1" applyFill="1" applyBorder="1"/>
    <xf numFmtId="0" fontId="0" fillId="44" borderId="13" xfId="0" applyFill="1" applyBorder="1"/>
    <xf numFmtId="0" fontId="0" fillId="44" borderId="1" xfId="0" applyFill="1" applyBorder="1"/>
    <xf numFmtId="0" fontId="0" fillId="44" borderId="14" xfId="0" applyFill="1" applyBorder="1"/>
    <xf numFmtId="0" fontId="5" fillId="44" borderId="9" xfId="0" applyFont="1" applyFill="1" applyBorder="1" applyAlignment="1">
      <alignment horizontal="center"/>
    </xf>
    <xf numFmtId="44" fontId="1" fillId="44" borderId="11" xfId="75" applyNumberFormat="1" applyFont="1" applyFill="1" applyBorder="1"/>
    <xf numFmtId="165" fontId="1" fillId="44" borderId="0" xfId="75" applyNumberFormat="1" applyFont="1" applyFill="1" applyBorder="1"/>
    <xf numFmtId="44" fontId="12" fillId="44" borderId="11" xfId="75" applyFont="1" applyFill="1" applyBorder="1"/>
    <xf numFmtId="44" fontId="22" fillId="44" borderId="12" xfId="75" applyFont="1" applyFill="1" applyBorder="1"/>
    <xf numFmtId="0" fontId="5" fillId="44" borderId="13" xfId="0" applyFont="1" applyFill="1" applyBorder="1"/>
    <xf numFmtId="0" fontId="5" fillId="44" borderId="1" xfId="0" applyFont="1" applyFill="1" applyBorder="1"/>
    <xf numFmtId="44" fontId="22" fillId="44" borderId="14" xfId="75" applyFont="1" applyFill="1" applyBorder="1"/>
    <xf numFmtId="44" fontId="84" fillId="0" borderId="3" xfId="76" applyFont="1" applyFill="1" applyBorder="1" applyProtection="1">
      <protection locked="0"/>
    </xf>
    <xf numFmtId="44" fontId="84" fillId="0" borderId="3" xfId="75" applyFont="1" applyFill="1" applyBorder="1" applyProtection="1">
      <protection locked="0"/>
    </xf>
    <xf numFmtId="0" fontId="0" fillId="37" borderId="10" xfId="0" applyFill="1" applyBorder="1"/>
    <xf numFmtId="0" fontId="0" fillId="37" borderId="11" xfId="0" applyFill="1" applyBorder="1"/>
    <xf numFmtId="44" fontId="20" fillId="37" borderId="0" xfId="75" applyNumberFormat="1" applyFont="1" applyFill="1" applyBorder="1"/>
    <xf numFmtId="167" fontId="20" fillId="37" borderId="0" xfId="75" applyNumberFormat="1" applyFont="1" applyFill="1" applyBorder="1"/>
    <xf numFmtId="0" fontId="5" fillId="37" borderId="11" xfId="0" applyFont="1" applyFill="1" applyBorder="1"/>
    <xf numFmtId="44" fontId="1" fillId="37" borderId="11" xfId="75" applyFont="1" applyFill="1" applyBorder="1"/>
    <xf numFmtId="44" fontId="12" fillId="37" borderId="11" xfId="75" applyNumberFormat="1" applyFont="1" applyFill="1" applyBorder="1"/>
    <xf numFmtId="44" fontId="22" fillId="37" borderId="12" xfId="75" applyNumberFormat="1" applyFont="1" applyFill="1" applyBorder="1"/>
    <xf numFmtId="44" fontId="22" fillId="37" borderId="11" xfId="75" applyNumberFormat="1" applyFont="1" applyFill="1" applyBorder="1"/>
    <xf numFmtId="165" fontId="39" fillId="37" borderId="0" xfId="75" applyNumberFormat="1" applyFont="1" applyFill="1" applyBorder="1"/>
    <xf numFmtId="44" fontId="83" fillId="37" borderId="11" xfId="75" applyFont="1" applyFill="1" applyBorder="1"/>
    <xf numFmtId="8" fontId="0" fillId="37" borderId="0" xfId="0" applyNumberFormat="1" applyFill="1" applyBorder="1"/>
    <xf numFmtId="0" fontId="2" fillId="37" borderId="6" xfId="0" applyFont="1" applyFill="1" applyBorder="1"/>
    <xf numFmtId="44" fontId="33" fillId="37" borderId="11" xfId="75" applyNumberFormat="1" applyFont="1" applyFill="1" applyBorder="1"/>
    <xf numFmtId="0" fontId="0" fillId="37" borderId="13" xfId="0" applyFill="1" applyBorder="1"/>
    <xf numFmtId="0" fontId="0" fillId="37" borderId="14" xfId="0" applyFill="1" applyBorder="1"/>
    <xf numFmtId="44" fontId="1" fillId="37" borderId="11" xfId="75" applyNumberFormat="1" applyFont="1" applyFill="1" applyBorder="1"/>
    <xf numFmtId="44" fontId="12" fillId="37" borderId="11" xfId="75" applyFont="1" applyFill="1" applyBorder="1"/>
    <xf numFmtId="44" fontId="22" fillId="37" borderId="12" xfId="75" applyFont="1" applyFill="1" applyBorder="1"/>
    <xf numFmtId="44" fontId="22" fillId="37" borderId="14" xfId="75" applyFont="1" applyFill="1" applyBorder="1"/>
    <xf numFmtId="43" fontId="82" fillId="0" borderId="0" xfId="67" applyFont="1" applyFill="1" applyBorder="1" applyAlignment="1" applyProtection="1">
      <alignment horizontal="right"/>
      <protection locked="0"/>
    </xf>
    <xf numFmtId="43" fontId="85" fillId="0" borderId="0" xfId="67" applyFont="1" applyFill="1" applyBorder="1" applyAlignment="1" applyProtection="1">
      <alignment horizontal="right"/>
      <protection locked="0"/>
    </xf>
    <xf numFmtId="43" fontId="82" fillId="0" borderId="15" xfId="68" applyFont="1" applyBorder="1" applyAlignment="1" applyProtection="1">
      <alignment horizontal="right"/>
      <protection locked="0"/>
    </xf>
    <xf numFmtId="43" fontId="82" fillId="0" borderId="15" xfId="68" applyFont="1" applyBorder="1" applyProtection="1">
      <protection locked="0"/>
    </xf>
    <xf numFmtId="43" fontId="85" fillId="0" borderId="15" xfId="68" applyFont="1" applyBorder="1" applyProtection="1">
      <protection locked="0"/>
    </xf>
    <xf numFmtId="43" fontId="82" fillId="0" borderId="0" xfId="68" applyFont="1" applyBorder="1" applyAlignment="1" applyProtection="1">
      <alignment horizontal="right"/>
      <protection locked="0"/>
    </xf>
    <xf numFmtId="43" fontId="85" fillId="0" borderId="0" xfId="68" applyFont="1" applyBorder="1" applyAlignment="1" applyProtection="1">
      <alignment horizontal="right"/>
      <protection locked="0"/>
    </xf>
    <xf numFmtId="43" fontId="82" fillId="0" borderId="0" xfId="68" applyFont="1" applyBorder="1" applyProtection="1">
      <protection locked="0"/>
    </xf>
    <xf numFmtId="43" fontId="85" fillId="0" borderId="0" xfId="68" applyFont="1" applyBorder="1" applyProtection="1">
      <protection locked="0"/>
    </xf>
    <xf numFmtId="43" fontId="82" fillId="0" borderId="0" xfId="67" applyFont="1" applyBorder="1" applyAlignment="1" applyProtection="1">
      <alignment horizontal="right"/>
      <protection locked="0"/>
    </xf>
    <xf numFmtId="43" fontId="85" fillId="0" borderId="0" xfId="67" applyFont="1" applyBorder="1" applyAlignment="1" applyProtection="1">
      <alignment horizontal="right"/>
      <protection locked="0"/>
    </xf>
    <xf numFmtId="43" fontId="84" fillId="0" borderId="0" xfId="0" applyNumberFormat="1" applyFont="1" applyAlignment="1"/>
    <xf numFmtId="2" fontId="84" fillId="0" borderId="0" xfId="0" applyNumberFormat="1" applyFont="1" applyFill="1" applyAlignment="1"/>
    <xf numFmtId="43" fontId="84" fillId="0" borderId="0" xfId="67" applyFont="1" applyAlignment="1"/>
    <xf numFmtId="44" fontId="84" fillId="0" borderId="0" xfId="75" applyFont="1"/>
    <xf numFmtId="0" fontId="84" fillId="0" borderId="0" xfId="0" applyFont="1"/>
    <xf numFmtId="0" fontId="17" fillId="37" borderId="6" xfId="0" applyFont="1" applyFill="1" applyBorder="1" applyAlignment="1">
      <alignment horizontal="center"/>
    </xf>
    <xf numFmtId="0" fontId="17" fillId="37" borderId="0" xfId="0" applyFont="1" applyFill="1" applyBorder="1" applyAlignment="1">
      <alignment horizontal="center"/>
    </xf>
    <xf numFmtId="0" fontId="18" fillId="37" borderId="6" xfId="0" applyFont="1" applyFill="1" applyBorder="1" applyAlignment="1">
      <alignment horizontal="center"/>
    </xf>
    <xf numFmtId="0" fontId="18" fillId="37" borderId="0" xfId="0" applyFont="1" applyFill="1" applyBorder="1" applyAlignment="1">
      <alignment horizontal="center"/>
    </xf>
    <xf numFmtId="0" fontId="18" fillId="40" borderId="6" xfId="0" applyFont="1" applyFill="1" applyBorder="1" applyAlignment="1">
      <alignment horizontal="center"/>
    </xf>
    <xf numFmtId="0" fontId="18" fillId="40" borderId="0" xfId="0" applyFont="1" applyFill="1" applyBorder="1" applyAlignment="1">
      <alignment horizontal="center"/>
    </xf>
    <xf numFmtId="0" fontId="18" fillId="40" borderId="11" xfId="0" applyFont="1" applyFill="1" applyBorder="1" applyAlignment="1">
      <alignment horizontal="center"/>
    </xf>
    <xf numFmtId="0" fontId="18" fillId="41" borderId="6" xfId="0" applyFont="1" applyFill="1" applyBorder="1" applyAlignment="1">
      <alignment horizontal="center"/>
    </xf>
    <xf numFmtId="0" fontId="18" fillId="41" borderId="0" xfId="0" applyFont="1" applyFill="1" applyBorder="1" applyAlignment="1">
      <alignment horizontal="center"/>
    </xf>
    <xf numFmtId="0" fontId="18" fillId="41" borderId="11" xfId="0" applyFont="1" applyFill="1" applyBorder="1" applyAlignment="1">
      <alignment horizontal="center"/>
    </xf>
    <xf numFmtId="0" fontId="18" fillId="38" borderId="6" xfId="0" applyFont="1" applyFill="1" applyBorder="1" applyAlignment="1">
      <alignment horizontal="center"/>
    </xf>
    <xf numFmtId="0" fontId="18" fillId="38" borderId="0" xfId="0" applyFont="1" applyFill="1" applyBorder="1" applyAlignment="1">
      <alignment horizontal="center"/>
    </xf>
    <xf numFmtId="0" fontId="18" fillId="39" borderId="6" xfId="0" applyFont="1" applyFill="1" applyBorder="1" applyAlignment="1">
      <alignment horizontal="center"/>
    </xf>
    <xf numFmtId="0" fontId="18" fillId="39" borderId="0" xfId="0" applyFont="1" applyFill="1" applyBorder="1" applyAlignment="1">
      <alignment horizontal="center"/>
    </xf>
    <xf numFmtId="0" fontId="18" fillId="39" borderId="11" xfId="0" applyFont="1" applyFill="1" applyBorder="1" applyAlignment="1">
      <alignment horizontal="center"/>
    </xf>
    <xf numFmtId="0" fontId="18" fillId="43" borderId="6" xfId="0" applyFont="1" applyFill="1" applyBorder="1" applyAlignment="1">
      <alignment horizontal="center"/>
    </xf>
    <xf numFmtId="0" fontId="18" fillId="43" borderId="0" xfId="0" applyFont="1" applyFill="1" applyBorder="1" applyAlignment="1">
      <alignment horizontal="center"/>
    </xf>
    <xf numFmtId="0" fontId="18" fillId="43" borderId="11" xfId="0" applyFont="1" applyFill="1" applyBorder="1" applyAlignment="1">
      <alignment horizontal="center"/>
    </xf>
    <xf numFmtId="0" fontId="18" fillId="42" borderId="0" xfId="0" applyFont="1" applyFill="1" applyBorder="1" applyAlignment="1">
      <alignment horizontal="center"/>
    </xf>
    <xf numFmtId="0" fontId="18" fillId="42" borderId="11" xfId="0" applyFont="1" applyFill="1" applyBorder="1" applyAlignment="1">
      <alignment horizontal="center"/>
    </xf>
    <xf numFmtId="0" fontId="18" fillId="37" borderId="11" xfId="0" applyFont="1" applyFill="1" applyBorder="1" applyAlignment="1">
      <alignment horizontal="center"/>
    </xf>
    <xf numFmtId="0" fontId="18" fillId="44" borderId="6" xfId="0" applyFont="1" applyFill="1" applyBorder="1" applyAlignment="1">
      <alignment horizontal="center"/>
    </xf>
    <xf numFmtId="0" fontId="18" fillId="44" borderId="0" xfId="0" applyFont="1" applyFill="1" applyBorder="1" applyAlignment="1">
      <alignment horizontal="center"/>
    </xf>
    <xf numFmtId="0" fontId="18" fillId="44" borderId="11" xfId="0" applyFont="1" applyFill="1" applyBorder="1" applyAlignment="1">
      <alignment horizontal="center"/>
    </xf>
    <xf numFmtId="164" fontId="86" fillId="0" borderId="0" xfId="68" applyNumberFormat="1" applyFont="1" applyFill="1"/>
    <xf numFmtId="164" fontId="86" fillId="0" borderId="0" xfId="68" applyNumberFormat="1" applyFont="1"/>
    <xf numFmtId="43" fontId="12" fillId="0" borderId="0" xfId="0" applyNumberFormat="1" applyFont="1" applyFill="1" applyAlignment="1"/>
    <xf numFmtId="44" fontId="83" fillId="37" borderId="0" xfId="75" applyFont="1" applyFill="1" applyBorder="1"/>
    <xf numFmtId="44" fontId="33" fillId="37" borderId="0" xfId="75" applyNumberFormat="1" applyFont="1" applyFill="1" applyBorder="1"/>
    <xf numFmtId="44" fontId="12" fillId="37" borderId="0" xfId="75" applyFont="1" applyFill="1" applyBorder="1"/>
    <xf numFmtId="44" fontId="22" fillId="37" borderId="1" xfId="75" applyFont="1" applyFill="1" applyBorder="1"/>
    <xf numFmtId="0" fontId="2" fillId="39" borderId="6" xfId="0" applyFont="1" applyFill="1" applyBorder="1"/>
    <xf numFmtId="0" fontId="0" fillId="39" borderId="13" xfId="0" applyFill="1" applyBorder="1"/>
    <xf numFmtId="0" fontId="0" fillId="39" borderId="14" xfId="0" applyFill="1" applyBorder="1"/>
    <xf numFmtId="14" fontId="0" fillId="0" borderId="0" xfId="0" applyNumberFormat="1"/>
    <xf numFmtId="0" fontId="17" fillId="39" borderId="6" xfId="0" applyFont="1" applyFill="1" applyBorder="1" applyAlignment="1">
      <alignment horizontal="center"/>
    </xf>
    <xf numFmtId="0" fontId="17" fillId="39" borderId="11" xfId="0" applyFont="1" applyFill="1" applyBorder="1" applyAlignment="1">
      <alignment horizontal="center"/>
    </xf>
    <xf numFmtId="0" fontId="18" fillId="39" borderId="6" xfId="0" applyFont="1" applyFill="1" applyBorder="1" applyAlignment="1">
      <alignment horizontal="center"/>
    </xf>
    <xf numFmtId="0" fontId="18" fillId="39" borderId="11" xfId="0" applyFont="1" applyFill="1" applyBorder="1" applyAlignment="1">
      <alignment horizontal="center"/>
    </xf>
    <xf numFmtId="0" fontId="18" fillId="41" borderId="6" xfId="0" applyFont="1" applyFill="1" applyBorder="1" applyAlignment="1">
      <alignment horizontal="center"/>
    </xf>
    <xf numFmtId="0" fontId="18" fillId="41" borderId="0" xfId="0" applyFont="1" applyFill="1" applyBorder="1" applyAlignment="1">
      <alignment horizontal="center"/>
    </xf>
    <xf numFmtId="0" fontId="18" fillId="41" borderId="11" xfId="0" applyFont="1" applyFill="1" applyBorder="1" applyAlignment="1">
      <alignment horizontal="center"/>
    </xf>
    <xf numFmtId="165" fontId="39" fillId="41" borderId="0" xfId="75" applyNumberFormat="1" applyFont="1" applyFill="1" applyBorder="1"/>
    <xf numFmtId="44" fontId="83" fillId="41" borderId="11" xfId="75" applyFont="1" applyFill="1" applyBorder="1"/>
    <xf numFmtId="8" fontId="0" fillId="41" borderId="0" xfId="0" applyNumberFormat="1" applyFill="1" applyBorder="1"/>
    <xf numFmtId="0" fontId="2" fillId="41" borderId="6" xfId="0" applyFont="1" applyFill="1" applyBorder="1"/>
    <xf numFmtId="44" fontId="33" fillId="41" borderId="11" xfId="75" applyNumberFormat="1" applyFont="1" applyFill="1" applyBorder="1"/>
    <xf numFmtId="0" fontId="0" fillId="41" borderId="13" xfId="0" applyFill="1" applyBorder="1"/>
    <xf numFmtId="0" fontId="0" fillId="41" borderId="14" xfId="0" applyFill="1" applyBorder="1"/>
    <xf numFmtId="44" fontId="12" fillId="41" borderId="11" xfId="75" applyFont="1" applyFill="1" applyBorder="1"/>
    <xf numFmtId="0" fontId="5" fillId="39" borderId="0" xfId="0" applyFont="1" applyFill="1"/>
    <xf numFmtId="0" fontId="16" fillId="39" borderId="0" xfId="0" applyFont="1" applyFill="1"/>
    <xf numFmtId="0" fontId="0" fillId="39" borderId="0" xfId="0" applyFill="1"/>
    <xf numFmtId="15" fontId="5" fillId="39" borderId="0" xfId="0" applyNumberFormat="1" applyFont="1" applyFill="1"/>
    <xf numFmtId="0" fontId="17" fillId="39" borderId="0" xfId="0" applyFont="1" applyFill="1" applyAlignment="1">
      <alignment horizontal="center"/>
    </xf>
    <xf numFmtId="0" fontId="18" fillId="39" borderId="0" xfId="0" applyFont="1" applyFill="1" applyAlignment="1">
      <alignment horizontal="center"/>
    </xf>
    <xf numFmtId="0" fontId="5" fillId="39" borderId="0" xfId="0" applyFont="1" applyFill="1" applyAlignment="1">
      <alignment horizontal="center"/>
    </xf>
    <xf numFmtId="0" fontId="6" fillId="39" borderId="0" xfId="0" applyFont="1" applyFill="1" applyAlignment="1">
      <alignment horizontal="center"/>
    </xf>
    <xf numFmtId="0" fontId="19" fillId="39" borderId="0" xfId="0" applyFont="1" applyFill="1"/>
    <xf numFmtId="0" fontId="0" fillId="39" borderId="0" xfId="0" applyFill="1" applyAlignment="1">
      <alignment horizontal="center"/>
    </xf>
    <xf numFmtId="41" fontId="0" fillId="39" borderId="0" xfId="0" applyNumberFormat="1" applyFill="1"/>
    <xf numFmtId="44" fontId="20" fillId="39" borderId="0" xfId="76" applyFont="1" applyFill="1" applyBorder="1"/>
    <xf numFmtId="167" fontId="20" fillId="39" borderId="0" xfId="76" applyNumberFormat="1" applyFont="1" applyFill="1" applyBorder="1"/>
    <xf numFmtId="0" fontId="21" fillId="39" borderId="0" xfId="0" applyFont="1" applyFill="1"/>
    <xf numFmtId="41" fontId="12" fillId="39" borderId="0" xfId="0" applyNumberFormat="1" applyFont="1" applyFill="1"/>
    <xf numFmtId="41" fontId="5" fillId="39" borderId="0" xfId="0" applyNumberFormat="1" applyFont="1" applyFill="1"/>
    <xf numFmtId="164" fontId="0" fillId="39" borderId="0" xfId="0" applyNumberFormat="1" applyFill="1"/>
    <xf numFmtId="44" fontId="1" fillId="39" borderId="11" xfId="76" applyFont="1" applyFill="1" applyBorder="1"/>
    <xf numFmtId="44" fontId="12" fillId="39" borderId="11" xfId="76" applyFont="1" applyFill="1" applyBorder="1"/>
    <xf numFmtId="44" fontId="22" fillId="39" borderId="12" xfId="76" applyFont="1" applyFill="1" applyBorder="1"/>
    <xf numFmtId="44" fontId="22" fillId="39" borderId="11" xfId="76" applyFont="1" applyFill="1" applyBorder="1"/>
    <xf numFmtId="165" fontId="39" fillId="39" borderId="0" xfId="76" applyNumberFormat="1" applyFont="1" applyFill="1" applyBorder="1"/>
    <xf numFmtId="44" fontId="83" fillId="39" borderId="11" xfId="76" applyFont="1" applyFill="1" applyBorder="1"/>
    <xf numFmtId="8" fontId="0" fillId="39" borderId="0" xfId="0" applyNumberFormat="1" applyFill="1"/>
    <xf numFmtId="44" fontId="33" fillId="39" borderId="11" xfId="76" applyFont="1" applyFill="1" applyBorder="1"/>
    <xf numFmtId="165" fontId="1" fillId="39" borderId="0" xfId="76" applyNumberFormat="1" applyFont="1" applyFill="1" applyBorder="1"/>
    <xf numFmtId="44" fontId="22" fillId="39" borderId="14" xfId="76" applyFont="1" applyFill="1" applyBorder="1"/>
    <xf numFmtId="0" fontId="15" fillId="45" borderId="4" xfId="0" applyFont="1" applyFill="1" applyBorder="1"/>
    <xf numFmtId="0" fontId="15" fillId="45" borderId="5" xfId="0" applyFont="1" applyFill="1" applyBorder="1"/>
    <xf numFmtId="0" fontId="0" fillId="45" borderId="5" xfId="0" applyFill="1" applyBorder="1"/>
    <xf numFmtId="0" fontId="0" fillId="45" borderId="10" xfId="0" applyFill="1" applyBorder="1"/>
    <xf numFmtId="0" fontId="5" fillId="45" borderId="6" xfId="0" applyFont="1" applyFill="1" applyBorder="1"/>
    <xf numFmtId="0" fontId="5" fillId="45" borderId="0" xfId="0" applyFont="1" applyFill="1"/>
    <xf numFmtId="0" fontId="16" fillId="45" borderId="0" xfId="0" applyFont="1" applyFill="1"/>
    <xf numFmtId="0" fontId="0" fillId="45" borderId="0" xfId="0" applyFill="1"/>
    <xf numFmtId="0" fontId="0" fillId="45" borderId="11" xfId="0" applyFill="1" applyBorder="1"/>
    <xf numFmtId="15" fontId="5" fillId="45" borderId="6" xfId="0" applyNumberFormat="1" applyFont="1" applyFill="1" applyBorder="1"/>
    <xf numFmtId="15" fontId="5" fillId="45" borderId="0" xfId="0" applyNumberFormat="1" applyFont="1" applyFill="1"/>
    <xf numFmtId="0" fontId="0" fillId="45" borderId="6" xfId="0" applyFill="1" applyBorder="1"/>
    <xf numFmtId="0" fontId="5" fillId="45" borderId="0" xfId="0" applyFont="1" applyFill="1" applyAlignment="1">
      <alignment horizontal="center"/>
    </xf>
    <xf numFmtId="0" fontId="6" fillId="45" borderId="0" xfId="0" applyFont="1" applyFill="1" applyAlignment="1">
      <alignment horizontal="center"/>
    </xf>
    <xf numFmtId="0" fontId="19" fillId="45" borderId="7" xfId="0" applyFont="1" applyFill="1" applyBorder="1"/>
    <xf numFmtId="0" fontId="19" fillId="45" borderId="0" xfId="0" applyFont="1" applyFill="1"/>
    <xf numFmtId="0" fontId="0" fillId="45" borderId="0" xfId="0" applyFill="1" applyAlignment="1">
      <alignment horizontal="center"/>
    </xf>
    <xf numFmtId="0" fontId="1" fillId="45" borderId="6" xfId="0" applyFont="1" applyFill="1" applyBorder="1"/>
    <xf numFmtId="41" fontId="0" fillId="45" borderId="0" xfId="0" applyNumberFormat="1" applyFill="1"/>
    <xf numFmtId="44" fontId="20" fillId="45" borderId="0" xfId="76" applyFont="1" applyFill="1" applyBorder="1"/>
    <xf numFmtId="167" fontId="20" fillId="45" borderId="0" xfId="76" applyNumberFormat="1" applyFont="1" applyFill="1" applyBorder="1"/>
    <xf numFmtId="0" fontId="21" fillId="45" borderId="0" xfId="0" applyFont="1" applyFill="1"/>
    <xf numFmtId="41" fontId="12" fillId="45" borderId="0" xfId="0" applyNumberFormat="1" applyFont="1" applyFill="1"/>
    <xf numFmtId="41" fontId="5" fillId="45" borderId="0" xfId="0" applyNumberFormat="1" applyFont="1" applyFill="1"/>
    <xf numFmtId="0" fontId="5" fillId="45" borderId="11" xfId="0" applyFont="1" applyFill="1" applyBorder="1"/>
    <xf numFmtId="164" fontId="0" fillId="45" borderId="0" xfId="0" applyNumberFormat="1" applyFill="1"/>
    <xf numFmtId="0" fontId="1" fillId="45" borderId="6" xfId="0" applyFont="1" applyFill="1" applyBorder="1" applyAlignment="1">
      <alignment horizontal="right"/>
    </xf>
    <xf numFmtId="44" fontId="1" fillId="45" borderId="11" xfId="76" applyFont="1" applyFill="1" applyBorder="1"/>
    <xf numFmtId="44" fontId="12" fillId="45" borderId="11" xfId="76" applyFont="1" applyFill="1" applyBorder="1"/>
    <xf numFmtId="44" fontId="22" fillId="45" borderId="12" xfId="76" applyFont="1" applyFill="1" applyBorder="1"/>
    <xf numFmtId="44" fontId="22" fillId="45" borderId="11" xfId="76" applyFont="1" applyFill="1" applyBorder="1"/>
    <xf numFmtId="165" fontId="40" fillId="45" borderId="0" xfId="76" applyNumberFormat="1" applyFont="1" applyFill="1" applyBorder="1"/>
    <xf numFmtId="44" fontId="83" fillId="45" borderId="11" xfId="76" applyFont="1" applyFill="1" applyBorder="1"/>
    <xf numFmtId="8" fontId="0" fillId="45" borderId="0" xfId="0" applyNumberFormat="1" applyFill="1"/>
    <xf numFmtId="0" fontId="2" fillId="45" borderId="6" xfId="0" applyFont="1" applyFill="1" applyBorder="1"/>
    <xf numFmtId="44" fontId="33" fillId="45" borderId="11" xfId="76" applyFont="1" applyFill="1" applyBorder="1"/>
    <xf numFmtId="0" fontId="0" fillId="45" borderId="13" xfId="0" applyFill="1" applyBorder="1"/>
    <xf numFmtId="0" fontId="0" fillId="45" borderId="1" xfId="0" applyFill="1" applyBorder="1"/>
    <xf numFmtId="0" fontId="0" fillId="45" borderId="14" xfId="0" applyFill="1" applyBorder="1"/>
    <xf numFmtId="0" fontId="18" fillId="45" borderId="6" xfId="0" applyFont="1" applyFill="1" applyBorder="1" applyAlignment="1">
      <alignment horizontal="center"/>
    </xf>
    <xf numFmtId="0" fontId="18" fillId="45" borderId="0" xfId="0" applyFont="1" applyFill="1" applyAlignment="1">
      <alignment horizontal="center"/>
    </xf>
    <xf numFmtId="0" fontId="18" fillId="45" borderId="11" xfId="0" applyFont="1" applyFill="1" applyBorder="1" applyAlignment="1">
      <alignment horizontal="center"/>
    </xf>
    <xf numFmtId="0" fontId="5" fillId="45" borderId="9" xfId="0" applyFont="1" applyFill="1" applyBorder="1" applyAlignment="1">
      <alignment horizontal="center"/>
    </xf>
    <xf numFmtId="165" fontId="1" fillId="45" borderId="0" xfId="76" applyNumberFormat="1" applyFont="1" applyFill="1" applyBorder="1"/>
    <xf numFmtId="0" fontId="5" fillId="45" borderId="13" xfId="0" applyFont="1" applyFill="1" applyBorder="1"/>
    <xf numFmtId="0" fontId="5" fillId="45" borderId="1" xfId="0" applyFont="1" applyFill="1" applyBorder="1"/>
    <xf numFmtId="44" fontId="22" fillId="45" borderId="14" xfId="76" applyFont="1" applyFill="1" applyBorder="1"/>
    <xf numFmtId="0" fontId="17" fillId="39" borderId="6" xfId="0" applyFont="1" applyFill="1" applyBorder="1" applyAlignment="1">
      <alignment horizontal="center"/>
    </xf>
    <xf numFmtId="0" fontId="17" fillId="39" borderId="0" xfId="0" applyFont="1" applyFill="1" applyBorder="1" applyAlignment="1">
      <alignment horizontal="center"/>
    </xf>
    <xf numFmtId="0" fontId="17" fillId="39" borderId="11" xfId="0" applyFont="1" applyFill="1" applyBorder="1" applyAlignment="1">
      <alignment horizontal="center"/>
    </xf>
    <xf numFmtId="0" fontId="18" fillId="39" borderId="6" xfId="0" applyFont="1" applyFill="1" applyBorder="1" applyAlignment="1">
      <alignment horizontal="center"/>
    </xf>
    <xf numFmtId="0" fontId="18" fillId="39" borderId="0" xfId="0" applyFont="1" applyFill="1" applyBorder="1" applyAlignment="1">
      <alignment horizontal="center"/>
    </xf>
    <xf numFmtId="0" fontId="18" fillId="39" borderId="11" xfId="0" applyFont="1" applyFill="1" applyBorder="1" applyAlignment="1">
      <alignment horizontal="center"/>
    </xf>
    <xf numFmtId="0" fontId="17" fillId="45" borderId="6" xfId="0" applyFont="1" applyFill="1" applyBorder="1" applyAlignment="1">
      <alignment horizontal="center"/>
    </xf>
    <xf numFmtId="0" fontId="17" fillId="45" borderId="0" xfId="0" applyFont="1" applyFill="1" applyAlignment="1">
      <alignment horizontal="center"/>
    </xf>
    <xf numFmtId="0" fontId="17" fillId="45" borderId="11" xfId="0" applyFont="1" applyFill="1" applyBorder="1" applyAlignment="1">
      <alignment horizontal="center"/>
    </xf>
    <xf numFmtId="0" fontId="18" fillId="45" borderId="6" xfId="0" applyFont="1" applyFill="1" applyBorder="1" applyAlignment="1">
      <alignment horizontal="center"/>
    </xf>
    <xf numFmtId="0" fontId="18" fillId="45" borderId="0" xfId="0" applyFont="1" applyFill="1" applyAlignment="1">
      <alignment horizontal="center"/>
    </xf>
    <xf numFmtId="0" fontId="18" fillId="45" borderId="11" xfId="0" applyFont="1" applyFill="1" applyBorder="1" applyAlignment="1">
      <alignment horizontal="center"/>
    </xf>
    <xf numFmtId="0" fontId="17" fillId="41" borderId="6" xfId="0" applyFont="1" applyFill="1" applyBorder="1" applyAlignment="1">
      <alignment horizontal="center"/>
    </xf>
    <xf numFmtId="0" fontId="17" fillId="41" borderId="0" xfId="0" applyFont="1" applyFill="1" applyBorder="1" applyAlignment="1">
      <alignment horizontal="center"/>
    </xf>
    <xf numFmtId="0" fontId="17" fillId="41" borderId="11" xfId="0" applyFont="1" applyFill="1" applyBorder="1" applyAlignment="1">
      <alignment horizontal="center"/>
    </xf>
    <xf numFmtId="0" fontId="18" fillId="41" borderId="6" xfId="0" applyFont="1" applyFill="1" applyBorder="1" applyAlignment="1">
      <alignment horizontal="center"/>
    </xf>
    <xf numFmtId="0" fontId="18" fillId="41" borderId="0" xfId="0" applyFont="1" applyFill="1" applyBorder="1" applyAlignment="1">
      <alignment horizontal="center"/>
    </xf>
    <xf numFmtId="0" fontId="18" fillId="41" borderId="11" xfId="0" applyFont="1" applyFill="1" applyBorder="1" applyAlignment="1">
      <alignment horizontal="center"/>
    </xf>
    <xf numFmtId="0" fontId="17" fillId="43" borderId="6" xfId="0" applyFont="1" applyFill="1" applyBorder="1" applyAlignment="1">
      <alignment horizontal="center"/>
    </xf>
    <xf numFmtId="0" fontId="17" fillId="43" borderId="0" xfId="0" applyFont="1" applyFill="1" applyBorder="1" applyAlignment="1">
      <alignment horizontal="center"/>
    </xf>
    <xf numFmtId="0" fontId="17" fillId="43" borderId="11" xfId="0" applyFont="1" applyFill="1" applyBorder="1" applyAlignment="1">
      <alignment horizontal="center"/>
    </xf>
    <xf numFmtId="0" fontId="18" fillId="43" borderId="6" xfId="0" applyFont="1" applyFill="1" applyBorder="1" applyAlignment="1">
      <alignment horizontal="center"/>
    </xf>
    <xf numFmtId="0" fontId="18" fillId="43" borderId="0" xfId="0" applyFont="1" applyFill="1" applyBorder="1" applyAlignment="1">
      <alignment horizontal="center"/>
    </xf>
    <xf numFmtId="0" fontId="18" fillId="43" borderId="11" xfId="0" applyFont="1" applyFill="1" applyBorder="1" applyAlignment="1">
      <alignment horizontal="center"/>
    </xf>
    <xf numFmtId="0" fontId="17" fillId="44" borderId="6" xfId="0" applyFont="1" applyFill="1" applyBorder="1" applyAlignment="1">
      <alignment horizontal="center"/>
    </xf>
    <xf numFmtId="0" fontId="17" fillId="44" borderId="0" xfId="0" applyFont="1" applyFill="1" applyBorder="1" applyAlignment="1">
      <alignment horizontal="center"/>
    </xf>
    <xf numFmtId="0" fontId="17" fillId="44" borderId="11" xfId="0" applyFont="1" applyFill="1" applyBorder="1" applyAlignment="1">
      <alignment horizontal="center"/>
    </xf>
    <xf numFmtId="0" fontId="18" fillId="44" borderId="6" xfId="0" applyFont="1" applyFill="1" applyBorder="1" applyAlignment="1">
      <alignment horizontal="center"/>
    </xf>
    <xf numFmtId="0" fontId="18" fillId="44" borderId="0" xfId="0" applyFont="1" applyFill="1" applyBorder="1" applyAlignment="1">
      <alignment horizontal="center"/>
    </xf>
    <xf numFmtId="0" fontId="18" fillId="44" borderId="11" xfId="0" applyFont="1" applyFill="1" applyBorder="1" applyAlignment="1">
      <alignment horizontal="center"/>
    </xf>
    <xf numFmtId="0" fontId="17" fillId="42" borderId="6" xfId="0" applyFont="1" applyFill="1" applyBorder="1" applyAlignment="1">
      <alignment horizontal="center"/>
    </xf>
    <xf numFmtId="0" fontId="17" fillId="42" borderId="0" xfId="0" applyFont="1" applyFill="1" applyBorder="1" applyAlignment="1">
      <alignment horizontal="center"/>
    </xf>
    <xf numFmtId="0" fontId="17" fillId="42" borderId="11" xfId="0" applyFont="1" applyFill="1" applyBorder="1" applyAlignment="1">
      <alignment horizontal="center"/>
    </xf>
    <xf numFmtId="0" fontId="18" fillId="42" borderId="6" xfId="0" applyFont="1" applyFill="1" applyBorder="1" applyAlignment="1">
      <alignment horizontal="center"/>
    </xf>
    <xf numFmtId="0" fontId="18" fillId="42" borderId="0" xfId="0" applyFont="1" applyFill="1" applyBorder="1" applyAlignment="1">
      <alignment horizontal="center"/>
    </xf>
    <xf numFmtId="0" fontId="18" fillId="42" borderId="11" xfId="0" applyFont="1" applyFill="1" applyBorder="1" applyAlignment="1">
      <alignment horizontal="center"/>
    </xf>
    <xf numFmtId="0" fontId="17" fillId="37" borderId="6" xfId="0" applyFont="1" applyFill="1" applyBorder="1" applyAlignment="1">
      <alignment horizontal="center"/>
    </xf>
    <xf numFmtId="0" fontId="17" fillId="37" borderId="0" xfId="0" applyFont="1" applyFill="1" applyBorder="1" applyAlignment="1">
      <alignment horizontal="center"/>
    </xf>
    <xf numFmtId="0" fontId="18" fillId="37" borderId="6" xfId="0" applyFont="1" applyFill="1" applyBorder="1" applyAlignment="1">
      <alignment horizontal="center"/>
    </xf>
    <xf numFmtId="0" fontId="18" fillId="37" borderId="0" xfId="0" applyFont="1" applyFill="1" applyBorder="1" applyAlignment="1">
      <alignment horizontal="center"/>
    </xf>
    <xf numFmtId="0" fontId="17" fillId="40" borderId="6" xfId="0" applyFont="1" applyFill="1" applyBorder="1" applyAlignment="1">
      <alignment horizontal="center"/>
    </xf>
    <xf numFmtId="0" fontId="17" fillId="40" borderId="0" xfId="0" applyFont="1" applyFill="1" applyBorder="1" applyAlignment="1">
      <alignment horizontal="center"/>
    </xf>
    <xf numFmtId="0" fontId="17" fillId="40" borderId="11" xfId="0" applyFont="1" applyFill="1" applyBorder="1" applyAlignment="1">
      <alignment horizontal="center"/>
    </xf>
    <xf numFmtId="0" fontId="18" fillId="40" borderId="6" xfId="0" applyFont="1" applyFill="1" applyBorder="1" applyAlignment="1">
      <alignment horizontal="center"/>
    </xf>
    <xf numFmtId="0" fontId="18" fillId="40" borderId="0" xfId="0" applyFont="1" applyFill="1" applyBorder="1" applyAlignment="1">
      <alignment horizontal="center"/>
    </xf>
    <xf numFmtId="0" fontId="18" fillId="40" borderId="11" xfId="0" applyFont="1" applyFill="1" applyBorder="1" applyAlignment="1">
      <alignment horizontal="center"/>
    </xf>
    <xf numFmtId="0" fontId="17" fillId="38" borderId="6" xfId="0" applyFont="1" applyFill="1" applyBorder="1" applyAlignment="1">
      <alignment horizontal="center"/>
    </xf>
    <xf numFmtId="0" fontId="17" fillId="38" borderId="0" xfId="0" applyFont="1" applyFill="1" applyBorder="1" applyAlignment="1">
      <alignment horizontal="center"/>
    </xf>
    <xf numFmtId="0" fontId="17" fillId="38" borderId="11" xfId="0" applyFont="1" applyFill="1" applyBorder="1" applyAlignment="1">
      <alignment horizontal="center"/>
    </xf>
    <xf numFmtId="0" fontId="18" fillId="38" borderId="6" xfId="0" applyFont="1" applyFill="1" applyBorder="1" applyAlignment="1">
      <alignment horizontal="center"/>
    </xf>
    <xf numFmtId="0" fontId="18" fillId="38" borderId="0" xfId="0" applyFont="1" applyFill="1" applyBorder="1" applyAlignment="1">
      <alignment horizontal="center"/>
    </xf>
    <xf numFmtId="0" fontId="18" fillId="38" borderId="11" xfId="0" applyFont="1" applyFill="1" applyBorder="1" applyAlignment="1">
      <alignment horizontal="center"/>
    </xf>
    <xf numFmtId="17" fontId="32" fillId="45" borderId="0" xfId="0" applyNumberFormat="1" applyFont="1" applyFill="1" applyBorder="1" applyAlignment="1">
      <alignment horizontal="center"/>
    </xf>
    <xf numFmtId="0" fontId="2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2" fillId="0" borderId="0" xfId="0" applyFont="1" applyAlignment="1">
      <alignment horizontal="center"/>
    </xf>
  </cellXfs>
  <cellStyles count="144">
    <cellStyle name="20% - Accent1" xfId="1" builtinId="30" customBuiltin="1"/>
    <cellStyle name="20% - Accent1 2" xfId="2" xr:uid="{F15F3D11-EDB3-4BD6-A184-157DCDF24257}"/>
    <cellStyle name="20% - Accent2" xfId="3" builtinId="34" customBuiltin="1"/>
    <cellStyle name="20% - Accent2 2" xfId="4" xr:uid="{2E4B613A-AA47-4192-B19C-6DC6B4BD8226}"/>
    <cellStyle name="20% - Accent3" xfId="5" builtinId="38" customBuiltin="1"/>
    <cellStyle name="20% - Accent3 2" xfId="6" xr:uid="{61760F30-8E6A-475B-945D-E974F52B57CD}"/>
    <cellStyle name="20% - Accent4" xfId="7" builtinId="42" customBuiltin="1"/>
    <cellStyle name="20% - Accent4 2" xfId="8" xr:uid="{F6E00438-2922-46E3-AC52-79CB7441A230}"/>
    <cellStyle name="20% - Accent5" xfId="9" builtinId="46" customBuiltin="1"/>
    <cellStyle name="20% - Accent5 2" xfId="10" xr:uid="{9283599B-A28B-44DB-8729-21121DDC832E}"/>
    <cellStyle name="20% - Accent6" xfId="11" builtinId="50" customBuiltin="1"/>
    <cellStyle name="20% - Accent6 2" xfId="12" xr:uid="{E8EE38B2-B8A9-4E61-BEC7-297DCAA13403}"/>
    <cellStyle name="40% - Accent1" xfId="13" builtinId="31" customBuiltin="1"/>
    <cellStyle name="40% - Accent1 2" xfId="14" xr:uid="{1175AFB0-FB8D-424F-BA87-5A3A70467B38}"/>
    <cellStyle name="40% - Accent2" xfId="15" builtinId="35" customBuiltin="1"/>
    <cellStyle name="40% - Accent2 2" xfId="16" xr:uid="{5E8408E0-0C4D-4F62-9547-5A8DAA8EE0F0}"/>
    <cellStyle name="40% - Accent3" xfId="17" builtinId="39" customBuiltin="1"/>
    <cellStyle name="40% - Accent3 2" xfId="18" xr:uid="{A39356B4-4D35-4321-BD66-265D82FA4E1A}"/>
    <cellStyle name="40% - Accent4" xfId="19" builtinId="43" customBuiltin="1"/>
    <cellStyle name="40% - Accent4 2" xfId="20" xr:uid="{D8BDFF9F-7594-4931-8704-3A54F720DF44}"/>
    <cellStyle name="40% - Accent5" xfId="21" builtinId="47" customBuiltin="1"/>
    <cellStyle name="40% - Accent5 2" xfId="22" xr:uid="{19F2146A-0D43-4FE9-9651-37EADC86C1EA}"/>
    <cellStyle name="40% - Accent6" xfId="23" builtinId="51" customBuiltin="1"/>
    <cellStyle name="40% - Accent6 2" xfId="24" xr:uid="{4C2D7FF7-72F9-4F53-8854-95ACD3A4DA35}"/>
    <cellStyle name="60% - Accent1 2" xfId="25" xr:uid="{2D3FD108-67B4-4780-AFE3-B3D5D305FF76}"/>
    <cellStyle name="60% - Accent1 2 2" xfId="26" xr:uid="{DB0ABA33-A393-40A8-A138-FD23E7185930}"/>
    <cellStyle name="60% - Accent1 3" xfId="27" xr:uid="{79C44B98-DABF-4ED1-B921-BDF6E50BC924}"/>
    <cellStyle name="60% - Accent1 4" xfId="28" xr:uid="{4A3DCC86-479A-4AA8-B3BA-5B4D1BBE39F8}"/>
    <cellStyle name="60% - Accent2 2" xfId="29" xr:uid="{8E4AFE91-4CFB-411E-A66B-5F914A25009A}"/>
    <cellStyle name="60% - Accent2 2 2" xfId="30" xr:uid="{848E8A5E-0C0D-4E35-9C66-F4A21188B256}"/>
    <cellStyle name="60% - Accent2 3" xfId="31" xr:uid="{348AB62D-6BDB-46A6-A922-69C8092A531B}"/>
    <cellStyle name="60% - Accent2 4" xfId="32" xr:uid="{BF837811-F9A1-4E1C-B4B0-8D543F03E2DE}"/>
    <cellStyle name="60% - Accent3 2" xfId="33" xr:uid="{73B68776-A356-40C4-9E00-B81D6BB58CFD}"/>
    <cellStyle name="60% - Accent3 2 2" xfId="34" xr:uid="{61650946-6E4C-41A7-B41C-563EF929D287}"/>
    <cellStyle name="60% - Accent3 3" xfId="35" xr:uid="{5B2C1AD3-C55F-43A1-A492-B9EEBDBD0DEC}"/>
    <cellStyle name="60% - Accent3 4" xfId="36" xr:uid="{0FDEFE70-29C1-4739-9EA5-C1ED9C9B780F}"/>
    <cellStyle name="60% - Accent4 2" xfId="37" xr:uid="{EE1DD2B6-7ACB-40C6-A7D8-66CBD961C74B}"/>
    <cellStyle name="60% - Accent4 2 2" xfId="38" xr:uid="{A0108C44-0F6E-4505-88C2-9F0E8358919A}"/>
    <cellStyle name="60% - Accent4 3" xfId="39" xr:uid="{EA81F738-0135-4EEA-ABA0-1007C9FB9792}"/>
    <cellStyle name="60% - Accent4 4" xfId="40" xr:uid="{E2C95AB2-06CD-4C6F-BCFD-331397CA43D8}"/>
    <cellStyle name="60% - Accent5 2" xfId="41" xr:uid="{09DBFBCB-7760-4DEB-ABA9-E8E346760002}"/>
    <cellStyle name="60% - Accent5 2 2" xfId="42" xr:uid="{B52A100C-F396-4159-A1DD-CA117F5D7538}"/>
    <cellStyle name="60% - Accent5 3" xfId="43" xr:uid="{B811A404-B790-42ED-B426-3D6C3F6A926C}"/>
    <cellStyle name="60% - Accent5 4" xfId="44" xr:uid="{82C978B9-EFFC-4295-B156-7CFE96632C9D}"/>
    <cellStyle name="60% - Accent6 2" xfId="45" xr:uid="{C263FAE6-C975-42B4-938A-DDAD314DB028}"/>
    <cellStyle name="60% - Accent6 2 2" xfId="46" xr:uid="{6F4D5A4B-CCAB-4683-A383-4B9A08F1BDEF}"/>
    <cellStyle name="60% - Accent6 3" xfId="47" xr:uid="{7856B703-54FA-43C7-9D6F-A22A7A7F531E}"/>
    <cellStyle name="60% - Accent6 4" xfId="48" xr:uid="{95BF0B3F-9469-4996-A4F0-F701E1627DED}"/>
    <cellStyle name="Accent1" xfId="49" builtinId="29" customBuiltin="1"/>
    <cellStyle name="Accent1 2" xfId="50" xr:uid="{6C36BAF4-2186-45F7-931B-2A9CACC2815A}"/>
    <cellStyle name="Accent2" xfId="51" builtinId="33" customBuiltin="1"/>
    <cellStyle name="Accent2 2" xfId="52" xr:uid="{114DF04F-3D62-41F5-BD52-C5ECA5144E26}"/>
    <cellStyle name="Accent3" xfId="53" builtinId="37" customBuiltin="1"/>
    <cellStyle name="Accent3 2" xfId="54" xr:uid="{DBEAEAD1-03C2-4AD8-ABB1-7CC693A1710D}"/>
    <cellStyle name="Accent4" xfId="55" builtinId="41" customBuiltin="1"/>
    <cellStyle name="Accent4 2" xfId="56" xr:uid="{87BD8A84-77D6-4157-8077-211D1F76AD27}"/>
    <cellStyle name="Accent5" xfId="57" builtinId="45" customBuiltin="1"/>
    <cellStyle name="Accent5 2" xfId="58" xr:uid="{F268E6CB-5EBC-41F9-908B-1391416EF638}"/>
    <cellStyle name="Accent6" xfId="59" builtinId="49" customBuiltin="1"/>
    <cellStyle name="Accent6 2" xfId="60" xr:uid="{6EA7F46F-9183-4FEF-96EF-BC45DE8B5152}"/>
    <cellStyle name="Bad" xfId="61" builtinId="27" customBuiltin="1"/>
    <cellStyle name="Bad 2" xfId="62" xr:uid="{C0BAF16E-A529-47E8-98DA-E9D26B000A9F}"/>
    <cellStyle name="Calculation" xfId="63" builtinId="22" customBuiltin="1"/>
    <cellStyle name="Calculation 2" xfId="64" xr:uid="{1B390F95-34C2-465A-B1E1-01E809C5C280}"/>
    <cellStyle name="Check Cell" xfId="65" builtinId="23" customBuiltin="1"/>
    <cellStyle name="Check Cell 2" xfId="66" xr:uid="{06619DD2-840A-45FD-9D45-4AD4FF36F78C}"/>
    <cellStyle name="Comma" xfId="67" builtinId="3"/>
    <cellStyle name="Comma 2" xfId="68" xr:uid="{3EFDC553-3454-45BD-9DE3-8104F9F6B1C1}"/>
    <cellStyle name="Comma 2 2" xfId="69" xr:uid="{111A4149-2762-4DCF-84CB-3E5DEC317909}"/>
    <cellStyle name="Comma 2 3" xfId="70" xr:uid="{EB38675F-1F16-4483-BD6F-04F640C9E5EB}"/>
    <cellStyle name="Comma 3" xfId="71" xr:uid="{B6A1694E-5A20-4DA4-8A19-86202203685E}"/>
    <cellStyle name="Comma 4" xfId="72" xr:uid="{20FE5248-D31B-4435-8A1B-199A2C31D2F0}"/>
    <cellStyle name="Comma 5" xfId="73" xr:uid="{0531CABD-413F-422A-8C74-9960E273144F}"/>
    <cellStyle name="Comma 6" xfId="74" xr:uid="{6AA40EA1-CD3D-4D11-ACD3-326BFCF1B02D}"/>
    <cellStyle name="Currency" xfId="75" builtinId="4"/>
    <cellStyle name="Currency 2" xfId="76" xr:uid="{59AD3A01-DBF1-448A-8813-1E00584BDDAD}"/>
    <cellStyle name="Currency 2 2" xfId="77" xr:uid="{7648083A-B7BC-46A4-8272-D5AF2EEB3F44}"/>
    <cellStyle name="Currency 3" xfId="78" xr:uid="{2A77F62F-7B69-4E39-AD74-DE100822A733}"/>
    <cellStyle name="Currency 4" xfId="79" xr:uid="{D31FAE27-2289-4E9D-8003-098748FF2823}"/>
    <cellStyle name="Currency 5" xfId="80" xr:uid="{3807BA63-E22B-47B4-B65E-85165F50BDB8}"/>
    <cellStyle name="Currency 6" xfId="81" xr:uid="{EC64A4A3-2A3E-4808-9FA5-E8FCA9E3F725}"/>
    <cellStyle name="Currency 7" xfId="82" xr:uid="{4837F9F0-5B95-40AF-9668-1D0ACE5ACBBD}"/>
    <cellStyle name="Explanatory Text" xfId="83" builtinId="53" customBuiltin="1"/>
    <cellStyle name="Explanatory Text 2" xfId="84" xr:uid="{5A948550-A74B-4D23-B4BE-58362C7D7C41}"/>
    <cellStyle name="Good" xfId="85" builtinId="26" customBuiltin="1"/>
    <cellStyle name="Good 2" xfId="86" xr:uid="{4CE053C2-8A6D-4347-9CC0-2E7CDD6F9F11}"/>
    <cellStyle name="Heading 1" xfId="87" builtinId="16" customBuiltin="1"/>
    <cellStyle name="Heading 1 2" xfId="88" xr:uid="{596597B2-258B-4E48-ABD6-1A351414D806}"/>
    <cellStyle name="Heading 2" xfId="89" builtinId="17" customBuiltin="1"/>
    <cellStyle name="Heading 2 2" xfId="90" xr:uid="{4599681A-ABCF-49A5-9023-B400F7A1C820}"/>
    <cellStyle name="Heading 3" xfId="91" builtinId="18" customBuiltin="1"/>
    <cellStyle name="Heading 3 2" xfId="92" xr:uid="{3C03D3FA-037C-445D-BA6E-727D6D04140F}"/>
    <cellStyle name="Heading 4" xfId="93" builtinId="19" customBuiltin="1"/>
    <cellStyle name="Heading 4 2" xfId="94" xr:uid="{E5922D22-50F5-47A2-9E64-0AF3A7C3E380}"/>
    <cellStyle name="Input" xfId="95" builtinId="20" customBuiltin="1"/>
    <cellStyle name="Input 2" xfId="96" xr:uid="{E98FFE82-9732-428E-90C7-14471E31AFA7}"/>
    <cellStyle name="Lines" xfId="97" xr:uid="{201FF7F8-1073-4949-8032-2EFB5F93203D}"/>
    <cellStyle name="Linked Cell" xfId="98" builtinId="24" customBuiltin="1"/>
    <cellStyle name="Linked Cell 2" xfId="99" xr:uid="{A6672B11-29EC-4429-8501-1B6C1C5AAA2D}"/>
    <cellStyle name="Neutral 2" xfId="100" xr:uid="{74321CE6-2C07-426A-94E4-A3AD076E502A}"/>
    <cellStyle name="Neutral 2 2" xfId="101" xr:uid="{508D1165-A658-40DF-93F9-AD308A2B82FE}"/>
    <cellStyle name="Neutral 3" xfId="102" xr:uid="{A8A3A269-EA0C-449C-B721-0785458BAC2E}"/>
    <cellStyle name="Neutral 4" xfId="103" xr:uid="{A6F8C8F6-821A-4A5D-974C-32E85A73AB8C}"/>
    <cellStyle name="Normal" xfId="0" builtinId="0"/>
    <cellStyle name="Normal 10" xfId="104" xr:uid="{0B747B7B-BFB7-4574-BED1-5EB9DBD1E9C8}"/>
    <cellStyle name="Normal 2" xfId="105" xr:uid="{00012629-32A4-462A-B488-D7AF6CF57C98}"/>
    <cellStyle name="Normal 2 2" xfId="106" xr:uid="{DD0B1B92-20A0-45AE-93BE-214B97BF5D72}"/>
    <cellStyle name="Normal 2 3" xfId="107" xr:uid="{EE716304-F3F7-4EC8-9FA5-BC4AB2EB548B}"/>
    <cellStyle name="Normal 3" xfId="108" xr:uid="{E6483BC3-DDCE-4C31-B609-64F37BECE4F8}"/>
    <cellStyle name="Normal 3 2" xfId="109" xr:uid="{A7D20742-B5EC-4758-8086-0C43544E6DE7}"/>
    <cellStyle name="Normal 4" xfId="110" xr:uid="{3468A151-FD61-4D1C-9AF1-603F8338ED47}"/>
    <cellStyle name="Normal 5" xfId="111" xr:uid="{58849EF8-428A-4EA4-A675-F3A800D9F6B2}"/>
    <cellStyle name="Normal 6" xfId="112" xr:uid="{983E16FE-BB3E-4B59-A9B3-7F23C747FEDB}"/>
    <cellStyle name="Normal 7" xfId="113" xr:uid="{9B2B1999-952B-4867-8248-29AE2BD6CB56}"/>
    <cellStyle name="Normal 8" xfId="114" xr:uid="{1C6CCCDC-AC2D-4A88-82C4-CBB431578B13}"/>
    <cellStyle name="Normal 9" xfId="115" xr:uid="{46D59759-14F3-4AED-BA9B-38877F0B5F7C}"/>
    <cellStyle name="Note 2" xfId="116" xr:uid="{98FBFBBE-D553-4487-930D-7DF3BC2A9314}"/>
    <cellStyle name="Note 3" xfId="117" xr:uid="{C2BA73D2-09A9-4B83-BC73-ACD2234169F3}"/>
    <cellStyle name="Output" xfId="118" builtinId="21" customBuiltin="1"/>
    <cellStyle name="Output 2" xfId="119" xr:uid="{F51AF510-3C47-47EE-B0FA-75CCF8045303}"/>
    <cellStyle name="Percent" xfId="120" builtinId="5"/>
    <cellStyle name="Percent 2" xfId="121" xr:uid="{5B561784-63F1-4358-83E8-49B9ADF2E779}"/>
    <cellStyle name="Percent 2 2" xfId="122" xr:uid="{B2BE2CE1-B3A5-4C95-BA7A-5C82690847EC}"/>
    <cellStyle name="Percent 3" xfId="123" xr:uid="{73B51B0D-12D4-4F32-98BB-593D5202CDED}"/>
    <cellStyle name="Percent 4" xfId="124" xr:uid="{1FC06072-5A70-4E49-8D17-EF3693D6A94C}"/>
    <cellStyle name="Percent 4 2" xfId="125" xr:uid="{915E26A7-7C91-4982-BF1B-82E4736795C2}"/>
    <cellStyle name="Percent 5" xfId="126" xr:uid="{A9EC8383-4DE8-49C3-81A3-BCE3874CA874}"/>
    <cellStyle name="Percent 6" xfId="127" xr:uid="{FC53412E-874A-4B19-B3EA-4FC19D5171C2}"/>
    <cellStyle name="Percent 7" xfId="128" xr:uid="{29F5E8A2-D9DE-4025-BBE5-797917A9412E}"/>
    <cellStyle name="PS_Comma" xfId="129" xr:uid="{A15B063F-F2AD-498C-ADAA-4D794CCF9AE7}"/>
    <cellStyle name="PSChar" xfId="130" xr:uid="{12A14CED-57C6-44FF-AE6D-E1F853B292ED}"/>
    <cellStyle name="PSDate" xfId="131" xr:uid="{03F48D84-7DA6-4550-B84F-3BB38BF38720}"/>
    <cellStyle name="PSDec" xfId="132" xr:uid="{42E5AEB2-3828-4AF7-A73C-EF5202065E6F}"/>
    <cellStyle name="PSHeading" xfId="133" xr:uid="{238A513F-C198-4F77-8396-223C4AB303F5}"/>
    <cellStyle name="PSInt" xfId="134" xr:uid="{09667405-5AF7-462F-B290-BF5B5B05D43D}"/>
    <cellStyle name="PSSpacer" xfId="135" xr:uid="{325C1E9B-F07B-4D24-ACDC-072C720AC190}"/>
    <cellStyle name="Title 2" xfId="136" xr:uid="{AB81D002-0092-43DD-88AA-939E4AFDE57B}"/>
    <cellStyle name="Title 3" xfId="137" xr:uid="{3EC873D5-B6FB-4E01-8285-F881F6C1F97F}"/>
    <cellStyle name="Total" xfId="138" builtinId="25" customBuiltin="1"/>
    <cellStyle name="Total 2" xfId="139" xr:uid="{90FEA0C1-971B-4491-8C1E-B13B9088D7A2}"/>
    <cellStyle name="Total 3" xfId="140" xr:uid="{139750D6-8330-414E-A646-4A7335380A6E}"/>
    <cellStyle name="Warning Text" xfId="141" builtinId="11" customBuiltin="1"/>
    <cellStyle name="Warning Text 2" xfId="142" xr:uid="{4A4E9574-0D4C-4EBF-93E9-86EC39B45963}"/>
    <cellStyle name="WM_STANDARD" xfId="143" xr:uid="{3786E770-5F58-4D51-A683-CC69CB3DA3CC}"/>
  </cellStyles>
  <dxfs count="0"/>
  <tableStyles count="1" defaultTableStyle="TableStyleMedium9" defaultPivotStyle="PivotStyleLight16">
    <tableStyle name="Invisible" pivot="0" table="0" count="0" xr9:uid="{AC38E5E6-DE22-461E-86D9-F1E56DD781A7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externalLink" Target="externalLinks/externalLink4.xml"/><Relationship Id="rId18" Type="http://schemas.openxmlformats.org/officeDocument/2006/relationships/externalLink" Target="externalLinks/externalLink9.xml"/><Relationship Id="rId26" Type="http://schemas.openxmlformats.org/officeDocument/2006/relationships/externalLink" Target="externalLinks/externalLink17.xml"/><Relationship Id="rId39" Type="http://schemas.openxmlformats.org/officeDocument/2006/relationships/customXml" Target="../customXml/item2.xml"/><Relationship Id="rId21" Type="http://schemas.openxmlformats.org/officeDocument/2006/relationships/externalLink" Target="externalLinks/externalLink12.xml"/><Relationship Id="rId34" Type="http://schemas.openxmlformats.org/officeDocument/2006/relationships/theme" Target="theme/theme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7.xml"/><Relationship Id="rId20" Type="http://schemas.openxmlformats.org/officeDocument/2006/relationships/externalLink" Target="externalLinks/externalLink11.xml"/><Relationship Id="rId29" Type="http://schemas.openxmlformats.org/officeDocument/2006/relationships/externalLink" Target="externalLinks/externalLink20.xml"/><Relationship Id="rId41" Type="http://schemas.openxmlformats.org/officeDocument/2006/relationships/customXml" Target="../customXml/item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24" Type="http://schemas.openxmlformats.org/officeDocument/2006/relationships/externalLink" Target="externalLinks/externalLink15.xml"/><Relationship Id="rId32" Type="http://schemas.openxmlformats.org/officeDocument/2006/relationships/externalLink" Target="externalLinks/externalLink23.xml"/><Relationship Id="rId37" Type="http://schemas.openxmlformats.org/officeDocument/2006/relationships/calcChain" Target="calcChain.xml"/><Relationship Id="rId40" Type="http://schemas.openxmlformats.org/officeDocument/2006/relationships/customXml" Target="../customXml/item3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6.xml"/><Relationship Id="rId23" Type="http://schemas.openxmlformats.org/officeDocument/2006/relationships/externalLink" Target="externalLinks/externalLink14.xml"/><Relationship Id="rId28" Type="http://schemas.openxmlformats.org/officeDocument/2006/relationships/externalLink" Target="externalLinks/externalLink19.xml"/><Relationship Id="rId36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19" Type="http://schemas.openxmlformats.org/officeDocument/2006/relationships/externalLink" Target="externalLinks/externalLink10.xml"/><Relationship Id="rId31" Type="http://schemas.openxmlformats.org/officeDocument/2006/relationships/externalLink" Target="externalLinks/externalLink2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5.xml"/><Relationship Id="rId22" Type="http://schemas.openxmlformats.org/officeDocument/2006/relationships/externalLink" Target="externalLinks/externalLink13.xml"/><Relationship Id="rId27" Type="http://schemas.openxmlformats.org/officeDocument/2006/relationships/externalLink" Target="externalLinks/externalLink18.xml"/><Relationship Id="rId30" Type="http://schemas.openxmlformats.org/officeDocument/2006/relationships/externalLink" Target="externalLinks/externalLink21.xml"/><Relationship Id="rId35" Type="http://schemas.openxmlformats.org/officeDocument/2006/relationships/styles" Target="styles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externalLink" Target="externalLinks/externalLink3.xml"/><Relationship Id="rId17" Type="http://schemas.openxmlformats.org/officeDocument/2006/relationships/externalLink" Target="externalLinks/externalLink8.xml"/><Relationship Id="rId25" Type="http://schemas.openxmlformats.org/officeDocument/2006/relationships/externalLink" Target="externalLinks/externalLink16.xml"/><Relationship Id="rId33" Type="http://schemas.openxmlformats.org/officeDocument/2006/relationships/externalLink" Target="externalLinks/externalLink24.xml"/><Relationship Id="rId38" Type="http://schemas.openxmlformats.org/officeDocument/2006/relationships/customXml" Target="../customXml/item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09-2024\CRC%20Passback%20Files%20-%209.2024\2024%20CRC%20Passback_9.2024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1-2025\K133-LGM-9000M-WA0021%20-%20JMK%20Residential%20Passback%2001.2025.xlsx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2-2025\K133-LGM-9000M-WA0021%20-%20JMK%20Residential%20Passback%2002.2025.xlsx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1-2025\CRC%20Passback%20Files%20-%202.2025\2025%20CRC%20Passback_2.2025.xls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3-2025\CRC%20Passback%20Files%20-%203.2025\Resi%20Passback_CRC_3.2025.xlsx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3-2025\K133-LGM-9000M-WA0021%20-%20JMK%20Residential%20Passback%2003.2025.xlsx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4-2025\04.2025%20-%20K133-LGM-9000MA-WA0021%20-%20JMK%20Residential%20Passback%20Correction.xlsx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4-2025\CRC%20Passback%20Files%20-%2004.2025\Resi%20Passback_CRC_4.2025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5-2025\CRC%20Passback%20Files%20-%2005.2025\Resi%20Passback_CRC_5.2025.xlsx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5-2025\05.2025%20-%20K133-LGM-9000M-WA0021%20-%20JMK%20Residential%20Passback.xlsx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6-2025\CRC%20Passback%20Files%20-%2006.2025\Resi%20Passback_CRC_6.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09-2024\K133-LGM-9000M-WA0021%20-%20JMK%20Residential%20Passback%2009.2024.xlsx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6-2025\06.2025%20-%20K133-LGM-9000M-WA0021%20-%20JMK%20Residential%20Passback.xlsx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7-2025\07.2025%20-%20K133-LGM-9000M-WA0021%20-%20JMK%20Residential%20Passback.xlsx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7-2025\CRC%20Passback%20Files%20-%2007.2025\Resi%20Passback_CRC_7.2025.xlsx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8-2025\08.2025%20-%20K133-LGM-9000M-WA0021%20-%20JMK%20Residential%20Passback.xlsx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8-2025\CRC%20Passback%20Files%20-%2008.2025\Resi%20Passback_CRC_8.202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0-2024\CRC%20Passback%20Files%20-%2010.2024\2024%20CRC%20Passback_10.2024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0-2024\K133-LGM-9000M-WA0021%20-%20JMK%20Residential%20Passback%2010.2024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1-2024\CRC%20Passback%20Files%20-%2011.2024\2024%20CRC%20Passback_11.2024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1-2024\K133-LGM-9000M-WA0021%20-%20JMK%20Residential%20Passback%2011.2024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2-2024\K133-LGM-9000M-WA0021%20-%20JMK%20Residential%20Passback%2012.2024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4%20Recycling%20Acctg%20Analysis\12-2024\CRC%20Passback%20Files%20-%2012.2024\2024%20CRC%20Passback_12.2024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Txhous10fps01\WAKIRK03FPS01\Group\Finance\ACCT\Recycling%20Accounting%20Analysis\2025%20Recycling%20Acctg%20Analysis\01-2025\CRC%20Passback%20Files%20-%201.2025\2025%20CRC%20Passback_1.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R6">
            <v>562.23</v>
          </cell>
        </row>
        <row r="7">
          <cell r="R7">
            <v>2414.7949999999996</v>
          </cell>
        </row>
        <row r="8">
          <cell r="R8">
            <v>1717.3360000000002</v>
          </cell>
        </row>
        <row r="9">
          <cell r="R9">
            <v>125.125</v>
          </cell>
        </row>
        <row r="10">
          <cell r="R10">
            <v>1482.1695</v>
          </cell>
        </row>
        <row r="11">
          <cell r="R11">
            <v>349.15000000000003</v>
          </cell>
        </row>
        <row r="12">
          <cell r="R12">
            <v>50.34</v>
          </cell>
        </row>
        <row r="13">
          <cell r="R13">
            <v>106.75999999999999</v>
          </cell>
        </row>
        <row r="15">
          <cell r="R15">
            <v>55.039999999999992</v>
          </cell>
        </row>
        <row r="16">
          <cell r="R16">
            <v>22.785</v>
          </cell>
        </row>
        <row r="18">
          <cell r="R18">
            <v>85.9</v>
          </cell>
        </row>
        <row r="19">
          <cell r="R19">
            <v>122.07000000000001</v>
          </cell>
        </row>
        <row r="20">
          <cell r="R20">
            <v>1740.0744999999999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Process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B4">
            <v>0</v>
          </cell>
          <cell r="C4">
            <v>62.07</v>
          </cell>
          <cell r="D4">
            <v>113.15</v>
          </cell>
          <cell r="E4">
            <v>1939.23</v>
          </cell>
          <cell r="F4">
            <v>192.69</v>
          </cell>
          <cell r="G4">
            <v>-16.77</v>
          </cell>
          <cell r="H4">
            <v>180</v>
          </cell>
          <cell r="J4">
            <v>1400</v>
          </cell>
          <cell r="K4">
            <v>160</v>
          </cell>
          <cell r="L4">
            <v>-187.5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5">
          <cell r="B5">
            <v>0</v>
          </cell>
          <cell r="C5">
            <v>67.36</v>
          </cell>
          <cell r="D5">
            <v>122.19</v>
          </cell>
          <cell r="E5">
            <v>2279.36</v>
          </cell>
          <cell r="F5">
            <v>204.3</v>
          </cell>
          <cell r="G5">
            <v>-16.16</v>
          </cell>
          <cell r="H5">
            <v>180</v>
          </cell>
          <cell r="J5">
            <v>1740</v>
          </cell>
          <cell r="K5">
            <v>180</v>
          </cell>
          <cell r="L5">
            <v>-187.5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D6">
            <v>987.08</v>
          </cell>
        </row>
        <row r="7">
          <cell r="D7">
            <v>1878.8400000000001</v>
          </cell>
        </row>
        <row r="8">
          <cell r="D8">
            <v>1575.08</v>
          </cell>
        </row>
        <row r="9">
          <cell r="D9">
            <v>108.37799999999999</v>
          </cell>
        </row>
        <row r="10">
          <cell r="D10">
            <v>1228.5899999999999</v>
          </cell>
        </row>
        <row r="11">
          <cell r="D11">
            <v>240.33599999999998</v>
          </cell>
        </row>
        <row r="12">
          <cell r="D12">
            <v>46.850499999999997</v>
          </cell>
        </row>
        <row r="13">
          <cell r="D13">
            <v>53.988</v>
          </cell>
        </row>
        <row r="15">
          <cell r="D15">
            <v>80.679500000000004</v>
          </cell>
        </row>
        <row r="16">
          <cell r="D16">
            <v>-13.051000000000002</v>
          </cell>
        </row>
        <row r="18">
          <cell r="D18">
            <v>70.069999999999993</v>
          </cell>
        </row>
        <row r="19">
          <cell r="D19">
            <v>130.25899999999999</v>
          </cell>
        </row>
        <row r="20">
          <cell r="D20">
            <v>1586.16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F6">
            <v>1477.7849999999999</v>
          </cell>
        </row>
        <row r="7">
          <cell r="F7">
            <v>1545.8675000000001</v>
          </cell>
        </row>
        <row r="8">
          <cell r="F8">
            <v>1996.4449999999999</v>
          </cell>
        </row>
        <row r="9">
          <cell r="F9">
            <v>121.0795</v>
          </cell>
        </row>
        <row r="10">
          <cell r="F10">
            <v>1607.7299999999998</v>
          </cell>
        </row>
        <row r="11">
          <cell r="F11">
            <v>285.40999999999997</v>
          </cell>
        </row>
        <row r="12">
          <cell r="F12">
            <v>51.177500000000002</v>
          </cell>
        </row>
        <row r="13">
          <cell r="F13">
            <v>74.35799999999999</v>
          </cell>
        </row>
        <row r="15">
          <cell r="F15">
            <v>18.7</v>
          </cell>
        </row>
        <row r="16">
          <cell r="F16">
            <v>34.724000000000004</v>
          </cell>
        </row>
        <row r="18">
          <cell r="F18">
            <v>100.31</v>
          </cell>
        </row>
        <row r="19">
          <cell r="F19">
            <v>141.833</v>
          </cell>
        </row>
        <row r="20">
          <cell r="F20">
            <v>1839.76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/>
      <sheetData sheetId="1"/>
      <sheetData sheetId="2"/>
      <sheetData sheetId="3"/>
      <sheetData sheetId="4"/>
      <sheetData sheetId="5"/>
      <sheetData sheetId="6">
        <row r="6">
          <cell r="B6">
            <v>0</v>
          </cell>
          <cell r="C6">
            <v>81.44</v>
          </cell>
          <cell r="D6">
            <v>127.23</v>
          </cell>
          <cell r="E6">
            <v>2284.02</v>
          </cell>
          <cell r="F6">
            <v>220.07</v>
          </cell>
          <cell r="G6">
            <v>-21.65</v>
          </cell>
          <cell r="H6">
            <v>200.6</v>
          </cell>
          <cell r="J6">
            <v>1940</v>
          </cell>
          <cell r="K6">
            <v>220</v>
          </cell>
          <cell r="L6">
            <v>-187.5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>
            <v>0</v>
          </cell>
          <cell r="C7">
            <v>79.47</v>
          </cell>
          <cell r="D7">
            <v>118.44</v>
          </cell>
          <cell r="E7">
            <v>1955.58</v>
          </cell>
          <cell r="F7">
            <v>209.6</v>
          </cell>
          <cell r="G7">
            <v>-21.99</v>
          </cell>
          <cell r="H7">
            <v>210</v>
          </cell>
          <cell r="J7">
            <v>2120</v>
          </cell>
          <cell r="K7">
            <v>220</v>
          </cell>
          <cell r="L7">
            <v>-187.5</v>
          </cell>
        </row>
      </sheetData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H6">
            <v>2027.87</v>
          </cell>
        </row>
        <row r="7">
          <cell r="H7">
            <v>1061.1554999999998</v>
          </cell>
        </row>
        <row r="8">
          <cell r="H8">
            <v>2029.0890000000002</v>
          </cell>
        </row>
        <row r="9">
          <cell r="H9">
            <v>137.78550000000001</v>
          </cell>
        </row>
        <row r="10">
          <cell r="H10">
            <v>1336.82</v>
          </cell>
        </row>
        <row r="11">
          <cell r="H11">
            <v>333.30799999999999</v>
          </cell>
        </row>
        <row r="12">
          <cell r="H12">
            <v>50.19</v>
          </cell>
        </row>
        <row r="13">
          <cell r="H13">
            <v>70.722999999999999</v>
          </cell>
        </row>
        <row r="15">
          <cell r="H15">
            <v>60.228000000000002</v>
          </cell>
        </row>
        <row r="16">
          <cell r="H16">
            <v>40.702999999999996</v>
          </cell>
        </row>
        <row r="18">
          <cell r="H18">
            <v>97.71</v>
          </cell>
        </row>
        <row r="19">
          <cell r="H19">
            <v>152.434</v>
          </cell>
        </row>
        <row r="20">
          <cell r="H20">
            <v>1663.75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J6">
            <v>1828.2249999999999</v>
          </cell>
        </row>
        <row r="7">
          <cell r="J7">
            <v>981.62950000000001</v>
          </cell>
        </row>
        <row r="8">
          <cell r="J8">
            <v>2100.6030000000001</v>
          </cell>
        </row>
        <row r="9">
          <cell r="J9">
            <v>155.27500000000001</v>
          </cell>
        </row>
        <row r="10">
          <cell r="J10">
            <v>1495.01</v>
          </cell>
        </row>
        <row r="11">
          <cell r="J11">
            <v>354.85699999999997</v>
          </cell>
        </row>
        <row r="12">
          <cell r="J12">
            <v>51.902000000000001</v>
          </cell>
        </row>
        <row r="13">
          <cell r="J13">
            <v>85.302500000000009</v>
          </cell>
        </row>
        <row r="15">
          <cell r="J15">
            <v>76.927999999999997</v>
          </cell>
        </row>
        <row r="16">
          <cell r="J16">
            <v>17.263999999999999</v>
          </cell>
        </row>
        <row r="18">
          <cell r="J18">
            <v>122.78</v>
          </cell>
        </row>
        <row r="19">
          <cell r="J19">
            <v>150.95999999999998</v>
          </cell>
        </row>
        <row r="20">
          <cell r="J20">
            <v>1906.77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8">
          <cell r="B8">
            <v>0</v>
          </cell>
          <cell r="C8">
            <v>74</v>
          </cell>
          <cell r="D8">
            <v>123.43</v>
          </cell>
          <cell r="E8">
            <v>1996.35</v>
          </cell>
          <cell r="F8">
            <v>193.01</v>
          </cell>
          <cell r="G8">
            <v>-13.61</v>
          </cell>
          <cell r="H8">
            <v>210</v>
          </cell>
          <cell r="J8">
            <v>1700</v>
          </cell>
          <cell r="K8">
            <v>100</v>
          </cell>
          <cell r="L8">
            <v>-187.5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L6">
            <v>943.59</v>
          </cell>
        </row>
        <row r="7">
          <cell r="L7">
            <v>2089.1350000000002</v>
          </cell>
        </row>
        <row r="8">
          <cell r="L8">
            <v>2065.3090000000002</v>
          </cell>
        </row>
        <row r="9">
          <cell r="L9">
            <v>135.41800000000001</v>
          </cell>
        </row>
        <row r="10">
          <cell r="L10">
            <v>1475.77</v>
          </cell>
        </row>
        <row r="11">
          <cell r="L11">
            <v>324.96600000000001</v>
          </cell>
        </row>
        <row r="12">
          <cell r="L12">
            <v>50.813000000000002</v>
          </cell>
        </row>
        <row r="13">
          <cell r="L13">
            <v>74.174000000000007</v>
          </cell>
        </row>
        <row r="15">
          <cell r="L15">
            <v>101.45</v>
          </cell>
        </row>
        <row r="16">
          <cell r="L16">
            <v>9.0630000000000059</v>
          </cell>
        </row>
        <row r="18">
          <cell r="L18">
            <v>111.69</v>
          </cell>
        </row>
        <row r="19">
          <cell r="L19">
            <v>149.982</v>
          </cell>
        </row>
        <row r="20">
          <cell r="L20">
            <v>2024.37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Process"/>
      <sheetName val="Outbound"/>
      <sheetName val="Inbound"/>
      <sheetName val="Calc"/>
      <sheetName val="MRF Inv"/>
      <sheetName val="MRF Inv-Old"/>
      <sheetName val="Inbound Lookup"/>
    </sheetNames>
    <sheetDataSet>
      <sheetData sheetId="0"/>
      <sheetData sheetId="1"/>
      <sheetData sheetId="2"/>
      <sheetData sheetId="3"/>
      <sheetData sheetId="4"/>
      <sheetData sheetId="5">
        <row r="12">
          <cell r="B12">
            <v>0</v>
          </cell>
          <cell r="C12">
            <v>95.78</v>
          </cell>
          <cell r="D12">
            <v>154.36000000000001</v>
          </cell>
          <cell r="E12">
            <v>1510.66</v>
          </cell>
          <cell r="F12">
            <v>219.49</v>
          </cell>
          <cell r="G12">
            <v>-23.33</v>
          </cell>
          <cell r="H12">
            <v>260</v>
          </cell>
          <cell r="J12">
            <v>820</v>
          </cell>
          <cell r="K12">
            <v>220</v>
          </cell>
          <cell r="L12">
            <v>-187.5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20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9">
          <cell r="B9">
            <v>0</v>
          </cell>
          <cell r="C9">
            <v>76.56</v>
          </cell>
          <cell r="D9">
            <v>124.87</v>
          </cell>
          <cell r="E9">
            <v>2440</v>
          </cell>
          <cell r="F9">
            <v>191.9</v>
          </cell>
          <cell r="G9">
            <v>-13.92</v>
          </cell>
          <cell r="H9">
            <v>210</v>
          </cell>
          <cell r="J9">
            <v>1336.65</v>
          </cell>
          <cell r="K9">
            <v>85.36</v>
          </cell>
          <cell r="L9">
            <v>-187.5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>
        <row r="10">
          <cell r="B10">
            <v>0</v>
          </cell>
          <cell r="C10">
            <v>77.45</v>
          </cell>
          <cell r="D10">
            <v>118.49</v>
          </cell>
          <cell r="E10">
            <v>2066.59</v>
          </cell>
          <cell r="F10">
            <v>215.2</v>
          </cell>
          <cell r="G10">
            <v>-15.79</v>
          </cell>
          <cell r="H10">
            <v>210</v>
          </cell>
          <cell r="J10">
            <v>1100</v>
          </cell>
          <cell r="K10">
            <v>90</v>
          </cell>
          <cell r="L10">
            <v>-187.5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N6">
            <v>1159.27</v>
          </cell>
        </row>
        <row r="7">
          <cell r="N7">
            <v>2074.2129999999997</v>
          </cell>
        </row>
        <row r="8">
          <cell r="N8">
            <v>2287.4679999999998</v>
          </cell>
        </row>
        <row r="9">
          <cell r="N9">
            <v>145.98000000000002</v>
          </cell>
        </row>
        <row r="10">
          <cell r="N10">
            <v>1786.18</v>
          </cell>
        </row>
        <row r="11">
          <cell r="N11">
            <v>378.34349999999995</v>
          </cell>
        </row>
        <row r="12">
          <cell r="N12">
            <v>51.43</v>
          </cell>
        </row>
        <row r="13">
          <cell r="N13">
            <v>96.68</v>
          </cell>
        </row>
        <row r="15">
          <cell r="N15">
            <v>60.625999999999998</v>
          </cell>
        </row>
        <row r="16">
          <cell r="N16">
            <v>13.984999999999999</v>
          </cell>
        </row>
        <row r="18">
          <cell r="N18">
            <v>117.78</v>
          </cell>
        </row>
        <row r="19">
          <cell r="N19">
            <v>168.346</v>
          </cell>
        </row>
        <row r="20">
          <cell r="N20">
            <v>1766.7505000000001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2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Process"/>
      <sheetName val="Journal Entry"/>
      <sheetName val="Calculation"/>
      <sheetName val="Composition"/>
      <sheetName val="Fastlane RETI Inbound - CRC"/>
      <sheetName val="RMT Summary"/>
      <sheetName val="Prices"/>
      <sheetName val="SMART Data"/>
      <sheetName val="SMART Consolidated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B11">
            <v>0</v>
          </cell>
          <cell r="C11">
            <v>77.84</v>
          </cell>
          <cell r="D11">
            <v>113.03</v>
          </cell>
          <cell r="E11">
            <v>2114.31</v>
          </cell>
          <cell r="F11">
            <v>186.3</v>
          </cell>
          <cell r="G11">
            <v>-11.25</v>
          </cell>
          <cell r="H11">
            <v>50</v>
          </cell>
          <cell r="J11">
            <v>880</v>
          </cell>
          <cell r="K11">
            <v>80</v>
          </cell>
          <cell r="L11">
            <v>-187.5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2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P6">
            <v>1056.885</v>
          </cell>
        </row>
        <row r="7">
          <cell r="P7">
            <v>1908.7920000000004</v>
          </cell>
        </row>
        <row r="8">
          <cell r="P8">
            <v>1993.3534999999997</v>
          </cell>
        </row>
        <row r="9">
          <cell r="P9">
            <v>133.376</v>
          </cell>
        </row>
        <row r="10">
          <cell r="P10">
            <v>1555.05</v>
          </cell>
        </row>
        <row r="11">
          <cell r="P11">
            <v>393.63450000000006</v>
          </cell>
        </row>
        <row r="12">
          <cell r="P12">
            <v>48.977999999999994</v>
          </cell>
        </row>
        <row r="13">
          <cell r="P13">
            <v>75.944500000000005</v>
          </cell>
        </row>
        <row r="15">
          <cell r="P15">
            <v>60.04</v>
          </cell>
        </row>
        <row r="16">
          <cell r="P16">
            <v>51.772500000000001</v>
          </cell>
        </row>
        <row r="18">
          <cell r="P18">
            <v>91.15</v>
          </cell>
        </row>
        <row r="19">
          <cell r="P19">
            <v>143.21199999999999</v>
          </cell>
        </row>
        <row r="20">
          <cell r="P20">
            <v>1343.72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T6">
            <v>1510.4</v>
          </cell>
        </row>
        <row r="7">
          <cell r="T7">
            <v>1884.1969999999999</v>
          </cell>
        </row>
        <row r="8">
          <cell r="T8">
            <v>1989.049</v>
          </cell>
        </row>
        <row r="9">
          <cell r="T9">
            <v>133.315</v>
          </cell>
        </row>
        <row r="10">
          <cell r="T10">
            <v>1335.55</v>
          </cell>
        </row>
        <row r="11">
          <cell r="T11">
            <v>340.07399999999996</v>
          </cell>
        </row>
        <row r="12">
          <cell r="T12">
            <v>49.83</v>
          </cell>
        </row>
        <row r="13">
          <cell r="T13">
            <v>120.38200000000001</v>
          </cell>
        </row>
        <row r="15">
          <cell r="T15">
            <v>55.853999999999999</v>
          </cell>
        </row>
        <row r="16">
          <cell r="T16">
            <v>28.565000000000001</v>
          </cell>
        </row>
        <row r="18">
          <cell r="T18">
            <v>112.53</v>
          </cell>
        </row>
        <row r="19">
          <cell r="T19">
            <v>177.72899999999998</v>
          </cell>
        </row>
        <row r="20">
          <cell r="T20">
            <v>1750.16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Process"/>
      <sheetName val="Outbound"/>
      <sheetName val="Inbound"/>
      <sheetName val="Calc"/>
      <sheetName val="MRF Inv"/>
      <sheetName val="Inbound Lookup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13">
          <cell r="B13">
            <v>0</v>
          </cell>
          <cell r="C13">
            <v>93.96</v>
          </cell>
          <cell r="D13">
            <v>127.98</v>
          </cell>
          <cell r="E13">
            <v>1599.53</v>
          </cell>
          <cell r="F13">
            <v>225</v>
          </cell>
          <cell r="G13">
            <v>-24.63</v>
          </cell>
          <cell r="H13">
            <v>250</v>
          </cell>
          <cell r="J13">
            <v>880</v>
          </cell>
          <cell r="K13">
            <v>230</v>
          </cell>
          <cell r="L13">
            <v>-187.5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V6">
            <v>1116.3430000000001</v>
          </cell>
        </row>
        <row r="7">
          <cell r="V7">
            <v>2054.3964999999998</v>
          </cell>
        </row>
        <row r="8">
          <cell r="V8">
            <v>1305.1540000000002</v>
          </cell>
        </row>
        <row r="9">
          <cell r="V9">
            <v>104.42099999999999</v>
          </cell>
        </row>
        <row r="10">
          <cell r="V10">
            <v>1127.51</v>
          </cell>
        </row>
        <row r="11">
          <cell r="V11">
            <v>237.62599999999998</v>
          </cell>
        </row>
        <row r="12">
          <cell r="V12">
            <v>36.785499999999999</v>
          </cell>
        </row>
        <row r="13">
          <cell r="V13">
            <v>73.616</v>
          </cell>
        </row>
        <row r="15">
          <cell r="V15">
            <v>18.059999999999999</v>
          </cell>
        </row>
        <row r="16">
          <cell r="V16">
            <v>26.630500000000001</v>
          </cell>
        </row>
        <row r="18">
          <cell r="V18">
            <v>56.86</v>
          </cell>
        </row>
        <row r="19">
          <cell r="V19">
            <v>117.626</v>
          </cell>
        </row>
        <row r="20">
          <cell r="V20">
            <v>1500.78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Process"/>
      <sheetName val="Outbound"/>
      <sheetName val="Inbound"/>
      <sheetName val="Calc"/>
      <sheetName val="MRF Inv"/>
      <sheetName val="Inbound Lookup"/>
    </sheetNames>
    <sheetDataSet>
      <sheetData sheetId="0"/>
      <sheetData sheetId="1"/>
      <sheetData sheetId="2"/>
      <sheetData sheetId="3"/>
      <sheetData sheetId="4"/>
      <sheetData sheetId="5">
        <row r="14">
          <cell r="B14">
            <v>0</v>
          </cell>
          <cell r="C14">
            <v>76.39</v>
          </cell>
          <cell r="D14">
            <v>136.16999999999999</v>
          </cell>
          <cell r="E14">
            <v>1619.98</v>
          </cell>
          <cell r="F14">
            <v>199.09</v>
          </cell>
          <cell r="G14">
            <v>-21.95</v>
          </cell>
          <cell r="H14">
            <v>240</v>
          </cell>
          <cell r="J14">
            <v>1000</v>
          </cell>
          <cell r="K14">
            <v>220</v>
          </cell>
          <cell r="L14">
            <v>-187.5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  <sheetName val="Calculation"/>
      <sheetName val="Composition"/>
      <sheetName val="Fastlane RETI Inbound - CRC"/>
      <sheetName val="RMT Summary"/>
      <sheetName val="Prices"/>
      <sheetName val="Journal Entry"/>
      <sheetName val="SMART Data"/>
      <sheetName val="SMART Consolidated"/>
      <sheetName val="Process"/>
      <sheetName val="Outbound"/>
      <sheetName val="Inbound"/>
      <sheetName val="Calc"/>
      <sheetName val="MRF Inv"/>
      <sheetName val="Inbound Lookup"/>
    </sheetNames>
    <sheetDataSet>
      <sheetData sheetId="0"/>
      <sheetData sheetId="1"/>
      <sheetData sheetId="2"/>
      <sheetData sheetId="3"/>
      <sheetData sheetId="4"/>
      <sheetData sheetId="5">
        <row r="15">
          <cell r="B15">
            <v>0</v>
          </cell>
          <cell r="C15">
            <v>68.27</v>
          </cell>
          <cell r="D15">
            <v>116.06</v>
          </cell>
          <cell r="E15">
            <v>1619.23</v>
          </cell>
          <cell r="F15">
            <v>188.78</v>
          </cell>
          <cell r="G15">
            <v>-22.52</v>
          </cell>
          <cell r="H15">
            <v>210</v>
          </cell>
          <cell r="J15">
            <v>1090.8900000000001</v>
          </cell>
          <cell r="K15">
            <v>200</v>
          </cell>
          <cell r="L15">
            <v>-187.5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/>
      <sheetData sheetId="1">
        <row r="6">
          <cell r="X6">
            <v>778.2115</v>
          </cell>
        </row>
        <row r="7">
          <cell r="X7">
            <v>3321.0820000000003</v>
          </cell>
        </row>
        <row r="8">
          <cell r="X8">
            <v>1730.1455000000001</v>
          </cell>
        </row>
        <row r="9">
          <cell r="X9">
            <v>123.65949999999999</v>
          </cell>
        </row>
        <row r="10">
          <cell r="X10">
            <v>1645.02</v>
          </cell>
        </row>
        <row r="11">
          <cell r="X11">
            <v>253.93599999999998</v>
          </cell>
        </row>
        <row r="12">
          <cell r="X12">
            <v>49.14</v>
          </cell>
        </row>
        <row r="13">
          <cell r="X13">
            <v>76.997500000000002</v>
          </cell>
        </row>
        <row r="15">
          <cell r="X15">
            <v>92.81</v>
          </cell>
        </row>
        <row r="16">
          <cell r="X16">
            <v>-3.285499999999999</v>
          </cell>
        </row>
        <row r="18">
          <cell r="X18">
            <v>77.08</v>
          </cell>
        </row>
        <row r="19">
          <cell r="X19">
            <v>150.161</v>
          </cell>
        </row>
        <row r="20">
          <cell r="X20">
            <v>1545.85</v>
          </cell>
        </row>
      </sheetData>
      <sheetData sheetId="2"/>
      <sheetData sheetId="3"/>
      <sheetData sheetId="4"/>
      <sheetData sheetId="5"/>
      <sheetData sheetId="6"/>
      <sheetData sheetId="7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Calculation"/>
      <sheetName val="Composition"/>
      <sheetName val="RMT Customer Summary"/>
      <sheetName val="Prices"/>
      <sheetName val="Journal Entry"/>
      <sheetName val="Opus Info"/>
      <sheetName val="OPUS Data 8.2024"/>
      <sheetName val="OPUS PIVOT - Eastern WA"/>
    </sheetNames>
    <sheetDataSet>
      <sheetData sheetId="0" refreshError="1"/>
      <sheetData sheetId="1">
        <row r="6">
          <cell r="B6">
            <v>1112.5955000000001</v>
          </cell>
        </row>
        <row r="7">
          <cell r="B7">
            <v>3015.5794999999998</v>
          </cell>
        </row>
        <row r="8">
          <cell r="B8">
            <v>1779.2934999999998</v>
          </cell>
        </row>
        <row r="9">
          <cell r="B9">
            <v>122.584</v>
          </cell>
        </row>
        <row r="10">
          <cell r="B10">
            <v>2057.7800000000002</v>
          </cell>
        </row>
        <row r="11">
          <cell r="B11">
            <v>305.678</v>
          </cell>
        </row>
        <row r="12">
          <cell r="B12">
            <v>56.222499999999997</v>
          </cell>
        </row>
        <row r="13">
          <cell r="B13">
            <v>80.714500000000001</v>
          </cell>
        </row>
        <row r="15">
          <cell r="B15">
            <v>16.940000000000001</v>
          </cell>
        </row>
        <row r="16">
          <cell r="B16">
            <v>36.802</v>
          </cell>
        </row>
        <row r="18">
          <cell r="B18">
            <v>77.86</v>
          </cell>
        </row>
        <row r="19">
          <cell r="B19">
            <v>166.35300000000001</v>
          </cell>
        </row>
        <row r="20">
          <cell r="B20">
            <v>1814.05</v>
          </cell>
        </row>
      </sheetData>
      <sheetData sheetId="2" refreshError="1"/>
      <sheetData sheetId="3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A0AFD9-14C4-4298-8E10-1F90FF295C42}">
  <sheetPr>
    <pageSetUpPr fitToPage="1"/>
  </sheetPr>
  <dimension ref="A1:BT73"/>
  <sheetViews>
    <sheetView topLeftCell="A35" workbookViewId="0">
      <selection activeCell="C45" sqref="C45"/>
    </sheetView>
  </sheetViews>
  <sheetFormatPr defaultRowHeight="12.75" x14ac:dyDescent="0.2"/>
  <cols>
    <col min="1" max="1" width="58.85546875" bestFit="1" customWidth="1"/>
    <col min="3" max="3" width="10.42578125" bestFit="1" customWidth="1"/>
    <col min="4" max="4" width="11.28515625" bestFit="1" customWidth="1"/>
    <col min="5" max="5" width="9.28515625" bestFit="1" customWidth="1"/>
    <col min="6" max="6" width="10.140625" bestFit="1" customWidth="1"/>
    <col min="7" max="7" width="58.85546875" bestFit="1" customWidth="1"/>
    <col min="9" max="9" width="10.42578125" bestFit="1" customWidth="1"/>
    <col min="10" max="10" width="11.28515625" bestFit="1" customWidth="1"/>
    <col min="11" max="11" width="9.28515625" bestFit="1" customWidth="1"/>
    <col min="12" max="12" width="10.140625" bestFit="1" customWidth="1"/>
    <col min="13" max="13" width="58.85546875" bestFit="1" customWidth="1"/>
    <col min="15" max="15" width="10.42578125" bestFit="1" customWidth="1"/>
    <col min="16" max="16" width="11.28515625" bestFit="1" customWidth="1"/>
    <col min="17" max="17" width="9.28515625" bestFit="1" customWidth="1"/>
    <col min="18" max="18" width="10.140625" bestFit="1" customWidth="1"/>
    <col min="19" max="19" width="58.85546875" bestFit="1" customWidth="1"/>
    <col min="21" max="21" width="10.42578125" bestFit="1" customWidth="1"/>
    <col min="22" max="22" width="11.28515625" bestFit="1" customWidth="1"/>
    <col min="23" max="23" width="8.7109375" bestFit="1" customWidth="1"/>
    <col min="25" max="25" width="58.85546875" bestFit="1" customWidth="1"/>
    <col min="27" max="27" width="10.42578125" bestFit="1" customWidth="1"/>
    <col min="30" max="30" width="9.28515625" bestFit="1" customWidth="1"/>
    <col min="31" max="31" width="57.28515625" customWidth="1"/>
    <col min="33" max="33" width="11.28515625" customWidth="1"/>
    <col min="34" max="34" width="12.28515625" bestFit="1" customWidth="1"/>
    <col min="35" max="35" width="15.5703125" bestFit="1" customWidth="1"/>
    <col min="36" max="36" width="15.140625" bestFit="1" customWidth="1"/>
    <col min="37" max="37" width="58.85546875" bestFit="1" customWidth="1"/>
    <col min="39" max="39" width="10.42578125" bestFit="1" customWidth="1"/>
    <col min="40" max="40" width="11.28515625" bestFit="1" customWidth="1"/>
    <col min="41" max="41" width="10.28515625" bestFit="1" customWidth="1"/>
    <col min="42" max="42" width="9.28515625" bestFit="1" customWidth="1"/>
    <col min="43" max="43" width="58.85546875" bestFit="1" customWidth="1"/>
    <col min="45" max="45" width="10.42578125" bestFit="1" customWidth="1"/>
    <col min="46" max="46" width="11.28515625" bestFit="1" customWidth="1"/>
    <col min="47" max="47" width="10.28515625" bestFit="1" customWidth="1"/>
    <col min="48" max="48" width="9.28515625" bestFit="1" customWidth="1"/>
    <col min="49" max="49" width="58.85546875" bestFit="1" customWidth="1"/>
    <col min="51" max="51" width="10.42578125" bestFit="1" customWidth="1"/>
    <col min="52" max="52" width="11.28515625" bestFit="1" customWidth="1"/>
    <col min="53" max="54" width="10.28515625" bestFit="1" customWidth="1"/>
    <col min="55" max="55" width="58.85546875" bestFit="1" customWidth="1"/>
    <col min="57" max="57" width="10.42578125" bestFit="1" customWidth="1"/>
    <col min="58" max="58" width="11.28515625" bestFit="1" customWidth="1"/>
    <col min="59" max="59" width="10.28515625" bestFit="1" customWidth="1"/>
    <col min="60" max="60" width="9.28515625" bestFit="1" customWidth="1"/>
    <col min="61" max="61" width="58.85546875" bestFit="1" customWidth="1"/>
    <col min="63" max="63" width="10.42578125" bestFit="1" customWidth="1"/>
    <col min="64" max="64" width="11.28515625" bestFit="1" customWidth="1"/>
    <col min="65" max="65" width="10.28515625" bestFit="1" customWidth="1"/>
    <col min="66" max="66" width="9.7109375" bestFit="1" customWidth="1"/>
    <col min="67" max="67" width="58.85546875" bestFit="1" customWidth="1"/>
    <col min="69" max="69" width="10.42578125" bestFit="1" customWidth="1"/>
    <col min="70" max="70" width="11.28515625" bestFit="1" customWidth="1"/>
    <col min="71" max="71" width="10.28515625" bestFit="1" customWidth="1"/>
    <col min="72" max="72" width="9.28515625" bestFit="1" customWidth="1"/>
  </cols>
  <sheetData>
    <row r="1" spans="1:72" ht="19.5" customHeight="1" x14ac:dyDescent="0.4">
      <c r="A1" s="590" t="s">
        <v>61</v>
      </c>
      <c r="B1" s="591"/>
      <c r="C1" s="592"/>
      <c r="D1" s="592"/>
      <c r="E1" s="592"/>
      <c r="F1" s="593"/>
      <c r="G1" s="259" t="s">
        <v>61</v>
      </c>
      <c r="H1" s="260"/>
      <c r="I1" s="261"/>
      <c r="J1" s="261"/>
      <c r="K1" s="261"/>
      <c r="L1" s="262"/>
      <c r="M1" s="159" t="s">
        <v>61</v>
      </c>
      <c r="N1" s="160"/>
      <c r="O1" s="161"/>
      <c r="P1" s="161"/>
      <c r="Q1" s="161"/>
      <c r="R1" s="238"/>
      <c r="S1" s="71" t="s">
        <v>61</v>
      </c>
      <c r="T1" s="73"/>
      <c r="U1" s="73"/>
      <c r="V1" s="73"/>
      <c r="W1" s="73"/>
      <c r="X1" s="477"/>
      <c r="Y1" s="428" t="s">
        <v>61</v>
      </c>
      <c r="Z1" s="429"/>
      <c r="AA1" s="430"/>
      <c r="AB1" s="430"/>
      <c r="AC1" s="430"/>
      <c r="AD1" s="431"/>
      <c r="AE1" s="347" t="s">
        <v>61</v>
      </c>
      <c r="AF1" s="348"/>
      <c r="AG1" s="349"/>
      <c r="AH1" s="349"/>
      <c r="AI1" s="349"/>
      <c r="AJ1" s="350"/>
      <c r="AK1" s="300" t="s">
        <v>61</v>
      </c>
      <c r="AL1" s="300"/>
      <c r="AM1" s="301"/>
      <c r="AN1" s="301"/>
      <c r="AO1" s="301"/>
      <c r="AP1" s="302"/>
      <c r="AQ1" s="190" t="s">
        <v>61</v>
      </c>
      <c r="AR1" s="191"/>
      <c r="AS1" s="192"/>
      <c r="AT1" s="192"/>
      <c r="AU1" s="192"/>
      <c r="AV1" s="226"/>
      <c r="AW1" s="259" t="s">
        <v>61</v>
      </c>
      <c r="AX1" s="260"/>
      <c r="AY1" s="261"/>
      <c r="AZ1" s="261"/>
      <c r="BA1" s="261"/>
      <c r="BB1" s="262"/>
      <c r="BC1" s="159" t="s">
        <v>61</v>
      </c>
      <c r="BD1" s="160"/>
      <c r="BE1" s="161"/>
      <c r="BF1" s="161"/>
      <c r="BG1" s="161"/>
      <c r="BH1" s="238"/>
      <c r="BI1" s="106" t="s">
        <v>61</v>
      </c>
      <c r="BJ1" s="107"/>
      <c r="BK1" s="108"/>
      <c r="BL1" s="108"/>
      <c r="BM1" s="108"/>
      <c r="BN1" s="108"/>
      <c r="BO1" s="71" t="s">
        <v>61</v>
      </c>
      <c r="BP1" s="72"/>
      <c r="BQ1" s="73"/>
      <c r="BR1" s="73"/>
      <c r="BS1" s="73"/>
      <c r="BT1" s="73"/>
    </row>
    <row r="2" spans="1:72" ht="18" x14ac:dyDescent="0.35">
      <c r="A2" s="594"/>
      <c r="B2" s="595"/>
      <c r="C2" s="596"/>
      <c r="D2" s="597"/>
      <c r="E2" s="597"/>
      <c r="F2" s="598"/>
      <c r="G2" s="263"/>
      <c r="H2" s="264"/>
      <c r="I2" s="265"/>
      <c r="J2" s="266"/>
      <c r="K2" s="266"/>
      <c r="L2" s="267"/>
      <c r="M2" s="162"/>
      <c r="N2" s="563"/>
      <c r="O2" s="564"/>
      <c r="P2" s="565"/>
      <c r="Q2" s="565"/>
      <c r="R2" s="239"/>
      <c r="S2" s="74"/>
      <c r="T2" s="77"/>
      <c r="U2" s="76"/>
      <c r="V2" s="77"/>
      <c r="W2" s="77"/>
      <c r="X2" s="478"/>
      <c r="Y2" s="432"/>
      <c r="Z2" s="433"/>
      <c r="AA2" s="434"/>
      <c r="AB2" s="435"/>
      <c r="AC2" s="435"/>
      <c r="AD2" s="436"/>
      <c r="AE2" s="351"/>
      <c r="AF2" s="352"/>
      <c r="AG2" s="353"/>
      <c r="AH2" s="354"/>
      <c r="AI2" s="354"/>
      <c r="AJ2" s="355"/>
      <c r="AK2" s="304"/>
      <c r="AL2" s="304"/>
      <c r="AM2" s="305"/>
      <c r="AN2" s="306"/>
      <c r="AO2" s="306"/>
      <c r="AP2" s="307"/>
      <c r="AQ2" s="193"/>
      <c r="AR2" s="194"/>
      <c r="AS2" s="195"/>
      <c r="AT2" s="196"/>
      <c r="AU2" s="196"/>
      <c r="AV2" s="227"/>
      <c r="AW2" s="263"/>
      <c r="AX2" s="264"/>
      <c r="AY2" s="265"/>
      <c r="AZ2" s="266"/>
      <c r="BA2" s="266"/>
      <c r="BB2" s="267"/>
      <c r="BC2" s="162"/>
      <c r="BD2" s="163"/>
      <c r="BE2" s="164"/>
      <c r="BF2" s="165"/>
      <c r="BG2" s="165"/>
      <c r="BH2" s="239"/>
      <c r="BI2" s="109" t="s">
        <v>62</v>
      </c>
      <c r="BJ2" s="110"/>
      <c r="BK2" s="111"/>
      <c r="BL2" s="112"/>
      <c r="BM2" s="112"/>
      <c r="BN2" s="112"/>
      <c r="BO2" s="74" t="s">
        <v>62</v>
      </c>
      <c r="BP2" s="75"/>
      <c r="BQ2" s="76"/>
      <c r="BR2" s="77"/>
      <c r="BS2" s="77"/>
      <c r="BT2" s="77"/>
    </row>
    <row r="3" spans="1:72" x14ac:dyDescent="0.2">
      <c r="A3" s="599"/>
      <c r="B3" s="600"/>
      <c r="C3" s="597"/>
      <c r="D3" s="597"/>
      <c r="E3" s="597"/>
      <c r="F3" s="598"/>
      <c r="G3" s="268"/>
      <c r="H3" s="269"/>
      <c r="I3" s="266"/>
      <c r="J3" s="266"/>
      <c r="K3" s="266"/>
      <c r="L3" s="267"/>
      <c r="M3" s="166"/>
      <c r="N3" s="566"/>
      <c r="O3" s="565"/>
      <c r="P3" s="565"/>
      <c r="Q3" s="565"/>
      <c r="R3" s="239"/>
      <c r="S3" s="78"/>
      <c r="T3" s="77"/>
      <c r="U3" s="77"/>
      <c r="V3" s="77"/>
      <c r="W3" s="77"/>
      <c r="X3" s="478"/>
      <c r="Y3" s="437"/>
      <c r="Z3" s="438"/>
      <c r="AA3" s="435"/>
      <c r="AB3" s="435"/>
      <c r="AC3" s="435"/>
      <c r="AD3" s="436"/>
      <c r="AE3" s="356"/>
      <c r="AF3" s="357"/>
      <c r="AG3" s="354"/>
      <c r="AH3" s="354"/>
      <c r="AI3" s="354"/>
      <c r="AJ3" s="355"/>
      <c r="AK3" s="308"/>
      <c r="AL3" s="308"/>
      <c r="AM3" s="306"/>
      <c r="AN3" s="306"/>
      <c r="AO3" s="306"/>
      <c r="AP3" s="307"/>
      <c r="AQ3" s="197"/>
      <c r="AR3" s="198"/>
      <c r="AS3" s="196"/>
      <c r="AT3" s="196"/>
      <c r="AU3" s="196"/>
      <c r="AV3" s="227"/>
      <c r="AW3" s="268"/>
      <c r="AX3" s="269"/>
      <c r="AY3" s="266"/>
      <c r="AZ3" s="266"/>
      <c r="BA3" s="266"/>
      <c r="BB3" s="267"/>
      <c r="BC3" s="166"/>
      <c r="BD3" s="167"/>
      <c r="BE3" s="165"/>
      <c r="BF3" s="165"/>
      <c r="BG3" s="165"/>
      <c r="BH3" s="239"/>
      <c r="BI3" s="113"/>
      <c r="BJ3" s="114"/>
      <c r="BK3" s="112"/>
      <c r="BL3" s="112"/>
      <c r="BM3" s="112"/>
      <c r="BN3" s="112"/>
      <c r="BO3" s="78"/>
      <c r="BP3" s="79"/>
      <c r="BQ3" s="77"/>
      <c r="BR3" s="77"/>
      <c r="BS3" s="77"/>
      <c r="BT3" s="77"/>
    </row>
    <row r="4" spans="1:72" ht="20.25" x14ac:dyDescent="0.3">
      <c r="A4" s="643" t="s">
        <v>174</v>
      </c>
      <c r="B4" s="644"/>
      <c r="C4" s="644"/>
      <c r="D4" s="644"/>
      <c r="E4" s="644"/>
      <c r="F4" s="645"/>
      <c r="G4" s="649" t="s">
        <v>173</v>
      </c>
      <c r="H4" s="650"/>
      <c r="I4" s="650"/>
      <c r="J4" s="650"/>
      <c r="K4" s="650"/>
      <c r="L4" s="651"/>
      <c r="M4" s="548" t="s">
        <v>167</v>
      </c>
      <c r="N4" s="567"/>
      <c r="O4" s="567"/>
      <c r="P4" s="567"/>
      <c r="Q4" s="567"/>
      <c r="R4" s="549"/>
      <c r="S4" s="513" t="s">
        <v>162</v>
      </c>
      <c r="T4" s="514"/>
      <c r="U4" s="514"/>
      <c r="V4" s="514"/>
      <c r="W4" s="514"/>
      <c r="X4" s="514"/>
      <c r="Y4" s="661" t="s">
        <v>156</v>
      </c>
      <c r="Z4" s="662"/>
      <c r="AA4" s="662"/>
      <c r="AB4" s="662"/>
      <c r="AC4" s="662"/>
      <c r="AD4" s="663"/>
      <c r="AE4" s="655" t="s">
        <v>150</v>
      </c>
      <c r="AF4" s="656"/>
      <c r="AG4" s="656"/>
      <c r="AH4" s="656"/>
      <c r="AI4" s="656"/>
      <c r="AJ4" s="657"/>
      <c r="AK4" s="667" t="s">
        <v>150</v>
      </c>
      <c r="AL4" s="668"/>
      <c r="AM4" s="668"/>
      <c r="AN4" s="668"/>
      <c r="AO4" s="668"/>
      <c r="AP4" s="669"/>
      <c r="AQ4" s="677" t="s">
        <v>111</v>
      </c>
      <c r="AR4" s="678"/>
      <c r="AS4" s="678"/>
      <c r="AT4" s="678"/>
      <c r="AU4" s="678"/>
      <c r="AV4" s="679"/>
      <c r="AW4" s="649" t="s">
        <v>108</v>
      </c>
      <c r="AX4" s="650"/>
      <c r="AY4" s="650"/>
      <c r="AZ4" s="650"/>
      <c r="BA4" s="650"/>
      <c r="BB4" s="651"/>
      <c r="BC4" s="637" t="s">
        <v>106</v>
      </c>
      <c r="BD4" s="638"/>
      <c r="BE4" s="638"/>
      <c r="BF4" s="638"/>
      <c r="BG4" s="638"/>
      <c r="BH4" s="639"/>
      <c r="BI4" s="683" t="s">
        <v>97</v>
      </c>
      <c r="BJ4" s="684"/>
      <c r="BK4" s="684"/>
      <c r="BL4" s="684"/>
      <c r="BM4" s="684"/>
      <c r="BN4" s="685"/>
      <c r="BO4" s="673" t="s">
        <v>95</v>
      </c>
      <c r="BP4" s="674"/>
      <c r="BQ4" s="674"/>
      <c r="BR4" s="674"/>
      <c r="BS4" s="674"/>
      <c r="BT4" s="674"/>
    </row>
    <row r="5" spans="1:72" x14ac:dyDescent="0.2">
      <c r="A5" s="601"/>
      <c r="B5" s="597"/>
      <c r="C5" s="597"/>
      <c r="D5" s="597"/>
      <c r="E5" s="597"/>
      <c r="F5" s="598"/>
      <c r="G5" s="270"/>
      <c r="H5" s="266"/>
      <c r="I5" s="266"/>
      <c r="J5" s="266"/>
      <c r="K5" s="266"/>
      <c r="L5" s="267"/>
      <c r="M5" s="168"/>
      <c r="N5" s="565"/>
      <c r="O5" s="565"/>
      <c r="P5" s="565"/>
      <c r="Q5" s="565"/>
      <c r="R5" s="239"/>
      <c r="S5" s="80"/>
      <c r="T5" s="77"/>
      <c r="U5" s="77"/>
      <c r="V5" s="77"/>
      <c r="W5" s="77"/>
      <c r="X5" s="478"/>
      <c r="Y5" s="439"/>
      <c r="Z5" s="435"/>
      <c r="AA5" s="435"/>
      <c r="AB5" s="435"/>
      <c r="AC5" s="435"/>
      <c r="AD5" s="436"/>
      <c r="AE5" s="358"/>
      <c r="AF5" s="354"/>
      <c r="AG5" s="354"/>
      <c r="AH5" s="354"/>
      <c r="AI5" s="354"/>
      <c r="AJ5" s="355"/>
      <c r="AK5" s="306"/>
      <c r="AL5" s="306"/>
      <c r="AM5" s="306"/>
      <c r="AN5" s="306"/>
      <c r="AO5" s="306"/>
      <c r="AP5" s="307"/>
      <c r="AQ5" s="199"/>
      <c r="AR5" s="196"/>
      <c r="AS5" s="196"/>
      <c r="AT5" s="196"/>
      <c r="AU5" s="196"/>
      <c r="AV5" s="227"/>
      <c r="AW5" s="270"/>
      <c r="AX5" s="266"/>
      <c r="AY5" s="266"/>
      <c r="AZ5" s="266"/>
      <c r="BA5" s="266"/>
      <c r="BB5" s="267"/>
      <c r="BC5" s="168"/>
      <c r="BD5" s="165"/>
      <c r="BE5" s="165"/>
      <c r="BF5" s="165"/>
      <c r="BG5" s="165"/>
      <c r="BH5" s="239"/>
      <c r="BI5" s="115"/>
      <c r="BJ5" s="112"/>
      <c r="BK5" s="112"/>
      <c r="BL5" s="112"/>
      <c r="BM5" s="112"/>
      <c r="BN5" s="112"/>
      <c r="BO5" s="80"/>
      <c r="BP5" s="77"/>
      <c r="BQ5" s="77"/>
      <c r="BR5" s="77"/>
      <c r="BS5" s="77"/>
      <c r="BT5" s="77"/>
    </row>
    <row r="6" spans="1:72" ht="19.5" x14ac:dyDescent="0.4">
      <c r="A6" s="646" t="s">
        <v>19</v>
      </c>
      <c r="B6" s="647"/>
      <c r="C6" s="647"/>
      <c r="D6" s="647"/>
      <c r="E6" s="647"/>
      <c r="F6" s="648"/>
      <c r="G6" s="652" t="s">
        <v>19</v>
      </c>
      <c r="H6" s="653"/>
      <c r="I6" s="653"/>
      <c r="J6" s="653"/>
      <c r="K6" s="653"/>
      <c r="L6" s="654"/>
      <c r="M6" s="550" t="s">
        <v>19</v>
      </c>
      <c r="N6" s="568"/>
      <c r="O6" s="568"/>
      <c r="P6" s="568"/>
      <c r="Q6" s="568"/>
      <c r="R6" s="551"/>
      <c r="S6" s="515" t="s">
        <v>19</v>
      </c>
      <c r="T6" s="516"/>
      <c r="U6" s="516"/>
      <c r="V6" s="516"/>
      <c r="W6" s="516"/>
      <c r="X6" s="516"/>
      <c r="Y6" s="664" t="s">
        <v>19</v>
      </c>
      <c r="Z6" s="665"/>
      <c r="AA6" s="665"/>
      <c r="AB6" s="665"/>
      <c r="AC6" s="665"/>
      <c r="AD6" s="666"/>
      <c r="AE6" s="658" t="s">
        <v>19</v>
      </c>
      <c r="AF6" s="659"/>
      <c r="AG6" s="659"/>
      <c r="AH6" s="659"/>
      <c r="AI6" s="659"/>
      <c r="AJ6" s="660"/>
      <c r="AK6" s="670" t="s">
        <v>19</v>
      </c>
      <c r="AL6" s="671"/>
      <c r="AM6" s="671"/>
      <c r="AN6" s="671"/>
      <c r="AO6" s="671"/>
      <c r="AP6" s="672"/>
      <c r="AQ6" s="680" t="s">
        <v>19</v>
      </c>
      <c r="AR6" s="681"/>
      <c r="AS6" s="681"/>
      <c r="AT6" s="681"/>
      <c r="AU6" s="681"/>
      <c r="AV6" s="682"/>
      <c r="AW6" s="652" t="s">
        <v>19</v>
      </c>
      <c r="AX6" s="653"/>
      <c r="AY6" s="653"/>
      <c r="AZ6" s="653"/>
      <c r="BA6" s="653"/>
      <c r="BB6" s="654"/>
      <c r="BC6" s="640" t="s">
        <v>19</v>
      </c>
      <c r="BD6" s="641"/>
      <c r="BE6" s="641"/>
      <c r="BF6" s="641"/>
      <c r="BG6" s="641"/>
      <c r="BH6" s="642"/>
      <c r="BI6" s="686" t="s">
        <v>19</v>
      </c>
      <c r="BJ6" s="687"/>
      <c r="BK6" s="687"/>
      <c r="BL6" s="687"/>
      <c r="BM6" s="687"/>
      <c r="BN6" s="688"/>
      <c r="BO6" s="675" t="s">
        <v>19</v>
      </c>
      <c r="BP6" s="676"/>
      <c r="BQ6" s="676"/>
      <c r="BR6" s="676"/>
      <c r="BS6" s="676"/>
      <c r="BT6" s="676"/>
    </row>
    <row r="7" spans="1:72" x14ac:dyDescent="0.2">
      <c r="A7" s="601"/>
      <c r="B7" s="597"/>
      <c r="C7" s="597"/>
      <c r="D7" s="597"/>
      <c r="E7" s="597"/>
      <c r="F7" s="598"/>
      <c r="G7" s="270"/>
      <c r="H7" s="266"/>
      <c r="I7" s="266"/>
      <c r="J7" s="266"/>
      <c r="K7" s="266"/>
      <c r="L7" s="267"/>
      <c r="M7" s="168"/>
      <c r="N7" s="565"/>
      <c r="O7" s="565"/>
      <c r="P7" s="565"/>
      <c r="Q7" s="565"/>
      <c r="R7" s="239"/>
      <c r="S7" s="80"/>
      <c r="T7" s="77"/>
      <c r="U7" s="77"/>
      <c r="V7" s="77"/>
      <c r="W7" s="77"/>
      <c r="X7" s="478"/>
      <c r="Y7" s="439"/>
      <c r="Z7" s="435"/>
      <c r="AA7" s="435"/>
      <c r="AB7" s="435"/>
      <c r="AC7" s="435"/>
      <c r="AD7" s="436"/>
      <c r="AE7" s="358"/>
      <c r="AF7" s="354"/>
      <c r="AG7" s="354"/>
      <c r="AH7" s="354"/>
      <c r="AI7" s="354"/>
      <c r="AJ7" s="355"/>
      <c r="AK7" s="306"/>
      <c r="AL7" s="306"/>
      <c r="AM7" s="306"/>
      <c r="AN7" s="306"/>
      <c r="AO7" s="306"/>
      <c r="AP7" s="307"/>
      <c r="AQ7" s="199"/>
      <c r="AR7" s="196"/>
      <c r="AS7" s="196"/>
      <c r="AT7" s="196"/>
      <c r="AU7" s="196"/>
      <c r="AV7" s="227"/>
      <c r="AW7" s="270"/>
      <c r="AX7" s="266"/>
      <c r="AY7" s="266"/>
      <c r="AZ7" s="266"/>
      <c r="BA7" s="266"/>
      <c r="BB7" s="267"/>
      <c r="BC7" s="168"/>
      <c r="BD7" s="165"/>
      <c r="BE7" s="165"/>
      <c r="BF7" s="165"/>
      <c r="BG7" s="165"/>
      <c r="BH7" s="239"/>
      <c r="BI7" s="115"/>
      <c r="BJ7" s="112"/>
      <c r="BK7" s="112"/>
      <c r="BL7" s="112"/>
      <c r="BM7" s="112"/>
      <c r="BN7" s="112"/>
      <c r="BO7" s="80"/>
      <c r="BP7" s="77"/>
      <c r="BQ7" s="77"/>
      <c r="BR7" s="77"/>
      <c r="BS7" s="77"/>
      <c r="BT7" s="77"/>
    </row>
    <row r="8" spans="1:72" x14ac:dyDescent="0.2">
      <c r="A8" s="601"/>
      <c r="B8" s="597"/>
      <c r="C8" s="602"/>
      <c r="D8" s="602" t="s">
        <v>63</v>
      </c>
      <c r="E8" s="602" t="s">
        <v>22</v>
      </c>
      <c r="F8" s="598"/>
      <c r="G8" s="270"/>
      <c r="H8" s="266"/>
      <c r="I8" s="271"/>
      <c r="J8" s="271" t="s">
        <v>63</v>
      </c>
      <c r="K8" s="271" t="s">
        <v>22</v>
      </c>
      <c r="L8" s="267"/>
      <c r="M8" s="168"/>
      <c r="N8" s="565"/>
      <c r="O8" s="569"/>
      <c r="P8" s="569" t="s">
        <v>63</v>
      </c>
      <c r="Q8" s="569" t="s">
        <v>22</v>
      </c>
      <c r="R8" s="239"/>
      <c r="S8" s="80"/>
      <c r="T8" s="77"/>
      <c r="U8" s="81"/>
      <c r="V8" s="81" t="s">
        <v>63</v>
      </c>
      <c r="W8" s="81" t="s">
        <v>22</v>
      </c>
      <c r="X8" s="478"/>
      <c r="Y8" s="439"/>
      <c r="Z8" s="435"/>
      <c r="AA8" s="440"/>
      <c r="AB8" s="440" t="s">
        <v>63</v>
      </c>
      <c r="AC8" s="440" t="s">
        <v>22</v>
      </c>
      <c r="AD8" s="436"/>
      <c r="AE8" s="358"/>
      <c r="AF8" s="354"/>
      <c r="AG8" s="359"/>
      <c r="AH8" s="359" t="s">
        <v>63</v>
      </c>
      <c r="AI8" s="359" t="s">
        <v>22</v>
      </c>
      <c r="AJ8" s="355"/>
      <c r="AK8" s="306"/>
      <c r="AL8" s="306"/>
      <c r="AM8" s="310"/>
      <c r="AN8" s="310" t="s">
        <v>63</v>
      </c>
      <c r="AO8" s="310" t="s">
        <v>22</v>
      </c>
      <c r="AP8" s="307"/>
      <c r="AQ8" s="199"/>
      <c r="AR8" s="196"/>
      <c r="AS8" s="200"/>
      <c r="AT8" s="200" t="s">
        <v>63</v>
      </c>
      <c r="AU8" s="200" t="s">
        <v>22</v>
      </c>
      <c r="AV8" s="227"/>
      <c r="AW8" s="270"/>
      <c r="AX8" s="266"/>
      <c r="AY8" s="271"/>
      <c r="AZ8" s="271" t="s">
        <v>63</v>
      </c>
      <c r="BA8" s="271" t="s">
        <v>22</v>
      </c>
      <c r="BB8" s="267"/>
      <c r="BC8" s="168"/>
      <c r="BD8" s="165"/>
      <c r="BE8" s="169"/>
      <c r="BF8" s="169" t="s">
        <v>63</v>
      </c>
      <c r="BG8" s="169" t="s">
        <v>22</v>
      </c>
      <c r="BH8" s="239"/>
      <c r="BI8" s="115"/>
      <c r="BJ8" s="112"/>
      <c r="BK8" s="116"/>
      <c r="BL8" s="116" t="s">
        <v>63</v>
      </c>
      <c r="BM8" s="116" t="s">
        <v>22</v>
      </c>
      <c r="BN8" s="112"/>
      <c r="BO8" s="80"/>
      <c r="BP8" s="77"/>
      <c r="BQ8" s="81"/>
      <c r="BR8" s="81" t="s">
        <v>63</v>
      </c>
      <c r="BS8" s="81" t="s">
        <v>22</v>
      </c>
      <c r="BT8" s="77"/>
    </row>
    <row r="9" spans="1:72" x14ac:dyDescent="0.2">
      <c r="A9" s="601"/>
      <c r="B9" s="597"/>
      <c r="C9" s="603" t="s">
        <v>30</v>
      </c>
      <c r="D9" s="603" t="s">
        <v>64</v>
      </c>
      <c r="E9" s="603" t="s">
        <v>28</v>
      </c>
      <c r="F9" s="598"/>
      <c r="G9" s="270"/>
      <c r="H9" s="266"/>
      <c r="I9" s="272" t="s">
        <v>30</v>
      </c>
      <c r="J9" s="272" t="s">
        <v>64</v>
      </c>
      <c r="K9" s="272" t="s">
        <v>28</v>
      </c>
      <c r="L9" s="267"/>
      <c r="M9" s="168"/>
      <c r="N9" s="565"/>
      <c r="O9" s="570" t="s">
        <v>30</v>
      </c>
      <c r="P9" s="570" t="s">
        <v>64</v>
      </c>
      <c r="Q9" s="570" t="s">
        <v>28</v>
      </c>
      <c r="R9" s="239"/>
      <c r="S9" s="80"/>
      <c r="T9" s="77"/>
      <c r="U9" s="82" t="s">
        <v>30</v>
      </c>
      <c r="V9" s="82" t="s">
        <v>64</v>
      </c>
      <c r="W9" s="82" t="s">
        <v>28</v>
      </c>
      <c r="X9" s="478"/>
      <c r="Y9" s="439"/>
      <c r="Z9" s="435"/>
      <c r="AA9" s="441" t="s">
        <v>30</v>
      </c>
      <c r="AB9" s="441" t="s">
        <v>64</v>
      </c>
      <c r="AC9" s="441" t="s">
        <v>28</v>
      </c>
      <c r="AD9" s="436"/>
      <c r="AE9" s="358"/>
      <c r="AF9" s="354"/>
      <c r="AG9" s="360" t="s">
        <v>30</v>
      </c>
      <c r="AH9" s="360" t="s">
        <v>64</v>
      </c>
      <c r="AI9" s="360" t="s">
        <v>28</v>
      </c>
      <c r="AJ9" s="355"/>
      <c r="AK9" s="306"/>
      <c r="AL9" s="306"/>
      <c r="AM9" s="311" t="s">
        <v>30</v>
      </c>
      <c r="AN9" s="311" t="s">
        <v>64</v>
      </c>
      <c r="AO9" s="311" t="s">
        <v>28</v>
      </c>
      <c r="AP9" s="307"/>
      <c r="AQ9" s="199"/>
      <c r="AR9" s="196"/>
      <c r="AS9" s="201" t="s">
        <v>30</v>
      </c>
      <c r="AT9" s="201" t="s">
        <v>64</v>
      </c>
      <c r="AU9" s="201" t="s">
        <v>28</v>
      </c>
      <c r="AV9" s="227"/>
      <c r="AW9" s="270"/>
      <c r="AX9" s="266"/>
      <c r="AY9" s="272" t="s">
        <v>30</v>
      </c>
      <c r="AZ9" s="272" t="s">
        <v>64</v>
      </c>
      <c r="BA9" s="272" t="s">
        <v>28</v>
      </c>
      <c r="BB9" s="267"/>
      <c r="BC9" s="168"/>
      <c r="BD9" s="165"/>
      <c r="BE9" s="170" t="s">
        <v>30</v>
      </c>
      <c r="BF9" s="170" t="s">
        <v>64</v>
      </c>
      <c r="BG9" s="170" t="s">
        <v>28</v>
      </c>
      <c r="BH9" s="239"/>
      <c r="BI9" s="115"/>
      <c r="BJ9" s="112"/>
      <c r="BK9" s="117" t="s">
        <v>30</v>
      </c>
      <c r="BL9" s="117" t="s">
        <v>64</v>
      </c>
      <c r="BM9" s="117" t="s">
        <v>28</v>
      </c>
      <c r="BN9" s="112"/>
      <c r="BO9" s="80"/>
      <c r="BP9" s="77"/>
      <c r="BQ9" s="82" t="s">
        <v>30</v>
      </c>
      <c r="BR9" s="82" t="s">
        <v>64</v>
      </c>
      <c r="BS9" s="82" t="s">
        <v>28</v>
      </c>
      <c r="BT9" s="77"/>
    </row>
    <row r="10" spans="1:72" ht="16.5" x14ac:dyDescent="0.35">
      <c r="A10" s="604" t="s">
        <v>169</v>
      </c>
      <c r="B10" s="605"/>
      <c r="C10" s="606"/>
      <c r="D10" s="606"/>
      <c r="E10" s="606"/>
      <c r="F10" s="598"/>
      <c r="G10" s="273" t="s">
        <v>169</v>
      </c>
      <c r="H10" s="274"/>
      <c r="I10" s="275"/>
      <c r="J10" s="275"/>
      <c r="K10" s="275"/>
      <c r="L10" s="267"/>
      <c r="M10" s="171" t="s">
        <v>169</v>
      </c>
      <c r="N10" s="571"/>
      <c r="O10" s="572"/>
      <c r="P10" s="572"/>
      <c r="Q10" s="572"/>
      <c r="R10" s="239"/>
      <c r="S10" s="83" t="s">
        <v>163</v>
      </c>
      <c r="T10" s="77"/>
      <c r="U10" s="85"/>
      <c r="V10" s="85"/>
      <c r="W10" s="85"/>
      <c r="X10" s="478"/>
      <c r="Y10" s="442" t="s">
        <v>157</v>
      </c>
      <c r="Z10" s="443"/>
      <c r="AA10" s="444"/>
      <c r="AB10" s="444"/>
      <c r="AC10" s="444"/>
      <c r="AD10" s="436"/>
      <c r="AE10" s="361" t="s">
        <v>161</v>
      </c>
      <c r="AF10" s="362"/>
      <c r="AG10" s="363"/>
      <c r="AH10" s="363"/>
      <c r="AI10" s="363"/>
      <c r="AJ10" s="355"/>
      <c r="AK10" s="403" t="s">
        <v>125</v>
      </c>
      <c r="AL10" s="313"/>
      <c r="AM10" s="314"/>
      <c r="AN10" s="314"/>
      <c r="AO10" s="314"/>
      <c r="AP10" s="307"/>
      <c r="AQ10" s="202" t="s">
        <v>109</v>
      </c>
      <c r="AR10" s="203"/>
      <c r="AS10" s="204"/>
      <c r="AT10" s="204"/>
      <c r="AU10" s="204"/>
      <c r="AV10" s="227"/>
      <c r="AW10" s="273" t="s">
        <v>107</v>
      </c>
      <c r="AX10" s="274"/>
      <c r="AY10" s="275"/>
      <c r="AZ10" s="275"/>
      <c r="BA10" s="275"/>
      <c r="BB10" s="267"/>
      <c r="BC10" s="171" t="s">
        <v>100</v>
      </c>
      <c r="BD10" s="172"/>
      <c r="BE10" s="173"/>
      <c r="BF10" s="173"/>
      <c r="BG10" s="173"/>
      <c r="BH10" s="239"/>
      <c r="BI10" s="118" t="s">
        <v>96</v>
      </c>
      <c r="BJ10" s="119"/>
      <c r="BK10" s="120"/>
      <c r="BL10" s="120"/>
      <c r="BM10" s="120"/>
      <c r="BN10" s="112"/>
      <c r="BO10" s="83" t="s">
        <v>79</v>
      </c>
      <c r="BP10" s="84"/>
      <c r="BQ10" s="85"/>
      <c r="BR10" s="85"/>
      <c r="BS10" s="85"/>
      <c r="BT10" s="77"/>
    </row>
    <row r="11" spans="1:72" x14ac:dyDescent="0.2">
      <c r="A11" s="607" t="s">
        <v>65</v>
      </c>
      <c r="B11" s="597"/>
      <c r="C11" s="608">
        <f>+'Customer Counts'!B9+'Customer Counts'!B10</f>
        <v>102956</v>
      </c>
      <c r="D11" s="609">
        <f>+J13</f>
        <v>0.56000000000000005</v>
      </c>
      <c r="E11" s="608">
        <f>C11*D11</f>
        <v>57655.360000000008</v>
      </c>
      <c r="F11" s="598"/>
      <c r="G11" s="276" t="s">
        <v>65</v>
      </c>
      <c r="H11" s="266"/>
      <c r="I11" s="277">
        <v>101808</v>
      </c>
      <c r="J11" s="278">
        <v>1.28</v>
      </c>
      <c r="K11" s="277">
        <v>130314.24000000001</v>
      </c>
      <c r="L11" s="267"/>
      <c r="M11" s="174" t="s">
        <v>65</v>
      </c>
      <c r="N11" s="565"/>
      <c r="O11" s="573">
        <v>100442</v>
      </c>
      <c r="P11" s="574">
        <v>1.05</v>
      </c>
      <c r="Q11" s="573">
        <v>105464.1</v>
      </c>
      <c r="R11" s="239"/>
      <c r="S11" s="86" t="s">
        <v>65</v>
      </c>
      <c r="T11" s="77"/>
      <c r="U11" s="87">
        <v>99199</v>
      </c>
      <c r="V11" s="479">
        <v>0.26</v>
      </c>
      <c r="W11" s="87">
        <v>25791.74</v>
      </c>
      <c r="X11" s="478"/>
      <c r="Y11" s="445" t="s">
        <v>65</v>
      </c>
      <c r="Z11" s="435"/>
      <c r="AA11" s="446">
        <v>96812</v>
      </c>
      <c r="AB11" s="447">
        <f>+AH13</f>
        <v>0.61</v>
      </c>
      <c r="AC11" s="446">
        <f>AA11*AB11</f>
        <v>59055.32</v>
      </c>
      <c r="AD11" s="436"/>
      <c r="AE11" s="364" t="s">
        <v>65</v>
      </c>
      <c r="AF11" s="354"/>
      <c r="AG11" s="365">
        <v>94401</v>
      </c>
      <c r="AH11" s="366">
        <f>+AN13</f>
        <v>0.99</v>
      </c>
      <c r="AI11" s="365">
        <f>AG11*AH11</f>
        <v>93456.99</v>
      </c>
      <c r="AJ11" s="355"/>
      <c r="AK11" s="404" t="s">
        <v>65</v>
      </c>
      <c r="AL11" s="306"/>
      <c r="AM11" s="316">
        <v>92643</v>
      </c>
      <c r="AN11" s="317">
        <f>+AT13</f>
        <v>2.13</v>
      </c>
      <c r="AO11" s="316">
        <f>AM11*AN11</f>
        <v>197329.59</v>
      </c>
      <c r="AP11" s="307"/>
      <c r="AQ11" s="205" t="s">
        <v>65</v>
      </c>
      <c r="AR11" s="196"/>
      <c r="AS11" s="206">
        <v>91041</v>
      </c>
      <c r="AT11" s="207">
        <v>1.63</v>
      </c>
      <c r="AU11" s="206">
        <f>AS11*AT11</f>
        <v>148396.82999999999</v>
      </c>
      <c r="AV11" s="227"/>
      <c r="AW11" s="276" t="s">
        <v>65</v>
      </c>
      <c r="AX11" s="266"/>
      <c r="AY11" s="277">
        <v>86283</v>
      </c>
      <c r="AZ11" s="278">
        <f>+BF13</f>
        <v>2.12</v>
      </c>
      <c r="BA11" s="277">
        <f>AY11*AZ11</f>
        <v>182919.96000000002</v>
      </c>
      <c r="BB11" s="267"/>
      <c r="BC11" s="174" t="s">
        <v>65</v>
      </c>
      <c r="BD11" s="165"/>
      <c r="BE11" s="175">
        <v>84503</v>
      </c>
      <c r="BF11" s="176">
        <v>2.25</v>
      </c>
      <c r="BG11" s="175">
        <f>BE11*BF11</f>
        <v>190131.75</v>
      </c>
      <c r="BH11" s="239"/>
      <c r="BI11" s="121" t="s">
        <v>65</v>
      </c>
      <c r="BJ11" s="112"/>
      <c r="BK11" s="122">
        <v>81939</v>
      </c>
      <c r="BL11" s="143">
        <f>+BR13</f>
        <v>2.0699999999999998</v>
      </c>
      <c r="BM11" s="122">
        <f>BK11*BL11</f>
        <v>169613.72999999998</v>
      </c>
      <c r="BN11" s="112"/>
      <c r="BO11" s="86" t="s">
        <v>65</v>
      </c>
      <c r="BP11" s="77"/>
      <c r="BQ11" s="87">
        <v>80957</v>
      </c>
      <c r="BR11" s="88">
        <v>3.24</v>
      </c>
      <c r="BS11" s="87">
        <f>BQ11*BR11</f>
        <v>262300.68</v>
      </c>
      <c r="BT11" s="77"/>
    </row>
    <row r="12" spans="1:72" x14ac:dyDescent="0.2">
      <c r="A12" s="607"/>
      <c r="B12" s="597"/>
      <c r="C12" s="608"/>
      <c r="D12" s="610"/>
      <c r="E12" s="608"/>
      <c r="F12" s="598"/>
      <c r="G12" s="276"/>
      <c r="H12" s="266"/>
      <c r="I12" s="277"/>
      <c r="J12" s="279"/>
      <c r="K12" s="277"/>
      <c r="L12" s="267"/>
      <c r="M12" s="174"/>
      <c r="N12" s="565"/>
      <c r="O12" s="573"/>
      <c r="P12" s="575"/>
      <c r="Q12" s="573"/>
      <c r="R12" s="239"/>
      <c r="S12" s="86"/>
      <c r="T12" s="77"/>
      <c r="U12" s="87"/>
      <c r="V12" s="480"/>
      <c r="W12" s="87"/>
      <c r="X12" s="478"/>
      <c r="Y12" s="445"/>
      <c r="Z12" s="435"/>
      <c r="AA12" s="446"/>
      <c r="AB12" s="448"/>
      <c r="AC12" s="446"/>
      <c r="AD12" s="436"/>
      <c r="AE12" s="364"/>
      <c r="AF12" s="354"/>
      <c r="AG12" s="365"/>
      <c r="AH12" s="367"/>
      <c r="AI12" s="365"/>
      <c r="AJ12" s="355"/>
      <c r="AK12" s="404"/>
      <c r="AL12" s="306"/>
      <c r="AM12" s="316"/>
      <c r="AN12" s="318"/>
      <c r="AO12" s="316"/>
      <c r="AP12" s="307"/>
      <c r="AQ12" s="205"/>
      <c r="AR12" s="196"/>
      <c r="AS12" s="206"/>
      <c r="AT12" s="208"/>
      <c r="AU12" s="206"/>
      <c r="AV12" s="227"/>
      <c r="AW12" s="276"/>
      <c r="AX12" s="266"/>
      <c r="AY12" s="277"/>
      <c r="AZ12" s="279"/>
      <c r="BA12" s="277"/>
      <c r="BB12" s="267"/>
      <c r="BC12" s="174"/>
      <c r="BD12" s="165"/>
      <c r="BE12" s="175"/>
      <c r="BF12" s="177"/>
      <c r="BG12" s="175"/>
      <c r="BH12" s="239"/>
      <c r="BI12" s="121"/>
      <c r="BJ12" s="112"/>
      <c r="BK12" s="122"/>
      <c r="BL12" s="142"/>
      <c r="BM12" s="122"/>
      <c r="BN12" s="112"/>
      <c r="BO12" s="86"/>
      <c r="BP12" s="77"/>
      <c r="BQ12" s="87"/>
      <c r="BR12" s="88"/>
      <c r="BS12" s="87"/>
      <c r="BT12" s="77"/>
    </row>
    <row r="13" spans="1:72" ht="15" x14ac:dyDescent="0.35">
      <c r="A13" s="607" t="s">
        <v>66</v>
      </c>
      <c r="B13" s="611"/>
      <c r="C13" s="612">
        <f>+'Customer Counts'!B21-C11</f>
        <v>516471</v>
      </c>
      <c r="D13" s="609">
        <f>+L30</f>
        <v>1.44</v>
      </c>
      <c r="E13" s="612">
        <f>C13*D13</f>
        <v>743718.24</v>
      </c>
      <c r="F13" s="598"/>
      <c r="G13" s="276" t="s">
        <v>66</v>
      </c>
      <c r="H13" s="280"/>
      <c r="I13" s="281">
        <v>511027</v>
      </c>
      <c r="J13" s="278">
        <v>0.56000000000000005</v>
      </c>
      <c r="K13" s="281">
        <v>286175.12000000005</v>
      </c>
      <c r="L13" s="267"/>
      <c r="M13" s="174" t="s">
        <v>66</v>
      </c>
      <c r="N13" s="576"/>
      <c r="O13" s="577">
        <v>504649</v>
      </c>
      <c r="P13" s="574">
        <v>1.28</v>
      </c>
      <c r="Q13" s="577">
        <v>645950.71999999997</v>
      </c>
      <c r="R13" s="239"/>
      <c r="S13" s="86" t="s">
        <v>66</v>
      </c>
      <c r="T13" s="77"/>
      <c r="U13" s="90">
        <v>497913</v>
      </c>
      <c r="V13" s="479">
        <v>1.05</v>
      </c>
      <c r="W13" s="90">
        <v>522808.65</v>
      </c>
      <c r="X13" s="478"/>
      <c r="Y13" s="445" t="s">
        <v>66</v>
      </c>
      <c r="Z13" s="449"/>
      <c r="AA13" s="450">
        <v>490019</v>
      </c>
      <c r="AB13" s="447">
        <f>+AJ30</f>
        <v>0.26</v>
      </c>
      <c r="AC13" s="450">
        <f>AA13*AB13</f>
        <v>127404.94</v>
      </c>
      <c r="AD13" s="436"/>
      <c r="AE13" s="364" t="s">
        <v>66</v>
      </c>
      <c r="AF13" s="368"/>
      <c r="AG13" s="369">
        <v>478239</v>
      </c>
      <c r="AH13" s="366">
        <f>+AP30</f>
        <v>0.61</v>
      </c>
      <c r="AI13" s="369">
        <f>AG13*AH13</f>
        <v>291725.78999999998</v>
      </c>
      <c r="AJ13" s="355"/>
      <c r="AK13" s="404" t="s">
        <v>66</v>
      </c>
      <c r="AL13" s="319"/>
      <c r="AM13" s="320">
        <v>466374</v>
      </c>
      <c r="AN13" s="317">
        <f>+AV30</f>
        <v>0.99</v>
      </c>
      <c r="AO13" s="320">
        <f>AM13*AN13</f>
        <v>461710.26</v>
      </c>
      <c r="AP13" s="307"/>
      <c r="AQ13" s="205" t="s">
        <v>66</v>
      </c>
      <c r="AR13" s="209"/>
      <c r="AS13" s="210">
        <v>459532</v>
      </c>
      <c r="AT13" s="207">
        <v>2.13</v>
      </c>
      <c r="AU13" s="210">
        <f>AS13*AT13</f>
        <v>978803.15999999992</v>
      </c>
      <c r="AV13" s="227"/>
      <c r="AW13" s="276" t="s">
        <v>66</v>
      </c>
      <c r="AX13" s="280"/>
      <c r="AY13" s="281">
        <v>440676</v>
      </c>
      <c r="AZ13" s="278">
        <f>+BH30</f>
        <v>1.63</v>
      </c>
      <c r="BA13" s="281">
        <f>AY13*AZ13</f>
        <v>718301.88</v>
      </c>
      <c r="BB13" s="267"/>
      <c r="BC13" s="174" t="s">
        <v>66</v>
      </c>
      <c r="BD13" s="178"/>
      <c r="BE13" s="179">
        <v>426476</v>
      </c>
      <c r="BF13" s="176">
        <v>2.12</v>
      </c>
      <c r="BG13" s="179">
        <f>BE13*BF13</f>
        <v>904129.12</v>
      </c>
      <c r="BH13" s="239"/>
      <c r="BI13" s="121" t="s">
        <v>66</v>
      </c>
      <c r="BJ13" s="124"/>
      <c r="BK13" s="125">
        <v>415851</v>
      </c>
      <c r="BL13" s="143">
        <f>+BT30</f>
        <v>2.2486813724127002</v>
      </c>
      <c r="BM13" s="125">
        <f>BK13*BL13</f>
        <v>935116.39739919372</v>
      </c>
      <c r="BN13" s="112"/>
      <c r="BO13" s="86" t="s">
        <v>66</v>
      </c>
      <c r="BP13" s="89"/>
      <c r="BQ13" s="90">
        <v>407475</v>
      </c>
      <c r="BR13" s="88">
        <v>2.0699999999999998</v>
      </c>
      <c r="BS13" s="90">
        <f>BQ13*BR13</f>
        <v>843473.24999999988</v>
      </c>
      <c r="BT13" s="77"/>
    </row>
    <row r="14" spans="1:72" x14ac:dyDescent="0.2">
      <c r="A14" s="594" t="s">
        <v>22</v>
      </c>
      <c r="B14" s="595"/>
      <c r="C14" s="613">
        <f>SUM(C11:C13)</f>
        <v>619427</v>
      </c>
      <c r="D14" s="595"/>
      <c r="E14" s="613">
        <f>SUM(E11:E13)</f>
        <v>801373.6</v>
      </c>
      <c r="F14" s="614"/>
      <c r="G14" s="263" t="s">
        <v>22</v>
      </c>
      <c r="H14" s="264"/>
      <c r="I14" s="282">
        <v>612835</v>
      </c>
      <c r="J14" s="264"/>
      <c r="K14" s="282">
        <v>416489.36000000004</v>
      </c>
      <c r="L14" s="283"/>
      <c r="M14" s="162" t="s">
        <v>22</v>
      </c>
      <c r="N14" s="563"/>
      <c r="O14" s="578">
        <v>605091</v>
      </c>
      <c r="P14" s="563"/>
      <c r="Q14" s="578">
        <v>751414.82</v>
      </c>
      <c r="R14" s="240"/>
      <c r="S14" s="74" t="s">
        <v>22</v>
      </c>
      <c r="T14" s="75"/>
      <c r="U14" s="91">
        <v>597112</v>
      </c>
      <c r="V14" s="75"/>
      <c r="W14" s="91">
        <v>548600.39</v>
      </c>
      <c r="X14" s="481"/>
      <c r="Y14" s="432" t="s">
        <v>22</v>
      </c>
      <c r="Z14" s="433"/>
      <c r="AA14" s="451">
        <f>SUM(AA11:AA13)</f>
        <v>586831</v>
      </c>
      <c r="AB14" s="433"/>
      <c r="AC14" s="451">
        <f>SUM(AC11:AC13)</f>
        <v>186460.26</v>
      </c>
      <c r="AD14" s="452"/>
      <c r="AE14" s="351" t="s">
        <v>22</v>
      </c>
      <c r="AF14" s="352"/>
      <c r="AG14" s="370">
        <f>SUM(AG11:AG13)</f>
        <v>572640</v>
      </c>
      <c r="AH14" s="352"/>
      <c r="AI14" s="370">
        <f>SUM(AI11:AI13)</f>
        <v>385182.77999999997</v>
      </c>
      <c r="AJ14" s="371"/>
      <c r="AK14" s="304" t="s">
        <v>22</v>
      </c>
      <c r="AL14" s="304"/>
      <c r="AM14" s="321">
        <f>SUM(AM11:AM13)</f>
        <v>559017</v>
      </c>
      <c r="AN14" s="304"/>
      <c r="AO14" s="321">
        <f>SUM(AO11:AO13)</f>
        <v>659039.85</v>
      </c>
      <c r="AP14" s="322"/>
      <c r="AQ14" s="193" t="s">
        <v>22</v>
      </c>
      <c r="AR14" s="194"/>
      <c r="AS14" s="211">
        <f>SUM(AS11:AS13)</f>
        <v>550573</v>
      </c>
      <c r="AT14" s="194"/>
      <c r="AU14" s="211">
        <f>SUM(AU11:AU13)</f>
        <v>1127199.99</v>
      </c>
      <c r="AV14" s="228"/>
      <c r="AW14" s="263" t="s">
        <v>22</v>
      </c>
      <c r="AX14" s="264"/>
      <c r="AY14" s="282">
        <f>SUM(AY11:AY13)</f>
        <v>526959</v>
      </c>
      <c r="AZ14" s="264"/>
      <c r="BA14" s="282">
        <f>SUM(BA11:BA13)</f>
        <v>901221.84000000008</v>
      </c>
      <c r="BB14" s="283"/>
      <c r="BC14" s="162" t="s">
        <v>22</v>
      </c>
      <c r="BD14" s="163"/>
      <c r="BE14" s="180">
        <f>SUM(BE11:BE13)</f>
        <v>510979</v>
      </c>
      <c r="BF14" s="163"/>
      <c r="BG14" s="180">
        <f>SUM(BG11:BG13)</f>
        <v>1094260.8700000001</v>
      </c>
      <c r="BH14" s="240"/>
      <c r="BI14" s="109" t="s">
        <v>22</v>
      </c>
      <c r="BJ14" s="110"/>
      <c r="BK14" s="126">
        <f>SUM(BK11:BK13)</f>
        <v>497790</v>
      </c>
      <c r="BL14" s="110"/>
      <c r="BM14" s="126">
        <f>SUM(BM11:BM13)</f>
        <v>1104730.1273991936</v>
      </c>
      <c r="BN14" s="110"/>
      <c r="BO14" s="74" t="s">
        <v>22</v>
      </c>
      <c r="BP14" s="75"/>
      <c r="BQ14" s="91">
        <f>SUM(BQ11:BQ13)</f>
        <v>488432</v>
      </c>
      <c r="BR14" s="75"/>
      <c r="BS14" s="91">
        <f>SUM(BS11:BS13)</f>
        <v>1105773.93</v>
      </c>
      <c r="BT14" s="75"/>
    </row>
    <row r="15" spans="1:72" x14ac:dyDescent="0.2">
      <c r="A15" s="601"/>
      <c r="B15" s="597"/>
      <c r="C15" s="597"/>
      <c r="D15" s="597"/>
      <c r="E15" s="597"/>
      <c r="F15" s="598"/>
      <c r="G15" s="270"/>
      <c r="H15" s="266"/>
      <c r="I15" s="266"/>
      <c r="J15" s="266"/>
      <c r="K15" s="266"/>
      <c r="L15" s="267"/>
      <c r="M15" s="168"/>
      <c r="N15" s="565"/>
      <c r="O15" s="565"/>
      <c r="P15" s="565"/>
      <c r="Q15" s="565"/>
      <c r="R15" s="239"/>
      <c r="S15" s="80"/>
      <c r="T15" s="77"/>
      <c r="U15" s="77"/>
      <c r="V15" s="77"/>
      <c r="W15" s="77"/>
      <c r="X15" s="478"/>
      <c r="Y15" s="439"/>
      <c r="Z15" s="435"/>
      <c r="AA15" s="435"/>
      <c r="AB15" s="435"/>
      <c r="AC15" s="435"/>
      <c r="AD15" s="436"/>
      <c r="AE15" s="358"/>
      <c r="AF15" s="354"/>
      <c r="AG15" s="354"/>
      <c r="AH15" s="354"/>
      <c r="AI15" s="354"/>
      <c r="AJ15" s="355"/>
      <c r="AK15" s="306"/>
      <c r="AL15" s="306"/>
      <c r="AM15" s="306"/>
      <c r="AN15" s="306"/>
      <c r="AO15" s="306"/>
      <c r="AP15" s="307"/>
      <c r="AQ15" s="199"/>
      <c r="AR15" s="196"/>
      <c r="AS15" s="196"/>
      <c r="AT15" s="196"/>
      <c r="AU15" s="196"/>
      <c r="AV15" s="227"/>
      <c r="AW15" s="270"/>
      <c r="AX15" s="266"/>
      <c r="AY15" s="266"/>
      <c r="AZ15" s="266"/>
      <c r="BA15" s="266"/>
      <c r="BB15" s="267"/>
      <c r="BC15" s="168"/>
      <c r="BD15" s="165"/>
      <c r="BE15" s="165"/>
      <c r="BF15" s="165"/>
      <c r="BG15" s="165"/>
      <c r="BH15" s="239"/>
      <c r="BI15" s="115"/>
      <c r="BJ15" s="112"/>
      <c r="BK15" s="112"/>
      <c r="BL15" s="112"/>
      <c r="BM15" s="112"/>
      <c r="BN15" s="112"/>
      <c r="BO15" s="80"/>
      <c r="BP15" s="77"/>
      <c r="BQ15" s="77"/>
      <c r="BR15" s="77"/>
      <c r="BS15" s="77"/>
      <c r="BT15" s="77"/>
    </row>
    <row r="16" spans="1:72" x14ac:dyDescent="0.2">
      <c r="A16" s="607" t="s">
        <v>67</v>
      </c>
      <c r="B16" s="597"/>
      <c r="C16" s="597"/>
      <c r="D16" s="597"/>
      <c r="E16" s="608">
        <f>+'Calculation of Revenue'!F23</f>
        <v>879898.64990325808</v>
      </c>
      <c r="F16" s="598"/>
      <c r="G16" s="276" t="s">
        <v>67</v>
      </c>
      <c r="H16" s="266"/>
      <c r="I16" s="266"/>
      <c r="J16" s="266"/>
      <c r="K16" s="277">
        <v>884444.28993790806</v>
      </c>
      <c r="L16" s="267"/>
      <c r="M16" s="174" t="s">
        <v>67</v>
      </c>
      <c r="N16" s="565"/>
      <c r="O16" s="565"/>
      <c r="P16" s="565"/>
      <c r="Q16" s="573">
        <v>341849.06666888652</v>
      </c>
      <c r="R16" s="239"/>
      <c r="S16" s="86" t="s">
        <v>67</v>
      </c>
      <c r="T16" s="77"/>
      <c r="U16" s="77"/>
      <c r="V16" s="77"/>
      <c r="W16" s="87">
        <v>762052.35163120297</v>
      </c>
      <c r="X16" s="478"/>
      <c r="Y16" s="445" t="s">
        <v>67</v>
      </c>
      <c r="Z16" s="435"/>
      <c r="AA16" s="435"/>
      <c r="AB16" s="435"/>
      <c r="AC16" s="446">
        <v>616578</v>
      </c>
      <c r="AD16" s="436"/>
      <c r="AE16" s="364" t="s">
        <v>67</v>
      </c>
      <c r="AF16" s="354"/>
      <c r="AG16" s="354"/>
      <c r="AH16" s="354"/>
      <c r="AI16" s="365">
        <v>149499</v>
      </c>
      <c r="AJ16" s="355"/>
      <c r="AK16" s="404" t="s">
        <v>67</v>
      </c>
      <c r="AL16" s="306"/>
      <c r="AM16" s="306"/>
      <c r="AN16" s="306"/>
      <c r="AO16" s="316">
        <v>392835.57488468004</v>
      </c>
      <c r="AP16" s="307"/>
      <c r="AQ16" s="205" t="s">
        <v>67</v>
      </c>
      <c r="AR16" s="196"/>
      <c r="AS16" s="196"/>
      <c r="AT16" s="196"/>
      <c r="AU16" s="206">
        <v>637707.255490168</v>
      </c>
      <c r="AV16" s="227"/>
      <c r="AW16" s="276" t="s">
        <v>67</v>
      </c>
      <c r="AX16" s="266"/>
      <c r="AY16" s="266"/>
      <c r="AZ16" s="266"/>
      <c r="BA16" s="277">
        <v>1122741</v>
      </c>
      <c r="BB16" s="267"/>
      <c r="BC16" s="174" t="s">
        <v>67</v>
      </c>
      <c r="BD16" s="165"/>
      <c r="BE16" s="165"/>
      <c r="BF16" s="165"/>
      <c r="BG16" s="175">
        <v>832361</v>
      </c>
      <c r="BH16" s="239"/>
      <c r="BI16" s="121" t="s">
        <v>67</v>
      </c>
      <c r="BJ16" s="112"/>
      <c r="BK16" s="112"/>
      <c r="BL16" s="112"/>
      <c r="BM16" s="122">
        <v>1057229.1646778199</v>
      </c>
      <c r="BN16" s="112"/>
      <c r="BO16" s="86" t="s">
        <v>67</v>
      </c>
      <c r="BP16" s="77"/>
      <c r="BQ16" s="77"/>
      <c r="BR16" s="77"/>
      <c r="BS16" s="87">
        <v>1098327.94009028</v>
      </c>
      <c r="BT16" s="77"/>
    </row>
    <row r="17" spans="1:72" x14ac:dyDescent="0.2">
      <c r="A17" s="607"/>
      <c r="B17" s="597"/>
      <c r="C17" s="597"/>
      <c r="D17" s="615"/>
      <c r="E17" s="608"/>
      <c r="F17" s="598"/>
      <c r="G17" s="276"/>
      <c r="H17" s="266"/>
      <c r="I17" s="266"/>
      <c r="J17" s="284"/>
      <c r="K17" s="277"/>
      <c r="L17" s="267"/>
      <c r="M17" s="174"/>
      <c r="N17" s="565"/>
      <c r="O17" s="565"/>
      <c r="P17" s="579"/>
      <c r="Q17" s="573"/>
      <c r="R17" s="239"/>
      <c r="S17" s="86"/>
      <c r="T17" s="77"/>
      <c r="U17" s="77"/>
      <c r="V17" s="92"/>
      <c r="W17" s="87"/>
      <c r="X17" s="478"/>
      <c r="Y17" s="445"/>
      <c r="Z17" s="435"/>
      <c r="AA17" s="435"/>
      <c r="AB17" s="453"/>
      <c r="AC17" s="446"/>
      <c r="AD17" s="436"/>
      <c r="AE17" s="364"/>
      <c r="AF17" s="354"/>
      <c r="AG17" s="354"/>
      <c r="AH17" s="372"/>
      <c r="AI17" s="365"/>
      <c r="AJ17" s="355"/>
      <c r="AK17" s="404"/>
      <c r="AL17" s="306"/>
      <c r="AM17" s="306"/>
      <c r="AN17" s="323"/>
      <c r="AO17" s="316"/>
      <c r="AP17" s="307"/>
      <c r="AQ17" s="205"/>
      <c r="AR17" s="196"/>
      <c r="AS17" s="196"/>
      <c r="AT17" s="212"/>
      <c r="AU17" s="206"/>
      <c r="AV17" s="227"/>
      <c r="AW17" s="276"/>
      <c r="AX17" s="266"/>
      <c r="AY17" s="266"/>
      <c r="AZ17" s="284"/>
      <c r="BA17" s="277"/>
      <c r="BB17" s="267"/>
      <c r="BC17" s="174"/>
      <c r="BD17" s="165"/>
      <c r="BE17" s="165"/>
      <c r="BF17" s="181"/>
      <c r="BG17" s="175"/>
      <c r="BH17" s="239"/>
      <c r="BI17" s="121"/>
      <c r="BJ17" s="112"/>
      <c r="BK17" s="112"/>
      <c r="BL17" s="127"/>
      <c r="BM17" s="122"/>
      <c r="BN17" s="112"/>
      <c r="BO17" s="86"/>
      <c r="BP17" s="77"/>
      <c r="BQ17" s="77"/>
      <c r="BR17" s="92"/>
      <c r="BS17" s="87"/>
      <c r="BT17" s="77"/>
    </row>
    <row r="18" spans="1:72" ht="15" x14ac:dyDescent="0.35">
      <c r="A18" s="607"/>
      <c r="B18" s="597"/>
      <c r="C18" s="597"/>
      <c r="D18" s="612"/>
      <c r="E18" s="608"/>
      <c r="F18" s="598"/>
      <c r="G18" s="276"/>
      <c r="H18" s="266"/>
      <c r="I18" s="266"/>
      <c r="J18" s="281"/>
      <c r="K18" s="277"/>
      <c r="L18" s="267"/>
      <c r="M18" s="174"/>
      <c r="N18" s="565"/>
      <c r="O18" s="565"/>
      <c r="P18" s="577"/>
      <c r="Q18" s="573"/>
      <c r="R18" s="239"/>
      <c r="S18" s="86"/>
      <c r="T18" s="77"/>
      <c r="U18" s="77"/>
      <c r="V18" s="90"/>
      <c r="W18" s="87"/>
      <c r="X18" s="478"/>
      <c r="Y18" s="445"/>
      <c r="Z18" s="435"/>
      <c r="AA18" s="435"/>
      <c r="AB18" s="450"/>
      <c r="AC18" s="446"/>
      <c r="AD18" s="436"/>
      <c r="AE18" s="364"/>
      <c r="AF18" s="354"/>
      <c r="AG18" s="354"/>
      <c r="AH18" s="369"/>
      <c r="AI18" s="365"/>
      <c r="AJ18" s="355"/>
      <c r="AK18" s="404"/>
      <c r="AL18" s="306"/>
      <c r="AM18" s="306"/>
      <c r="AN18" s="320"/>
      <c r="AO18" s="316"/>
      <c r="AP18" s="307"/>
      <c r="AQ18" s="205"/>
      <c r="AR18" s="196"/>
      <c r="AS18" s="196"/>
      <c r="AT18" s="210"/>
      <c r="AU18" s="206"/>
      <c r="AV18" s="227"/>
      <c r="AW18" s="276"/>
      <c r="AX18" s="266"/>
      <c r="AY18" s="266"/>
      <c r="AZ18" s="281"/>
      <c r="BA18" s="277"/>
      <c r="BB18" s="267"/>
      <c r="BC18" s="174"/>
      <c r="BD18" s="165"/>
      <c r="BE18" s="165"/>
      <c r="BF18" s="179"/>
      <c r="BG18" s="175"/>
      <c r="BH18" s="239"/>
      <c r="BI18" s="121"/>
      <c r="BJ18" s="112"/>
      <c r="BK18" s="112"/>
      <c r="BL18" s="125"/>
      <c r="BM18" s="122"/>
      <c r="BN18" s="112"/>
      <c r="BO18" s="86"/>
      <c r="BP18" s="77"/>
      <c r="BQ18" s="77"/>
      <c r="BR18" s="90"/>
      <c r="BS18" s="87"/>
      <c r="BT18" s="77"/>
    </row>
    <row r="19" spans="1:72" ht="15" x14ac:dyDescent="0.35">
      <c r="A19" s="607"/>
      <c r="B19" s="597"/>
      <c r="C19" s="597"/>
      <c r="D19" s="597"/>
      <c r="E19" s="612"/>
      <c r="F19" s="598"/>
      <c r="G19" s="276"/>
      <c r="H19" s="266"/>
      <c r="I19" s="266"/>
      <c r="J19" s="266"/>
      <c r="K19" s="281"/>
      <c r="L19" s="267"/>
      <c r="M19" s="174"/>
      <c r="N19" s="565"/>
      <c r="O19" s="565"/>
      <c r="P19" s="565"/>
      <c r="Q19" s="577"/>
      <c r="R19" s="239"/>
      <c r="S19" s="86"/>
      <c r="T19" s="77"/>
      <c r="U19" s="77"/>
      <c r="V19" s="77"/>
      <c r="W19" s="90"/>
      <c r="X19" s="478"/>
      <c r="Y19" s="445"/>
      <c r="Z19" s="435"/>
      <c r="AA19" s="435"/>
      <c r="AB19" s="435"/>
      <c r="AC19" s="450"/>
      <c r="AD19" s="436"/>
      <c r="AE19" s="364"/>
      <c r="AF19" s="354"/>
      <c r="AG19" s="354"/>
      <c r="AH19" s="354"/>
      <c r="AI19" s="369"/>
      <c r="AJ19" s="355"/>
      <c r="AK19" s="404"/>
      <c r="AL19" s="306"/>
      <c r="AM19" s="306"/>
      <c r="AN19" s="306"/>
      <c r="AO19" s="320"/>
      <c r="AP19" s="307"/>
      <c r="AQ19" s="205"/>
      <c r="AR19" s="196"/>
      <c r="AS19" s="196"/>
      <c r="AT19" s="196"/>
      <c r="AU19" s="210"/>
      <c r="AV19" s="227"/>
      <c r="AW19" s="276"/>
      <c r="AX19" s="266"/>
      <c r="AY19" s="266"/>
      <c r="AZ19" s="266"/>
      <c r="BA19" s="281"/>
      <c r="BB19" s="267"/>
      <c r="BC19" s="174"/>
      <c r="BD19" s="165"/>
      <c r="BE19" s="165"/>
      <c r="BF19" s="165"/>
      <c r="BG19" s="179"/>
      <c r="BH19" s="239"/>
      <c r="BI19" s="121"/>
      <c r="BJ19" s="112"/>
      <c r="BK19" s="112"/>
      <c r="BL19" s="112"/>
      <c r="BM19" s="125"/>
      <c r="BN19" s="112"/>
      <c r="BO19" s="86"/>
      <c r="BP19" s="77"/>
      <c r="BQ19" s="77"/>
      <c r="BR19" s="77"/>
      <c r="BS19" s="90"/>
      <c r="BT19" s="77"/>
    </row>
    <row r="20" spans="1:72" x14ac:dyDescent="0.2">
      <c r="A20" s="616"/>
      <c r="B20" s="597"/>
      <c r="C20" s="597"/>
      <c r="D20" s="597"/>
      <c r="E20" s="608"/>
      <c r="F20" s="598"/>
      <c r="G20" s="285"/>
      <c r="H20" s="266"/>
      <c r="I20" s="266"/>
      <c r="J20" s="266"/>
      <c r="K20" s="277"/>
      <c r="L20" s="267"/>
      <c r="M20" s="182"/>
      <c r="N20" s="565"/>
      <c r="O20" s="565"/>
      <c r="P20" s="565"/>
      <c r="Q20" s="573"/>
      <c r="R20" s="239"/>
      <c r="S20" s="93"/>
      <c r="T20" s="77"/>
      <c r="U20" s="77"/>
      <c r="V20" s="77"/>
      <c r="W20" s="87"/>
      <c r="X20" s="478"/>
      <c r="Y20" s="454"/>
      <c r="Z20" s="435"/>
      <c r="AA20" s="435"/>
      <c r="AB20" s="435"/>
      <c r="AC20" s="446"/>
      <c r="AD20" s="436"/>
      <c r="AE20" s="373"/>
      <c r="AF20" s="354"/>
      <c r="AG20" s="354"/>
      <c r="AH20" s="354"/>
      <c r="AI20" s="365"/>
      <c r="AJ20" s="355"/>
      <c r="AK20" s="405"/>
      <c r="AL20" s="306"/>
      <c r="AM20" s="306"/>
      <c r="AN20" s="306"/>
      <c r="AO20" s="316"/>
      <c r="AP20" s="307"/>
      <c r="AQ20" s="213"/>
      <c r="AR20" s="196"/>
      <c r="AS20" s="196"/>
      <c r="AT20" s="196"/>
      <c r="AU20" s="206"/>
      <c r="AV20" s="227"/>
      <c r="AW20" s="285"/>
      <c r="AX20" s="266"/>
      <c r="AY20" s="266"/>
      <c r="AZ20" s="266"/>
      <c r="BA20" s="277"/>
      <c r="BB20" s="267"/>
      <c r="BC20" s="182"/>
      <c r="BD20" s="165"/>
      <c r="BE20" s="165"/>
      <c r="BF20" s="165"/>
      <c r="BG20" s="175"/>
      <c r="BH20" s="239"/>
      <c r="BI20" s="128"/>
      <c r="BJ20" s="112"/>
      <c r="BK20" s="112"/>
      <c r="BL20" s="112"/>
      <c r="BM20" s="122"/>
      <c r="BN20" s="112"/>
      <c r="BO20" s="93"/>
      <c r="BP20" s="77"/>
      <c r="BQ20" s="77"/>
      <c r="BR20" s="77"/>
      <c r="BS20" s="87"/>
      <c r="BT20" s="77"/>
    </row>
    <row r="21" spans="1:72" x14ac:dyDescent="0.2">
      <c r="A21" s="601"/>
      <c r="B21" s="597"/>
      <c r="C21" s="597"/>
      <c r="D21" s="597"/>
      <c r="E21" s="597"/>
      <c r="F21" s="598"/>
      <c r="G21" s="270"/>
      <c r="H21" s="266"/>
      <c r="I21" s="266"/>
      <c r="J21" s="266"/>
      <c r="K21" s="266"/>
      <c r="L21" s="267"/>
      <c r="M21" s="168"/>
      <c r="N21" s="565"/>
      <c r="O21" s="565"/>
      <c r="P21" s="565"/>
      <c r="Q21" s="565"/>
      <c r="R21" s="239"/>
      <c r="S21" s="80"/>
      <c r="T21" s="77"/>
      <c r="U21" s="77"/>
      <c r="V21" s="77"/>
      <c r="W21" s="77"/>
      <c r="X21" s="478"/>
      <c r="Y21" s="439"/>
      <c r="Z21" s="435"/>
      <c r="AA21" s="435"/>
      <c r="AB21" s="435"/>
      <c r="AC21" s="435"/>
      <c r="AD21" s="436"/>
      <c r="AE21" s="358"/>
      <c r="AF21" s="354"/>
      <c r="AG21" s="354"/>
      <c r="AH21" s="354"/>
      <c r="AI21" s="354"/>
      <c r="AJ21" s="355"/>
      <c r="AK21" s="306"/>
      <c r="AL21" s="306"/>
      <c r="AM21" s="306"/>
      <c r="AN21" s="306"/>
      <c r="AO21" s="306"/>
      <c r="AP21" s="307"/>
      <c r="AQ21" s="199"/>
      <c r="AR21" s="196"/>
      <c r="AS21" s="196"/>
      <c r="AT21" s="196"/>
      <c r="AU21" s="196"/>
      <c r="AV21" s="227"/>
      <c r="AW21" s="270"/>
      <c r="AX21" s="266"/>
      <c r="AY21" s="266"/>
      <c r="AZ21" s="266"/>
      <c r="BA21" s="266"/>
      <c r="BB21" s="267"/>
      <c r="BC21" s="168"/>
      <c r="BD21" s="165"/>
      <c r="BE21" s="165"/>
      <c r="BF21" s="165"/>
      <c r="BG21" s="165"/>
      <c r="BH21" s="239"/>
      <c r="BI21" s="115"/>
      <c r="BJ21" s="112"/>
      <c r="BK21" s="112"/>
      <c r="BL21" s="112"/>
      <c r="BM21" s="112"/>
      <c r="BN21" s="112"/>
      <c r="BO21" s="80"/>
      <c r="BP21" s="77"/>
      <c r="BQ21" s="77"/>
      <c r="BR21" s="77"/>
      <c r="BS21" s="77"/>
      <c r="BT21" s="77"/>
    </row>
    <row r="22" spans="1:72" x14ac:dyDescent="0.2">
      <c r="A22" s="601" t="s">
        <v>68</v>
      </c>
      <c r="B22" s="597"/>
      <c r="C22" s="597"/>
      <c r="D22" s="597"/>
      <c r="E22" s="608">
        <f>E16-E14</f>
        <v>78525.049903258099</v>
      </c>
      <c r="F22" s="598"/>
      <c r="G22" s="270" t="s">
        <v>68</v>
      </c>
      <c r="H22" s="266"/>
      <c r="I22" s="266"/>
      <c r="J22" s="266"/>
      <c r="K22" s="277">
        <v>467954.92993790802</v>
      </c>
      <c r="L22" s="267"/>
      <c r="M22" s="168" t="s">
        <v>68</v>
      </c>
      <c r="N22" s="565"/>
      <c r="O22" s="565"/>
      <c r="P22" s="565"/>
      <c r="Q22" s="573">
        <v>-409565.75333111343</v>
      </c>
      <c r="R22" s="239"/>
      <c r="S22" s="80" t="s">
        <v>68</v>
      </c>
      <c r="T22" s="77"/>
      <c r="U22" s="77"/>
      <c r="V22" s="77"/>
      <c r="W22" s="87">
        <v>213451.96163120295</v>
      </c>
      <c r="X22" s="478"/>
      <c r="Y22" s="439" t="s">
        <v>68</v>
      </c>
      <c r="Z22" s="435"/>
      <c r="AA22" s="435"/>
      <c r="AB22" s="435"/>
      <c r="AC22" s="446">
        <f>AC16-AC14</f>
        <v>430117.74</v>
      </c>
      <c r="AD22" s="436"/>
      <c r="AE22" s="358" t="s">
        <v>68</v>
      </c>
      <c r="AF22" s="354"/>
      <c r="AG22" s="354"/>
      <c r="AH22" s="354"/>
      <c r="AI22" s="365">
        <f>AI16-AI14</f>
        <v>-235683.77999999997</v>
      </c>
      <c r="AJ22" s="355"/>
      <c r="AK22" s="306" t="s">
        <v>68</v>
      </c>
      <c r="AL22" s="306"/>
      <c r="AM22" s="306"/>
      <c r="AN22" s="306"/>
      <c r="AO22" s="316">
        <f>AO16-AO14</f>
        <v>-266204.27511531994</v>
      </c>
      <c r="AP22" s="307"/>
      <c r="AQ22" s="199" t="s">
        <v>68</v>
      </c>
      <c r="AR22" s="196"/>
      <c r="AS22" s="196"/>
      <c r="AT22" s="196"/>
      <c r="AU22" s="206">
        <f>AU16-AU14</f>
        <v>-489492.73450983199</v>
      </c>
      <c r="AV22" s="227"/>
      <c r="AW22" s="270" t="s">
        <v>68</v>
      </c>
      <c r="AX22" s="266"/>
      <c r="AY22" s="266"/>
      <c r="AZ22" s="266"/>
      <c r="BA22" s="277">
        <f>BA16-BA14</f>
        <v>221519.15999999992</v>
      </c>
      <c r="BB22" s="267"/>
      <c r="BC22" s="168" t="s">
        <v>68</v>
      </c>
      <c r="BD22" s="165"/>
      <c r="BE22" s="165"/>
      <c r="BF22" s="165"/>
      <c r="BG22" s="175">
        <f>BG16-BG14</f>
        <v>-261899.87000000011</v>
      </c>
      <c r="BH22" s="239"/>
      <c r="BI22" s="115" t="s">
        <v>68</v>
      </c>
      <c r="BJ22" s="112"/>
      <c r="BK22" s="112"/>
      <c r="BL22" s="112"/>
      <c r="BM22" s="122">
        <f>BM16-BM14</f>
        <v>-47500.962721373653</v>
      </c>
      <c r="BN22" s="112"/>
      <c r="BO22" s="80" t="s">
        <v>68</v>
      </c>
      <c r="BP22" s="77"/>
      <c r="BQ22" s="77"/>
      <c r="BR22" s="77"/>
      <c r="BS22" s="87">
        <f>BS16-BS14</f>
        <v>-7445.9899097199086</v>
      </c>
      <c r="BT22" s="77"/>
    </row>
    <row r="23" spans="1:72" x14ac:dyDescent="0.2">
      <c r="A23" s="601"/>
      <c r="B23" s="597"/>
      <c r="C23" s="597"/>
      <c r="D23" s="597"/>
      <c r="E23" s="597"/>
      <c r="F23" s="598"/>
      <c r="G23" s="270"/>
      <c r="H23" s="266"/>
      <c r="I23" s="266"/>
      <c r="J23" s="266"/>
      <c r="K23" s="266"/>
      <c r="L23" s="267"/>
      <c r="M23" s="168"/>
      <c r="N23" s="565"/>
      <c r="O23" s="565"/>
      <c r="P23" s="565"/>
      <c r="Q23" s="565"/>
      <c r="R23" s="239"/>
      <c r="S23" s="80"/>
      <c r="T23" s="77"/>
      <c r="U23" s="77"/>
      <c r="V23" s="77"/>
      <c r="W23" s="77"/>
      <c r="X23" s="478"/>
      <c r="Y23" s="439"/>
      <c r="Z23" s="435"/>
      <c r="AA23" s="435"/>
      <c r="AB23" s="435"/>
      <c r="AC23" s="435"/>
      <c r="AD23" s="436"/>
      <c r="AE23" s="358"/>
      <c r="AF23" s="354"/>
      <c r="AG23" s="354"/>
      <c r="AH23" s="354"/>
      <c r="AI23" s="354"/>
      <c r="AJ23" s="355"/>
      <c r="AK23" s="306"/>
      <c r="AL23" s="306"/>
      <c r="AM23" s="306"/>
      <c r="AN23" s="306"/>
      <c r="AO23" s="306"/>
      <c r="AP23" s="307"/>
      <c r="AQ23" s="199"/>
      <c r="AR23" s="196"/>
      <c r="AS23" s="196"/>
      <c r="AT23" s="196"/>
      <c r="AU23" s="196"/>
      <c r="AV23" s="227"/>
      <c r="AW23" s="270"/>
      <c r="AX23" s="266"/>
      <c r="AY23" s="266"/>
      <c r="AZ23" s="266"/>
      <c r="BA23" s="266"/>
      <c r="BB23" s="267"/>
      <c r="BC23" s="168"/>
      <c r="BD23" s="165"/>
      <c r="BE23" s="165"/>
      <c r="BF23" s="165"/>
      <c r="BG23" s="165"/>
      <c r="BH23" s="239"/>
      <c r="BI23" s="115"/>
      <c r="BJ23" s="112"/>
      <c r="BK23" s="112"/>
      <c r="BL23" s="112"/>
      <c r="BM23" s="112"/>
      <c r="BN23" s="112"/>
      <c r="BO23" s="80"/>
      <c r="BP23" s="77"/>
      <c r="BQ23" s="77"/>
      <c r="BR23" s="77"/>
      <c r="BS23" s="77"/>
      <c r="BT23" s="77"/>
    </row>
    <row r="24" spans="1:72" x14ac:dyDescent="0.2">
      <c r="A24" s="601" t="s">
        <v>69</v>
      </c>
      <c r="B24" s="597"/>
      <c r="C24" s="597"/>
      <c r="D24" s="597"/>
      <c r="E24" s="608">
        <f>+C14</f>
        <v>619427</v>
      </c>
      <c r="F24" s="598"/>
      <c r="G24" s="270" t="s">
        <v>69</v>
      </c>
      <c r="H24" s="266"/>
      <c r="I24" s="266"/>
      <c r="J24" s="266"/>
      <c r="K24" s="277">
        <v>612835</v>
      </c>
      <c r="L24" s="267"/>
      <c r="M24" s="168" t="s">
        <v>69</v>
      </c>
      <c r="N24" s="565"/>
      <c r="O24" s="565"/>
      <c r="P24" s="565"/>
      <c r="Q24" s="573">
        <v>605091</v>
      </c>
      <c r="R24" s="239"/>
      <c r="S24" s="80" t="s">
        <v>69</v>
      </c>
      <c r="T24" s="77"/>
      <c r="U24" s="77"/>
      <c r="V24" s="77"/>
      <c r="W24" s="87">
        <v>597112</v>
      </c>
      <c r="X24" s="478"/>
      <c r="Y24" s="439" t="s">
        <v>69</v>
      </c>
      <c r="Z24" s="435"/>
      <c r="AA24" s="435"/>
      <c r="AB24" s="435"/>
      <c r="AC24" s="446">
        <f>+AA14</f>
        <v>586831</v>
      </c>
      <c r="AD24" s="436"/>
      <c r="AE24" s="358" t="s">
        <v>69</v>
      </c>
      <c r="AF24" s="354"/>
      <c r="AG24" s="354"/>
      <c r="AH24" s="354"/>
      <c r="AI24" s="365">
        <f>+AG14</f>
        <v>572640</v>
      </c>
      <c r="AJ24" s="355"/>
      <c r="AK24" s="306" t="s">
        <v>69</v>
      </c>
      <c r="AL24" s="306"/>
      <c r="AM24" s="306"/>
      <c r="AN24" s="306"/>
      <c r="AO24" s="316">
        <f>+AM14</f>
        <v>559017</v>
      </c>
      <c r="AP24" s="307"/>
      <c r="AQ24" s="199" t="s">
        <v>69</v>
      </c>
      <c r="AR24" s="196"/>
      <c r="AS24" s="196"/>
      <c r="AT24" s="196"/>
      <c r="AU24" s="206">
        <f>+AS14</f>
        <v>550573</v>
      </c>
      <c r="AV24" s="227"/>
      <c r="AW24" s="270" t="s">
        <v>69</v>
      </c>
      <c r="AX24" s="266"/>
      <c r="AY24" s="266"/>
      <c r="AZ24" s="266"/>
      <c r="BA24" s="277">
        <f>+AY14</f>
        <v>526959</v>
      </c>
      <c r="BB24" s="267"/>
      <c r="BC24" s="168" t="s">
        <v>69</v>
      </c>
      <c r="BD24" s="165"/>
      <c r="BE24" s="165"/>
      <c r="BF24" s="165"/>
      <c r="BG24" s="175">
        <f>+BE14</f>
        <v>510979</v>
      </c>
      <c r="BH24" s="239"/>
      <c r="BI24" s="115" t="s">
        <v>69</v>
      </c>
      <c r="BJ24" s="112"/>
      <c r="BK24" s="112"/>
      <c r="BL24" s="112"/>
      <c r="BM24" s="122">
        <f>+BK14</f>
        <v>497790</v>
      </c>
      <c r="BN24" s="112"/>
      <c r="BO24" s="80" t="s">
        <v>69</v>
      </c>
      <c r="BP24" s="77"/>
      <c r="BQ24" s="77"/>
      <c r="BR24" s="77"/>
      <c r="BS24" s="87">
        <f>+BQ14</f>
        <v>488432</v>
      </c>
      <c r="BT24" s="77"/>
    </row>
    <row r="25" spans="1:72" x14ac:dyDescent="0.2">
      <c r="A25" s="601"/>
      <c r="B25" s="597"/>
      <c r="C25" s="597"/>
      <c r="D25" s="597"/>
      <c r="E25" s="597"/>
      <c r="F25" s="598"/>
      <c r="G25" s="270"/>
      <c r="H25" s="266"/>
      <c r="I25" s="266"/>
      <c r="J25" s="266"/>
      <c r="K25" s="266"/>
      <c r="L25" s="267"/>
      <c r="M25" s="168"/>
      <c r="N25" s="565"/>
      <c r="O25" s="565"/>
      <c r="P25" s="565"/>
      <c r="Q25" s="565"/>
      <c r="R25" s="239"/>
      <c r="S25" s="80"/>
      <c r="T25" s="77"/>
      <c r="U25" s="77"/>
      <c r="V25" s="77"/>
      <c r="W25" s="77"/>
      <c r="X25" s="478"/>
      <c r="Y25" s="439"/>
      <c r="Z25" s="435"/>
      <c r="AA25" s="435"/>
      <c r="AB25" s="435"/>
      <c r="AC25" s="435"/>
      <c r="AD25" s="436"/>
      <c r="AE25" s="358"/>
      <c r="AF25" s="354"/>
      <c r="AG25" s="354"/>
      <c r="AH25" s="354"/>
      <c r="AI25" s="354"/>
      <c r="AJ25" s="355"/>
      <c r="AK25" s="306"/>
      <c r="AL25" s="306"/>
      <c r="AM25" s="306"/>
      <c r="AN25" s="306"/>
      <c r="AO25" s="306"/>
      <c r="AP25" s="307"/>
      <c r="AQ25" s="199"/>
      <c r="AR25" s="196"/>
      <c r="AS25" s="196"/>
      <c r="AT25" s="196"/>
      <c r="AU25" s="196"/>
      <c r="AV25" s="227"/>
      <c r="AW25" s="270"/>
      <c r="AX25" s="266"/>
      <c r="AY25" s="266"/>
      <c r="AZ25" s="266"/>
      <c r="BA25" s="266"/>
      <c r="BB25" s="267"/>
      <c r="BC25" s="168"/>
      <c r="BD25" s="165"/>
      <c r="BE25" s="165"/>
      <c r="BF25" s="165"/>
      <c r="BG25" s="165"/>
      <c r="BH25" s="239"/>
      <c r="BI25" s="115"/>
      <c r="BJ25" s="112"/>
      <c r="BK25" s="112"/>
      <c r="BL25" s="112"/>
      <c r="BM25" s="112"/>
      <c r="BN25" s="112"/>
      <c r="BO25" s="80"/>
      <c r="BP25" s="77"/>
      <c r="BQ25" s="77"/>
      <c r="BR25" s="77"/>
      <c r="BS25" s="77"/>
      <c r="BT25" s="77"/>
    </row>
    <row r="26" spans="1:72" x14ac:dyDescent="0.2">
      <c r="A26" s="601" t="s">
        <v>70</v>
      </c>
      <c r="B26" s="597"/>
      <c r="C26" s="597"/>
      <c r="D26" s="597"/>
      <c r="E26" s="597"/>
      <c r="F26" s="617">
        <f>ROUND(E22/E24,2)</f>
        <v>0.13</v>
      </c>
      <c r="G26" s="270" t="s">
        <v>70</v>
      </c>
      <c r="H26" s="266"/>
      <c r="I26" s="266"/>
      <c r="J26" s="266"/>
      <c r="K26" s="266"/>
      <c r="L26" s="286">
        <v>0.76</v>
      </c>
      <c r="M26" s="168" t="s">
        <v>70</v>
      </c>
      <c r="N26" s="565"/>
      <c r="O26" s="565"/>
      <c r="P26" s="565"/>
      <c r="Q26" s="565"/>
      <c r="R26" s="580">
        <v>-0.68</v>
      </c>
      <c r="S26" s="80" t="s">
        <v>70</v>
      </c>
      <c r="T26" s="94"/>
      <c r="U26" s="77"/>
      <c r="V26" s="77"/>
      <c r="W26" s="77"/>
      <c r="X26" s="482">
        <v>0.36</v>
      </c>
      <c r="Y26" s="439" t="s">
        <v>70</v>
      </c>
      <c r="Z26" s="435"/>
      <c r="AA26" s="435"/>
      <c r="AB26" s="435"/>
      <c r="AC26" s="435"/>
      <c r="AD26" s="455">
        <f>ROUND(AC22/AC24,2)</f>
        <v>0.73</v>
      </c>
      <c r="AE26" s="358" t="s">
        <v>70</v>
      </c>
      <c r="AF26" s="354"/>
      <c r="AG26" s="354"/>
      <c r="AH26" s="354"/>
      <c r="AI26" s="354"/>
      <c r="AJ26" s="374">
        <f>ROUND(AI22/AI24,2)</f>
        <v>-0.41</v>
      </c>
      <c r="AK26" s="306" t="s">
        <v>70</v>
      </c>
      <c r="AL26" s="306"/>
      <c r="AM26" s="306"/>
      <c r="AN26" s="306"/>
      <c r="AO26" s="306"/>
      <c r="AP26" s="325">
        <f>ROUND(AO22/AO24,2)</f>
        <v>-0.48</v>
      </c>
      <c r="AQ26" s="199" t="s">
        <v>70</v>
      </c>
      <c r="AR26" s="196"/>
      <c r="AS26" s="196"/>
      <c r="AT26" s="196"/>
      <c r="AU26" s="196"/>
      <c r="AV26" s="229">
        <f>ROUND(AU22/AU24,2)</f>
        <v>-0.89</v>
      </c>
      <c r="AW26" s="270" t="s">
        <v>70</v>
      </c>
      <c r="AX26" s="266"/>
      <c r="AY26" s="266"/>
      <c r="AZ26" s="266"/>
      <c r="BA26" s="266"/>
      <c r="BB26" s="286">
        <f>ROUND(BA22/BA24,2)</f>
        <v>0.42</v>
      </c>
      <c r="BC26" s="168" t="s">
        <v>70</v>
      </c>
      <c r="BD26" s="165"/>
      <c r="BE26" s="165"/>
      <c r="BF26" s="165"/>
      <c r="BG26" s="165"/>
      <c r="BH26" s="241">
        <f>ROUND(BG22/BG24,2)</f>
        <v>-0.51</v>
      </c>
      <c r="BI26" s="115" t="s">
        <v>70</v>
      </c>
      <c r="BJ26" s="112"/>
      <c r="BK26" s="112"/>
      <c r="BL26" s="112"/>
      <c r="BM26" s="112"/>
      <c r="BN26" s="129">
        <f>ROUND(BM22/BM24,2)</f>
        <v>-0.1</v>
      </c>
      <c r="BO26" s="80" t="s">
        <v>70</v>
      </c>
      <c r="BP26" s="77"/>
      <c r="BQ26" s="77"/>
      <c r="BR26" s="77"/>
      <c r="BS26" s="77"/>
      <c r="BT26" s="94">
        <f>ROUND(BS22/BS24,2)</f>
        <v>-0.02</v>
      </c>
    </row>
    <row r="27" spans="1:72" x14ac:dyDescent="0.2">
      <c r="A27" s="601"/>
      <c r="B27" s="597"/>
      <c r="C27" s="597"/>
      <c r="D27" s="597"/>
      <c r="E27" s="597"/>
      <c r="F27" s="617"/>
      <c r="G27" s="270"/>
      <c r="H27" s="266"/>
      <c r="I27" s="266"/>
      <c r="J27" s="266"/>
      <c r="K27" s="266"/>
      <c r="L27" s="286"/>
      <c r="M27" s="168"/>
      <c r="N27" s="565"/>
      <c r="O27" s="565"/>
      <c r="P27" s="565"/>
      <c r="Q27" s="565"/>
      <c r="R27" s="580"/>
      <c r="S27" s="80"/>
      <c r="T27" s="94"/>
      <c r="U27" s="77"/>
      <c r="V27" s="77"/>
      <c r="W27" s="77"/>
      <c r="X27" s="482"/>
      <c r="Y27" s="439"/>
      <c r="Z27" s="435"/>
      <c r="AA27" s="435"/>
      <c r="AB27" s="435"/>
      <c r="AC27" s="435"/>
      <c r="AD27" s="455"/>
      <c r="AE27" s="358"/>
      <c r="AF27" s="354"/>
      <c r="AG27" s="354"/>
      <c r="AH27" s="354"/>
      <c r="AI27" s="354"/>
      <c r="AJ27" s="374"/>
      <c r="AK27" s="306"/>
      <c r="AL27" s="306"/>
      <c r="AM27" s="306"/>
      <c r="AN27" s="306"/>
      <c r="AO27" s="306"/>
      <c r="AP27" s="325"/>
      <c r="AQ27" s="199"/>
      <c r="AR27" s="196"/>
      <c r="AS27" s="196"/>
      <c r="AT27" s="196"/>
      <c r="AU27" s="196"/>
      <c r="AV27" s="229"/>
      <c r="AW27" s="270"/>
      <c r="AX27" s="266"/>
      <c r="AY27" s="266"/>
      <c r="AZ27" s="266"/>
      <c r="BA27" s="266"/>
      <c r="BB27" s="286"/>
      <c r="BC27" s="168"/>
      <c r="BD27" s="165"/>
      <c r="BE27" s="165"/>
      <c r="BF27" s="165"/>
      <c r="BG27" s="165"/>
      <c r="BH27" s="241"/>
      <c r="BI27" s="115"/>
      <c r="BJ27" s="112"/>
      <c r="BK27" s="112"/>
      <c r="BL27" s="112"/>
      <c r="BM27" s="112"/>
      <c r="BN27" s="129"/>
      <c r="BO27" s="80"/>
      <c r="BP27" s="77"/>
      <c r="BQ27" s="77"/>
      <c r="BR27" s="77"/>
      <c r="BS27" s="77"/>
      <c r="BT27" s="94"/>
    </row>
    <row r="28" spans="1:72" ht="17.25" customHeight="1" x14ac:dyDescent="0.35">
      <c r="A28" s="604" t="s">
        <v>170</v>
      </c>
      <c r="B28" s="605"/>
      <c r="C28" s="597"/>
      <c r="D28" s="597"/>
      <c r="E28" s="608">
        <f>+E16</f>
        <v>879898.64990325808</v>
      </c>
      <c r="F28" s="617"/>
      <c r="G28" s="273" t="s">
        <v>170</v>
      </c>
      <c r="H28" s="274"/>
      <c r="I28" s="266"/>
      <c r="J28" s="266"/>
      <c r="K28" s="277">
        <v>884444.28993790806</v>
      </c>
      <c r="L28" s="286"/>
      <c r="M28" s="171" t="s">
        <v>170</v>
      </c>
      <c r="N28" s="571"/>
      <c r="O28" s="565"/>
      <c r="P28" s="565"/>
      <c r="Q28" s="573">
        <v>341849.06666888652</v>
      </c>
      <c r="R28" s="580"/>
      <c r="S28" s="83" t="s">
        <v>166</v>
      </c>
      <c r="T28" s="94"/>
      <c r="U28" s="77"/>
      <c r="V28" s="77"/>
      <c r="W28" s="87">
        <v>762052.35163120297</v>
      </c>
      <c r="X28" s="482"/>
      <c r="Y28" s="442" t="s">
        <v>155</v>
      </c>
      <c r="Z28" s="443"/>
      <c r="AA28" s="435"/>
      <c r="AB28" s="435"/>
      <c r="AC28" s="446">
        <f>+AC16</f>
        <v>616578</v>
      </c>
      <c r="AD28" s="455"/>
      <c r="AE28" s="361" t="s">
        <v>158</v>
      </c>
      <c r="AF28" s="362"/>
      <c r="AG28" s="354"/>
      <c r="AH28" s="354"/>
      <c r="AI28" s="365">
        <f>+AI16</f>
        <v>149499</v>
      </c>
      <c r="AJ28" s="374"/>
      <c r="AK28" s="403" t="s">
        <v>126</v>
      </c>
      <c r="AL28" s="313"/>
      <c r="AM28" s="306"/>
      <c r="AN28" s="306"/>
      <c r="AO28" s="316">
        <v>341570.34487279999</v>
      </c>
      <c r="AP28" s="325"/>
      <c r="AQ28" s="202" t="s">
        <v>121</v>
      </c>
      <c r="AR28" s="203"/>
      <c r="AS28" s="196"/>
      <c r="AT28" s="196"/>
      <c r="AU28" s="206">
        <v>546247.85422163608</v>
      </c>
      <c r="AV28" s="229"/>
      <c r="AW28" s="273" t="s">
        <v>109</v>
      </c>
      <c r="AX28" s="274"/>
      <c r="AY28" s="266"/>
      <c r="AZ28" s="266"/>
      <c r="BA28" s="277">
        <f>+BA16</f>
        <v>1122741</v>
      </c>
      <c r="BB28" s="286"/>
      <c r="BC28" s="171" t="s">
        <v>107</v>
      </c>
      <c r="BD28" s="172"/>
      <c r="BE28" s="165"/>
      <c r="BF28" s="165"/>
      <c r="BG28" s="175">
        <f>+BG16</f>
        <v>832361</v>
      </c>
      <c r="BH28" s="241"/>
      <c r="BI28" s="118" t="s">
        <v>100</v>
      </c>
      <c r="BJ28" s="119"/>
      <c r="BK28" s="112"/>
      <c r="BL28" s="112"/>
      <c r="BM28" s="122">
        <f>+BM16</f>
        <v>1057229.1646778199</v>
      </c>
      <c r="BN28" s="129"/>
      <c r="BO28" s="83" t="s">
        <v>96</v>
      </c>
      <c r="BP28" s="84"/>
      <c r="BQ28" s="77"/>
      <c r="BR28" s="77"/>
      <c r="BS28" s="87">
        <f>+BS16</f>
        <v>1098327.94009028</v>
      </c>
      <c r="BT28" s="94"/>
    </row>
    <row r="29" spans="1:72" x14ac:dyDescent="0.2">
      <c r="A29" s="601" t="s">
        <v>69</v>
      </c>
      <c r="B29" s="597"/>
      <c r="C29" s="597"/>
      <c r="D29" s="597"/>
      <c r="E29" s="608">
        <f>+C14</f>
        <v>619427</v>
      </c>
      <c r="F29" s="617"/>
      <c r="G29" s="270" t="s">
        <v>69</v>
      </c>
      <c r="H29" s="266"/>
      <c r="I29" s="266"/>
      <c r="J29" s="266"/>
      <c r="K29" s="277">
        <v>612835</v>
      </c>
      <c r="L29" s="286"/>
      <c r="M29" s="168" t="s">
        <v>69</v>
      </c>
      <c r="N29" s="565"/>
      <c r="O29" s="565"/>
      <c r="P29" s="565"/>
      <c r="Q29" s="573">
        <v>605091</v>
      </c>
      <c r="R29" s="580"/>
      <c r="S29" s="80" t="s">
        <v>69</v>
      </c>
      <c r="T29" s="94"/>
      <c r="U29" s="77"/>
      <c r="V29" s="77"/>
      <c r="W29" s="87">
        <v>597112</v>
      </c>
      <c r="X29" s="482"/>
      <c r="Y29" s="439" t="s">
        <v>69</v>
      </c>
      <c r="Z29" s="435"/>
      <c r="AA29" s="435"/>
      <c r="AB29" s="435"/>
      <c r="AC29" s="446">
        <f>+AA14</f>
        <v>586831</v>
      </c>
      <c r="AD29" s="455"/>
      <c r="AE29" s="358" t="s">
        <v>69</v>
      </c>
      <c r="AF29" s="354"/>
      <c r="AG29" s="354"/>
      <c r="AH29" s="354"/>
      <c r="AI29" s="365">
        <f>+AG14</f>
        <v>572640</v>
      </c>
      <c r="AJ29" s="374"/>
      <c r="AK29" s="306" t="s">
        <v>69</v>
      </c>
      <c r="AL29" s="306"/>
      <c r="AM29" s="306"/>
      <c r="AN29" s="306"/>
      <c r="AO29" s="316">
        <f>+AM14</f>
        <v>559017</v>
      </c>
      <c r="AP29" s="325"/>
      <c r="AQ29" s="199" t="s">
        <v>69</v>
      </c>
      <c r="AR29" s="196"/>
      <c r="AS29" s="196"/>
      <c r="AT29" s="196"/>
      <c r="AU29" s="206">
        <f>+AS14</f>
        <v>550573</v>
      </c>
      <c r="AV29" s="229"/>
      <c r="AW29" s="270" t="s">
        <v>69</v>
      </c>
      <c r="AX29" s="266"/>
      <c r="AY29" s="266"/>
      <c r="AZ29" s="266"/>
      <c r="BA29" s="277">
        <f>+AY14</f>
        <v>526959</v>
      </c>
      <c r="BB29" s="286"/>
      <c r="BC29" s="168" t="s">
        <v>69</v>
      </c>
      <c r="BD29" s="165"/>
      <c r="BE29" s="165"/>
      <c r="BF29" s="165"/>
      <c r="BG29" s="175">
        <f>+BE14</f>
        <v>510979</v>
      </c>
      <c r="BH29" s="241"/>
      <c r="BI29" s="115" t="s">
        <v>69</v>
      </c>
      <c r="BJ29" s="112"/>
      <c r="BK29" s="112"/>
      <c r="BL29" s="112"/>
      <c r="BM29" s="122">
        <f>+BK14</f>
        <v>497790</v>
      </c>
      <c r="BN29" s="129"/>
      <c r="BO29" s="80" t="s">
        <v>69</v>
      </c>
      <c r="BP29" s="77"/>
      <c r="BQ29" s="77"/>
      <c r="BR29" s="77"/>
      <c r="BS29" s="87">
        <f>+BQ14</f>
        <v>488432</v>
      </c>
      <c r="BT29" s="94"/>
    </row>
    <row r="30" spans="1:72" ht="15" x14ac:dyDescent="0.35">
      <c r="A30" s="601" t="s">
        <v>71</v>
      </c>
      <c r="B30" s="597"/>
      <c r="C30" s="597"/>
      <c r="D30" s="597"/>
      <c r="E30" s="597"/>
      <c r="F30" s="618">
        <f>ROUND(+E28/E29,2)</f>
        <v>1.42</v>
      </c>
      <c r="G30" s="270" t="s">
        <v>71</v>
      </c>
      <c r="H30" s="266"/>
      <c r="I30" s="266"/>
      <c r="J30" s="266"/>
      <c r="K30" s="266"/>
      <c r="L30" s="287">
        <v>1.44</v>
      </c>
      <c r="M30" s="168" t="s">
        <v>71</v>
      </c>
      <c r="N30" s="565"/>
      <c r="O30" s="565"/>
      <c r="P30" s="565"/>
      <c r="Q30" s="565"/>
      <c r="R30" s="581">
        <v>0.56000000000000005</v>
      </c>
      <c r="S30" s="80" t="s">
        <v>71</v>
      </c>
      <c r="T30" s="95"/>
      <c r="U30" s="77"/>
      <c r="V30" s="77"/>
      <c r="W30" s="77"/>
      <c r="X30" s="483">
        <v>1.28</v>
      </c>
      <c r="Y30" s="439" t="s">
        <v>71</v>
      </c>
      <c r="Z30" s="435"/>
      <c r="AA30" s="435"/>
      <c r="AB30" s="435"/>
      <c r="AC30" s="435"/>
      <c r="AD30" s="456">
        <f>ROUND(+AC28/AC29,2)</f>
        <v>1.05</v>
      </c>
      <c r="AE30" s="358" t="s">
        <v>71</v>
      </c>
      <c r="AF30" s="354"/>
      <c r="AG30" s="354"/>
      <c r="AH30" s="354"/>
      <c r="AI30" s="354"/>
      <c r="AJ30" s="375">
        <f>ROUND(+AI28/AI29,2)</f>
        <v>0.26</v>
      </c>
      <c r="AK30" s="306" t="s">
        <v>71</v>
      </c>
      <c r="AL30" s="306"/>
      <c r="AM30" s="306"/>
      <c r="AN30" s="306"/>
      <c r="AO30" s="306"/>
      <c r="AP30" s="326">
        <f>ROUND(+AO28/AO29,2)</f>
        <v>0.61</v>
      </c>
      <c r="AQ30" s="199" t="s">
        <v>71</v>
      </c>
      <c r="AR30" s="196"/>
      <c r="AS30" s="196"/>
      <c r="AT30" s="196"/>
      <c r="AU30" s="196"/>
      <c r="AV30" s="230">
        <f>ROUND(+AU28/AU29,2)</f>
        <v>0.99</v>
      </c>
      <c r="AW30" s="270" t="s">
        <v>71</v>
      </c>
      <c r="AX30" s="266"/>
      <c r="AY30" s="266"/>
      <c r="AZ30" s="266"/>
      <c r="BA30" s="266"/>
      <c r="BB30" s="287">
        <f>ROUND(+BA28/BA29,2)</f>
        <v>2.13</v>
      </c>
      <c r="BC30" s="168" t="s">
        <v>71</v>
      </c>
      <c r="BD30" s="165"/>
      <c r="BE30" s="165"/>
      <c r="BF30" s="165"/>
      <c r="BG30" s="165"/>
      <c r="BH30" s="242">
        <f>ROUND(+BG28/BG29,2)</f>
        <v>1.63</v>
      </c>
      <c r="BI30" s="115" t="s">
        <v>71</v>
      </c>
      <c r="BJ30" s="112"/>
      <c r="BK30" s="112"/>
      <c r="BL30" s="112"/>
      <c r="BM30" s="112"/>
      <c r="BN30" s="130">
        <f>ROUND(+BM28/BM29,2)</f>
        <v>2.12</v>
      </c>
      <c r="BO30" s="80" t="s">
        <v>71</v>
      </c>
      <c r="BP30" s="77"/>
      <c r="BQ30" s="77"/>
      <c r="BR30" s="77"/>
      <c r="BS30" s="77"/>
      <c r="BT30" s="95">
        <f>+BS28/BS29</f>
        <v>2.2486813724127002</v>
      </c>
    </row>
    <row r="31" spans="1:72" x14ac:dyDescent="0.2">
      <c r="A31" s="601"/>
      <c r="B31" s="597"/>
      <c r="C31" s="597"/>
      <c r="D31" s="597"/>
      <c r="E31" s="597"/>
      <c r="F31" s="617"/>
      <c r="G31" s="270"/>
      <c r="H31" s="266"/>
      <c r="I31" s="266"/>
      <c r="J31" s="266"/>
      <c r="K31" s="266"/>
      <c r="L31" s="286"/>
      <c r="M31" s="168"/>
      <c r="N31" s="565"/>
      <c r="O31" s="565"/>
      <c r="P31" s="565"/>
      <c r="Q31" s="565"/>
      <c r="R31" s="580"/>
      <c r="S31" s="80"/>
      <c r="T31" s="94"/>
      <c r="U31" s="77"/>
      <c r="V31" s="77"/>
      <c r="W31" s="77"/>
      <c r="X31" s="482"/>
      <c r="Y31" s="439"/>
      <c r="Z31" s="435"/>
      <c r="AA31" s="435"/>
      <c r="AB31" s="435"/>
      <c r="AC31" s="435"/>
      <c r="AD31" s="455"/>
      <c r="AE31" s="358"/>
      <c r="AF31" s="354"/>
      <c r="AG31" s="354"/>
      <c r="AH31" s="354"/>
      <c r="AI31" s="354"/>
      <c r="AJ31" s="374"/>
      <c r="AK31" s="306"/>
      <c r="AL31" s="306"/>
      <c r="AM31" s="306"/>
      <c r="AN31" s="306"/>
      <c r="AO31" s="306"/>
      <c r="AP31" s="325"/>
      <c r="AQ31" s="199"/>
      <c r="AR31" s="196"/>
      <c r="AS31" s="196"/>
      <c r="AT31" s="196"/>
      <c r="AU31" s="196"/>
      <c r="AV31" s="229"/>
      <c r="AW31" s="270"/>
      <c r="AX31" s="266"/>
      <c r="AY31" s="266"/>
      <c r="AZ31" s="266"/>
      <c r="BA31" s="266"/>
      <c r="BB31" s="286"/>
      <c r="BC31" s="168"/>
      <c r="BD31" s="165"/>
      <c r="BE31" s="165"/>
      <c r="BF31" s="165"/>
      <c r="BG31" s="165"/>
      <c r="BH31" s="241"/>
      <c r="BI31" s="115"/>
      <c r="BJ31" s="112"/>
      <c r="BK31" s="112"/>
      <c r="BL31" s="112"/>
      <c r="BM31" s="112"/>
      <c r="BN31" s="129"/>
      <c r="BO31" s="80"/>
      <c r="BP31" s="77"/>
      <c r="BQ31" s="77"/>
      <c r="BR31" s="77"/>
      <c r="BS31" s="77"/>
      <c r="BT31" s="94"/>
    </row>
    <row r="32" spans="1:72" ht="18.75" thickBot="1" x14ac:dyDescent="0.4">
      <c r="A32" s="594" t="s">
        <v>151</v>
      </c>
      <c r="B32" s="595"/>
      <c r="C32" s="597"/>
      <c r="D32" s="597"/>
      <c r="E32" s="597"/>
      <c r="F32" s="619">
        <f>+F26+F30</f>
        <v>1.5499999999999998</v>
      </c>
      <c r="G32" s="263" t="s">
        <v>151</v>
      </c>
      <c r="H32" s="264"/>
      <c r="I32" s="266"/>
      <c r="J32" s="266"/>
      <c r="K32" s="266"/>
      <c r="L32" s="288">
        <v>2.2000000000000002</v>
      </c>
      <c r="M32" s="162" t="s">
        <v>151</v>
      </c>
      <c r="N32" s="563"/>
      <c r="O32" s="565"/>
      <c r="P32" s="565"/>
      <c r="Q32" s="565"/>
      <c r="R32" s="582">
        <v>-0.12</v>
      </c>
      <c r="S32" s="74" t="s">
        <v>151</v>
      </c>
      <c r="T32" s="97"/>
      <c r="U32" s="77"/>
      <c r="V32" s="77"/>
      <c r="W32" s="77"/>
      <c r="X32" s="484">
        <v>1.6400000000000001</v>
      </c>
      <c r="Y32" s="432" t="s">
        <v>151</v>
      </c>
      <c r="Z32" s="433"/>
      <c r="AA32" s="435"/>
      <c r="AB32" s="435"/>
      <c r="AC32" s="435"/>
      <c r="AD32" s="457">
        <f>+AD26+AD30</f>
        <v>1.78</v>
      </c>
      <c r="AE32" s="351" t="s">
        <v>151</v>
      </c>
      <c r="AF32" s="352"/>
      <c r="AG32" s="354"/>
      <c r="AH32" s="354"/>
      <c r="AI32" s="354"/>
      <c r="AJ32" s="376">
        <f>+AJ26+AJ30</f>
        <v>-0.14999999999999997</v>
      </c>
      <c r="AK32" s="304" t="s">
        <v>72</v>
      </c>
      <c r="AL32" s="304"/>
      <c r="AM32" s="306"/>
      <c r="AN32" s="306"/>
      <c r="AO32" s="306"/>
      <c r="AP32" s="327">
        <f>+AP26+AP30</f>
        <v>0.13</v>
      </c>
      <c r="AQ32" s="193" t="s">
        <v>72</v>
      </c>
      <c r="AR32" s="194"/>
      <c r="AS32" s="196"/>
      <c r="AT32" s="196"/>
      <c r="AU32" s="196"/>
      <c r="AV32" s="231">
        <f>+AV26+AV30</f>
        <v>9.9999999999999978E-2</v>
      </c>
      <c r="AW32" s="263" t="s">
        <v>72</v>
      </c>
      <c r="AX32" s="264"/>
      <c r="AY32" s="266"/>
      <c r="AZ32" s="266"/>
      <c r="BA32" s="266"/>
      <c r="BB32" s="288">
        <f>+BB26+BB30</f>
        <v>2.5499999999999998</v>
      </c>
      <c r="BC32" s="162" t="s">
        <v>72</v>
      </c>
      <c r="BD32" s="163"/>
      <c r="BE32" s="165"/>
      <c r="BF32" s="165"/>
      <c r="BG32" s="165"/>
      <c r="BH32" s="243">
        <f>+BH26+BH30</f>
        <v>1.1199999999999999</v>
      </c>
      <c r="BI32" s="109" t="s">
        <v>72</v>
      </c>
      <c r="BJ32" s="110"/>
      <c r="BK32" s="112"/>
      <c r="BL32" s="112"/>
      <c r="BM32" s="112"/>
      <c r="BN32" s="131">
        <f>+BN26+BN30</f>
        <v>2.02</v>
      </c>
      <c r="BO32" s="74" t="s">
        <v>72</v>
      </c>
      <c r="BP32" s="75"/>
      <c r="BQ32" s="77"/>
      <c r="BR32" s="77"/>
      <c r="BS32" s="77"/>
      <c r="BT32" s="96">
        <f>+BT26+BT30</f>
        <v>2.2286813724127001</v>
      </c>
    </row>
    <row r="33" spans="1:72" ht="18.75" thickTop="1" x14ac:dyDescent="0.35">
      <c r="A33" s="594"/>
      <c r="B33" s="595"/>
      <c r="C33" s="597"/>
      <c r="D33" s="597"/>
      <c r="E33" s="597"/>
      <c r="F33" s="620"/>
      <c r="G33" s="263"/>
      <c r="H33" s="264"/>
      <c r="I33" s="266"/>
      <c r="J33" s="266"/>
      <c r="K33" s="266"/>
      <c r="L33" s="289"/>
      <c r="M33" s="162"/>
      <c r="N33" s="563"/>
      <c r="O33" s="565"/>
      <c r="P33" s="565"/>
      <c r="Q33" s="565"/>
      <c r="R33" s="583"/>
      <c r="S33" s="74"/>
      <c r="T33" s="97"/>
      <c r="U33" s="77"/>
      <c r="V33" s="77"/>
      <c r="W33" s="77"/>
      <c r="X33" s="485"/>
      <c r="Y33" s="432"/>
      <c r="Z33" s="433"/>
      <c r="AA33" s="435"/>
      <c r="AB33" s="435"/>
      <c r="AC33" s="435"/>
      <c r="AD33" s="458"/>
      <c r="AE33" s="351"/>
      <c r="AF33" s="352"/>
      <c r="AG33" s="354"/>
      <c r="AH33" s="354"/>
      <c r="AI33" s="354"/>
      <c r="AJ33" s="377"/>
      <c r="AK33" s="304"/>
      <c r="AL33" s="304"/>
      <c r="AM33" s="306"/>
      <c r="AN33" s="306"/>
      <c r="AO33" s="306"/>
      <c r="AP33" s="328"/>
      <c r="AQ33" s="193"/>
      <c r="AR33" s="194"/>
      <c r="AS33" s="196"/>
      <c r="AT33" s="196"/>
      <c r="AU33" s="196"/>
      <c r="AV33" s="232"/>
      <c r="AW33" s="263"/>
      <c r="AX33" s="264"/>
      <c r="AY33" s="266"/>
      <c r="AZ33" s="266"/>
      <c r="BA33" s="266"/>
      <c r="BB33" s="289"/>
      <c r="BC33" s="162"/>
      <c r="BD33" s="163"/>
      <c r="BE33" s="165"/>
      <c r="BF33" s="165"/>
      <c r="BG33" s="165"/>
      <c r="BH33" s="244"/>
      <c r="BI33" s="109"/>
      <c r="BJ33" s="110"/>
      <c r="BK33" s="112"/>
      <c r="BL33" s="112"/>
      <c r="BM33" s="112"/>
      <c r="BN33" s="132"/>
      <c r="BO33" s="74"/>
      <c r="BP33" s="75"/>
      <c r="BQ33" s="77"/>
      <c r="BR33" s="77"/>
      <c r="BS33" s="77"/>
      <c r="BT33" s="97"/>
    </row>
    <row r="34" spans="1:72" ht="21" x14ac:dyDescent="0.55000000000000004">
      <c r="A34" s="594"/>
      <c r="B34" s="595"/>
      <c r="C34" s="597"/>
      <c r="D34" s="621"/>
      <c r="E34" s="597"/>
      <c r="F34" s="622"/>
      <c r="G34" s="263"/>
      <c r="H34" s="264"/>
      <c r="I34" s="266"/>
      <c r="J34" s="555"/>
      <c r="K34" s="266"/>
      <c r="L34" s="556"/>
      <c r="M34" s="162"/>
      <c r="N34" s="563"/>
      <c r="O34" s="565"/>
      <c r="P34" s="584"/>
      <c r="Q34" s="565"/>
      <c r="R34" s="585"/>
      <c r="S34" s="74"/>
      <c r="T34" s="540"/>
      <c r="U34" s="77"/>
      <c r="V34" s="486"/>
      <c r="W34" s="77"/>
      <c r="X34" s="487"/>
      <c r="Y34" s="432"/>
      <c r="Z34" s="433"/>
      <c r="AA34" s="435"/>
      <c r="AB34" s="459"/>
      <c r="AC34" s="435"/>
      <c r="AD34" s="460"/>
      <c r="AE34" s="351" t="s">
        <v>159</v>
      </c>
      <c r="AF34" s="421"/>
      <c r="AG34" s="422"/>
      <c r="AH34" s="423">
        <v>29475</v>
      </c>
      <c r="AI34" s="422"/>
      <c r="AJ34" s="424">
        <f>ROUND(-AH34/50000/12,2)</f>
        <v>-0.05</v>
      </c>
      <c r="AK34" s="304"/>
      <c r="AL34" s="304"/>
      <c r="AM34" s="306"/>
      <c r="AN34" s="306"/>
      <c r="AO34" s="306"/>
      <c r="AP34" s="328"/>
      <c r="AQ34" s="193"/>
      <c r="AR34" s="194"/>
      <c r="AS34" s="196"/>
      <c r="AT34" s="196"/>
      <c r="AU34" s="196"/>
      <c r="AV34" s="232"/>
      <c r="AW34" s="263"/>
      <c r="AX34" s="264"/>
      <c r="AY34" s="266"/>
      <c r="AZ34" s="266"/>
      <c r="BA34" s="266"/>
      <c r="BB34" s="289"/>
      <c r="BC34" s="162"/>
      <c r="BD34" s="163"/>
      <c r="BE34" s="165"/>
      <c r="BF34" s="165"/>
      <c r="BG34" s="165"/>
      <c r="BH34" s="244"/>
      <c r="BI34" s="109"/>
      <c r="BJ34" s="110"/>
      <c r="BK34" s="112"/>
      <c r="BL34" s="112"/>
      <c r="BM34" s="112"/>
      <c r="BN34" s="132"/>
      <c r="BO34" s="74"/>
      <c r="BP34" s="75"/>
      <c r="BQ34" s="77"/>
      <c r="BR34" s="77"/>
      <c r="BS34" s="77"/>
      <c r="BT34" s="97"/>
    </row>
    <row r="35" spans="1:72" ht="18" x14ac:dyDescent="0.35">
      <c r="A35" s="594"/>
      <c r="B35" s="595"/>
      <c r="C35" s="597"/>
      <c r="D35" s="623"/>
      <c r="E35" s="597"/>
      <c r="F35" s="620"/>
      <c r="G35" s="263"/>
      <c r="H35" s="264"/>
      <c r="I35" s="266"/>
      <c r="J35" s="557"/>
      <c r="K35" s="266"/>
      <c r="L35" s="289"/>
      <c r="M35" s="162"/>
      <c r="N35" s="563"/>
      <c r="O35" s="565"/>
      <c r="P35" s="586"/>
      <c r="Q35" s="565"/>
      <c r="R35" s="583"/>
      <c r="S35" s="74"/>
      <c r="T35" s="97"/>
      <c r="U35" s="77"/>
      <c r="V35" s="488"/>
      <c r="W35" s="77"/>
      <c r="X35" s="485"/>
      <c r="Y35" s="432"/>
      <c r="Z35" s="433"/>
      <c r="AA35" s="435"/>
      <c r="AB35" s="461"/>
      <c r="AC35" s="435"/>
      <c r="AD35" s="458"/>
      <c r="AE35" s="351"/>
      <c r="AF35" s="421"/>
      <c r="AG35" s="422"/>
      <c r="AH35" s="425"/>
      <c r="AI35" s="422"/>
      <c r="AJ35" s="426"/>
      <c r="AK35" s="304"/>
      <c r="AL35" s="304"/>
      <c r="AM35" s="306"/>
      <c r="AN35" s="306"/>
      <c r="AO35" s="306"/>
      <c r="AP35" s="328"/>
      <c r="AQ35" s="193"/>
      <c r="AR35" s="194"/>
      <c r="AS35" s="196"/>
      <c r="AT35" s="196"/>
      <c r="AU35" s="196"/>
      <c r="AV35" s="232"/>
      <c r="AW35" s="263"/>
      <c r="AX35" s="264"/>
      <c r="AY35" s="266"/>
      <c r="AZ35" s="266"/>
      <c r="BA35" s="266"/>
      <c r="BB35" s="289"/>
      <c r="BC35" s="162"/>
      <c r="BD35" s="163"/>
      <c r="BE35" s="165"/>
      <c r="BF35" s="165"/>
      <c r="BG35" s="165"/>
      <c r="BH35" s="244"/>
      <c r="BI35" s="109"/>
      <c r="BJ35" s="110"/>
      <c r="BK35" s="112"/>
      <c r="BL35" s="112"/>
      <c r="BM35" s="112"/>
      <c r="BN35" s="132"/>
      <c r="BO35" s="74"/>
      <c r="BP35" s="75"/>
      <c r="BQ35" s="77"/>
      <c r="BR35" s="77"/>
      <c r="BS35" s="77"/>
      <c r="BT35" s="97"/>
    </row>
    <row r="36" spans="1:72" ht="20.25" x14ac:dyDescent="0.5">
      <c r="A36" s="624"/>
      <c r="B36" s="595"/>
      <c r="C36" s="597"/>
      <c r="D36" s="623"/>
      <c r="E36" s="597"/>
      <c r="F36" s="625"/>
      <c r="G36" s="558"/>
      <c r="H36" s="264"/>
      <c r="I36" s="266"/>
      <c r="J36" s="557"/>
      <c r="K36" s="266"/>
      <c r="L36" s="559"/>
      <c r="M36" s="544"/>
      <c r="N36" s="563"/>
      <c r="O36" s="565"/>
      <c r="P36" s="586"/>
      <c r="Q36" s="565"/>
      <c r="R36" s="587"/>
      <c r="S36" s="489"/>
      <c r="T36" s="541"/>
      <c r="U36" s="77"/>
      <c r="V36" s="488"/>
      <c r="W36" s="77"/>
      <c r="X36" s="490"/>
      <c r="Y36" s="462"/>
      <c r="Z36" s="433"/>
      <c r="AA36" s="435"/>
      <c r="AB36" s="461"/>
      <c r="AC36" s="435"/>
      <c r="AD36" s="463"/>
      <c r="AE36" s="389" t="s">
        <v>160</v>
      </c>
      <c r="AF36" s="421"/>
      <c r="AG36" s="422"/>
      <c r="AH36" s="425"/>
      <c r="AI36" s="422"/>
      <c r="AJ36" s="427">
        <f>+AJ34+AJ32</f>
        <v>-0.19999999999999996</v>
      </c>
      <c r="AK36" s="304"/>
      <c r="AL36" s="304"/>
      <c r="AM36" s="306"/>
      <c r="AN36" s="306"/>
      <c r="AO36" s="306"/>
      <c r="AP36" s="328"/>
      <c r="AQ36" s="193"/>
      <c r="AR36" s="194"/>
      <c r="AS36" s="196"/>
      <c r="AT36" s="196"/>
      <c r="AU36" s="196"/>
      <c r="AV36" s="232"/>
      <c r="AW36" s="263"/>
      <c r="AX36" s="264"/>
      <c r="AY36" s="266"/>
      <c r="AZ36" s="266"/>
      <c r="BA36" s="266"/>
      <c r="BB36" s="289"/>
      <c r="BC36" s="162"/>
      <c r="BD36" s="163"/>
      <c r="BE36" s="165"/>
      <c r="BF36" s="165"/>
      <c r="BG36" s="165"/>
      <c r="BH36" s="244"/>
      <c r="BI36" s="109"/>
      <c r="BJ36" s="110"/>
      <c r="BK36" s="112"/>
      <c r="BL36" s="112"/>
      <c r="BM36" s="112"/>
      <c r="BN36" s="132"/>
      <c r="BO36" s="74"/>
      <c r="BP36" s="75"/>
      <c r="BQ36" s="77"/>
      <c r="BR36" s="77"/>
      <c r="BS36" s="77"/>
      <c r="BT36" s="97"/>
    </row>
    <row r="37" spans="1:72" ht="18.75" thickBot="1" x14ac:dyDescent="0.4">
      <c r="A37" s="626"/>
      <c r="B37" s="627"/>
      <c r="C37" s="627"/>
      <c r="D37" s="627"/>
      <c r="E37" s="627"/>
      <c r="F37" s="628"/>
      <c r="G37" s="560"/>
      <c r="H37" s="298"/>
      <c r="I37" s="298"/>
      <c r="J37" s="298"/>
      <c r="K37" s="298"/>
      <c r="L37" s="561"/>
      <c r="M37" s="545"/>
      <c r="N37" s="186"/>
      <c r="O37" s="186"/>
      <c r="P37" s="186"/>
      <c r="Q37" s="186"/>
      <c r="R37" s="546"/>
      <c r="S37" s="491"/>
      <c r="T37" s="400"/>
      <c r="U37" s="400"/>
      <c r="V37" s="400"/>
      <c r="W37" s="400"/>
      <c r="X37" s="492"/>
      <c r="Y37" s="464"/>
      <c r="Z37" s="465"/>
      <c r="AA37" s="465"/>
      <c r="AB37" s="465"/>
      <c r="AC37" s="465"/>
      <c r="AD37" s="466"/>
      <c r="AE37" s="406"/>
      <c r="AF37" s="385"/>
      <c r="AG37" s="385"/>
      <c r="AH37" s="385"/>
      <c r="AI37" s="385"/>
      <c r="AJ37" s="402"/>
      <c r="AK37" s="337"/>
      <c r="AL37" s="337"/>
      <c r="AM37" s="338"/>
      <c r="AN37" s="338"/>
      <c r="AO37" s="338"/>
      <c r="AP37" s="390"/>
      <c r="AQ37" s="235"/>
      <c r="AR37" s="236"/>
      <c r="AS37" s="217"/>
      <c r="AT37" s="217"/>
      <c r="AU37" s="217"/>
      <c r="AV37" s="391"/>
      <c r="AW37" s="296"/>
      <c r="AX37" s="297"/>
      <c r="AY37" s="298"/>
      <c r="AZ37" s="298"/>
      <c r="BA37" s="298"/>
      <c r="BB37" s="392"/>
      <c r="BC37" s="248"/>
      <c r="BD37" s="249"/>
      <c r="BE37" s="186"/>
      <c r="BF37" s="186"/>
      <c r="BG37" s="186"/>
      <c r="BH37" s="393"/>
      <c r="BI37" s="394"/>
      <c r="BJ37" s="395"/>
      <c r="BK37" s="396"/>
      <c r="BL37" s="396"/>
      <c r="BM37" s="396"/>
      <c r="BN37" s="397"/>
      <c r="BO37" s="398"/>
      <c r="BP37" s="399"/>
      <c r="BQ37" s="400"/>
      <c r="BR37" s="400"/>
      <c r="BS37" s="400"/>
      <c r="BT37" s="401"/>
    </row>
    <row r="38" spans="1:72" ht="20.25" x14ac:dyDescent="0.5">
      <c r="A38" s="624"/>
      <c r="B38" s="595"/>
      <c r="C38" s="597"/>
      <c r="D38" s="623"/>
      <c r="E38" s="597"/>
      <c r="F38" s="625"/>
      <c r="G38" s="558"/>
      <c r="H38" s="264"/>
      <c r="I38" s="266"/>
      <c r="J38" s="557"/>
      <c r="K38" s="266"/>
      <c r="L38" s="559"/>
      <c r="M38" s="544"/>
      <c r="N38" s="563"/>
      <c r="O38" s="565"/>
      <c r="P38" s="586"/>
      <c r="Q38" s="565"/>
      <c r="R38" s="587"/>
      <c r="S38" s="489"/>
      <c r="T38" s="541"/>
      <c r="U38" s="77"/>
      <c r="V38" s="488"/>
      <c r="W38" s="77"/>
      <c r="X38" s="490"/>
      <c r="Y38" s="462"/>
      <c r="Z38" s="433"/>
      <c r="AA38" s="435"/>
      <c r="AB38" s="461"/>
      <c r="AC38" s="435"/>
      <c r="AD38" s="463"/>
      <c r="AE38" s="389"/>
      <c r="AF38" s="352"/>
      <c r="AG38" s="354"/>
      <c r="AH38" s="387"/>
      <c r="AI38" s="354"/>
      <c r="AJ38" s="388"/>
      <c r="AK38" s="303"/>
      <c r="AL38" s="304"/>
      <c r="AM38" s="306"/>
      <c r="AN38" s="306"/>
      <c r="AO38" s="306"/>
      <c r="AP38" s="328"/>
      <c r="AQ38" s="193"/>
      <c r="AR38" s="194"/>
      <c r="AS38" s="196"/>
      <c r="AT38" s="196"/>
      <c r="AU38" s="196"/>
      <c r="AV38" s="232"/>
      <c r="AW38" s="263"/>
      <c r="AX38" s="264"/>
      <c r="AY38" s="266"/>
      <c r="AZ38" s="266"/>
      <c r="BA38" s="266"/>
      <c r="BB38" s="289"/>
      <c r="BC38" s="162"/>
      <c r="BD38" s="163"/>
      <c r="BE38" s="165"/>
      <c r="BF38" s="165"/>
      <c r="BG38" s="165"/>
      <c r="BH38" s="244"/>
      <c r="BI38" s="109"/>
      <c r="BJ38" s="110"/>
      <c r="BK38" s="112"/>
      <c r="BL38" s="112"/>
      <c r="BM38" s="112"/>
      <c r="BN38" s="132"/>
      <c r="BO38" s="74"/>
      <c r="BP38" s="75"/>
      <c r="BQ38" s="77"/>
      <c r="BR38" s="77"/>
      <c r="BS38" s="77"/>
      <c r="BT38" s="97"/>
    </row>
    <row r="39" spans="1:72" ht="18" x14ac:dyDescent="0.35">
      <c r="A39" s="594"/>
      <c r="B39" s="595"/>
      <c r="C39" s="597"/>
      <c r="D39" s="597"/>
      <c r="E39" s="597"/>
      <c r="F39" s="620"/>
      <c r="G39" s="263"/>
      <c r="H39" s="264"/>
      <c r="I39" s="266"/>
      <c r="J39" s="266"/>
      <c r="K39" s="266"/>
      <c r="L39" s="289"/>
      <c r="M39" s="162"/>
      <c r="N39" s="563"/>
      <c r="O39" s="565"/>
      <c r="P39" s="565"/>
      <c r="Q39" s="565"/>
      <c r="R39" s="583"/>
      <c r="S39" s="74"/>
      <c r="T39" s="97"/>
      <c r="U39" s="77"/>
      <c r="V39" s="77"/>
      <c r="W39" s="77"/>
      <c r="X39" s="485"/>
      <c r="Y39" s="432"/>
      <c r="Z39" s="433"/>
      <c r="AA39" s="435"/>
      <c r="AB39" s="435"/>
      <c r="AC39" s="435"/>
      <c r="AD39" s="458"/>
      <c r="AE39" s="351"/>
      <c r="AF39" s="352"/>
      <c r="AG39" s="354"/>
      <c r="AH39" s="354"/>
      <c r="AI39" s="354"/>
      <c r="AJ39" s="377"/>
      <c r="AK39" s="303"/>
      <c r="AL39" s="304"/>
      <c r="AM39" s="306"/>
      <c r="AN39" s="306"/>
      <c r="AO39" s="306"/>
      <c r="AP39" s="328"/>
      <c r="AQ39" s="193"/>
      <c r="AR39" s="194"/>
      <c r="AS39" s="196"/>
      <c r="AT39" s="196"/>
      <c r="AU39" s="196"/>
      <c r="AV39" s="232"/>
      <c r="AW39" s="263"/>
      <c r="AX39" s="264"/>
      <c r="AY39" s="266"/>
      <c r="AZ39" s="266"/>
      <c r="BA39" s="266"/>
      <c r="BB39" s="289"/>
      <c r="BC39" s="162"/>
      <c r="BD39" s="163"/>
      <c r="BE39" s="165"/>
      <c r="BF39" s="165"/>
      <c r="BG39" s="165"/>
      <c r="BH39" s="244"/>
      <c r="BI39" s="109"/>
      <c r="BJ39" s="110"/>
      <c r="BK39" s="112"/>
      <c r="BL39" s="112"/>
      <c r="BM39" s="112"/>
      <c r="BN39" s="132"/>
      <c r="BO39" s="74"/>
      <c r="BP39" s="75"/>
      <c r="BQ39" s="77"/>
      <c r="BR39" s="77"/>
      <c r="BS39" s="77"/>
      <c r="BT39" s="97"/>
    </row>
    <row r="40" spans="1:72" ht="19.5" x14ac:dyDescent="0.4">
      <c r="A40" s="629" t="s">
        <v>20</v>
      </c>
      <c r="B40" s="630"/>
      <c r="C40" s="630"/>
      <c r="D40" s="630"/>
      <c r="E40" s="630"/>
      <c r="F40" s="631"/>
      <c r="G40" s="552" t="s">
        <v>20</v>
      </c>
      <c r="H40" s="553"/>
      <c r="I40" s="553"/>
      <c r="J40" s="553"/>
      <c r="K40" s="553"/>
      <c r="L40" s="554"/>
      <c r="M40" s="550" t="s">
        <v>20</v>
      </c>
      <c r="N40" s="568"/>
      <c r="O40" s="568"/>
      <c r="P40" s="568"/>
      <c r="Q40" s="568"/>
      <c r="R40" s="551"/>
      <c r="S40" s="515" t="s">
        <v>20</v>
      </c>
      <c r="T40" s="516"/>
      <c r="U40" s="516"/>
      <c r="V40" s="516"/>
      <c r="W40" s="516"/>
      <c r="X40" s="533"/>
      <c r="Y40" s="534" t="s">
        <v>20</v>
      </c>
      <c r="Z40" s="535"/>
      <c r="AA40" s="535"/>
      <c r="AB40" s="535"/>
      <c r="AC40" s="535"/>
      <c r="AD40" s="536"/>
      <c r="AE40" s="528" t="s">
        <v>20</v>
      </c>
      <c r="AF40" s="529"/>
      <c r="AG40" s="529"/>
      <c r="AH40" s="529"/>
      <c r="AI40" s="529"/>
      <c r="AJ40" s="530"/>
      <c r="AK40" s="329" t="s">
        <v>20</v>
      </c>
      <c r="AL40" s="531"/>
      <c r="AM40" s="531"/>
      <c r="AN40" s="531"/>
      <c r="AO40" s="531"/>
      <c r="AP40" s="532"/>
      <c r="AQ40" s="517" t="s">
        <v>20</v>
      </c>
      <c r="AR40" s="518"/>
      <c r="AS40" s="518"/>
      <c r="AT40" s="518"/>
      <c r="AU40" s="518"/>
      <c r="AV40" s="519"/>
      <c r="AW40" s="520" t="s">
        <v>20</v>
      </c>
      <c r="AX40" s="521"/>
      <c r="AY40" s="521"/>
      <c r="AZ40" s="521"/>
      <c r="BA40" s="521"/>
      <c r="BB40" s="522"/>
      <c r="BC40" s="525" t="s">
        <v>20</v>
      </c>
      <c r="BD40" s="526"/>
      <c r="BE40" s="526"/>
      <c r="BF40" s="526"/>
      <c r="BG40" s="526"/>
      <c r="BH40" s="527"/>
      <c r="BI40" s="523" t="s">
        <v>20</v>
      </c>
      <c r="BJ40" s="524"/>
      <c r="BK40" s="524"/>
      <c r="BL40" s="524"/>
      <c r="BM40" s="524"/>
      <c r="BN40" s="524"/>
      <c r="BO40" s="515" t="s">
        <v>20</v>
      </c>
      <c r="BP40" s="516"/>
      <c r="BQ40" s="516"/>
      <c r="BR40" s="516"/>
      <c r="BS40" s="516"/>
      <c r="BT40" s="516"/>
    </row>
    <row r="41" spans="1:72" x14ac:dyDescent="0.2">
      <c r="A41" s="601"/>
      <c r="B41" s="597"/>
      <c r="C41" s="597"/>
      <c r="D41" s="597"/>
      <c r="E41" s="597"/>
      <c r="F41" s="598"/>
      <c r="G41" s="270"/>
      <c r="H41" s="266"/>
      <c r="I41" s="266"/>
      <c r="J41" s="266"/>
      <c r="K41" s="266"/>
      <c r="L41" s="267"/>
      <c r="M41" s="168"/>
      <c r="N41" s="565"/>
      <c r="O41" s="565"/>
      <c r="P41" s="565"/>
      <c r="Q41" s="565"/>
      <c r="R41" s="239"/>
      <c r="S41" s="80"/>
      <c r="T41" s="77"/>
      <c r="U41" s="77"/>
      <c r="V41" s="77"/>
      <c r="W41" s="77"/>
      <c r="X41" s="478"/>
      <c r="Y41" s="439"/>
      <c r="Z41" s="435"/>
      <c r="AA41" s="435"/>
      <c r="AB41" s="435"/>
      <c r="AC41" s="435"/>
      <c r="AD41" s="436"/>
      <c r="AE41" s="358"/>
      <c r="AF41" s="354"/>
      <c r="AG41" s="354"/>
      <c r="AH41" s="354"/>
      <c r="AI41" s="354"/>
      <c r="AJ41" s="355"/>
      <c r="AK41" s="309"/>
      <c r="AL41" s="306"/>
      <c r="AM41" s="306"/>
      <c r="AN41" s="306"/>
      <c r="AO41" s="306"/>
      <c r="AP41" s="307"/>
      <c r="AQ41" s="199"/>
      <c r="AR41" s="196"/>
      <c r="AS41" s="196"/>
      <c r="AT41" s="196"/>
      <c r="AU41" s="196"/>
      <c r="AV41" s="227"/>
      <c r="AW41" s="270"/>
      <c r="AX41" s="266"/>
      <c r="AY41" s="266"/>
      <c r="AZ41" s="266"/>
      <c r="BA41" s="266"/>
      <c r="BB41" s="267"/>
      <c r="BC41" s="168"/>
      <c r="BD41" s="165"/>
      <c r="BE41" s="165"/>
      <c r="BF41" s="165"/>
      <c r="BG41" s="165"/>
      <c r="BH41" s="239"/>
      <c r="BI41" s="115"/>
      <c r="BJ41" s="112"/>
      <c r="BK41" s="112"/>
      <c r="BL41" s="112"/>
      <c r="BM41" s="112"/>
      <c r="BN41" s="112"/>
      <c r="BO41" s="80"/>
      <c r="BP41" s="77"/>
      <c r="BQ41" s="77"/>
      <c r="BR41" s="77"/>
      <c r="BS41" s="77"/>
      <c r="BT41" s="77"/>
    </row>
    <row r="42" spans="1:72" x14ac:dyDescent="0.2">
      <c r="A42" s="601"/>
      <c r="B42" s="597"/>
      <c r="C42" s="602"/>
      <c r="D42" s="602" t="s">
        <v>63</v>
      </c>
      <c r="E42" s="602" t="s">
        <v>22</v>
      </c>
      <c r="F42" s="598"/>
      <c r="G42" s="270"/>
      <c r="H42" s="266"/>
      <c r="I42" s="271"/>
      <c r="J42" s="271" t="s">
        <v>63</v>
      </c>
      <c r="K42" s="271" t="s">
        <v>22</v>
      </c>
      <c r="L42" s="267"/>
      <c r="M42" s="168"/>
      <c r="N42" s="565"/>
      <c r="O42" s="569"/>
      <c r="P42" s="569" t="s">
        <v>63</v>
      </c>
      <c r="Q42" s="569" t="s">
        <v>22</v>
      </c>
      <c r="R42" s="239"/>
      <c r="S42" s="80"/>
      <c r="T42" s="77"/>
      <c r="U42" s="81"/>
      <c r="V42" s="81" t="s">
        <v>63</v>
      </c>
      <c r="W42" s="81" t="s">
        <v>22</v>
      </c>
      <c r="X42" s="478"/>
      <c r="Y42" s="439"/>
      <c r="Z42" s="435"/>
      <c r="AA42" s="440"/>
      <c r="AB42" s="440" t="s">
        <v>63</v>
      </c>
      <c r="AC42" s="440" t="s">
        <v>22</v>
      </c>
      <c r="AD42" s="436"/>
      <c r="AE42" s="358"/>
      <c r="AF42" s="354"/>
      <c r="AG42" s="359"/>
      <c r="AH42" s="359" t="s">
        <v>63</v>
      </c>
      <c r="AI42" s="359" t="s">
        <v>22</v>
      </c>
      <c r="AJ42" s="355"/>
      <c r="AK42" s="309"/>
      <c r="AL42" s="306"/>
      <c r="AM42" s="310"/>
      <c r="AN42" s="310" t="s">
        <v>63</v>
      </c>
      <c r="AO42" s="310" t="s">
        <v>22</v>
      </c>
      <c r="AP42" s="307"/>
      <c r="AQ42" s="199"/>
      <c r="AR42" s="196"/>
      <c r="AS42" s="200"/>
      <c r="AT42" s="200" t="s">
        <v>63</v>
      </c>
      <c r="AU42" s="200" t="s">
        <v>22</v>
      </c>
      <c r="AV42" s="227"/>
      <c r="AW42" s="270"/>
      <c r="AX42" s="266"/>
      <c r="AY42" s="271"/>
      <c r="AZ42" s="271" t="s">
        <v>63</v>
      </c>
      <c r="BA42" s="271" t="s">
        <v>22</v>
      </c>
      <c r="BB42" s="267"/>
      <c r="BC42" s="168"/>
      <c r="BD42" s="165"/>
      <c r="BE42" s="169"/>
      <c r="BF42" s="169" t="s">
        <v>63</v>
      </c>
      <c r="BG42" s="169" t="s">
        <v>22</v>
      </c>
      <c r="BH42" s="239"/>
      <c r="BI42" s="115"/>
      <c r="BJ42" s="112"/>
      <c r="BK42" s="116"/>
      <c r="BL42" s="116" t="s">
        <v>63</v>
      </c>
      <c r="BM42" s="116" t="s">
        <v>22</v>
      </c>
      <c r="BN42" s="112"/>
      <c r="BO42" s="80"/>
      <c r="BP42" s="77"/>
      <c r="BQ42" s="81"/>
      <c r="BR42" s="81" t="s">
        <v>63</v>
      </c>
      <c r="BS42" s="81" t="s">
        <v>22</v>
      </c>
      <c r="BT42" s="77"/>
    </row>
    <row r="43" spans="1:72" x14ac:dyDescent="0.2">
      <c r="A43" s="601"/>
      <c r="B43" s="597"/>
      <c r="C43" s="632" t="s">
        <v>30</v>
      </c>
      <c r="D43" s="632" t="s">
        <v>64</v>
      </c>
      <c r="E43" s="632" t="s">
        <v>28</v>
      </c>
      <c r="F43" s="598"/>
      <c r="G43" s="270"/>
      <c r="H43" s="266"/>
      <c r="I43" s="290" t="s">
        <v>30</v>
      </c>
      <c r="J43" s="290" t="s">
        <v>64</v>
      </c>
      <c r="K43" s="290" t="s">
        <v>28</v>
      </c>
      <c r="L43" s="267"/>
      <c r="M43" s="168"/>
      <c r="N43" s="565"/>
      <c r="O43" s="183" t="s">
        <v>30</v>
      </c>
      <c r="P43" s="183" t="s">
        <v>64</v>
      </c>
      <c r="Q43" s="183" t="s">
        <v>28</v>
      </c>
      <c r="R43" s="239"/>
      <c r="S43" s="80"/>
      <c r="T43" s="77"/>
      <c r="U43" s="98" t="s">
        <v>30</v>
      </c>
      <c r="V43" s="98" t="s">
        <v>64</v>
      </c>
      <c r="W43" s="98" t="s">
        <v>28</v>
      </c>
      <c r="X43" s="478"/>
      <c r="Y43" s="439"/>
      <c r="Z43" s="435"/>
      <c r="AA43" s="467" t="s">
        <v>30</v>
      </c>
      <c r="AB43" s="467" t="s">
        <v>64</v>
      </c>
      <c r="AC43" s="467" t="s">
        <v>28</v>
      </c>
      <c r="AD43" s="436"/>
      <c r="AE43" s="358"/>
      <c r="AF43" s="354"/>
      <c r="AG43" s="378" t="s">
        <v>30</v>
      </c>
      <c r="AH43" s="378" t="s">
        <v>64</v>
      </c>
      <c r="AI43" s="378" t="s">
        <v>28</v>
      </c>
      <c r="AJ43" s="355"/>
      <c r="AK43" s="309"/>
      <c r="AL43" s="306"/>
      <c r="AM43" s="330" t="s">
        <v>30</v>
      </c>
      <c r="AN43" s="330" t="s">
        <v>64</v>
      </c>
      <c r="AO43" s="330" t="s">
        <v>28</v>
      </c>
      <c r="AP43" s="307"/>
      <c r="AQ43" s="199"/>
      <c r="AR43" s="196"/>
      <c r="AS43" s="214" t="s">
        <v>30</v>
      </c>
      <c r="AT43" s="214" t="s">
        <v>64</v>
      </c>
      <c r="AU43" s="214" t="s">
        <v>28</v>
      </c>
      <c r="AV43" s="227"/>
      <c r="AW43" s="270"/>
      <c r="AX43" s="266"/>
      <c r="AY43" s="290" t="s">
        <v>30</v>
      </c>
      <c r="AZ43" s="290" t="s">
        <v>64</v>
      </c>
      <c r="BA43" s="290" t="s">
        <v>28</v>
      </c>
      <c r="BB43" s="267"/>
      <c r="BC43" s="168"/>
      <c r="BD43" s="165"/>
      <c r="BE43" s="183" t="s">
        <v>30</v>
      </c>
      <c r="BF43" s="183" t="s">
        <v>64</v>
      </c>
      <c r="BG43" s="183" t="s">
        <v>28</v>
      </c>
      <c r="BH43" s="239"/>
      <c r="BI43" s="115"/>
      <c r="BJ43" s="112"/>
      <c r="BK43" s="133" t="s">
        <v>30</v>
      </c>
      <c r="BL43" s="133" t="s">
        <v>64</v>
      </c>
      <c r="BM43" s="133" t="s">
        <v>28</v>
      </c>
      <c r="BN43" s="112"/>
      <c r="BO43" s="80"/>
      <c r="BP43" s="77"/>
      <c r="BQ43" s="98" t="s">
        <v>30</v>
      </c>
      <c r="BR43" s="98" t="s">
        <v>64</v>
      </c>
      <c r="BS43" s="98" t="s">
        <v>28</v>
      </c>
      <c r="BT43" s="77"/>
    </row>
    <row r="44" spans="1:72" ht="16.5" x14ac:dyDescent="0.35">
      <c r="A44" s="604" t="str">
        <f>A10</f>
        <v>Projected Revenue Sep 2022-Aug 2023</v>
      </c>
      <c r="B44" s="605"/>
      <c r="C44" s="606"/>
      <c r="D44" s="606"/>
      <c r="E44" s="606"/>
      <c r="F44" s="598"/>
      <c r="G44" s="273" t="s">
        <v>169</v>
      </c>
      <c r="H44" s="274"/>
      <c r="I44" s="275"/>
      <c r="J44" s="275"/>
      <c r="K44" s="275"/>
      <c r="L44" s="267"/>
      <c r="M44" s="171" t="s">
        <v>169</v>
      </c>
      <c r="N44" s="571"/>
      <c r="O44" s="572"/>
      <c r="P44" s="572"/>
      <c r="Q44" s="572"/>
      <c r="R44" s="239"/>
      <c r="S44" s="83" t="s">
        <v>163</v>
      </c>
      <c r="T44" s="77"/>
      <c r="U44" s="85"/>
      <c r="V44" s="85"/>
      <c r="W44" s="85"/>
      <c r="X44" s="478"/>
      <c r="Y44" s="442" t="str">
        <f>Y10</f>
        <v>Projected Revenue Sep 2020-Aug 2021</v>
      </c>
      <c r="Z44" s="443"/>
      <c r="AA44" s="444"/>
      <c r="AB44" s="444"/>
      <c r="AC44" s="444"/>
      <c r="AD44" s="436"/>
      <c r="AE44" s="361" t="str">
        <f>AE10</f>
        <v>Projected Revenue Sep 2019-Aug 2020</v>
      </c>
      <c r="AF44" s="362"/>
      <c r="AG44" s="363"/>
      <c r="AH44" s="363"/>
      <c r="AI44" s="363"/>
      <c r="AJ44" s="355"/>
      <c r="AK44" s="312" t="str">
        <f>AK10</f>
        <v>Projected Revenue Sep 2018-Aug 2019</v>
      </c>
      <c r="AL44" s="313"/>
      <c r="AM44" s="314"/>
      <c r="AN44" s="314"/>
      <c r="AO44" s="314"/>
      <c r="AP44" s="307"/>
      <c r="AQ44" s="202" t="str">
        <f>AQ10</f>
        <v>Projected Revenue Sep 2017-Aug 2018</v>
      </c>
      <c r="AR44" s="203"/>
      <c r="AS44" s="204"/>
      <c r="AT44" s="204"/>
      <c r="AU44" s="204"/>
      <c r="AV44" s="227"/>
      <c r="AW44" s="273" t="str">
        <f>AW10</f>
        <v>Projected Revenue Sep 2016-Aug 2017</v>
      </c>
      <c r="AX44" s="274"/>
      <c r="AY44" s="275"/>
      <c r="AZ44" s="275"/>
      <c r="BA44" s="275"/>
      <c r="BB44" s="267"/>
      <c r="BC44" s="171" t="str">
        <f>BC10</f>
        <v>Projected Revenue Sep 2015-Aug 2016</v>
      </c>
      <c r="BD44" s="172"/>
      <c r="BE44" s="173"/>
      <c r="BF44" s="173"/>
      <c r="BG44" s="173"/>
      <c r="BH44" s="239"/>
      <c r="BI44" s="118" t="str">
        <f>BI10</f>
        <v>Projected Revenue Sep 2014-Aug 2015</v>
      </c>
      <c r="BJ44" s="119"/>
      <c r="BK44" s="120"/>
      <c r="BL44" s="120"/>
      <c r="BM44" s="120"/>
      <c r="BN44" s="112"/>
      <c r="BO44" s="83" t="str">
        <f>BO10</f>
        <v>Projected Revenue Sep 2013-Aug 2014</v>
      </c>
      <c r="BP44" s="84"/>
      <c r="BQ44" s="85"/>
      <c r="BR44" s="85"/>
      <c r="BS44" s="85"/>
      <c r="BT44" s="77"/>
    </row>
    <row r="45" spans="1:72" x14ac:dyDescent="0.2">
      <c r="A45" s="607" t="s">
        <v>65</v>
      </c>
      <c r="B45" s="611"/>
      <c r="C45" s="608">
        <f>+'MF Units'!C9+'MF Units'!C10</f>
        <v>10733.304545454541</v>
      </c>
      <c r="D45" s="609">
        <f>+J47</f>
        <v>0.27</v>
      </c>
      <c r="E45" s="608">
        <f>C45*D45</f>
        <v>2897.9922272727263</v>
      </c>
      <c r="F45" s="598"/>
      <c r="G45" s="276" t="s">
        <v>65</v>
      </c>
      <c r="H45" s="280"/>
      <c r="I45" s="277">
        <v>10980.499999999995</v>
      </c>
      <c r="J45" s="278">
        <v>0.63</v>
      </c>
      <c r="K45" s="277">
        <v>6917.7149999999965</v>
      </c>
      <c r="L45" s="267"/>
      <c r="M45" s="174" t="s">
        <v>65</v>
      </c>
      <c r="N45" s="576"/>
      <c r="O45" s="573">
        <v>11458.540909090903</v>
      </c>
      <c r="P45" s="574">
        <v>0.51</v>
      </c>
      <c r="Q45" s="573">
        <v>5843.8558636363605</v>
      </c>
      <c r="R45" s="239"/>
      <c r="S45" s="86" t="s">
        <v>65</v>
      </c>
      <c r="T45" s="77"/>
      <c r="U45" s="87">
        <v>11604.306818181813</v>
      </c>
      <c r="V45" s="479">
        <v>0.13</v>
      </c>
      <c r="W45" s="87">
        <v>1508.5598863636358</v>
      </c>
      <c r="X45" s="478"/>
      <c r="Y45" s="445" t="s">
        <v>65</v>
      </c>
      <c r="Z45" s="449"/>
      <c r="AA45" s="446">
        <v>12255</v>
      </c>
      <c r="AB45" s="447">
        <f>+AH47</f>
        <v>0.28999999999999998</v>
      </c>
      <c r="AC45" s="446">
        <f>AA45*AB45</f>
        <v>3553.95</v>
      </c>
      <c r="AD45" s="436"/>
      <c r="AE45" s="364" t="s">
        <v>65</v>
      </c>
      <c r="AF45" s="368"/>
      <c r="AG45" s="365">
        <v>11910</v>
      </c>
      <c r="AH45" s="366">
        <f>+AN47</f>
        <v>0.28999999999999998</v>
      </c>
      <c r="AI45" s="365">
        <f>AG45*AH45</f>
        <v>3453.8999999999996</v>
      </c>
      <c r="AJ45" s="355"/>
      <c r="AK45" s="315" t="s">
        <v>65</v>
      </c>
      <c r="AL45" s="319"/>
      <c r="AM45" s="316">
        <v>11761.868181818176</v>
      </c>
      <c r="AN45" s="331">
        <f>+AT47</f>
        <v>0.47</v>
      </c>
      <c r="AO45" s="316">
        <f>AM45*AN45</f>
        <v>5528.078045454542</v>
      </c>
      <c r="AP45" s="307"/>
      <c r="AQ45" s="205" t="s">
        <v>65</v>
      </c>
      <c r="AR45" s="209"/>
      <c r="AS45" s="206">
        <v>11389.822727272722</v>
      </c>
      <c r="AT45" s="215">
        <v>0.34</v>
      </c>
      <c r="AU45" s="206">
        <f>AS45*AT45</f>
        <v>3872.5397272727255</v>
      </c>
      <c r="AV45" s="227"/>
      <c r="AW45" s="276" t="s">
        <v>65</v>
      </c>
      <c r="AX45" s="280"/>
      <c r="AY45" s="277">
        <v>12789</v>
      </c>
      <c r="AZ45" s="291">
        <f>+BF47</f>
        <v>0.39</v>
      </c>
      <c r="BA45" s="277">
        <f>AY45*AZ45</f>
        <v>4987.71</v>
      </c>
      <c r="BB45" s="267"/>
      <c r="BC45" s="174" t="s">
        <v>65</v>
      </c>
      <c r="BD45" s="178"/>
      <c r="BE45" s="175">
        <v>12789</v>
      </c>
      <c r="BF45" s="184">
        <v>0.39</v>
      </c>
      <c r="BG45" s="175">
        <f>BE45*BF45</f>
        <v>4987.71</v>
      </c>
      <c r="BH45" s="239"/>
      <c r="BI45" s="121" t="s">
        <v>65</v>
      </c>
      <c r="BJ45" s="124"/>
      <c r="BK45" s="122">
        <v>12902</v>
      </c>
      <c r="BL45" s="123">
        <f>+BR47</f>
        <v>0.35</v>
      </c>
      <c r="BM45" s="122">
        <f>BK45*BL45</f>
        <v>4515.7</v>
      </c>
      <c r="BN45" s="112"/>
      <c r="BO45" s="86" t="s">
        <v>65</v>
      </c>
      <c r="BP45" s="89"/>
      <c r="BQ45" s="87">
        <v>12916</v>
      </c>
      <c r="BR45" s="88">
        <v>0.5</v>
      </c>
      <c r="BS45" s="87">
        <f>BQ45*BR45</f>
        <v>6458</v>
      </c>
      <c r="BT45" s="77"/>
    </row>
    <row r="46" spans="1:72" x14ac:dyDescent="0.2">
      <c r="A46" s="607"/>
      <c r="B46" s="611"/>
      <c r="C46" s="608"/>
      <c r="D46" s="609"/>
      <c r="E46" s="608"/>
      <c r="F46" s="598"/>
      <c r="G46" s="276"/>
      <c r="H46" s="280"/>
      <c r="I46" s="277"/>
      <c r="J46" s="278"/>
      <c r="K46" s="277"/>
      <c r="L46" s="267"/>
      <c r="M46" s="174"/>
      <c r="N46" s="576"/>
      <c r="O46" s="573"/>
      <c r="P46" s="574"/>
      <c r="Q46" s="573"/>
      <c r="R46" s="239"/>
      <c r="S46" s="86"/>
      <c r="T46" s="77"/>
      <c r="U46" s="87"/>
      <c r="V46" s="479"/>
      <c r="W46" s="87"/>
      <c r="X46" s="478"/>
      <c r="Y46" s="445"/>
      <c r="Z46" s="449"/>
      <c r="AA46" s="446"/>
      <c r="AB46" s="447"/>
      <c r="AC46" s="446"/>
      <c r="AD46" s="436"/>
      <c r="AE46" s="364"/>
      <c r="AF46" s="368"/>
      <c r="AG46" s="365"/>
      <c r="AH46" s="366"/>
      <c r="AI46" s="365"/>
      <c r="AJ46" s="355"/>
      <c r="AK46" s="315"/>
      <c r="AL46" s="319"/>
      <c r="AM46" s="316"/>
      <c r="AN46" s="331"/>
      <c r="AO46" s="316"/>
      <c r="AP46" s="307"/>
      <c r="AQ46" s="205"/>
      <c r="AR46" s="209"/>
      <c r="AS46" s="206"/>
      <c r="AT46" s="215"/>
      <c r="AU46" s="206"/>
      <c r="AV46" s="227"/>
      <c r="AW46" s="276"/>
      <c r="AX46" s="280"/>
      <c r="AY46" s="277"/>
      <c r="AZ46" s="291"/>
      <c r="BA46" s="277"/>
      <c r="BB46" s="267"/>
      <c r="BC46" s="174"/>
      <c r="BD46" s="178"/>
      <c r="BE46" s="175"/>
      <c r="BF46" s="184"/>
      <c r="BG46" s="175"/>
      <c r="BH46" s="239"/>
      <c r="BI46" s="121"/>
      <c r="BJ46" s="124"/>
      <c r="BK46" s="122"/>
      <c r="BL46" s="123"/>
      <c r="BM46" s="122"/>
      <c r="BN46" s="112"/>
      <c r="BO46" s="86"/>
      <c r="BP46" s="89"/>
      <c r="BQ46" s="87"/>
      <c r="BR46" s="88"/>
      <c r="BS46" s="87"/>
      <c r="BT46" s="77"/>
    </row>
    <row r="47" spans="1:72" ht="15" x14ac:dyDescent="0.35">
      <c r="A47" s="607" t="s">
        <v>66</v>
      </c>
      <c r="B47" s="611"/>
      <c r="C47" s="612">
        <f>SUM('MF Units'!C11:C20)</f>
        <v>54256.936363636334</v>
      </c>
      <c r="D47" s="609">
        <f>+L64</f>
        <v>0.59</v>
      </c>
      <c r="E47" s="612">
        <f>C47*D47</f>
        <v>32011.592454545436</v>
      </c>
      <c r="F47" s="598"/>
      <c r="G47" s="276" t="s">
        <v>66</v>
      </c>
      <c r="H47" s="280"/>
      <c r="I47" s="281">
        <v>55975.72045454543</v>
      </c>
      <c r="J47" s="278">
        <v>0.27</v>
      </c>
      <c r="K47" s="281">
        <v>15113.444522727266</v>
      </c>
      <c r="L47" s="267"/>
      <c r="M47" s="174" t="s">
        <v>66</v>
      </c>
      <c r="N47" s="576"/>
      <c r="O47" s="577">
        <v>55406.143181818159</v>
      </c>
      <c r="P47" s="574">
        <v>0.63</v>
      </c>
      <c r="Q47" s="577">
        <v>34905.870204545441</v>
      </c>
      <c r="R47" s="239"/>
      <c r="S47" s="86" t="s">
        <v>66</v>
      </c>
      <c r="T47" s="77"/>
      <c r="U47" s="90">
        <v>57066.227272727243</v>
      </c>
      <c r="V47" s="479">
        <v>0.51</v>
      </c>
      <c r="W47" s="90">
        <v>29103.775909090895</v>
      </c>
      <c r="X47" s="478"/>
      <c r="Y47" s="445" t="s">
        <v>66</v>
      </c>
      <c r="Z47" s="449"/>
      <c r="AA47" s="450">
        <v>60270</v>
      </c>
      <c r="AB47" s="447">
        <f>+AJ64</f>
        <v>0.13</v>
      </c>
      <c r="AC47" s="450">
        <f>AA47*AB47</f>
        <v>7835.1</v>
      </c>
      <c r="AD47" s="436"/>
      <c r="AE47" s="364" t="s">
        <v>66</v>
      </c>
      <c r="AF47" s="368"/>
      <c r="AG47" s="369">
        <v>60811</v>
      </c>
      <c r="AH47" s="366">
        <f>+AP64</f>
        <v>0.28999999999999998</v>
      </c>
      <c r="AI47" s="369">
        <f>AG47*AH47</f>
        <v>17635.189999999999</v>
      </c>
      <c r="AJ47" s="355"/>
      <c r="AK47" s="315" t="s">
        <v>66</v>
      </c>
      <c r="AL47" s="319"/>
      <c r="AM47" s="320">
        <v>59929.054545454521</v>
      </c>
      <c r="AN47" s="331">
        <f>+AV64</f>
        <v>0.28999999999999998</v>
      </c>
      <c r="AO47" s="320">
        <f>AM47*AN47</f>
        <v>17379.425818181811</v>
      </c>
      <c r="AP47" s="307"/>
      <c r="AQ47" s="205" t="s">
        <v>66</v>
      </c>
      <c r="AR47" s="209"/>
      <c r="AS47" s="210">
        <v>56963.338636363609</v>
      </c>
      <c r="AT47" s="215">
        <v>0.47</v>
      </c>
      <c r="AU47" s="210">
        <f>AS47*AT47</f>
        <v>26772.769159090894</v>
      </c>
      <c r="AV47" s="227"/>
      <c r="AW47" s="276" t="s">
        <v>66</v>
      </c>
      <c r="AX47" s="280"/>
      <c r="AY47" s="281">
        <v>62797</v>
      </c>
      <c r="AZ47" s="291">
        <f>+BH64</f>
        <v>0.34</v>
      </c>
      <c r="BA47" s="281">
        <f>AY47*AZ47</f>
        <v>21350.980000000003</v>
      </c>
      <c r="BB47" s="267"/>
      <c r="BC47" s="174" t="s">
        <v>66</v>
      </c>
      <c r="BD47" s="178"/>
      <c r="BE47" s="179">
        <v>62774</v>
      </c>
      <c r="BF47" s="184">
        <v>0.39</v>
      </c>
      <c r="BG47" s="179">
        <f>BE47*BF47</f>
        <v>24481.86</v>
      </c>
      <c r="BH47" s="239"/>
      <c r="BI47" s="121" t="s">
        <v>66</v>
      </c>
      <c r="BJ47" s="124"/>
      <c r="BK47" s="125">
        <v>64538</v>
      </c>
      <c r="BL47" s="123">
        <f>+BT64</f>
        <v>0.39292263980369369</v>
      </c>
      <c r="BM47" s="125">
        <f>BK47*BL47</f>
        <v>25358.441327650784</v>
      </c>
      <c r="BN47" s="112"/>
      <c r="BO47" s="86" t="s">
        <v>66</v>
      </c>
      <c r="BP47" s="89"/>
      <c r="BQ47" s="90">
        <v>64514</v>
      </c>
      <c r="BR47" s="88">
        <v>0.35</v>
      </c>
      <c r="BS47" s="90">
        <f>BQ47*BR47</f>
        <v>22579.899999999998</v>
      </c>
      <c r="BT47" s="77"/>
    </row>
    <row r="48" spans="1:72" x14ac:dyDescent="0.2">
      <c r="A48" s="601" t="s">
        <v>22</v>
      </c>
      <c r="B48" s="597"/>
      <c r="C48" s="608">
        <f>SUM(C45:C47)</f>
        <v>64990.240909090877</v>
      </c>
      <c r="D48" s="597"/>
      <c r="E48" s="608">
        <f>SUM(E45:E47)</f>
        <v>34909.58468181816</v>
      </c>
      <c r="F48" s="598"/>
      <c r="G48" s="270" t="s">
        <v>22</v>
      </c>
      <c r="H48" s="266"/>
      <c r="I48" s="277">
        <v>66956.22045454543</v>
      </c>
      <c r="J48" s="266"/>
      <c r="K48" s="277">
        <v>22031.159522727263</v>
      </c>
      <c r="L48" s="267"/>
      <c r="M48" s="168" t="s">
        <v>22</v>
      </c>
      <c r="N48" s="565"/>
      <c r="O48" s="573">
        <v>66864.684090909068</v>
      </c>
      <c r="P48" s="565"/>
      <c r="Q48" s="573">
        <v>40749.726068181801</v>
      </c>
      <c r="R48" s="239"/>
      <c r="S48" s="80" t="s">
        <v>22</v>
      </c>
      <c r="T48" s="77"/>
      <c r="U48" s="87">
        <v>68670.534090909059</v>
      </c>
      <c r="V48" s="77"/>
      <c r="W48" s="87">
        <v>30612.335795454532</v>
      </c>
      <c r="X48" s="478"/>
      <c r="Y48" s="439" t="s">
        <v>22</v>
      </c>
      <c r="Z48" s="435"/>
      <c r="AA48" s="446">
        <f>SUM(AA45:AA47)</f>
        <v>72525</v>
      </c>
      <c r="AB48" s="435"/>
      <c r="AC48" s="446">
        <f>SUM(AC45:AC47)</f>
        <v>11389.05</v>
      </c>
      <c r="AD48" s="436"/>
      <c r="AE48" s="358" t="s">
        <v>22</v>
      </c>
      <c r="AF48" s="354"/>
      <c r="AG48" s="365">
        <f>SUM(AG45:AG47)</f>
        <v>72721</v>
      </c>
      <c r="AH48" s="354"/>
      <c r="AI48" s="365">
        <f>SUM(AI45:AI47)</f>
        <v>21089.089999999997</v>
      </c>
      <c r="AJ48" s="355"/>
      <c r="AK48" s="309" t="s">
        <v>22</v>
      </c>
      <c r="AL48" s="306"/>
      <c r="AM48" s="316">
        <f>SUM(AM45:AM47)</f>
        <v>71690.9227272727</v>
      </c>
      <c r="AN48" s="306"/>
      <c r="AO48" s="316">
        <f>SUM(AO45:AO47)</f>
        <v>22907.503863636353</v>
      </c>
      <c r="AP48" s="307"/>
      <c r="AQ48" s="199" t="s">
        <v>22</v>
      </c>
      <c r="AR48" s="196"/>
      <c r="AS48" s="206">
        <f>SUM(AS45:AS47)</f>
        <v>68353.161363636333</v>
      </c>
      <c r="AT48" s="196"/>
      <c r="AU48" s="206">
        <f>SUM(AU45:AU47)</f>
        <v>30645.308886363619</v>
      </c>
      <c r="AV48" s="227"/>
      <c r="AW48" s="270" t="s">
        <v>22</v>
      </c>
      <c r="AX48" s="266"/>
      <c r="AY48" s="277">
        <f>SUM(AY45:AY47)</f>
        <v>75586</v>
      </c>
      <c r="AZ48" s="266"/>
      <c r="BA48" s="277">
        <f>SUM(BA45:BA47)</f>
        <v>26338.690000000002</v>
      </c>
      <c r="BB48" s="267"/>
      <c r="BC48" s="168" t="s">
        <v>22</v>
      </c>
      <c r="BD48" s="165"/>
      <c r="BE48" s="175">
        <f>SUM(BE45:BE47)</f>
        <v>75563</v>
      </c>
      <c r="BF48" s="165"/>
      <c r="BG48" s="175">
        <f>SUM(BG45:BG47)</f>
        <v>29469.57</v>
      </c>
      <c r="BH48" s="239"/>
      <c r="BI48" s="115" t="s">
        <v>22</v>
      </c>
      <c r="BJ48" s="112"/>
      <c r="BK48" s="122">
        <f>SUM(BK45:BK47)</f>
        <v>77440</v>
      </c>
      <c r="BL48" s="112"/>
      <c r="BM48" s="122">
        <f>SUM(BM45:BM47)</f>
        <v>29874.141327650785</v>
      </c>
      <c r="BN48" s="112"/>
      <c r="BO48" s="80" t="s">
        <v>22</v>
      </c>
      <c r="BP48" s="77"/>
      <c r="BQ48" s="87">
        <f>SUM(BQ45:BQ47)</f>
        <v>77430</v>
      </c>
      <c r="BR48" s="77"/>
      <c r="BS48" s="87">
        <f>SUM(BS45:BS47)</f>
        <v>29037.899999999998</v>
      </c>
      <c r="BT48" s="77"/>
    </row>
    <row r="49" spans="1:72" x14ac:dyDescent="0.2">
      <c r="A49" s="601"/>
      <c r="B49" s="597"/>
      <c r="C49" s="597"/>
      <c r="D49" s="597"/>
      <c r="E49" s="597"/>
      <c r="F49" s="598"/>
      <c r="G49" s="270"/>
      <c r="H49" s="266"/>
      <c r="I49" s="266"/>
      <c r="J49" s="266"/>
      <c r="K49" s="266"/>
      <c r="L49" s="267"/>
      <c r="M49" s="168"/>
      <c r="N49" s="565"/>
      <c r="O49" s="565"/>
      <c r="P49" s="565"/>
      <c r="Q49" s="565"/>
      <c r="R49" s="239"/>
      <c r="S49" s="80"/>
      <c r="T49" s="77"/>
      <c r="U49" s="77"/>
      <c r="V49" s="77"/>
      <c r="W49" s="77"/>
      <c r="X49" s="478"/>
      <c r="Y49" s="439"/>
      <c r="Z49" s="435"/>
      <c r="AA49" s="435"/>
      <c r="AB49" s="435"/>
      <c r="AC49" s="435"/>
      <c r="AD49" s="436"/>
      <c r="AE49" s="358"/>
      <c r="AF49" s="354"/>
      <c r="AG49" s="354"/>
      <c r="AH49" s="354"/>
      <c r="AI49" s="354"/>
      <c r="AJ49" s="355"/>
      <c r="AK49" s="309"/>
      <c r="AL49" s="306"/>
      <c r="AM49" s="306"/>
      <c r="AN49" s="306"/>
      <c r="AO49" s="306"/>
      <c r="AP49" s="307"/>
      <c r="AQ49" s="199"/>
      <c r="AR49" s="196"/>
      <c r="AS49" s="196"/>
      <c r="AT49" s="196"/>
      <c r="AU49" s="196"/>
      <c r="AV49" s="227"/>
      <c r="AW49" s="270"/>
      <c r="AX49" s="266"/>
      <c r="AY49" s="266"/>
      <c r="AZ49" s="266"/>
      <c r="BA49" s="266"/>
      <c r="BB49" s="267"/>
      <c r="BC49" s="168"/>
      <c r="BD49" s="165"/>
      <c r="BE49" s="165"/>
      <c r="BF49" s="165"/>
      <c r="BG49" s="165"/>
      <c r="BH49" s="239"/>
      <c r="BI49" s="115"/>
      <c r="BJ49" s="112"/>
      <c r="BK49" s="112"/>
      <c r="BL49" s="112"/>
      <c r="BM49" s="112"/>
      <c r="BN49" s="112"/>
      <c r="BO49" s="80"/>
      <c r="BP49" s="77"/>
      <c r="BQ49" s="77"/>
      <c r="BR49" s="77"/>
      <c r="BS49" s="77"/>
      <c r="BT49" s="77"/>
    </row>
    <row r="50" spans="1:72" x14ac:dyDescent="0.2">
      <c r="A50" s="607" t="s">
        <v>67</v>
      </c>
      <c r="B50" s="597"/>
      <c r="C50" s="597"/>
      <c r="D50" s="597"/>
      <c r="E50" s="608">
        <f>+'Calculation of Revenue'!F45</f>
        <v>34134.551336255201</v>
      </c>
      <c r="F50" s="598"/>
      <c r="G50" s="276" t="s">
        <v>67</v>
      </c>
      <c r="H50" s="266"/>
      <c r="I50" s="266"/>
      <c r="J50" s="266"/>
      <c r="K50" s="277">
        <v>39170.396775465073</v>
      </c>
      <c r="L50" s="267"/>
      <c r="M50" s="174" t="s">
        <v>67</v>
      </c>
      <c r="N50" s="565"/>
      <c r="O50" s="565"/>
      <c r="P50" s="565"/>
      <c r="Q50" s="573">
        <v>17843.17001399232</v>
      </c>
      <c r="R50" s="239"/>
      <c r="S50" s="86" t="s">
        <v>67</v>
      </c>
      <c r="T50" s="77"/>
      <c r="U50" s="77"/>
      <c r="V50" s="77"/>
      <c r="W50" s="87">
        <v>43091.769618094171</v>
      </c>
      <c r="X50" s="478"/>
      <c r="Y50" s="445" t="s">
        <v>67</v>
      </c>
      <c r="Z50" s="435"/>
      <c r="AA50" s="435"/>
      <c r="AB50" s="435"/>
      <c r="AC50" s="446">
        <v>37140</v>
      </c>
      <c r="AD50" s="436"/>
      <c r="AE50" s="364" t="s">
        <v>67</v>
      </c>
      <c r="AF50" s="354"/>
      <c r="AG50" s="354"/>
      <c r="AH50" s="354"/>
      <c r="AI50" s="365">
        <v>9167</v>
      </c>
      <c r="AJ50" s="355"/>
      <c r="AK50" s="315" t="s">
        <v>67</v>
      </c>
      <c r="AL50" s="306"/>
      <c r="AM50" s="306"/>
      <c r="AN50" s="306"/>
      <c r="AO50" s="316">
        <v>24111.722634559996</v>
      </c>
      <c r="AP50" s="307"/>
      <c r="AQ50" s="205" t="s">
        <v>67</v>
      </c>
      <c r="AR50" s="196"/>
      <c r="AS50" s="196"/>
      <c r="AT50" s="196"/>
      <c r="AU50" s="206">
        <v>23808.617180365382</v>
      </c>
      <c r="AV50" s="227"/>
      <c r="AW50" s="276" t="s">
        <v>67</v>
      </c>
      <c r="AX50" s="266"/>
      <c r="AY50" s="266"/>
      <c r="AZ50" s="266"/>
      <c r="BA50" s="277">
        <v>35869</v>
      </c>
      <c r="BB50" s="267"/>
      <c r="BC50" s="174" t="s">
        <v>67</v>
      </c>
      <c r="BD50" s="165"/>
      <c r="BE50" s="165"/>
      <c r="BF50" s="165"/>
      <c r="BG50" s="175">
        <v>25821</v>
      </c>
      <c r="BH50" s="239"/>
      <c r="BI50" s="121" t="s">
        <v>67</v>
      </c>
      <c r="BJ50" s="112"/>
      <c r="BK50" s="112"/>
      <c r="BL50" s="112"/>
      <c r="BM50" s="122">
        <v>30075.481689875349</v>
      </c>
      <c r="BN50" s="112"/>
      <c r="BO50" s="86" t="s">
        <v>67</v>
      </c>
      <c r="BP50" s="77"/>
      <c r="BQ50" s="77"/>
      <c r="BR50" s="77"/>
      <c r="BS50" s="87">
        <v>30424</v>
      </c>
      <c r="BT50" s="77"/>
    </row>
    <row r="51" spans="1:72" x14ac:dyDescent="0.2">
      <c r="A51" s="607"/>
      <c r="B51" s="597"/>
      <c r="C51" s="597"/>
      <c r="D51" s="615"/>
      <c r="E51" s="608"/>
      <c r="F51" s="598"/>
      <c r="G51" s="276"/>
      <c r="H51" s="266"/>
      <c r="I51" s="266"/>
      <c r="J51" s="284"/>
      <c r="K51" s="277"/>
      <c r="L51" s="267"/>
      <c r="M51" s="174"/>
      <c r="N51" s="565"/>
      <c r="O51" s="565"/>
      <c r="P51" s="579"/>
      <c r="Q51" s="573"/>
      <c r="R51" s="239"/>
      <c r="S51" s="86"/>
      <c r="T51" s="77"/>
      <c r="U51" s="77"/>
      <c r="V51" s="92"/>
      <c r="W51" s="87"/>
      <c r="X51" s="478"/>
      <c r="Y51" s="445"/>
      <c r="Z51" s="435"/>
      <c r="AA51" s="435"/>
      <c r="AB51" s="453"/>
      <c r="AC51" s="446"/>
      <c r="AD51" s="436"/>
      <c r="AE51" s="364"/>
      <c r="AF51" s="354"/>
      <c r="AG51" s="354"/>
      <c r="AH51" s="372"/>
      <c r="AI51" s="365"/>
      <c r="AJ51" s="355"/>
      <c r="AK51" s="315"/>
      <c r="AL51" s="306"/>
      <c r="AM51" s="306"/>
      <c r="AN51" s="323"/>
      <c r="AO51" s="316"/>
      <c r="AP51" s="307"/>
      <c r="AQ51" s="205"/>
      <c r="AR51" s="196"/>
      <c r="AS51" s="196"/>
      <c r="AT51" s="212"/>
      <c r="AU51" s="206"/>
      <c r="AV51" s="227"/>
      <c r="AW51" s="276"/>
      <c r="AX51" s="266"/>
      <c r="AY51" s="266"/>
      <c r="AZ51" s="284"/>
      <c r="BA51" s="277"/>
      <c r="BB51" s="267"/>
      <c r="BC51" s="174"/>
      <c r="BD51" s="165"/>
      <c r="BE51" s="165"/>
      <c r="BF51" s="181"/>
      <c r="BG51" s="175"/>
      <c r="BH51" s="239"/>
      <c r="BI51" s="121"/>
      <c r="BJ51" s="112"/>
      <c r="BK51" s="112"/>
      <c r="BL51" s="127"/>
      <c r="BM51" s="122"/>
      <c r="BN51" s="112"/>
      <c r="BO51" s="86"/>
      <c r="BP51" s="77"/>
      <c r="BQ51" s="77"/>
      <c r="BR51" s="92"/>
      <c r="BS51" s="87"/>
      <c r="BT51" s="77"/>
    </row>
    <row r="52" spans="1:72" ht="15" x14ac:dyDescent="0.35">
      <c r="A52" s="607"/>
      <c r="B52" s="597"/>
      <c r="C52" s="597"/>
      <c r="D52" s="612"/>
      <c r="E52" s="608"/>
      <c r="F52" s="598"/>
      <c r="G52" s="276"/>
      <c r="H52" s="266"/>
      <c r="I52" s="266"/>
      <c r="J52" s="281"/>
      <c r="K52" s="277"/>
      <c r="L52" s="267"/>
      <c r="M52" s="174"/>
      <c r="N52" s="565"/>
      <c r="O52" s="565"/>
      <c r="P52" s="577"/>
      <c r="Q52" s="573"/>
      <c r="R52" s="239"/>
      <c r="S52" s="86"/>
      <c r="T52" s="77"/>
      <c r="U52" s="77"/>
      <c r="V52" s="90"/>
      <c r="W52" s="87"/>
      <c r="X52" s="478"/>
      <c r="Y52" s="445"/>
      <c r="Z52" s="435"/>
      <c r="AA52" s="435"/>
      <c r="AB52" s="450"/>
      <c r="AC52" s="446"/>
      <c r="AD52" s="436"/>
      <c r="AE52" s="364"/>
      <c r="AF52" s="354"/>
      <c r="AG52" s="354"/>
      <c r="AH52" s="369"/>
      <c r="AI52" s="365"/>
      <c r="AJ52" s="355"/>
      <c r="AK52" s="315"/>
      <c r="AL52" s="306"/>
      <c r="AM52" s="306"/>
      <c r="AN52" s="320"/>
      <c r="AO52" s="316"/>
      <c r="AP52" s="307"/>
      <c r="AQ52" s="205"/>
      <c r="AR52" s="196"/>
      <c r="AS52" s="196"/>
      <c r="AT52" s="210"/>
      <c r="AU52" s="206"/>
      <c r="AV52" s="227"/>
      <c r="AW52" s="276"/>
      <c r="AX52" s="266"/>
      <c r="AY52" s="266"/>
      <c r="AZ52" s="281"/>
      <c r="BA52" s="277"/>
      <c r="BB52" s="267"/>
      <c r="BC52" s="174"/>
      <c r="BD52" s="165"/>
      <c r="BE52" s="165"/>
      <c r="BF52" s="179"/>
      <c r="BG52" s="175"/>
      <c r="BH52" s="239"/>
      <c r="BI52" s="121"/>
      <c r="BJ52" s="112"/>
      <c r="BK52" s="112"/>
      <c r="BL52" s="125"/>
      <c r="BM52" s="122"/>
      <c r="BN52" s="112"/>
      <c r="BO52" s="86"/>
      <c r="BP52" s="77"/>
      <c r="BQ52" s="77"/>
      <c r="BR52" s="90"/>
      <c r="BS52" s="87"/>
      <c r="BT52" s="77"/>
    </row>
    <row r="53" spans="1:72" ht="15" x14ac:dyDescent="0.35">
      <c r="A53" s="607"/>
      <c r="B53" s="597"/>
      <c r="C53" s="597"/>
      <c r="D53" s="597"/>
      <c r="E53" s="612"/>
      <c r="F53" s="598"/>
      <c r="G53" s="276"/>
      <c r="H53" s="266"/>
      <c r="I53" s="266"/>
      <c r="J53" s="266"/>
      <c r="K53" s="281"/>
      <c r="L53" s="267"/>
      <c r="M53" s="174"/>
      <c r="N53" s="565"/>
      <c r="O53" s="565"/>
      <c r="P53" s="565"/>
      <c r="Q53" s="577"/>
      <c r="R53" s="239"/>
      <c r="S53" s="86"/>
      <c r="T53" s="77"/>
      <c r="U53" s="77"/>
      <c r="V53" s="77"/>
      <c r="W53" s="90"/>
      <c r="X53" s="478"/>
      <c r="Y53" s="445"/>
      <c r="Z53" s="435"/>
      <c r="AA53" s="435"/>
      <c r="AB53" s="435"/>
      <c r="AC53" s="450"/>
      <c r="AD53" s="436"/>
      <c r="AE53" s="364"/>
      <c r="AF53" s="354"/>
      <c r="AG53" s="354"/>
      <c r="AH53" s="354"/>
      <c r="AI53" s="369"/>
      <c r="AJ53" s="355"/>
      <c r="AK53" s="315"/>
      <c r="AL53" s="306"/>
      <c r="AM53" s="306"/>
      <c r="AN53" s="306"/>
      <c r="AO53" s="320"/>
      <c r="AP53" s="307"/>
      <c r="AQ53" s="205"/>
      <c r="AR53" s="196"/>
      <c r="AS53" s="196"/>
      <c r="AT53" s="196"/>
      <c r="AU53" s="210"/>
      <c r="AV53" s="227"/>
      <c r="AW53" s="276"/>
      <c r="AX53" s="266"/>
      <c r="AY53" s="266"/>
      <c r="AZ53" s="266"/>
      <c r="BA53" s="281"/>
      <c r="BB53" s="267"/>
      <c r="BC53" s="174"/>
      <c r="BD53" s="165"/>
      <c r="BE53" s="165"/>
      <c r="BF53" s="165"/>
      <c r="BG53" s="179"/>
      <c r="BH53" s="239"/>
      <c r="BI53" s="121"/>
      <c r="BJ53" s="112"/>
      <c r="BK53" s="112"/>
      <c r="BL53" s="112"/>
      <c r="BM53" s="125"/>
      <c r="BN53" s="112"/>
      <c r="BO53" s="86"/>
      <c r="BP53" s="77"/>
      <c r="BQ53" s="77"/>
      <c r="BR53" s="77"/>
      <c r="BS53" s="90"/>
      <c r="BT53" s="77"/>
    </row>
    <row r="54" spans="1:72" x14ac:dyDescent="0.2">
      <c r="A54" s="616"/>
      <c r="B54" s="597"/>
      <c r="C54" s="597"/>
      <c r="D54" s="597"/>
      <c r="E54" s="608"/>
      <c r="F54" s="598"/>
      <c r="G54" s="285"/>
      <c r="H54" s="266"/>
      <c r="I54" s="266"/>
      <c r="J54" s="266"/>
      <c r="K54" s="277"/>
      <c r="L54" s="267"/>
      <c r="M54" s="182"/>
      <c r="N54" s="565"/>
      <c r="O54" s="565"/>
      <c r="P54" s="565"/>
      <c r="Q54" s="573"/>
      <c r="R54" s="239"/>
      <c r="S54" s="93"/>
      <c r="T54" s="77"/>
      <c r="U54" s="77"/>
      <c r="V54" s="77"/>
      <c r="W54" s="87"/>
      <c r="X54" s="478"/>
      <c r="Y54" s="454"/>
      <c r="Z54" s="435"/>
      <c r="AA54" s="435"/>
      <c r="AB54" s="435"/>
      <c r="AC54" s="446"/>
      <c r="AD54" s="436"/>
      <c r="AE54" s="373"/>
      <c r="AF54" s="354"/>
      <c r="AG54" s="354"/>
      <c r="AH54" s="354"/>
      <c r="AI54" s="365"/>
      <c r="AJ54" s="355"/>
      <c r="AK54" s="324"/>
      <c r="AL54" s="306"/>
      <c r="AM54" s="306"/>
      <c r="AN54" s="306"/>
      <c r="AO54" s="316"/>
      <c r="AP54" s="307"/>
      <c r="AQ54" s="213"/>
      <c r="AR54" s="196"/>
      <c r="AS54" s="196"/>
      <c r="AT54" s="196"/>
      <c r="AU54" s="206"/>
      <c r="AV54" s="227"/>
      <c r="AW54" s="285"/>
      <c r="AX54" s="266"/>
      <c r="AY54" s="266"/>
      <c r="AZ54" s="266"/>
      <c r="BA54" s="277"/>
      <c r="BB54" s="267"/>
      <c r="BC54" s="182"/>
      <c r="BD54" s="165"/>
      <c r="BE54" s="165"/>
      <c r="BF54" s="165"/>
      <c r="BG54" s="175"/>
      <c r="BH54" s="239"/>
      <c r="BI54" s="128"/>
      <c r="BJ54" s="112"/>
      <c r="BK54" s="112"/>
      <c r="BL54" s="112"/>
      <c r="BM54" s="122"/>
      <c r="BN54" s="112"/>
      <c r="BO54" s="93"/>
      <c r="BP54" s="77"/>
      <c r="BQ54" s="77"/>
      <c r="BR54" s="77"/>
      <c r="BS54" s="87"/>
      <c r="BT54" s="77"/>
    </row>
    <row r="55" spans="1:72" x14ac:dyDescent="0.2">
      <c r="A55" s="616"/>
      <c r="B55" s="597"/>
      <c r="C55" s="597"/>
      <c r="D55" s="597"/>
      <c r="E55" s="608"/>
      <c r="F55" s="598"/>
      <c r="G55" s="285"/>
      <c r="H55" s="266"/>
      <c r="I55" s="266"/>
      <c r="J55" s="266"/>
      <c r="K55" s="277"/>
      <c r="L55" s="267"/>
      <c r="M55" s="182"/>
      <c r="N55" s="565"/>
      <c r="O55" s="565"/>
      <c r="P55" s="565"/>
      <c r="Q55" s="573"/>
      <c r="R55" s="239"/>
      <c r="S55" s="93"/>
      <c r="T55" s="77"/>
      <c r="U55" s="77"/>
      <c r="V55" s="77"/>
      <c r="W55" s="87"/>
      <c r="X55" s="478"/>
      <c r="Y55" s="454"/>
      <c r="Z55" s="435"/>
      <c r="AA55" s="435"/>
      <c r="AB55" s="435"/>
      <c r="AC55" s="446"/>
      <c r="AD55" s="436"/>
      <c r="AE55" s="373"/>
      <c r="AF55" s="354"/>
      <c r="AG55" s="354"/>
      <c r="AH55" s="354"/>
      <c r="AI55" s="365"/>
      <c r="AJ55" s="355"/>
      <c r="AK55" s="324"/>
      <c r="AL55" s="306"/>
      <c r="AM55" s="306"/>
      <c r="AN55" s="306"/>
      <c r="AO55" s="316"/>
      <c r="AP55" s="307"/>
      <c r="AQ55" s="213"/>
      <c r="AR55" s="196"/>
      <c r="AS55" s="196"/>
      <c r="AT55" s="196"/>
      <c r="AU55" s="206"/>
      <c r="AV55" s="227"/>
      <c r="AW55" s="285"/>
      <c r="AX55" s="266"/>
      <c r="AY55" s="266"/>
      <c r="AZ55" s="266"/>
      <c r="BA55" s="277"/>
      <c r="BB55" s="267"/>
      <c r="BC55" s="182"/>
      <c r="BD55" s="165"/>
      <c r="BE55" s="165"/>
      <c r="BF55" s="165"/>
      <c r="BG55" s="175"/>
      <c r="BH55" s="239"/>
      <c r="BI55" s="128"/>
      <c r="BJ55" s="112"/>
      <c r="BK55" s="112"/>
      <c r="BL55" s="112"/>
      <c r="BM55" s="122"/>
      <c r="BN55" s="112"/>
      <c r="BO55" s="93"/>
      <c r="BP55" s="77"/>
      <c r="BQ55" s="77"/>
      <c r="BR55" s="77"/>
      <c r="BS55" s="87"/>
      <c r="BT55" s="77"/>
    </row>
    <row r="56" spans="1:72" x14ac:dyDescent="0.2">
      <c r="A56" s="601" t="s">
        <v>68</v>
      </c>
      <c r="B56" s="597"/>
      <c r="C56" s="597"/>
      <c r="D56" s="597"/>
      <c r="E56" s="608">
        <f>E50-E48</f>
        <v>-775.03334556295886</v>
      </c>
      <c r="F56" s="598"/>
      <c r="G56" s="270" t="s">
        <v>68</v>
      </c>
      <c r="H56" s="266"/>
      <c r="I56" s="266"/>
      <c r="J56" s="266"/>
      <c r="K56" s="277">
        <v>17139.23725273781</v>
      </c>
      <c r="L56" s="267"/>
      <c r="M56" s="168" t="s">
        <v>68</v>
      </c>
      <c r="N56" s="565"/>
      <c r="O56" s="565"/>
      <c r="P56" s="565"/>
      <c r="Q56" s="573">
        <v>-22906.556054189481</v>
      </c>
      <c r="R56" s="239"/>
      <c r="S56" s="80" t="s">
        <v>68</v>
      </c>
      <c r="T56" s="77"/>
      <c r="U56" s="77"/>
      <c r="V56" s="77"/>
      <c r="W56" s="87">
        <v>12479.433822639639</v>
      </c>
      <c r="X56" s="478"/>
      <c r="Y56" s="439" t="s">
        <v>68</v>
      </c>
      <c r="Z56" s="435"/>
      <c r="AA56" s="435"/>
      <c r="AB56" s="435"/>
      <c r="AC56" s="446">
        <f>AC50-AC48</f>
        <v>25750.95</v>
      </c>
      <c r="AD56" s="436"/>
      <c r="AE56" s="358" t="s">
        <v>68</v>
      </c>
      <c r="AF56" s="354"/>
      <c r="AG56" s="354"/>
      <c r="AH56" s="354"/>
      <c r="AI56" s="365">
        <f>AI50-AI48</f>
        <v>-11922.089999999997</v>
      </c>
      <c r="AJ56" s="355"/>
      <c r="AK56" s="309" t="s">
        <v>68</v>
      </c>
      <c r="AL56" s="306"/>
      <c r="AM56" s="306"/>
      <c r="AN56" s="306"/>
      <c r="AO56" s="316">
        <f>AO50-AO48</f>
        <v>1204.2187709236423</v>
      </c>
      <c r="AP56" s="307"/>
      <c r="AQ56" s="199" t="s">
        <v>68</v>
      </c>
      <c r="AR56" s="196"/>
      <c r="AS56" s="196"/>
      <c r="AT56" s="196"/>
      <c r="AU56" s="206">
        <f>AU50-AU48</f>
        <v>-6836.691705998237</v>
      </c>
      <c r="AV56" s="227"/>
      <c r="AW56" s="270" t="s">
        <v>68</v>
      </c>
      <c r="AX56" s="266"/>
      <c r="AY56" s="266"/>
      <c r="AZ56" s="266"/>
      <c r="BA56" s="277">
        <f>BA50-BA48</f>
        <v>9530.3099999999977</v>
      </c>
      <c r="BB56" s="267"/>
      <c r="BC56" s="168" t="s">
        <v>68</v>
      </c>
      <c r="BD56" s="165"/>
      <c r="BE56" s="165"/>
      <c r="BF56" s="165"/>
      <c r="BG56" s="175">
        <f>BG50-BG48</f>
        <v>-3648.5699999999997</v>
      </c>
      <c r="BH56" s="239"/>
      <c r="BI56" s="115" t="s">
        <v>68</v>
      </c>
      <c r="BJ56" s="112"/>
      <c r="BK56" s="112"/>
      <c r="BL56" s="112"/>
      <c r="BM56" s="122">
        <f>BM50-BM48</f>
        <v>201.34036222456416</v>
      </c>
      <c r="BN56" s="112"/>
      <c r="BO56" s="80" t="s">
        <v>68</v>
      </c>
      <c r="BP56" s="77"/>
      <c r="BQ56" s="77"/>
      <c r="BR56" s="77"/>
      <c r="BS56" s="87">
        <f>BS50-BS48</f>
        <v>1386.1000000000022</v>
      </c>
      <c r="BT56" s="77"/>
    </row>
    <row r="57" spans="1:72" x14ac:dyDescent="0.2">
      <c r="A57" s="601"/>
      <c r="B57" s="597"/>
      <c r="C57" s="597"/>
      <c r="D57" s="597"/>
      <c r="E57" s="597"/>
      <c r="F57" s="598"/>
      <c r="G57" s="270"/>
      <c r="H57" s="266"/>
      <c r="I57" s="266"/>
      <c r="J57" s="266"/>
      <c r="K57" s="266"/>
      <c r="L57" s="267"/>
      <c r="M57" s="168"/>
      <c r="N57" s="565"/>
      <c r="O57" s="565"/>
      <c r="P57" s="565"/>
      <c r="Q57" s="565"/>
      <c r="R57" s="239"/>
      <c r="S57" s="80"/>
      <c r="T57" s="77"/>
      <c r="U57" s="77"/>
      <c r="V57" s="77"/>
      <c r="W57" s="77"/>
      <c r="X57" s="478"/>
      <c r="Y57" s="439"/>
      <c r="Z57" s="435"/>
      <c r="AA57" s="435"/>
      <c r="AB57" s="435"/>
      <c r="AC57" s="435"/>
      <c r="AD57" s="436"/>
      <c r="AE57" s="358"/>
      <c r="AF57" s="354"/>
      <c r="AG57" s="354"/>
      <c r="AH57" s="354"/>
      <c r="AI57" s="354"/>
      <c r="AJ57" s="355"/>
      <c r="AK57" s="309"/>
      <c r="AL57" s="306"/>
      <c r="AM57" s="306"/>
      <c r="AN57" s="306"/>
      <c r="AO57" s="306"/>
      <c r="AP57" s="307"/>
      <c r="AQ57" s="199"/>
      <c r="AR57" s="196"/>
      <c r="AS57" s="196"/>
      <c r="AT57" s="196"/>
      <c r="AU57" s="196"/>
      <c r="AV57" s="227"/>
      <c r="AW57" s="270"/>
      <c r="AX57" s="266"/>
      <c r="AY57" s="266"/>
      <c r="AZ57" s="266"/>
      <c r="BA57" s="266"/>
      <c r="BB57" s="267"/>
      <c r="BC57" s="168"/>
      <c r="BD57" s="165"/>
      <c r="BE57" s="165"/>
      <c r="BF57" s="165"/>
      <c r="BG57" s="165"/>
      <c r="BH57" s="239"/>
      <c r="BI57" s="115"/>
      <c r="BJ57" s="112"/>
      <c r="BK57" s="112"/>
      <c r="BL57" s="112"/>
      <c r="BM57" s="112"/>
      <c r="BN57" s="112"/>
      <c r="BO57" s="80"/>
      <c r="BP57" s="77"/>
      <c r="BQ57" s="77"/>
      <c r="BR57" s="77"/>
      <c r="BS57" s="77"/>
      <c r="BT57" s="77"/>
    </row>
    <row r="58" spans="1:72" x14ac:dyDescent="0.2">
      <c r="A58" s="601" t="s">
        <v>69</v>
      </c>
      <c r="B58" s="597"/>
      <c r="C58" s="597"/>
      <c r="D58" s="597"/>
      <c r="E58" s="608">
        <f>+C48</f>
        <v>64990.240909090877</v>
      </c>
      <c r="F58" s="598"/>
      <c r="G58" s="270" t="s">
        <v>69</v>
      </c>
      <c r="H58" s="266"/>
      <c r="I58" s="266"/>
      <c r="J58" s="266"/>
      <c r="K58" s="277">
        <v>66956.22045454543</v>
      </c>
      <c r="L58" s="267"/>
      <c r="M58" s="168" t="s">
        <v>69</v>
      </c>
      <c r="N58" s="565"/>
      <c r="O58" s="565"/>
      <c r="P58" s="565"/>
      <c r="Q58" s="573">
        <v>66864.684090909068</v>
      </c>
      <c r="R58" s="239"/>
      <c r="S58" s="80" t="s">
        <v>69</v>
      </c>
      <c r="T58" s="77"/>
      <c r="U58" s="77"/>
      <c r="V58" s="77"/>
      <c r="W58" s="87">
        <v>68670.534090909059</v>
      </c>
      <c r="X58" s="478"/>
      <c r="Y58" s="439" t="s">
        <v>69</v>
      </c>
      <c r="Z58" s="435"/>
      <c r="AA58" s="435"/>
      <c r="AB58" s="435"/>
      <c r="AC58" s="446">
        <f>+AA48</f>
        <v>72525</v>
      </c>
      <c r="AD58" s="436"/>
      <c r="AE58" s="358" t="s">
        <v>69</v>
      </c>
      <c r="AF58" s="354"/>
      <c r="AG58" s="354"/>
      <c r="AH58" s="354"/>
      <c r="AI58" s="365">
        <f>+AG48</f>
        <v>72721</v>
      </c>
      <c r="AJ58" s="355"/>
      <c r="AK58" s="309" t="s">
        <v>69</v>
      </c>
      <c r="AL58" s="306"/>
      <c r="AM58" s="306"/>
      <c r="AN58" s="306"/>
      <c r="AO58" s="316">
        <f>+AM48</f>
        <v>71690.9227272727</v>
      </c>
      <c r="AP58" s="307"/>
      <c r="AQ58" s="199" t="s">
        <v>69</v>
      </c>
      <c r="AR58" s="196"/>
      <c r="AS58" s="196"/>
      <c r="AT58" s="196"/>
      <c r="AU58" s="206">
        <f>+AS48</f>
        <v>68353.161363636333</v>
      </c>
      <c r="AV58" s="227"/>
      <c r="AW58" s="270" t="s">
        <v>69</v>
      </c>
      <c r="AX58" s="266"/>
      <c r="AY58" s="266"/>
      <c r="AZ58" s="266"/>
      <c r="BA58" s="277">
        <f>+AY48</f>
        <v>75586</v>
      </c>
      <c r="BB58" s="267"/>
      <c r="BC58" s="168" t="s">
        <v>69</v>
      </c>
      <c r="BD58" s="165"/>
      <c r="BE58" s="165"/>
      <c r="BF58" s="165"/>
      <c r="BG58" s="175">
        <f>+BE48</f>
        <v>75563</v>
      </c>
      <c r="BH58" s="239"/>
      <c r="BI58" s="115" t="s">
        <v>69</v>
      </c>
      <c r="BJ58" s="112"/>
      <c r="BK58" s="112"/>
      <c r="BL58" s="112"/>
      <c r="BM58" s="122">
        <f>+BK48</f>
        <v>77440</v>
      </c>
      <c r="BN58" s="112"/>
      <c r="BO58" s="80" t="s">
        <v>69</v>
      </c>
      <c r="BP58" s="77"/>
      <c r="BQ58" s="77"/>
      <c r="BR58" s="77"/>
      <c r="BS58" s="87">
        <f>+BQ48</f>
        <v>77430</v>
      </c>
      <c r="BT58" s="77"/>
    </row>
    <row r="59" spans="1:72" x14ac:dyDescent="0.2">
      <c r="A59" s="601"/>
      <c r="B59" s="597"/>
      <c r="C59" s="597"/>
      <c r="D59" s="597"/>
      <c r="E59" s="597"/>
      <c r="F59" s="598"/>
      <c r="G59" s="270"/>
      <c r="H59" s="266"/>
      <c r="I59" s="266"/>
      <c r="J59" s="266"/>
      <c r="K59" s="266"/>
      <c r="L59" s="267"/>
      <c r="M59" s="168"/>
      <c r="N59" s="565"/>
      <c r="O59" s="565"/>
      <c r="P59" s="565"/>
      <c r="Q59" s="565"/>
      <c r="R59" s="239"/>
      <c r="S59" s="80"/>
      <c r="T59" s="77"/>
      <c r="U59" s="77"/>
      <c r="V59" s="77"/>
      <c r="W59" s="77"/>
      <c r="X59" s="478"/>
      <c r="Y59" s="439"/>
      <c r="Z59" s="435"/>
      <c r="AA59" s="435"/>
      <c r="AB59" s="435"/>
      <c r="AC59" s="435"/>
      <c r="AD59" s="436"/>
      <c r="AE59" s="358"/>
      <c r="AF59" s="354"/>
      <c r="AG59" s="354"/>
      <c r="AH59" s="354"/>
      <c r="AI59" s="354"/>
      <c r="AJ59" s="355"/>
      <c r="AK59" s="309"/>
      <c r="AL59" s="306"/>
      <c r="AM59" s="306"/>
      <c r="AN59" s="306"/>
      <c r="AO59" s="306"/>
      <c r="AP59" s="307"/>
      <c r="AQ59" s="199"/>
      <c r="AR59" s="196"/>
      <c r="AS59" s="196"/>
      <c r="AT59" s="196"/>
      <c r="AU59" s="196"/>
      <c r="AV59" s="227"/>
      <c r="AW59" s="270"/>
      <c r="AX59" s="266"/>
      <c r="AY59" s="266"/>
      <c r="AZ59" s="266"/>
      <c r="BA59" s="266"/>
      <c r="BB59" s="267"/>
      <c r="BC59" s="168"/>
      <c r="BD59" s="165"/>
      <c r="BE59" s="165"/>
      <c r="BF59" s="165"/>
      <c r="BG59" s="165"/>
      <c r="BH59" s="239"/>
      <c r="BI59" s="115"/>
      <c r="BJ59" s="112"/>
      <c r="BK59" s="112"/>
      <c r="BL59" s="112"/>
      <c r="BM59" s="112"/>
      <c r="BN59" s="112"/>
      <c r="BO59" s="80"/>
      <c r="BP59" s="77"/>
      <c r="BQ59" s="77"/>
      <c r="BR59" s="77"/>
      <c r="BS59" s="77"/>
      <c r="BT59" s="77"/>
    </row>
    <row r="60" spans="1:72" x14ac:dyDescent="0.2">
      <c r="A60" s="601" t="s">
        <v>70</v>
      </c>
      <c r="B60" s="597"/>
      <c r="C60" s="597"/>
      <c r="D60" s="597"/>
      <c r="E60" s="597"/>
      <c r="F60" s="617">
        <f>ROUND(E56/E58,2)</f>
        <v>-0.01</v>
      </c>
      <c r="G60" s="270" t="s">
        <v>70</v>
      </c>
      <c r="H60" s="266"/>
      <c r="I60" s="266"/>
      <c r="J60" s="266"/>
      <c r="K60" s="266"/>
      <c r="L60" s="292">
        <v>0.26</v>
      </c>
      <c r="M60" s="168" t="s">
        <v>70</v>
      </c>
      <c r="N60" s="565"/>
      <c r="O60" s="565"/>
      <c r="P60" s="565"/>
      <c r="Q60" s="565"/>
      <c r="R60" s="580">
        <v>-0.34</v>
      </c>
      <c r="S60" s="80" t="s">
        <v>70</v>
      </c>
      <c r="T60" s="99"/>
      <c r="U60" s="77"/>
      <c r="V60" s="77"/>
      <c r="W60" s="77"/>
      <c r="X60" s="493">
        <v>0.18</v>
      </c>
      <c r="Y60" s="439" t="s">
        <v>70</v>
      </c>
      <c r="Z60" s="435"/>
      <c r="AA60" s="435"/>
      <c r="AB60" s="435"/>
      <c r="AC60" s="435"/>
      <c r="AD60" s="468">
        <f>ROUND(AC56/AC58,2)</f>
        <v>0.36</v>
      </c>
      <c r="AE60" s="358" t="s">
        <v>70</v>
      </c>
      <c r="AF60" s="354"/>
      <c r="AG60" s="354"/>
      <c r="AH60" s="354"/>
      <c r="AI60" s="354"/>
      <c r="AJ60" s="379">
        <f>ROUND(AI56/AI58,2)</f>
        <v>-0.16</v>
      </c>
      <c r="AK60" s="309" t="s">
        <v>70</v>
      </c>
      <c r="AL60" s="306"/>
      <c r="AM60" s="306"/>
      <c r="AN60" s="306"/>
      <c r="AO60" s="306"/>
      <c r="AP60" s="332">
        <f>ROUND(AO56/AO58,2)</f>
        <v>0.02</v>
      </c>
      <c r="AQ60" s="199" t="s">
        <v>70</v>
      </c>
      <c r="AR60" s="196"/>
      <c r="AS60" s="196"/>
      <c r="AT60" s="196"/>
      <c r="AU60" s="196"/>
      <c r="AV60" s="233">
        <f>ROUND(AU56/AU58,2)</f>
        <v>-0.1</v>
      </c>
      <c r="AW60" s="270" t="s">
        <v>70</v>
      </c>
      <c r="AX60" s="266"/>
      <c r="AY60" s="266"/>
      <c r="AZ60" s="266"/>
      <c r="BA60" s="266"/>
      <c r="BB60" s="292">
        <f>ROUND(BA56/BA58,2)</f>
        <v>0.13</v>
      </c>
      <c r="BC60" s="168" t="s">
        <v>70</v>
      </c>
      <c r="BD60" s="165"/>
      <c r="BE60" s="165"/>
      <c r="BF60" s="165"/>
      <c r="BG60" s="165"/>
      <c r="BH60" s="245">
        <f>ROUND(BG56/BG58,2)</f>
        <v>-0.05</v>
      </c>
      <c r="BI60" s="115" t="s">
        <v>70</v>
      </c>
      <c r="BJ60" s="112"/>
      <c r="BK60" s="112"/>
      <c r="BL60" s="112"/>
      <c r="BM60" s="112"/>
      <c r="BN60" s="134">
        <f>ROUND(BM56/BM58,2)</f>
        <v>0</v>
      </c>
      <c r="BO60" s="80" t="s">
        <v>70</v>
      </c>
      <c r="BP60" s="77"/>
      <c r="BQ60" s="77"/>
      <c r="BR60" s="77"/>
      <c r="BS60" s="77"/>
      <c r="BT60" s="99">
        <f>ROUND(BS56/BS58,2)</f>
        <v>0.02</v>
      </c>
    </row>
    <row r="61" spans="1:72" x14ac:dyDescent="0.2">
      <c r="A61" s="601"/>
      <c r="B61" s="597"/>
      <c r="C61" s="597"/>
      <c r="D61" s="597"/>
      <c r="E61" s="608"/>
      <c r="F61" s="598"/>
      <c r="G61" s="270"/>
      <c r="H61" s="266"/>
      <c r="I61" s="266"/>
      <c r="J61" s="266"/>
      <c r="K61" s="277"/>
      <c r="L61" s="267"/>
      <c r="M61" s="168"/>
      <c r="N61" s="565"/>
      <c r="O61" s="565"/>
      <c r="P61" s="565"/>
      <c r="Q61" s="573"/>
      <c r="R61" s="239"/>
      <c r="S61" s="80"/>
      <c r="T61" s="77"/>
      <c r="U61" s="77"/>
      <c r="V61" s="77"/>
      <c r="W61" s="87"/>
      <c r="X61" s="478"/>
      <c r="Y61" s="439"/>
      <c r="Z61" s="435"/>
      <c r="AA61" s="435"/>
      <c r="AB61" s="435"/>
      <c r="AC61" s="446"/>
      <c r="AD61" s="436"/>
      <c r="AE61" s="358"/>
      <c r="AF61" s="354"/>
      <c r="AG61" s="354"/>
      <c r="AH61" s="354"/>
      <c r="AI61" s="365"/>
      <c r="AJ61" s="355"/>
      <c r="AK61" s="309"/>
      <c r="AL61" s="306"/>
      <c r="AM61" s="306"/>
      <c r="AN61" s="306"/>
      <c r="AO61" s="316"/>
      <c r="AP61" s="307"/>
      <c r="AQ61" s="199"/>
      <c r="AR61" s="196"/>
      <c r="AS61" s="196"/>
      <c r="AT61" s="196"/>
      <c r="AU61" s="206"/>
      <c r="AV61" s="227"/>
      <c r="AW61" s="270"/>
      <c r="AX61" s="266"/>
      <c r="AY61" s="266"/>
      <c r="AZ61" s="266"/>
      <c r="BA61" s="277"/>
      <c r="BB61" s="267"/>
      <c r="BC61" s="168"/>
      <c r="BD61" s="165"/>
      <c r="BE61" s="165"/>
      <c r="BF61" s="165"/>
      <c r="BG61" s="175"/>
      <c r="BH61" s="239"/>
      <c r="BI61" s="115"/>
      <c r="BJ61" s="112"/>
      <c r="BK61" s="112"/>
      <c r="BL61" s="112"/>
      <c r="BM61" s="122"/>
      <c r="BN61" s="112"/>
      <c r="BO61" s="80"/>
      <c r="BP61" s="77"/>
      <c r="BQ61" s="77"/>
      <c r="BR61" s="77"/>
      <c r="BS61" s="87"/>
      <c r="BT61" s="77"/>
    </row>
    <row r="62" spans="1:72" ht="16.5" x14ac:dyDescent="0.35">
      <c r="A62" s="604" t="str">
        <f>A28</f>
        <v>Projected Revenue Sep 2023-Aug 2024</v>
      </c>
      <c r="B62" s="605"/>
      <c r="C62" s="597"/>
      <c r="D62" s="597"/>
      <c r="E62" s="633">
        <f>+E50</f>
        <v>34134.551336255201</v>
      </c>
      <c r="F62" s="598"/>
      <c r="G62" s="273" t="s">
        <v>170</v>
      </c>
      <c r="H62" s="274"/>
      <c r="I62" s="266"/>
      <c r="J62" s="266"/>
      <c r="K62" s="293">
        <v>39170.396775465073</v>
      </c>
      <c r="L62" s="267"/>
      <c r="M62" s="171" t="s">
        <v>170</v>
      </c>
      <c r="N62" s="571"/>
      <c r="O62" s="565"/>
      <c r="P62" s="565"/>
      <c r="Q62" s="588">
        <v>17843.17001399232</v>
      </c>
      <c r="R62" s="239"/>
      <c r="S62" s="83" t="s">
        <v>166</v>
      </c>
      <c r="T62" s="77"/>
      <c r="U62" s="77"/>
      <c r="V62" s="77"/>
      <c r="W62" s="100">
        <v>43091.769618094171</v>
      </c>
      <c r="X62" s="478"/>
      <c r="Y62" s="442" t="str">
        <f>Y28</f>
        <v xml:space="preserve">Projected Revenue Sep 2021-Aug 2022 </v>
      </c>
      <c r="Z62" s="443"/>
      <c r="AA62" s="435"/>
      <c r="AB62" s="435"/>
      <c r="AC62" s="469">
        <f>+AC50</f>
        <v>37140</v>
      </c>
      <c r="AD62" s="436"/>
      <c r="AE62" s="361" t="str">
        <f>AE28</f>
        <v xml:space="preserve">Projected Revenue Sep 2020-Aug 2021 </v>
      </c>
      <c r="AF62" s="362"/>
      <c r="AG62" s="354"/>
      <c r="AH62" s="354"/>
      <c r="AI62" s="380">
        <f>+AI50</f>
        <v>9167</v>
      </c>
      <c r="AJ62" s="355"/>
      <c r="AK62" s="312" t="str">
        <f>AK28</f>
        <v>Projected Revenue Sep 2019-Aug 2020 (annualization of most recent six months)</v>
      </c>
      <c r="AL62" s="313"/>
      <c r="AM62" s="306"/>
      <c r="AN62" s="306"/>
      <c r="AO62" s="333">
        <v>20456.041750600001</v>
      </c>
      <c r="AP62" s="307"/>
      <c r="AQ62" s="202" t="str">
        <f>AQ28</f>
        <v>Projected Revenue Sep 2018-Aug 2019 (annualization of most recent six months)</v>
      </c>
      <c r="AR62" s="203"/>
      <c r="AS62" s="196"/>
      <c r="AT62" s="196"/>
      <c r="AU62" s="216">
        <v>19998.544344284699</v>
      </c>
      <c r="AV62" s="227"/>
      <c r="AW62" s="273" t="str">
        <f>AW28</f>
        <v>Projected Revenue Sep 2017-Aug 2018</v>
      </c>
      <c r="AX62" s="274"/>
      <c r="AY62" s="266"/>
      <c r="AZ62" s="266"/>
      <c r="BA62" s="293">
        <f>+BA50</f>
        <v>35869</v>
      </c>
      <c r="BB62" s="267"/>
      <c r="BC62" s="171" t="str">
        <f>BC28</f>
        <v>Projected Revenue Sep 2016-Aug 2017</v>
      </c>
      <c r="BD62" s="172"/>
      <c r="BE62" s="165"/>
      <c r="BF62" s="165"/>
      <c r="BG62" s="185">
        <f>+BG50</f>
        <v>25821</v>
      </c>
      <c r="BH62" s="239"/>
      <c r="BI62" s="118" t="str">
        <f>BI28</f>
        <v>Projected Revenue Sep 2015-Aug 2016</v>
      </c>
      <c r="BJ62" s="119"/>
      <c r="BK62" s="112"/>
      <c r="BL62" s="112"/>
      <c r="BM62" s="135">
        <f>+BM50</f>
        <v>30075.481689875349</v>
      </c>
      <c r="BN62" s="112"/>
      <c r="BO62" s="83" t="str">
        <f>BO28</f>
        <v>Projected Revenue Sep 2014-Aug 2015</v>
      </c>
      <c r="BP62" s="84"/>
      <c r="BQ62" s="77"/>
      <c r="BR62" s="77"/>
      <c r="BS62" s="100">
        <f>+BS50</f>
        <v>30424</v>
      </c>
      <c r="BT62" s="77"/>
    </row>
    <row r="63" spans="1:72" x14ac:dyDescent="0.2">
      <c r="A63" s="601" t="s">
        <v>69</v>
      </c>
      <c r="B63" s="597"/>
      <c r="C63" s="597"/>
      <c r="D63" s="597"/>
      <c r="E63" s="608">
        <f>+C48</f>
        <v>64990.240909090877</v>
      </c>
      <c r="F63" s="598"/>
      <c r="G63" s="270" t="s">
        <v>69</v>
      </c>
      <c r="H63" s="266"/>
      <c r="I63" s="266"/>
      <c r="J63" s="266"/>
      <c r="K63" s="277">
        <v>66956.22045454543</v>
      </c>
      <c r="L63" s="267"/>
      <c r="M63" s="168" t="s">
        <v>69</v>
      </c>
      <c r="N63" s="565"/>
      <c r="O63" s="565"/>
      <c r="P63" s="565"/>
      <c r="Q63" s="573">
        <v>66864.684090909068</v>
      </c>
      <c r="R63" s="239"/>
      <c r="S63" s="80" t="s">
        <v>69</v>
      </c>
      <c r="T63" s="77"/>
      <c r="U63" s="77"/>
      <c r="V63" s="77"/>
      <c r="W63" s="87">
        <v>68670.534090909059</v>
      </c>
      <c r="X63" s="478"/>
      <c r="Y63" s="439" t="s">
        <v>69</v>
      </c>
      <c r="Z63" s="435"/>
      <c r="AA63" s="435"/>
      <c r="AB63" s="435"/>
      <c r="AC63" s="446">
        <f>+AA48</f>
        <v>72525</v>
      </c>
      <c r="AD63" s="436"/>
      <c r="AE63" s="358" t="s">
        <v>69</v>
      </c>
      <c r="AF63" s="354"/>
      <c r="AG63" s="354"/>
      <c r="AH63" s="354"/>
      <c r="AI63" s="365">
        <f>+AG48</f>
        <v>72721</v>
      </c>
      <c r="AJ63" s="355"/>
      <c r="AK63" s="309" t="s">
        <v>69</v>
      </c>
      <c r="AL63" s="306"/>
      <c r="AM63" s="306"/>
      <c r="AN63" s="306"/>
      <c r="AO63" s="316">
        <f>+AM48</f>
        <v>71690.9227272727</v>
      </c>
      <c r="AP63" s="307"/>
      <c r="AQ63" s="199" t="s">
        <v>69</v>
      </c>
      <c r="AR63" s="196"/>
      <c r="AS63" s="196"/>
      <c r="AT63" s="196"/>
      <c r="AU63" s="206">
        <f>+AS48</f>
        <v>68353.161363636333</v>
      </c>
      <c r="AV63" s="227"/>
      <c r="AW63" s="270" t="s">
        <v>69</v>
      </c>
      <c r="AX63" s="266"/>
      <c r="AY63" s="266"/>
      <c r="AZ63" s="266"/>
      <c r="BA63" s="277">
        <f>+AY48</f>
        <v>75586</v>
      </c>
      <c r="BB63" s="267"/>
      <c r="BC63" s="168" t="s">
        <v>69</v>
      </c>
      <c r="BD63" s="165"/>
      <c r="BE63" s="165"/>
      <c r="BF63" s="165"/>
      <c r="BG63" s="175">
        <f>+BE48</f>
        <v>75563</v>
      </c>
      <c r="BH63" s="239"/>
      <c r="BI63" s="115" t="s">
        <v>69</v>
      </c>
      <c r="BJ63" s="112"/>
      <c r="BK63" s="112"/>
      <c r="BL63" s="112"/>
      <c r="BM63" s="122">
        <f>+BK48</f>
        <v>77440</v>
      </c>
      <c r="BN63" s="112"/>
      <c r="BO63" s="80" t="s">
        <v>69</v>
      </c>
      <c r="BP63" s="77"/>
      <c r="BQ63" s="77"/>
      <c r="BR63" s="77"/>
      <c r="BS63" s="87">
        <f>+BQ48</f>
        <v>77430</v>
      </c>
      <c r="BT63" s="77"/>
    </row>
    <row r="64" spans="1:72" ht="15" x14ac:dyDescent="0.35">
      <c r="A64" s="601" t="s">
        <v>71</v>
      </c>
      <c r="B64" s="597"/>
      <c r="C64" s="597"/>
      <c r="D64" s="597"/>
      <c r="E64" s="597"/>
      <c r="F64" s="618">
        <f>ROUND(+E62/E63,2)</f>
        <v>0.53</v>
      </c>
      <c r="G64" s="270" t="s">
        <v>71</v>
      </c>
      <c r="H64" s="266"/>
      <c r="I64" s="266"/>
      <c r="J64" s="266"/>
      <c r="K64" s="266"/>
      <c r="L64" s="562">
        <v>0.59</v>
      </c>
      <c r="M64" s="168" t="s">
        <v>71</v>
      </c>
      <c r="N64" s="565"/>
      <c r="O64" s="565"/>
      <c r="P64" s="565"/>
      <c r="Q64" s="565"/>
      <c r="R64" s="581">
        <v>0.27</v>
      </c>
      <c r="S64" s="80" t="s">
        <v>71</v>
      </c>
      <c r="T64" s="542"/>
      <c r="U64" s="77"/>
      <c r="V64" s="77"/>
      <c r="W64" s="77"/>
      <c r="X64" s="494">
        <v>0.63</v>
      </c>
      <c r="Y64" s="439" t="s">
        <v>71</v>
      </c>
      <c r="Z64" s="435"/>
      <c r="AA64" s="435"/>
      <c r="AB64" s="435"/>
      <c r="AC64" s="435"/>
      <c r="AD64" s="470">
        <f>ROUND(+AC62/AC63,2)</f>
        <v>0.51</v>
      </c>
      <c r="AE64" s="358" t="s">
        <v>71</v>
      </c>
      <c r="AF64" s="354"/>
      <c r="AG64" s="354"/>
      <c r="AH64" s="354"/>
      <c r="AI64" s="354"/>
      <c r="AJ64" s="381">
        <f>ROUND(+AI62/AI63,2)</f>
        <v>0.13</v>
      </c>
      <c r="AK64" s="309" t="s">
        <v>71</v>
      </c>
      <c r="AL64" s="306"/>
      <c r="AM64" s="306"/>
      <c r="AN64" s="306"/>
      <c r="AO64" s="306"/>
      <c r="AP64" s="334">
        <f>ROUND(+AO62/AO63,2)</f>
        <v>0.28999999999999998</v>
      </c>
      <c r="AQ64" s="199" t="s">
        <v>71</v>
      </c>
      <c r="AR64" s="196"/>
      <c r="AS64" s="196"/>
      <c r="AT64" s="196"/>
      <c r="AU64" s="196"/>
      <c r="AV64" s="254">
        <f>ROUND(+AU62/AU63,2)</f>
        <v>0.28999999999999998</v>
      </c>
      <c r="AW64" s="270" t="s">
        <v>71</v>
      </c>
      <c r="AX64" s="266"/>
      <c r="AY64" s="266"/>
      <c r="AZ64" s="266"/>
      <c r="BA64" s="266"/>
      <c r="BB64" s="294">
        <f>ROUND(+BA62/BA63,2)</f>
        <v>0.47</v>
      </c>
      <c r="BC64" s="168" t="s">
        <v>71</v>
      </c>
      <c r="BD64" s="165"/>
      <c r="BE64" s="165"/>
      <c r="BF64" s="165"/>
      <c r="BG64" s="165"/>
      <c r="BH64" s="246">
        <f>ROUND(+BG62/BG63,2)</f>
        <v>0.34</v>
      </c>
      <c r="BI64" s="115" t="s">
        <v>71</v>
      </c>
      <c r="BJ64" s="112"/>
      <c r="BK64" s="112"/>
      <c r="BL64" s="112"/>
      <c r="BM64" s="112"/>
      <c r="BN64" s="136">
        <f>ROUND(+BM62/BM63,2)</f>
        <v>0.39</v>
      </c>
      <c r="BO64" s="80" t="s">
        <v>71</v>
      </c>
      <c r="BP64" s="77"/>
      <c r="BQ64" s="77"/>
      <c r="BR64" s="77"/>
      <c r="BS64" s="77"/>
      <c r="BT64" s="101">
        <f>+BS62/BS63</f>
        <v>0.39292263980369369</v>
      </c>
    </row>
    <row r="65" spans="1:72" x14ac:dyDescent="0.2">
      <c r="A65" s="601"/>
      <c r="B65" s="597"/>
      <c r="C65" s="597"/>
      <c r="D65" s="597"/>
      <c r="E65" s="597"/>
      <c r="F65" s="598"/>
      <c r="G65" s="270"/>
      <c r="H65" s="266"/>
      <c r="I65" s="266"/>
      <c r="J65" s="266"/>
      <c r="K65" s="266"/>
      <c r="L65" s="267"/>
      <c r="M65" s="168"/>
      <c r="N65" s="565"/>
      <c r="O65" s="565"/>
      <c r="P65" s="565"/>
      <c r="Q65" s="565"/>
      <c r="R65" s="239"/>
      <c r="S65" s="80"/>
      <c r="T65" s="77"/>
      <c r="U65" s="77"/>
      <c r="V65" s="77"/>
      <c r="W65" s="77"/>
      <c r="X65" s="478"/>
      <c r="Y65" s="439"/>
      <c r="Z65" s="435"/>
      <c r="AA65" s="435"/>
      <c r="AB65" s="435"/>
      <c r="AC65" s="435"/>
      <c r="AD65" s="436"/>
      <c r="AE65" s="358"/>
      <c r="AF65" s="354"/>
      <c r="AG65" s="354"/>
      <c r="AH65" s="354"/>
      <c r="AI65" s="354"/>
      <c r="AJ65" s="355"/>
      <c r="AK65" s="309"/>
      <c r="AL65" s="306"/>
      <c r="AM65" s="306"/>
      <c r="AN65" s="306"/>
      <c r="AO65" s="306"/>
      <c r="AP65" s="307"/>
      <c r="AQ65" s="199"/>
      <c r="AR65" s="196"/>
      <c r="AS65" s="196"/>
      <c r="AT65" s="196"/>
      <c r="AU65" s="196"/>
      <c r="AV65" s="227"/>
      <c r="AW65" s="270"/>
      <c r="AX65" s="266"/>
      <c r="AY65" s="266"/>
      <c r="AZ65" s="266"/>
      <c r="BA65" s="266"/>
      <c r="BB65" s="267"/>
      <c r="BC65" s="168"/>
      <c r="BD65" s="165"/>
      <c r="BE65" s="165"/>
      <c r="BF65" s="165"/>
      <c r="BG65" s="165"/>
      <c r="BH65" s="239"/>
      <c r="BI65" s="115"/>
      <c r="BJ65" s="112"/>
      <c r="BK65" s="112"/>
      <c r="BL65" s="112"/>
      <c r="BM65" s="112"/>
      <c r="BN65" s="112"/>
      <c r="BO65" s="80"/>
      <c r="BP65" s="77"/>
      <c r="BQ65" s="77"/>
      <c r="BR65" s="77"/>
      <c r="BS65" s="77"/>
      <c r="BT65" s="77"/>
    </row>
    <row r="66" spans="1:72" ht="18.75" thickBot="1" x14ac:dyDescent="0.4">
      <c r="A66" s="594" t="s">
        <v>152</v>
      </c>
      <c r="B66" s="595"/>
      <c r="C66" s="597"/>
      <c r="D66" s="597"/>
      <c r="E66" s="597"/>
      <c r="F66" s="619">
        <f>+F64+F60</f>
        <v>0.52</v>
      </c>
      <c r="G66" s="263" t="s">
        <v>152</v>
      </c>
      <c r="H66" s="264"/>
      <c r="I66" s="266"/>
      <c r="J66" s="266"/>
      <c r="K66" s="266"/>
      <c r="L66" s="295">
        <v>0.85</v>
      </c>
      <c r="M66" s="162" t="s">
        <v>152</v>
      </c>
      <c r="N66" s="563"/>
      <c r="O66" s="565"/>
      <c r="P66" s="565"/>
      <c r="Q66" s="565"/>
      <c r="R66" s="582">
        <v>-7.0000000000000007E-2</v>
      </c>
      <c r="S66" s="74" t="s">
        <v>152</v>
      </c>
      <c r="T66" s="103"/>
      <c r="U66" s="77"/>
      <c r="V66" s="77"/>
      <c r="W66" s="77"/>
      <c r="X66" s="495">
        <v>0.81</v>
      </c>
      <c r="Y66" s="432" t="s">
        <v>152</v>
      </c>
      <c r="Z66" s="433"/>
      <c r="AA66" s="435"/>
      <c r="AB66" s="435"/>
      <c r="AC66" s="435"/>
      <c r="AD66" s="471">
        <f>+AD64+AD60</f>
        <v>0.87</v>
      </c>
      <c r="AE66" s="351" t="s">
        <v>152</v>
      </c>
      <c r="AF66" s="352"/>
      <c r="AG66" s="354"/>
      <c r="AH66" s="354"/>
      <c r="AI66" s="354"/>
      <c r="AJ66" s="382">
        <f>+AJ64+AJ60</f>
        <v>-0.03</v>
      </c>
      <c r="AK66" s="303" t="s">
        <v>73</v>
      </c>
      <c r="AL66" s="304"/>
      <c r="AM66" s="306"/>
      <c r="AN66" s="306"/>
      <c r="AO66" s="306"/>
      <c r="AP66" s="335">
        <f>+AP64+AP60</f>
        <v>0.31</v>
      </c>
      <c r="AQ66" s="193" t="s">
        <v>73</v>
      </c>
      <c r="AR66" s="194"/>
      <c r="AS66" s="196"/>
      <c r="AT66" s="196"/>
      <c r="AU66" s="196"/>
      <c r="AV66" s="234">
        <f>+AV64+AV60</f>
        <v>0.18999999999999997</v>
      </c>
      <c r="AW66" s="263" t="s">
        <v>73</v>
      </c>
      <c r="AX66" s="264"/>
      <c r="AY66" s="266"/>
      <c r="AZ66" s="266"/>
      <c r="BA66" s="266"/>
      <c r="BB66" s="295">
        <f>+BB64+BB60</f>
        <v>0.6</v>
      </c>
      <c r="BC66" s="162" t="s">
        <v>73</v>
      </c>
      <c r="BD66" s="163"/>
      <c r="BE66" s="165"/>
      <c r="BF66" s="165"/>
      <c r="BG66" s="165"/>
      <c r="BH66" s="247">
        <f>+BH64+BH60</f>
        <v>0.29000000000000004</v>
      </c>
      <c r="BI66" s="109" t="s">
        <v>73</v>
      </c>
      <c r="BJ66" s="110"/>
      <c r="BK66" s="112"/>
      <c r="BL66" s="112"/>
      <c r="BM66" s="112"/>
      <c r="BN66" s="137">
        <f>+BN64+BN60</f>
        <v>0.39</v>
      </c>
      <c r="BO66" s="74" t="s">
        <v>73</v>
      </c>
      <c r="BP66" s="75"/>
      <c r="BQ66" s="77"/>
      <c r="BR66" s="77"/>
      <c r="BS66" s="77"/>
      <c r="BT66" s="102">
        <f>+BT64+BT60</f>
        <v>0.4129226398036937</v>
      </c>
    </row>
    <row r="67" spans="1:72" ht="19.5" thickTop="1" thickBot="1" x14ac:dyDescent="0.4">
      <c r="A67" s="634"/>
      <c r="B67" s="635"/>
      <c r="C67" s="627"/>
      <c r="D67" s="627"/>
      <c r="E67" s="627"/>
      <c r="F67" s="636"/>
      <c r="G67" s="296"/>
      <c r="H67" s="297"/>
      <c r="I67" s="298"/>
      <c r="J67" s="298"/>
      <c r="K67" s="298"/>
      <c r="L67" s="299"/>
      <c r="M67" s="248"/>
      <c r="N67" s="249"/>
      <c r="O67" s="186"/>
      <c r="P67" s="186"/>
      <c r="Q67" s="186"/>
      <c r="R67" s="589"/>
      <c r="S67" s="398"/>
      <c r="T67" s="543"/>
      <c r="U67" s="400"/>
      <c r="V67" s="400"/>
      <c r="W67" s="400"/>
      <c r="X67" s="496"/>
      <c r="Y67" s="472"/>
      <c r="Z67" s="473"/>
      <c r="AA67" s="465"/>
      <c r="AB67" s="465"/>
      <c r="AC67" s="465"/>
      <c r="AD67" s="474"/>
      <c r="AE67" s="383"/>
      <c r="AF67" s="384"/>
      <c r="AG67" s="385"/>
      <c r="AH67" s="385"/>
      <c r="AI67" s="385"/>
      <c r="AJ67" s="386"/>
      <c r="AK67" s="336"/>
      <c r="AL67" s="337"/>
      <c r="AM67" s="338"/>
      <c r="AN67" s="338"/>
      <c r="AO67" s="338"/>
      <c r="AP67" s="339"/>
      <c r="AQ67" s="235"/>
      <c r="AR67" s="236"/>
      <c r="AS67" s="217"/>
      <c r="AT67" s="217"/>
      <c r="AU67" s="217"/>
      <c r="AV67" s="237"/>
      <c r="AW67" s="296"/>
      <c r="AX67" s="297"/>
      <c r="AY67" s="298"/>
      <c r="AZ67" s="298"/>
      <c r="BA67" s="298"/>
      <c r="BB67" s="299"/>
      <c r="BC67" s="248"/>
      <c r="BD67" s="249"/>
      <c r="BE67" s="186"/>
      <c r="BF67" s="186"/>
      <c r="BG67" s="186"/>
      <c r="BH67" s="250"/>
      <c r="BI67" s="109"/>
      <c r="BJ67" s="110"/>
      <c r="BK67" s="112"/>
      <c r="BL67" s="112"/>
      <c r="BM67" s="112"/>
      <c r="BN67" s="138"/>
      <c r="BO67" s="74"/>
      <c r="BP67" s="75"/>
      <c r="BQ67" s="77"/>
      <c r="BR67" s="77"/>
      <c r="BS67" s="77"/>
      <c r="BT67" s="103"/>
    </row>
    <row r="72" spans="1:72" x14ac:dyDescent="0.2">
      <c r="S72" s="547">
        <v>45209</v>
      </c>
    </row>
    <row r="73" spans="1:72" x14ac:dyDescent="0.2">
      <c r="S73" s="547">
        <f>S72+45</f>
        <v>45254</v>
      </c>
    </row>
  </sheetData>
  <mergeCells count="20">
    <mergeCell ref="AK4:AP4"/>
    <mergeCell ref="AK6:AP6"/>
    <mergeCell ref="BO4:BT4"/>
    <mergeCell ref="BO6:BT6"/>
    <mergeCell ref="AQ4:AV4"/>
    <mergeCell ref="AQ6:AV6"/>
    <mergeCell ref="AW4:BB4"/>
    <mergeCell ref="AW6:BB6"/>
    <mergeCell ref="BI4:BN4"/>
    <mergeCell ref="BI6:BN6"/>
    <mergeCell ref="BC4:BH4"/>
    <mergeCell ref="BC6:BH6"/>
    <mergeCell ref="A4:F4"/>
    <mergeCell ref="A6:F6"/>
    <mergeCell ref="G4:L4"/>
    <mergeCell ref="G6:L6"/>
    <mergeCell ref="AE4:AJ4"/>
    <mergeCell ref="AE6:AJ6"/>
    <mergeCell ref="Y4:AD4"/>
    <mergeCell ref="Y6:AD6"/>
  </mergeCells>
  <pageMargins left="0.7" right="0.45" top="0.5" bottom="0.5" header="0.3" footer="0.3"/>
  <pageSetup scale="8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A53C41-2E8A-4184-B8E0-B2CBAB03F53D}">
  <sheetPr>
    <pageSetUpPr fitToPage="1"/>
  </sheetPr>
  <dimension ref="A1:N47"/>
  <sheetViews>
    <sheetView workbookViewId="0">
      <selection activeCell="F17" sqref="F17"/>
    </sheetView>
  </sheetViews>
  <sheetFormatPr defaultRowHeight="12.75" x14ac:dyDescent="0.2"/>
  <cols>
    <col min="1" max="1" width="18" customWidth="1"/>
    <col min="2" max="2" width="6.7109375" customWidth="1"/>
    <col min="3" max="3" width="10.42578125" bestFit="1" customWidth="1"/>
    <col min="4" max="4" width="10.28515625" bestFit="1" customWidth="1"/>
    <col min="5" max="5" width="9.7109375" bestFit="1" customWidth="1"/>
    <col min="6" max="6" width="11.28515625" bestFit="1" customWidth="1"/>
    <col min="7" max="8" width="9.5703125" bestFit="1" customWidth="1"/>
    <col min="9" max="9" width="11.28515625" bestFit="1" customWidth="1"/>
    <col min="10" max="10" width="3" customWidth="1"/>
    <col min="11" max="11" width="9.5703125" bestFit="1" customWidth="1"/>
    <col min="12" max="12" width="2.7109375" customWidth="1"/>
    <col min="13" max="13" width="11.28515625" bestFit="1" customWidth="1"/>
    <col min="232" max="232" width="18" customWidth="1"/>
    <col min="233" max="233" width="7.85546875" customWidth="1"/>
    <col min="234" max="234" width="11.28515625" bestFit="1" customWidth="1"/>
    <col min="235" max="235" width="10.5703125" bestFit="1" customWidth="1"/>
    <col min="236" max="236" width="10.28515625" customWidth="1"/>
    <col min="237" max="237" width="12.5703125" bestFit="1" customWidth="1"/>
    <col min="238" max="238" width="10.5703125" bestFit="1" customWidth="1"/>
    <col min="239" max="239" width="9.85546875" bestFit="1" customWidth="1"/>
    <col min="240" max="240" width="13" bestFit="1" customWidth="1"/>
    <col min="241" max="241" width="2.140625" customWidth="1"/>
    <col min="242" max="242" width="10.5703125" bestFit="1" customWidth="1"/>
    <col min="243" max="243" width="7.85546875" bestFit="1" customWidth="1"/>
    <col min="244" max="244" width="9.85546875" bestFit="1" customWidth="1"/>
    <col min="245" max="245" width="11.28515625" bestFit="1" customWidth="1"/>
    <col min="246" max="247" width="9.85546875" bestFit="1" customWidth="1"/>
    <col min="248" max="248" width="12" bestFit="1" customWidth="1"/>
    <col min="249" max="249" width="1.85546875" customWidth="1"/>
    <col min="251" max="251" width="3" customWidth="1"/>
  </cols>
  <sheetData>
    <row r="1" spans="1:11" ht="26.25" x14ac:dyDescent="0.4">
      <c r="A1" s="7" t="s">
        <v>18</v>
      </c>
    </row>
    <row r="2" spans="1:11" ht="15" x14ac:dyDescent="0.25">
      <c r="A2" s="8" t="s">
        <v>105</v>
      </c>
    </row>
    <row r="6" spans="1:11" ht="15" x14ac:dyDescent="0.2">
      <c r="A6" s="65" t="s">
        <v>19</v>
      </c>
      <c r="B6" s="9"/>
      <c r="C6" s="9"/>
      <c r="D6" s="9"/>
      <c r="E6" s="9"/>
      <c r="F6" s="9"/>
      <c r="G6" s="9"/>
    </row>
    <row r="7" spans="1:11" x14ac:dyDescent="0.2">
      <c r="D7" s="9"/>
      <c r="E7" s="2" t="s">
        <v>21</v>
      </c>
      <c r="F7" s="9"/>
      <c r="H7" s="4"/>
      <c r="I7" s="2" t="s">
        <v>22</v>
      </c>
      <c r="J7" s="4"/>
      <c r="K7" s="2" t="s">
        <v>23</v>
      </c>
    </row>
    <row r="8" spans="1:11" x14ac:dyDescent="0.2">
      <c r="D8" s="2" t="s">
        <v>0</v>
      </c>
      <c r="E8" s="2" t="s">
        <v>25</v>
      </c>
      <c r="F8" s="9"/>
      <c r="G8" s="2" t="s">
        <v>26</v>
      </c>
      <c r="H8" s="11" t="s">
        <v>27</v>
      </c>
      <c r="I8" s="11" t="s">
        <v>28</v>
      </c>
      <c r="J8" s="4"/>
      <c r="K8" s="11" t="s">
        <v>29</v>
      </c>
    </row>
    <row r="9" spans="1:11" x14ac:dyDescent="0.2">
      <c r="C9" s="12" t="s">
        <v>30</v>
      </c>
      <c r="D9" s="10" t="s">
        <v>128</v>
      </c>
      <c r="E9" s="10" t="s">
        <v>31</v>
      </c>
      <c r="F9" s="10" t="s">
        <v>7</v>
      </c>
      <c r="G9" s="10" t="s">
        <v>32</v>
      </c>
      <c r="H9" s="13" t="s">
        <v>32</v>
      </c>
      <c r="I9" s="13" t="s">
        <v>33</v>
      </c>
      <c r="K9" s="13" t="s">
        <v>32</v>
      </c>
    </row>
    <row r="10" spans="1:11" x14ac:dyDescent="0.2">
      <c r="A10" s="14"/>
    </row>
    <row r="11" spans="1:11" x14ac:dyDescent="0.2">
      <c r="A11" s="15" t="s">
        <v>175</v>
      </c>
      <c r="C11" s="16">
        <f>+'Customer Counts'!B9</f>
        <v>51496</v>
      </c>
      <c r="D11" s="17">
        <f>+'Total Company Tonnage'!F10</f>
        <v>841.66</v>
      </c>
      <c r="E11" s="18">
        <f>+F11/D11</f>
        <v>94.315002637603982</v>
      </c>
      <c r="F11" s="19">
        <f>+'Reg. Res''l - SS Mix &amp; Prices'!B56</f>
        <v>79381.165119965764</v>
      </c>
      <c r="G11" s="18">
        <f t="shared" ref="G11:G23" si="0">+F11/C11</f>
        <v>1.5415015752673171</v>
      </c>
      <c r="H11" s="18">
        <f>+'Rebate Analysis'!AV32</f>
        <v>9.9999999999999978E-2</v>
      </c>
      <c r="I11" s="20">
        <f t="shared" ref="I11:I18" si="1">+H11*C11</f>
        <v>5149.5999999999985</v>
      </c>
      <c r="K11" s="21">
        <f t="shared" ref="K11:K23" si="2">+D11*2000/C11</f>
        <v>32.688364144787947</v>
      </c>
    </row>
    <row r="12" spans="1:11" x14ac:dyDescent="0.2">
      <c r="A12" s="15" t="s">
        <v>35</v>
      </c>
      <c r="C12" s="16">
        <f>+'Customer Counts'!B10</f>
        <v>51460</v>
      </c>
      <c r="D12" s="17">
        <f>+'Total Company Tonnage'!F11</f>
        <v>892.02</v>
      </c>
      <c r="E12" s="18">
        <f>+F12/D12</f>
        <v>85.215142824318193</v>
      </c>
      <c r="F12" s="19">
        <f>+'Reg. Res''l - SS Mix &amp; Prices'!B57</f>
        <v>76013.611702148308</v>
      </c>
      <c r="G12" s="18">
        <f>+F12/C12</f>
        <v>1.477139753248121</v>
      </c>
      <c r="H12" s="18">
        <f>+H11</f>
        <v>9.9999999999999978E-2</v>
      </c>
      <c r="I12" s="20">
        <f>+H12*C12</f>
        <v>5145.9999999999991</v>
      </c>
      <c r="K12" s="21">
        <f t="shared" si="2"/>
        <v>34.668480373105325</v>
      </c>
    </row>
    <row r="13" spans="1:11" x14ac:dyDescent="0.2">
      <c r="A13" s="15" t="s">
        <v>36</v>
      </c>
      <c r="C13" s="16">
        <f>+'Customer Counts'!B11</f>
        <v>51424</v>
      </c>
      <c r="D13" s="17">
        <f>+'Total Company Tonnage'!F12</f>
        <v>904.81</v>
      </c>
      <c r="E13" s="18">
        <f t="shared" ref="E13:E18" si="3">+F13/D13</f>
        <v>78.769773745714019</v>
      </c>
      <c r="F13" s="19">
        <f>+'Reg. Res''l - SS Mix &amp; Prices'!B58</f>
        <v>71271.678982859492</v>
      </c>
      <c r="G13" s="18">
        <f t="shared" si="0"/>
        <v>1.3859613990132913</v>
      </c>
      <c r="H13" s="18">
        <f>+'Rebate Analysis'!AP32</f>
        <v>0.13</v>
      </c>
      <c r="I13" s="20">
        <f t="shared" si="1"/>
        <v>6685.12</v>
      </c>
      <c r="K13" s="21">
        <f t="shared" si="2"/>
        <v>35.190183571873057</v>
      </c>
    </row>
    <row r="14" spans="1:11" x14ac:dyDescent="0.2">
      <c r="A14" s="15" t="s">
        <v>37</v>
      </c>
      <c r="C14" s="16">
        <f>+'Customer Counts'!B12</f>
        <v>51411</v>
      </c>
      <c r="D14" s="17">
        <f>+'Total Company Tonnage'!F13</f>
        <v>967.13</v>
      </c>
      <c r="E14" s="18">
        <f t="shared" si="3"/>
        <v>75.339149234958612</v>
      </c>
      <c r="F14" s="19">
        <f>+'Reg. Res''l - SS Mix &amp; Prices'!B59</f>
        <v>72862.75139960552</v>
      </c>
      <c r="G14" s="18">
        <f t="shared" si="0"/>
        <v>1.417259952142645</v>
      </c>
      <c r="H14" s="18">
        <f>+H13</f>
        <v>0.13</v>
      </c>
      <c r="I14" s="20">
        <f t="shared" si="1"/>
        <v>6683.43</v>
      </c>
      <c r="K14" s="21">
        <f t="shared" si="2"/>
        <v>37.623465795257822</v>
      </c>
    </row>
    <row r="15" spans="1:11" x14ac:dyDescent="0.2">
      <c r="A15" s="15" t="s">
        <v>176</v>
      </c>
      <c r="C15" s="16">
        <f>+'Customer Counts'!B13</f>
        <v>51451</v>
      </c>
      <c r="D15" s="17">
        <f>+'Total Company Tonnage'!F14</f>
        <v>1010.32</v>
      </c>
      <c r="E15" s="18">
        <f t="shared" si="3"/>
        <v>72.390842090204302</v>
      </c>
      <c r="F15" s="19">
        <f>+'Reg. Res''l - SS Mix &amp; Prices'!B60</f>
        <v>73137.915580575209</v>
      </c>
      <c r="G15" s="18">
        <f t="shared" si="0"/>
        <v>1.4215062016399138</v>
      </c>
      <c r="H15" s="18">
        <f t="shared" ref="H15:H22" si="4">+H14</f>
        <v>0.13</v>
      </c>
      <c r="I15" s="20">
        <f t="shared" si="1"/>
        <v>6688.63</v>
      </c>
      <c r="K15" s="21">
        <f t="shared" si="2"/>
        <v>39.273094789216927</v>
      </c>
    </row>
    <row r="16" spans="1:11" x14ac:dyDescent="0.2">
      <c r="A16" s="15" t="s">
        <v>38</v>
      </c>
      <c r="C16" s="16">
        <f>+'Customer Counts'!B14</f>
        <v>51400</v>
      </c>
      <c r="D16" s="17">
        <f>+'Total Company Tonnage'!F15</f>
        <v>680.91</v>
      </c>
      <c r="E16" s="18">
        <f t="shared" si="3"/>
        <v>88.709794360148791</v>
      </c>
      <c r="F16" s="19">
        <f>+'Reg. Res''l - SS Mix &amp; Prices'!B61</f>
        <v>60403.386077768911</v>
      </c>
      <c r="G16" s="18">
        <f t="shared" si="0"/>
        <v>1.1751631532639866</v>
      </c>
      <c r="H16" s="18">
        <f t="shared" si="4"/>
        <v>0.13</v>
      </c>
      <c r="I16" s="20">
        <f t="shared" si="1"/>
        <v>6682</v>
      </c>
      <c r="K16" s="21">
        <f t="shared" si="2"/>
        <v>26.494552529182879</v>
      </c>
    </row>
    <row r="17" spans="1:14" x14ac:dyDescent="0.2">
      <c r="A17" s="15" t="s">
        <v>39</v>
      </c>
      <c r="C17" s="16">
        <f>+'Customer Counts'!B15</f>
        <v>51481</v>
      </c>
      <c r="D17" s="17">
        <f>+'Total Company Tonnage'!F16</f>
        <v>829.5</v>
      </c>
      <c r="E17" s="18">
        <f t="shared" si="3"/>
        <v>88.836728322460061</v>
      </c>
      <c r="F17" s="19">
        <f>+'Reg. Res''l - SS Mix &amp; Prices'!B62</f>
        <v>73690.066143480624</v>
      </c>
      <c r="G17" s="18">
        <f t="shared" si="0"/>
        <v>1.4314031612338654</v>
      </c>
      <c r="H17" s="18">
        <f t="shared" si="4"/>
        <v>0.13</v>
      </c>
      <c r="I17" s="20">
        <f t="shared" si="1"/>
        <v>6692.5300000000007</v>
      </c>
      <c r="K17" s="21">
        <f t="shared" si="2"/>
        <v>32.22548124550805</v>
      </c>
    </row>
    <row r="18" spans="1:14" x14ac:dyDescent="0.2">
      <c r="A18" s="15" t="s">
        <v>40</v>
      </c>
      <c r="C18" s="16">
        <f>+'Customer Counts'!B16</f>
        <v>51608</v>
      </c>
      <c r="D18" s="17">
        <f>+'Total Company Tonnage'!F17</f>
        <v>866.17</v>
      </c>
      <c r="E18" s="18">
        <f t="shared" si="3"/>
        <v>87.02673755148831</v>
      </c>
      <c r="F18" s="19">
        <f>+'Reg. Res''l - SS Mix &amp; Prices'!B63</f>
        <v>75379.949264972631</v>
      </c>
      <c r="G18" s="18">
        <f t="shared" si="0"/>
        <v>1.4606252764101038</v>
      </c>
      <c r="H18" s="18">
        <f t="shared" si="4"/>
        <v>0.13</v>
      </c>
      <c r="I18" s="20">
        <f t="shared" si="1"/>
        <v>6709.04</v>
      </c>
      <c r="K18" s="21">
        <f t="shared" si="2"/>
        <v>33.567276391257167</v>
      </c>
    </row>
    <row r="19" spans="1:14" x14ac:dyDescent="0.2">
      <c r="A19" s="15" t="s">
        <v>10</v>
      </c>
      <c r="C19" s="16">
        <f>+'Customer Counts'!B17</f>
        <v>51813</v>
      </c>
      <c r="D19" s="17">
        <f>+'Total Company Tonnage'!F18</f>
        <v>850.79</v>
      </c>
      <c r="E19" s="18">
        <f>+F19/D19</f>
        <v>88.123725789080183</v>
      </c>
      <c r="F19" s="19">
        <f>+'Reg. Res''l - SS Mix &amp; Prices'!B64</f>
        <v>74974.784664091523</v>
      </c>
      <c r="G19" s="18">
        <f>+F19/C19</f>
        <v>1.4470265119582253</v>
      </c>
      <c r="H19" s="18">
        <f t="shared" si="4"/>
        <v>0.13</v>
      </c>
      <c r="I19" s="20">
        <f>+H19*C19</f>
        <v>6735.6900000000005</v>
      </c>
      <c r="K19" s="21">
        <f>+D19*2000/C19</f>
        <v>32.840792851214943</v>
      </c>
    </row>
    <row r="20" spans="1:14" x14ac:dyDescent="0.2">
      <c r="A20" s="15" t="s">
        <v>41</v>
      </c>
      <c r="C20" s="16">
        <f>+'Customer Counts'!B18</f>
        <v>51873</v>
      </c>
      <c r="D20" s="17">
        <f>+'Total Company Tonnage'!F19</f>
        <v>790.15</v>
      </c>
      <c r="E20" s="18">
        <f>+F20/D20</f>
        <v>94.078799518194828</v>
      </c>
      <c r="F20" s="19">
        <f>+'Reg. Res''l - SS Mix &amp; Prices'!B65</f>
        <v>74336.36343930164</v>
      </c>
      <c r="G20" s="18">
        <f>+F20/C20</f>
        <v>1.4330453885316377</v>
      </c>
      <c r="H20" s="18">
        <f t="shared" si="4"/>
        <v>0.13</v>
      </c>
      <c r="I20" s="20">
        <f>+H20*C20</f>
        <v>6743.49</v>
      </c>
      <c r="K20" s="21">
        <f>+D20*2000/C20</f>
        <v>30.464789003913403</v>
      </c>
    </row>
    <row r="21" spans="1:14" x14ac:dyDescent="0.2">
      <c r="A21" s="15" t="s">
        <v>42</v>
      </c>
      <c r="C21" s="16">
        <f>+'Customer Counts'!B19</f>
        <v>52005</v>
      </c>
      <c r="D21" s="17">
        <f>+'Total Company Tonnage'!F20</f>
        <v>870.41</v>
      </c>
      <c r="E21" s="18">
        <f>+F21/D21</f>
        <v>87.673566967895269</v>
      </c>
      <c r="F21" s="19">
        <f>+'Reg. Res''l - SS Mix &amp; Prices'!B66</f>
        <v>76311.949424525723</v>
      </c>
      <c r="G21" s="18">
        <f>+F21/C21</f>
        <v>1.4673963931261556</v>
      </c>
      <c r="H21" s="18">
        <f t="shared" si="4"/>
        <v>0.13</v>
      </c>
      <c r="I21" s="20">
        <f>+H21*C21</f>
        <v>6760.6500000000005</v>
      </c>
      <c r="K21" s="21">
        <f>+D21*2000/C21</f>
        <v>33.474089029900973</v>
      </c>
    </row>
    <row r="22" spans="1:14" ht="15" x14ac:dyDescent="0.35">
      <c r="A22" s="15" t="s">
        <v>43</v>
      </c>
      <c r="C22" s="23">
        <f>+'Customer Counts'!B20</f>
        <v>52005</v>
      </c>
      <c r="D22" s="24">
        <f>+'Total Company Tonnage'!F21</f>
        <v>870.41</v>
      </c>
      <c r="E22" s="25">
        <f>+F22/D22</f>
        <v>82.874769481006339</v>
      </c>
      <c r="F22" s="26">
        <f>+'Reg. Res''l - SS Mix &amp; Prices'!B67</f>
        <v>72135.02810396273</v>
      </c>
      <c r="G22" s="25">
        <f>+F22/C22</f>
        <v>1.387078705969863</v>
      </c>
      <c r="H22" s="25">
        <f t="shared" si="4"/>
        <v>0.13</v>
      </c>
      <c r="I22" s="27">
        <f>+H22*C22</f>
        <v>6760.6500000000005</v>
      </c>
      <c r="J22" s="29"/>
      <c r="K22" s="28">
        <f>+D22*2000/C22</f>
        <v>33.474089029900973</v>
      </c>
    </row>
    <row r="23" spans="1:14" ht="15" x14ac:dyDescent="0.35">
      <c r="A23" s="11" t="s">
        <v>44</v>
      </c>
      <c r="C23" s="30">
        <f>SUM(C11:C22)</f>
        <v>619427</v>
      </c>
      <c r="D23" s="31">
        <f>SUM(D11:D22)</f>
        <v>10374.279999999999</v>
      </c>
      <c r="E23" s="32">
        <f>+F23/D23</f>
        <v>84.815394408407926</v>
      </c>
      <c r="F23" s="33">
        <f>SUM(F11:F22)</f>
        <v>879898.64990325808</v>
      </c>
      <c r="G23" s="34">
        <f t="shared" si="0"/>
        <v>1.4205041916210597</v>
      </c>
      <c r="H23" s="34">
        <f>+I23/C23</f>
        <v>0.12501364971174972</v>
      </c>
      <c r="I23" s="33">
        <f>SUM(I11:I22)</f>
        <v>77436.829999999987</v>
      </c>
      <c r="J23" s="35"/>
      <c r="K23" s="36">
        <f t="shared" si="2"/>
        <v>33.496376489885002</v>
      </c>
      <c r="M23" s="219"/>
      <c r="N23" s="17"/>
    </row>
    <row r="24" spans="1:14" x14ac:dyDescent="0.2">
      <c r="E24" s="15"/>
      <c r="F24" s="15"/>
    </row>
    <row r="25" spans="1:14" x14ac:dyDescent="0.2">
      <c r="A25" s="6"/>
      <c r="C25" s="219">
        <f>SUM(C11:C13)</f>
        <v>154380</v>
      </c>
      <c r="F25" s="219">
        <f>F23/2*3</f>
        <v>1319847.974854887</v>
      </c>
      <c r="M25">
        <f>F25/C25</f>
        <v>8.5493456072994363</v>
      </c>
    </row>
    <row r="26" spans="1:14" x14ac:dyDescent="0.2">
      <c r="E26" s="15"/>
      <c r="F26" s="15"/>
    </row>
    <row r="27" spans="1:14" x14ac:dyDescent="0.2">
      <c r="E27" s="15"/>
      <c r="F27" s="15"/>
    </row>
    <row r="28" spans="1:14" ht="15" x14ac:dyDescent="0.2">
      <c r="A28" s="65" t="s">
        <v>20</v>
      </c>
      <c r="C28" s="64"/>
      <c r="D28" s="64"/>
      <c r="E28" s="64"/>
      <c r="F28" s="64"/>
      <c r="G28" s="64"/>
    </row>
    <row r="29" spans="1:14" x14ac:dyDescent="0.2">
      <c r="C29" s="10"/>
      <c r="D29" s="10"/>
      <c r="E29" s="2" t="s">
        <v>21</v>
      </c>
      <c r="H29" s="4"/>
      <c r="I29" s="2" t="s">
        <v>22</v>
      </c>
      <c r="K29" s="2" t="s">
        <v>24</v>
      </c>
    </row>
    <row r="30" spans="1:14" x14ac:dyDescent="0.2">
      <c r="C30" s="10"/>
      <c r="D30" s="2" t="s">
        <v>0</v>
      </c>
      <c r="E30" s="2" t="s">
        <v>25</v>
      </c>
      <c r="G30" s="2" t="s">
        <v>26</v>
      </c>
      <c r="H30" s="11" t="s">
        <v>27</v>
      </c>
      <c r="I30" s="11" t="s">
        <v>28</v>
      </c>
      <c r="K30" s="11" t="s">
        <v>29</v>
      </c>
    </row>
    <row r="31" spans="1:14" x14ac:dyDescent="0.2">
      <c r="C31" s="12" t="s">
        <v>30</v>
      </c>
      <c r="D31" s="10" t="s">
        <v>128</v>
      </c>
      <c r="E31" s="10" t="s">
        <v>31</v>
      </c>
      <c r="F31" s="10" t="s">
        <v>7</v>
      </c>
      <c r="G31" s="10" t="s">
        <v>32</v>
      </c>
      <c r="H31" s="13" t="s">
        <v>32</v>
      </c>
      <c r="I31" s="13" t="s">
        <v>33</v>
      </c>
      <c r="K31" s="13" t="s">
        <v>34</v>
      </c>
    </row>
    <row r="32" spans="1:14" x14ac:dyDescent="0.2">
      <c r="A32" s="14"/>
    </row>
    <row r="33" spans="1:14" x14ac:dyDescent="0.2">
      <c r="A33" s="15" t="s">
        <v>175</v>
      </c>
      <c r="C33" s="16">
        <f>+'Customer Counts'!I9</f>
        <v>5183.5704545454519</v>
      </c>
      <c r="D33" s="17">
        <f>+'Total Company Tonnage'!H10</f>
        <v>32.31</v>
      </c>
      <c r="E33" s="18">
        <f>+F33/D33</f>
        <v>94.315002637603968</v>
      </c>
      <c r="F33" s="19">
        <f>+'Reg. MF - SS Mix &amp; Prices'!B56</f>
        <v>3047.3177352209846</v>
      </c>
      <c r="G33" s="18">
        <f t="shared" ref="G33:G45" si="5">+F33/C33</f>
        <v>0.58788006489789368</v>
      </c>
      <c r="H33" s="18">
        <f>+'Rebate Analysis'!AV66</f>
        <v>0.18999999999999997</v>
      </c>
      <c r="I33" s="20">
        <f>+H33*C33</f>
        <v>984.87838636363574</v>
      </c>
      <c r="K33" s="21">
        <f t="shared" ref="K33:K45" si="6">+D33*2000/C33</f>
        <v>12.466310734396403</v>
      </c>
    </row>
    <row r="34" spans="1:14" x14ac:dyDescent="0.2">
      <c r="A34" s="15" t="s">
        <v>35</v>
      </c>
      <c r="C34" s="16">
        <f>+'Customer Counts'!I10</f>
        <v>5549.734090909089</v>
      </c>
      <c r="D34" s="17">
        <f>+'Total Company Tonnage'!H11</f>
        <v>34.26</v>
      </c>
      <c r="E34" s="18">
        <f t="shared" ref="E34:E44" si="7">+F34/D34</f>
        <v>85.215142824318178</v>
      </c>
      <c r="F34" s="19">
        <f>+'Reg. MF - SS Mix &amp; Prices'!B57</f>
        <v>2919.4707931611406</v>
      </c>
      <c r="G34" s="18">
        <f t="shared" si="5"/>
        <v>0.52605597769872769</v>
      </c>
      <c r="H34" s="18">
        <f>+H33</f>
        <v>0.18999999999999997</v>
      </c>
      <c r="I34" s="20">
        <f t="shared" ref="I34:I44" si="8">+H34*C34</f>
        <v>1054.4494772727267</v>
      </c>
      <c r="K34" s="21">
        <f t="shared" si="6"/>
        <v>12.346537487668332</v>
      </c>
    </row>
    <row r="35" spans="1:14" x14ac:dyDescent="0.2">
      <c r="A35" s="15" t="s">
        <v>36</v>
      </c>
      <c r="C35" s="16">
        <f>+'Customer Counts'!I11</f>
        <v>5517.7477272727247</v>
      </c>
      <c r="D35" s="17">
        <f>+'Total Company Tonnage'!H12</f>
        <v>35.11</v>
      </c>
      <c r="E35" s="18">
        <f t="shared" si="7"/>
        <v>78.769773745713991</v>
      </c>
      <c r="F35" s="19">
        <f>+'Reg. MF - SS Mix &amp; Prices'!B58</f>
        <v>2765.6067562120184</v>
      </c>
      <c r="G35" s="18">
        <f t="shared" si="5"/>
        <v>0.50122022479251405</v>
      </c>
      <c r="H35" s="22">
        <f>+'Rebate Analysis'!AP66</f>
        <v>0.31</v>
      </c>
      <c r="I35" s="20">
        <f t="shared" si="8"/>
        <v>1710.5017954545447</v>
      </c>
      <c r="K35" s="21">
        <f t="shared" si="6"/>
        <v>12.726207045117642</v>
      </c>
    </row>
    <row r="36" spans="1:14" x14ac:dyDescent="0.2">
      <c r="A36" s="15" t="s">
        <v>37</v>
      </c>
      <c r="C36" s="16">
        <f>+'Customer Counts'!I12</f>
        <v>5256.1795454545436</v>
      </c>
      <c r="D36" s="17">
        <f>+'Total Company Tonnage'!H13</f>
        <v>40.54</v>
      </c>
      <c r="E36" s="18">
        <f t="shared" si="7"/>
        <v>75.339149234958612</v>
      </c>
      <c r="F36" s="19">
        <f>+'Reg. MF - SS Mix &amp; Prices'!B59</f>
        <v>3054.2491099852223</v>
      </c>
      <c r="G36" s="18">
        <f t="shared" si="5"/>
        <v>0.58107777399394323</v>
      </c>
      <c r="H36" s="18">
        <f>+H35</f>
        <v>0.31</v>
      </c>
      <c r="I36" s="20">
        <f t="shared" si="8"/>
        <v>1629.4156590909085</v>
      </c>
      <c r="K36" s="21">
        <f t="shared" si="6"/>
        <v>15.425652662515425</v>
      </c>
    </row>
    <row r="37" spans="1:14" x14ac:dyDescent="0.2">
      <c r="A37" s="15" t="s">
        <v>176</v>
      </c>
      <c r="C37" s="16">
        <f>+'Customer Counts'!I13</f>
        <v>5551.2090909090884</v>
      </c>
      <c r="D37" s="17">
        <f>+'Total Company Tonnage'!H14</f>
        <v>36.700000000000003</v>
      </c>
      <c r="E37" s="18">
        <f t="shared" si="7"/>
        <v>72.390842090204316</v>
      </c>
      <c r="F37" s="19">
        <f>+'Reg. MF - SS Mix &amp; Prices'!B60</f>
        <v>2656.7439047104986</v>
      </c>
      <c r="G37" s="18">
        <f t="shared" si="5"/>
        <v>0.47858833295638292</v>
      </c>
      <c r="H37" s="18">
        <f t="shared" ref="H37:H44" si="9">+H36</f>
        <v>0.31</v>
      </c>
      <c r="I37" s="20">
        <f t="shared" si="8"/>
        <v>1720.8748181818173</v>
      </c>
      <c r="K37" s="21">
        <f t="shared" si="6"/>
        <v>13.222344681666408</v>
      </c>
    </row>
    <row r="38" spans="1:14" x14ac:dyDescent="0.2">
      <c r="A38" s="15" t="s">
        <v>38</v>
      </c>
      <c r="C38" s="16">
        <f>+'Customer Counts'!I14</f>
        <v>5218.5749999999971</v>
      </c>
      <c r="D38" s="17">
        <f>+'Total Company Tonnage'!H15</f>
        <v>29.28</v>
      </c>
      <c r="E38" s="18">
        <f t="shared" si="7"/>
        <v>88.709794360148777</v>
      </c>
      <c r="F38" s="19">
        <f>+'Reg. MF - SS Mix &amp; Prices'!B61</f>
        <v>2597.4227788651565</v>
      </c>
      <c r="G38" s="18">
        <f t="shared" si="5"/>
        <v>0.49772644426211332</v>
      </c>
      <c r="H38" s="18">
        <f t="shared" si="9"/>
        <v>0.31</v>
      </c>
      <c r="I38" s="20">
        <f t="shared" si="8"/>
        <v>1617.7582499999992</v>
      </c>
      <c r="K38" s="21">
        <f t="shared" si="6"/>
        <v>11.221454132593674</v>
      </c>
    </row>
    <row r="39" spans="1:14" x14ac:dyDescent="0.2">
      <c r="A39" s="15" t="s">
        <v>39</v>
      </c>
      <c r="C39" s="16">
        <f>+'Customer Counts'!I15</f>
        <v>5499.7090909090884</v>
      </c>
      <c r="D39" s="17">
        <f>+'Total Company Tonnage'!H16</f>
        <v>32.06</v>
      </c>
      <c r="E39" s="18">
        <f t="shared" si="7"/>
        <v>88.836728322460075</v>
      </c>
      <c r="F39" s="19">
        <f>+'Reg. MF - SS Mix &amp; Prices'!B62</f>
        <v>2848.1055100180702</v>
      </c>
      <c r="G39" s="18">
        <f t="shared" si="5"/>
        <v>0.51786475665157139</v>
      </c>
      <c r="H39" s="18">
        <f t="shared" si="9"/>
        <v>0.31</v>
      </c>
      <c r="I39" s="20">
        <f t="shared" si="8"/>
        <v>1704.9098181818174</v>
      </c>
      <c r="K39" s="21">
        <f t="shared" si="6"/>
        <v>11.658798481903181</v>
      </c>
    </row>
    <row r="40" spans="1:14" x14ac:dyDescent="0.2">
      <c r="A40" s="15" t="s">
        <v>40</v>
      </c>
      <c r="C40" s="16">
        <f>+'Customer Counts'!I16</f>
        <v>5277.7636363636329</v>
      </c>
      <c r="D40" s="17">
        <f>+'Total Company Tonnage'!H17</f>
        <v>31.2</v>
      </c>
      <c r="E40" s="18">
        <f t="shared" si="7"/>
        <v>87.026737551488324</v>
      </c>
      <c r="F40" s="19">
        <f>+'Reg. MF - SS Mix &amp; Prices'!B63</f>
        <v>2715.2342116064356</v>
      </c>
      <c r="G40" s="18">
        <f t="shared" si="5"/>
        <v>0.51446680804319345</v>
      </c>
      <c r="H40" s="18">
        <f t="shared" si="9"/>
        <v>0.31</v>
      </c>
      <c r="I40" s="20">
        <f t="shared" si="8"/>
        <v>1636.1067272727262</v>
      </c>
      <c r="K40" s="21">
        <f t="shared" si="6"/>
        <v>11.823189574096475</v>
      </c>
    </row>
    <row r="41" spans="1:14" x14ac:dyDescent="0.2">
      <c r="A41" s="15" t="s">
        <v>10</v>
      </c>
      <c r="C41" s="16">
        <f>+'Customer Counts'!I17</f>
        <v>5480.1159090909068</v>
      </c>
      <c r="D41" s="17">
        <f>+'Total Company Tonnage'!H18</f>
        <v>30.83</v>
      </c>
      <c r="E41" s="18">
        <f>+E19</f>
        <v>88.123725789080183</v>
      </c>
      <c r="F41" s="19">
        <f>+'Reg. MF - SS Mix &amp; Prices'!B64</f>
        <v>2716.8544660773418</v>
      </c>
      <c r="G41" s="18">
        <f t="shared" si="5"/>
        <v>0.49576587633308639</v>
      </c>
      <c r="H41" s="18">
        <f t="shared" si="9"/>
        <v>0.31</v>
      </c>
      <c r="I41" s="20">
        <f t="shared" si="8"/>
        <v>1698.8359318181811</v>
      </c>
      <c r="K41" s="21">
        <f t="shared" si="6"/>
        <v>11.251586831897638</v>
      </c>
    </row>
    <row r="42" spans="1:14" x14ac:dyDescent="0.2">
      <c r="A42" s="15" t="s">
        <v>41</v>
      </c>
      <c r="C42" s="16">
        <f>+'Customer Counts'!I18</f>
        <v>5494.1499999999969</v>
      </c>
      <c r="D42" s="17">
        <f>+'Total Company Tonnage'!H19</f>
        <v>30.27</v>
      </c>
      <c r="E42" s="18">
        <f>+E20</f>
        <v>94.078799518194828</v>
      </c>
      <c r="F42" s="19">
        <f>+'Reg. MF - SS Mix &amp; Prices'!B65</f>
        <v>2847.7652614157578</v>
      </c>
      <c r="G42" s="18">
        <f t="shared" si="5"/>
        <v>0.5183268133224902</v>
      </c>
      <c r="H42" s="18">
        <f t="shared" si="9"/>
        <v>0.31</v>
      </c>
      <c r="I42" s="20">
        <f t="shared" si="8"/>
        <v>1703.1864999999991</v>
      </c>
      <c r="K42" s="21">
        <f t="shared" si="6"/>
        <v>11.018992928842502</v>
      </c>
    </row>
    <row r="43" spans="1:14" x14ac:dyDescent="0.2">
      <c r="A43" s="15" t="s">
        <v>42</v>
      </c>
      <c r="C43" s="16">
        <f>+'Customer Counts'!I19</f>
        <v>5476.3318181818158</v>
      </c>
      <c r="D43" s="17">
        <f>+'Total Company Tonnage'!H20</f>
        <v>34.979999999999997</v>
      </c>
      <c r="E43" s="18">
        <f>+E21</f>
        <v>87.673566967895269</v>
      </c>
      <c r="F43" s="19">
        <f>+'Reg. MF - SS Mix &amp; Prices'!B66</f>
        <v>3066.8213725369765</v>
      </c>
      <c r="G43" s="18">
        <f t="shared" si="5"/>
        <v>0.56001379652615435</v>
      </c>
      <c r="H43" s="18">
        <f t="shared" si="9"/>
        <v>0.31</v>
      </c>
      <c r="I43" s="20">
        <f t="shared" si="8"/>
        <v>1697.662863636363</v>
      </c>
      <c r="K43" s="21">
        <f t="shared" si="6"/>
        <v>12.774974622196515</v>
      </c>
    </row>
    <row r="44" spans="1:14" ht="15" x14ac:dyDescent="0.35">
      <c r="A44" s="15" t="s">
        <v>43</v>
      </c>
      <c r="C44" s="23">
        <f>+'Customer Counts'!I20</f>
        <v>5485.154545454543</v>
      </c>
      <c r="D44" s="24">
        <f>+'Total Company Tonnage'!H21</f>
        <v>34.979999999999997</v>
      </c>
      <c r="E44" s="25">
        <f t="shared" si="7"/>
        <v>82.874769481006339</v>
      </c>
      <c r="F44" s="26">
        <f>+'Reg. MF - SS Mix &amp; Prices'!B67</f>
        <v>2898.9594364456016</v>
      </c>
      <c r="G44" s="25">
        <f t="shared" si="5"/>
        <v>0.52851007431466468</v>
      </c>
      <c r="H44" s="25">
        <f t="shared" si="9"/>
        <v>0.31</v>
      </c>
      <c r="I44" s="27">
        <f t="shared" si="8"/>
        <v>1700.3979090909083</v>
      </c>
      <c r="K44" s="28">
        <f t="shared" si="6"/>
        <v>12.754426410459974</v>
      </c>
      <c r="L44" s="29"/>
    </row>
    <row r="45" spans="1:14" ht="15" x14ac:dyDescent="0.35">
      <c r="A45" s="11" t="s">
        <v>44</v>
      </c>
      <c r="C45" s="30">
        <f>SUM(C33:C44)</f>
        <v>64990.240909090877</v>
      </c>
      <c r="D45" s="31">
        <f>SUM(D33:D44)</f>
        <v>402.52000000000004</v>
      </c>
      <c r="E45" s="32">
        <f>AVERAGE(E33:E44)</f>
        <v>85.279502710256054</v>
      </c>
      <c r="F45" s="33">
        <f>SUM(F33:F44)</f>
        <v>34134.551336255201</v>
      </c>
      <c r="G45" s="34">
        <f t="shared" si="5"/>
        <v>0.52522580096299409</v>
      </c>
      <c r="H45" s="34">
        <f>+I45/C45</f>
        <v>0.29018169301362939</v>
      </c>
      <c r="I45" s="33">
        <f>SUM(I33:I44)</f>
        <v>18858.978136363628</v>
      </c>
      <c r="K45" s="36">
        <f t="shared" si="6"/>
        <v>12.387090565275788</v>
      </c>
      <c r="L45" s="37"/>
      <c r="N45" s="17"/>
    </row>
    <row r="46" spans="1:14" x14ac:dyDescent="0.2">
      <c r="A46" s="15"/>
    </row>
    <row r="47" spans="1:14" ht="15" x14ac:dyDescent="0.35">
      <c r="A47" s="6"/>
      <c r="B47" s="15"/>
      <c r="F47" s="258"/>
    </row>
  </sheetData>
  <pageMargins left="0.45" right="0.45" top="0.5" bottom="0.5" header="0.3" footer="0.3"/>
  <pageSetup scale="87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3C8400-57CF-4FDB-98C8-0E76C0E9EE0F}">
  <sheetPr>
    <pageSetUpPr fitToPage="1"/>
  </sheetPr>
  <dimension ref="A1:Z86"/>
  <sheetViews>
    <sheetView workbookViewId="0">
      <pane xSplit="2" ySplit="7" topLeftCell="C8" activePane="bottomRight" state="frozen"/>
      <selection pane="topRight" activeCell="C1" sqref="C1"/>
      <selection pane="bottomLeft" activeCell="A9" sqref="A9"/>
      <selection pane="bottomRight" activeCell="D47" sqref="D47"/>
    </sheetView>
  </sheetViews>
  <sheetFormatPr defaultRowHeight="12.75" x14ac:dyDescent="0.2"/>
  <cols>
    <col min="2" max="2" width="11.28515625" bestFit="1" customWidth="1"/>
    <col min="3" max="3" width="11.140625" customWidth="1"/>
    <col min="4" max="5" width="9.7109375" bestFit="1" customWidth="1"/>
    <col min="6" max="6" width="10.28515625" bestFit="1" customWidth="1"/>
    <col min="7" max="7" width="10.7109375" bestFit="1" customWidth="1"/>
    <col min="8" max="12" width="10.28515625" bestFit="1" customWidth="1"/>
  </cols>
  <sheetData>
    <row r="1" spans="1:26" ht="26.25" x14ac:dyDescent="0.4">
      <c r="A1" s="7" t="s">
        <v>18</v>
      </c>
    </row>
    <row r="2" spans="1:26" ht="18" x14ac:dyDescent="0.25">
      <c r="A2" s="5" t="s">
        <v>88</v>
      </c>
    </row>
    <row r="3" spans="1:26" x14ac:dyDescent="0.2">
      <c r="A3" s="6" t="s">
        <v>87</v>
      </c>
    </row>
    <row r="4" spans="1:26" x14ac:dyDescent="0.2">
      <c r="C4" s="41"/>
      <c r="D4" s="41"/>
      <c r="E4" s="41"/>
      <c r="F4" s="41"/>
      <c r="G4" s="41"/>
      <c r="H4" s="41"/>
      <c r="I4" s="41"/>
      <c r="J4" s="41"/>
      <c r="K4" s="41"/>
      <c r="L4" s="41"/>
    </row>
    <row r="5" spans="1:26" x14ac:dyDescent="0.2">
      <c r="D5" s="40"/>
      <c r="E5" s="40"/>
      <c r="F5" s="40"/>
      <c r="G5" s="40"/>
      <c r="H5" s="40"/>
      <c r="I5" s="40"/>
      <c r="J5" s="40"/>
      <c r="K5" s="40"/>
      <c r="L5" s="40"/>
    </row>
    <row r="6" spans="1:26" x14ac:dyDescent="0.2">
      <c r="C6" s="2"/>
      <c r="D6" s="41" t="s">
        <v>46</v>
      </c>
      <c r="E6" s="41"/>
      <c r="F6" s="41" t="s">
        <v>1</v>
      </c>
      <c r="G6" s="41" t="s">
        <v>47</v>
      </c>
      <c r="H6" s="41"/>
      <c r="I6" s="41"/>
      <c r="J6" s="41" t="s">
        <v>2</v>
      </c>
      <c r="K6" s="41" t="s">
        <v>2</v>
      </c>
      <c r="L6" s="41" t="s">
        <v>48</v>
      </c>
    </row>
    <row r="7" spans="1:26" x14ac:dyDescent="0.2">
      <c r="B7" s="10" t="s">
        <v>22</v>
      </c>
      <c r="C7" s="10" t="s">
        <v>92</v>
      </c>
      <c r="D7" s="42" t="s">
        <v>49</v>
      </c>
      <c r="E7" s="42" t="s">
        <v>50</v>
      </c>
      <c r="F7" s="42" t="s">
        <v>51</v>
      </c>
      <c r="G7" s="42" t="s">
        <v>52</v>
      </c>
      <c r="H7" s="42" t="s">
        <v>4</v>
      </c>
      <c r="I7" s="42" t="s">
        <v>3</v>
      </c>
      <c r="J7" s="42" t="s">
        <v>53</v>
      </c>
      <c r="K7" s="42" t="s">
        <v>54</v>
      </c>
      <c r="L7" s="42" t="s">
        <v>55</v>
      </c>
      <c r="M7" s="59" t="s">
        <v>86</v>
      </c>
    </row>
    <row r="8" spans="1:26" x14ac:dyDescent="0.2">
      <c r="D8" s="42"/>
      <c r="E8" s="42"/>
      <c r="F8" s="42"/>
      <c r="G8" s="42"/>
      <c r="H8" s="42"/>
      <c r="I8" s="42"/>
      <c r="J8" s="42"/>
      <c r="K8" s="42"/>
      <c r="L8" s="42"/>
    </row>
    <row r="9" spans="1:26" x14ac:dyDescent="0.2">
      <c r="A9" s="12" t="s">
        <v>56</v>
      </c>
      <c r="D9" s="42"/>
      <c r="E9" s="42"/>
      <c r="F9" s="42"/>
      <c r="G9" s="42"/>
      <c r="H9" s="42"/>
      <c r="I9" s="42"/>
      <c r="J9" s="42"/>
      <c r="K9" s="42"/>
      <c r="L9" s="42"/>
    </row>
    <row r="10" spans="1:26" s="4" customFormat="1" x14ac:dyDescent="0.2">
      <c r="A10" s="4" t="s">
        <v>58</v>
      </c>
      <c r="B10" s="62">
        <f t="shared" ref="B10:B21" si="0">SUM(C10:M10)</f>
        <v>1</v>
      </c>
      <c r="C10" s="69">
        <f>+'Total Company Tonnage'!J10</f>
        <v>0</v>
      </c>
      <c r="D10" s="69">
        <f>+'Total Company Tonnage'!K10</f>
        <v>0.27335935090037949</v>
      </c>
      <c r="E10" s="69">
        <f>+'Total Company Tonnage'!L10</f>
        <v>0.19440567594261801</v>
      </c>
      <c r="F10" s="69">
        <f>+'Total Company Tonnage'!M10</f>
        <v>1.4164386120316626E-2</v>
      </c>
      <c r="G10" s="69">
        <f>+'Total Company Tonnage'!O10</f>
        <v>1.3818554355301105E-2</v>
      </c>
      <c r="H10" s="69">
        <f>+'Total Company Tonnage'!N10</f>
        <v>0.16778438436568738</v>
      </c>
      <c r="I10" s="69">
        <f>+'Total Company Tonnage'!P10</f>
        <v>3.9524438872396012E-2</v>
      </c>
      <c r="J10" s="69">
        <f>+'Total Company Tonnage'!Q10</f>
        <v>5.6985829953785337E-3</v>
      </c>
      <c r="K10" s="69">
        <f>+'Total Company Tonnage'!R10</f>
        <v>1.2085433464175847E-2</v>
      </c>
      <c r="L10" s="69">
        <f>+'Total Company Tonnage'!S10</f>
        <v>0</v>
      </c>
      <c r="M10" s="69">
        <f t="shared" ref="M10:M21" si="1">1-SUM(C10:L10)</f>
        <v>0.27915919298374703</v>
      </c>
    </row>
    <row r="11" spans="1:26" s="4" customFormat="1" x14ac:dyDescent="0.2">
      <c r="A11" s="4" t="s">
        <v>35</v>
      </c>
      <c r="B11" s="62">
        <f t="shared" si="0"/>
        <v>1</v>
      </c>
      <c r="C11" s="69">
        <f>+'Total Company Tonnage'!J11</f>
        <v>0</v>
      </c>
      <c r="D11" s="69">
        <f>+'Total Company Tonnage'!K11</f>
        <v>0.19859501340428887</v>
      </c>
      <c r="E11" s="69">
        <f>+'Total Company Tonnage'!L11</f>
        <v>0.20964645035353913</v>
      </c>
      <c r="F11" s="69">
        <f>+'Total Company Tonnage'!M11</f>
        <v>1.4051446962283016E-2</v>
      </c>
      <c r="G11" s="69">
        <f>+'Total Company Tonnage'!O11</f>
        <v>1.8732697874654751E-2</v>
      </c>
      <c r="H11" s="69">
        <f>+'Total Company Tonnage'!N11</f>
        <v>0.14076743045026502</v>
      </c>
      <c r="I11" s="69">
        <f>+'Total Company Tonnage'!P11</f>
        <v>3.5843916845452004E-2</v>
      </c>
      <c r="J11" s="69">
        <f>+'Total Company Tonnage'!Q11</f>
        <v>5.2520991796164169E-3</v>
      </c>
      <c r="K11" s="69">
        <f>+'Total Company Tonnage'!R11</f>
        <v>1.2688304303443379E-2</v>
      </c>
      <c r="L11" s="69">
        <f>+'Total Company Tonnage'!S11</f>
        <v>0</v>
      </c>
      <c r="M11" s="69">
        <f t="shared" si="1"/>
        <v>0.36442264062645746</v>
      </c>
      <c r="Q11" s="69"/>
      <c r="R11" s="60"/>
      <c r="S11" s="61"/>
      <c r="T11" s="61"/>
      <c r="U11" s="61"/>
      <c r="V11" s="61"/>
      <c r="W11" s="61"/>
      <c r="X11" s="61"/>
      <c r="Y11" s="61"/>
      <c r="Z11" s="61"/>
    </row>
    <row r="12" spans="1:26" s="4" customFormat="1" x14ac:dyDescent="0.2">
      <c r="A12" s="4" t="s">
        <v>36</v>
      </c>
      <c r="B12" s="62">
        <f t="shared" si="0"/>
        <v>1</v>
      </c>
      <c r="C12" s="69">
        <f>+'Total Company Tonnage'!J12</f>
        <v>0</v>
      </c>
      <c r="D12" s="69">
        <f>+'Total Company Tonnage'!K12</f>
        <v>0.26420358731828331</v>
      </c>
      <c r="E12" s="69">
        <f>+'Total Company Tonnage'!L12</f>
        <v>0.16784801220348985</v>
      </c>
      <c r="F12" s="69">
        <f>+'Total Company Tonnage'!M12</f>
        <v>1.3428957258913974E-2</v>
      </c>
      <c r="G12" s="69">
        <f>+'Total Company Tonnage'!O12</f>
        <v>1.5127172949282378E-2</v>
      </c>
      <c r="H12" s="69">
        <f>+'Total Company Tonnage'!N12</f>
        <v>0.14500228497139556</v>
      </c>
      <c r="I12" s="69">
        <f>+'Total Company Tonnage'!P12</f>
        <v>3.0559651771259536E-2</v>
      </c>
      <c r="J12" s="69">
        <f>+'Total Company Tonnage'!Q12</f>
        <v>4.7307620808820063E-3</v>
      </c>
      <c r="K12" s="69">
        <f>+'Total Company Tonnage'!R12</f>
        <v>9.4673113413222543E-3</v>
      </c>
      <c r="L12" s="69">
        <f>+'Total Company Tonnage'!S12</f>
        <v>0</v>
      </c>
      <c r="M12" s="69">
        <f t="shared" si="1"/>
        <v>0.34963226010517112</v>
      </c>
      <c r="Q12" s="69"/>
      <c r="R12" s="69"/>
      <c r="S12" s="69"/>
      <c r="T12" s="69"/>
      <c r="U12" s="69"/>
      <c r="V12" s="69"/>
      <c r="W12" s="69"/>
      <c r="X12" s="69"/>
      <c r="Y12" s="69"/>
      <c r="Z12" s="69"/>
    </row>
    <row r="13" spans="1:26" s="4" customFormat="1" x14ac:dyDescent="0.2">
      <c r="A13" s="4" t="s">
        <v>37</v>
      </c>
      <c r="B13" s="62">
        <f t="shared" si="0"/>
        <v>1</v>
      </c>
      <c r="C13" s="69">
        <f>+'Total Company Tonnage'!J13</f>
        <v>0</v>
      </c>
      <c r="D13" s="69">
        <f>+'Total Company Tonnage'!K13</f>
        <v>0.3374806386569395</v>
      </c>
      <c r="E13" s="69">
        <f>+'Total Company Tonnage'!L13</f>
        <v>0.17581336694168645</v>
      </c>
      <c r="F13" s="69">
        <f>+'Total Company Tonnage'!M13</f>
        <v>1.2565991154689286E-2</v>
      </c>
      <c r="G13" s="69">
        <f>+'Total Company Tonnage'!O13</f>
        <v>1.525901202721423E-2</v>
      </c>
      <c r="H13" s="69">
        <f>+'Total Company Tonnage'!N13</f>
        <v>0.16716311136052603</v>
      </c>
      <c r="I13" s="69">
        <f>+'Total Company Tonnage'!P13</f>
        <v>2.580438647946319E-2</v>
      </c>
      <c r="J13" s="69">
        <f>+'Total Company Tonnage'!Q13</f>
        <v>4.9934926579957989E-3</v>
      </c>
      <c r="K13" s="69">
        <f>+'Total Company Tonnage'!R13</f>
        <v>7.8243071008146439E-3</v>
      </c>
      <c r="L13" s="69">
        <f>+'Total Company Tonnage'!S13</f>
        <v>0</v>
      </c>
      <c r="M13" s="69">
        <f t="shared" si="1"/>
        <v>0.25309569362067108</v>
      </c>
      <c r="Q13" s="69"/>
      <c r="R13" s="69"/>
      <c r="S13" s="69"/>
      <c r="T13" s="69"/>
      <c r="U13" s="69"/>
      <c r="V13" s="69"/>
      <c r="W13" s="69"/>
      <c r="X13" s="69"/>
      <c r="Y13" s="69"/>
      <c r="Z13" s="69"/>
    </row>
    <row r="14" spans="1:26" x14ac:dyDescent="0.2">
      <c r="A14" s="4" t="s">
        <v>45</v>
      </c>
      <c r="B14" s="62">
        <f t="shared" si="0"/>
        <v>1</v>
      </c>
      <c r="C14" s="69">
        <f>+'Total Company Tonnage'!J14</f>
        <v>0</v>
      </c>
      <c r="D14" s="69">
        <f>+'Total Company Tonnage'!K14</f>
        <v>0.2833538134184766</v>
      </c>
      <c r="E14" s="69">
        <f>+'Total Company Tonnage'!L14</f>
        <v>0.16718829611877525</v>
      </c>
      <c r="F14" s="69">
        <f>+'Total Company Tonnage'!M14</f>
        <v>1.151839766256885E-2</v>
      </c>
      <c r="G14" s="69">
        <f>+'Total Company Tonnage'!O14</f>
        <v>1.5631077517141843E-2</v>
      </c>
      <c r="H14" s="69">
        <f>+'Total Company Tonnage'!N14</f>
        <v>0.19335580778960493</v>
      </c>
      <c r="I14" s="69">
        <f>+'Total Company Tonnage'!P14</f>
        <v>2.8722514852662018E-2</v>
      </c>
      <c r="J14" s="69">
        <f>+'Total Company Tonnage'!Q14</f>
        <v>5.2828518614482893E-3</v>
      </c>
      <c r="K14" s="69">
        <f>+'Total Company Tonnage'!R14</f>
        <v>7.5842011040218411E-3</v>
      </c>
      <c r="L14" s="69">
        <f>+'Total Company Tonnage'!S14</f>
        <v>0</v>
      </c>
      <c r="M14" s="69">
        <f t="shared" si="1"/>
        <v>0.28736303967530052</v>
      </c>
      <c r="Q14" s="43"/>
      <c r="R14" s="43"/>
      <c r="S14" s="43"/>
      <c r="T14" s="43"/>
      <c r="U14" s="43"/>
      <c r="V14" s="43"/>
      <c r="W14" s="43"/>
      <c r="X14" s="43"/>
      <c r="Y14" s="43"/>
      <c r="Z14" s="43"/>
    </row>
    <row r="15" spans="1:26" x14ac:dyDescent="0.2">
      <c r="A15" s="4" t="s">
        <v>38</v>
      </c>
      <c r="B15" s="62">
        <f t="shared" si="0"/>
        <v>1</v>
      </c>
      <c r="C15" s="69">
        <f>+'Total Company Tonnage'!J15</f>
        <v>0</v>
      </c>
      <c r="D15" s="69">
        <f>+'Total Company Tonnage'!K15</f>
        <v>0.23564263550918949</v>
      </c>
      <c r="E15" s="69">
        <f>+'Total Company Tonnage'!L15</f>
        <v>0.19754529514903563</v>
      </c>
      <c r="F15" s="69">
        <f>+'Total Company Tonnage'!M15</f>
        <v>1.3592683544748319E-2</v>
      </c>
      <c r="G15" s="69">
        <f>+'Total Company Tonnage'!O15</f>
        <v>1.6336981360196453E-2</v>
      </c>
      <c r="H15" s="69">
        <f>+'Total Company Tonnage'!N15</f>
        <v>0.15408879178654653</v>
      </c>
      <c r="I15" s="69">
        <f>+'Total Company Tonnage'!P15</f>
        <v>3.0142752149058226E-2</v>
      </c>
      <c r="J15" s="69">
        <f>+'Total Company Tonnage'!Q15</f>
        <v>5.8759528724762512E-3</v>
      </c>
      <c r="K15" s="69">
        <f>+'Total Company Tonnage'!R15</f>
        <v>6.7711325104160653E-3</v>
      </c>
      <c r="L15" s="69">
        <f>+'Total Company Tonnage'!S15</f>
        <v>0</v>
      </c>
      <c r="M15" s="69">
        <f t="shared" si="1"/>
        <v>0.34000377511833302</v>
      </c>
      <c r="Q15" s="43"/>
      <c r="R15" s="43"/>
      <c r="S15" s="43"/>
      <c r="T15" s="43"/>
      <c r="U15" s="43"/>
      <c r="V15" s="43"/>
      <c r="W15" s="43"/>
      <c r="X15" s="43"/>
      <c r="Y15" s="43"/>
      <c r="Z15" s="43"/>
    </row>
    <row r="16" spans="1:26" x14ac:dyDescent="0.2">
      <c r="A16" s="4" t="s">
        <v>39</v>
      </c>
      <c r="B16" s="62">
        <f t="shared" si="0"/>
        <v>1</v>
      </c>
      <c r="C16" s="69">
        <f>+'Total Company Tonnage'!J16</f>
        <v>0</v>
      </c>
      <c r="D16" s="69">
        <f>+'Total Company Tonnage'!K16</f>
        <v>0.16630851507493755</v>
      </c>
      <c r="E16" s="69">
        <f>+'Total Company Tonnage'!L16</f>
        <v>0.21478283447888233</v>
      </c>
      <c r="F16" s="69">
        <f>+'Total Company Tonnage'!M16</f>
        <v>1.3026052912695233E-2</v>
      </c>
      <c r="G16" s="69">
        <f>+'Total Company Tonnage'!O16</f>
        <v>1.5258769343830319E-2</v>
      </c>
      <c r="H16" s="69">
        <f>+'Total Company Tonnage'!N16</f>
        <v>0.17296384647547688</v>
      </c>
      <c r="I16" s="69">
        <f>+'Total Company Tonnage'!P16</f>
        <v>3.0705162821223625E-2</v>
      </c>
      <c r="J16" s="69">
        <f>+'Total Company Tonnage'!Q16</f>
        <v>5.5058108345298774E-3</v>
      </c>
      <c r="K16" s="69">
        <f>+'Total Company Tonnage'!R16</f>
        <v>7.9996303460304341E-3</v>
      </c>
      <c r="L16" s="69">
        <f>+'Total Company Tonnage'!S16</f>
        <v>0</v>
      </c>
      <c r="M16" s="69">
        <f t="shared" si="1"/>
        <v>0.37344937771239384</v>
      </c>
      <c r="Q16" s="43"/>
      <c r="R16" s="43"/>
      <c r="S16" s="43"/>
      <c r="T16" s="43"/>
      <c r="U16" s="43"/>
      <c r="V16" s="43"/>
      <c r="W16" s="43"/>
      <c r="X16" s="43"/>
      <c r="Y16" s="43"/>
      <c r="Z16" s="43"/>
    </row>
    <row r="17" spans="1:26" x14ac:dyDescent="0.2">
      <c r="A17" s="4" t="s">
        <v>40</v>
      </c>
      <c r="B17" s="62">
        <f t="shared" si="0"/>
        <v>1</v>
      </c>
      <c r="C17" s="69">
        <f>+'Total Company Tonnage'!J17</f>
        <v>0</v>
      </c>
      <c r="D17" s="69">
        <f>+'Total Company Tonnage'!K17</f>
        <v>0.11710250518497166</v>
      </c>
      <c r="E17" s="69">
        <f>+'Total Company Tonnage'!L17</f>
        <v>0.22391761164435278</v>
      </c>
      <c r="F17" s="69">
        <f>+'Total Company Tonnage'!M17</f>
        <v>1.5205148753565257E-2</v>
      </c>
      <c r="G17" s="69">
        <f>+'Total Company Tonnage'!O17</f>
        <v>1.6821665887201236E-2</v>
      </c>
      <c r="H17" s="69">
        <f>+'Total Company Tonnage'!N17</f>
        <v>0.14752312076917456</v>
      </c>
      <c r="I17" s="69">
        <f>+'Total Company Tonnage'!P17</f>
        <v>3.678179286465795E-2</v>
      </c>
      <c r="J17" s="69">
        <f>+'Total Company Tonnage'!Q17</f>
        <v>5.5386554894487454E-3</v>
      </c>
      <c r="K17" s="69">
        <f>+'Total Company Tonnage'!R17</f>
        <v>7.8045493560526726E-3</v>
      </c>
      <c r="L17" s="69">
        <f>+'Total Company Tonnage'!S17</f>
        <v>0</v>
      </c>
      <c r="M17" s="69">
        <f t="shared" si="1"/>
        <v>0.42930495005057501</v>
      </c>
      <c r="Q17" s="43"/>
      <c r="R17" s="43"/>
      <c r="S17" s="43"/>
      <c r="T17" s="43"/>
      <c r="U17" s="43"/>
      <c r="V17" s="43"/>
      <c r="W17" s="43"/>
      <c r="X17" s="43"/>
      <c r="Y17" s="43"/>
      <c r="Z17" s="43"/>
    </row>
    <row r="18" spans="1:26" x14ac:dyDescent="0.2">
      <c r="A18" s="4" t="s">
        <v>10</v>
      </c>
      <c r="B18" s="62">
        <f t="shared" si="0"/>
        <v>1</v>
      </c>
      <c r="C18" s="69">
        <f>+'Total Company Tonnage'!J18</f>
        <v>0</v>
      </c>
      <c r="D18" s="69">
        <f>+'Total Company Tonnage'!K18</f>
        <v>0.10524029681674824</v>
      </c>
      <c r="E18" s="69">
        <f>+'Total Company Tonnage'!L18</f>
        <v>0.2252052156278431</v>
      </c>
      <c r="F18" s="69">
        <f>+'Total Company Tonnage'!M18</f>
        <v>1.6647000816724215E-2</v>
      </c>
      <c r="G18" s="69">
        <f>+'Total Company Tonnage'!O18</f>
        <v>1.6184390554130974E-2</v>
      </c>
      <c r="H18" s="69">
        <f>+'Total Company Tonnage'!N18</f>
        <v>0.1602797146418346</v>
      </c>
      <c r="I18" s="69">
        <f>+'Total Company Tonnage'!P18</f>
        <v>3.8044145991436511E-2</v>
      </c>
      <c r="J18" s="69">
        <f>+'Total Company Tonnage'!Q18</f>
        <v>5.5644027460287886E-3</v>
      </c>
      <c r="K18" s="69">
        <f>+'Total Company Tonnage'!R18</f>
        <v>9.1452634820068743E-3</v>
      </c>
      <c r="L18" s="69">
        <f>+'Total Company Tonnage'!S18</f>
        <v>0</v>
      </c>
      <c r="M18" s="69">
        <f t="shared" si="1"/>
        <v>0.42368956932324686</v>
      </c>
      <c r="Q18" s="69"/>
      <c r="R18" s="69"/>
      <c r="S18" s="69"/>
      <c r="T18" s="69"/>
      <c r="U18" s="69"/>
      <c r="V18" s="69"/>
      <c r="W18" s="69"/>
      <c r="X18" s="69"/>
      <c r="Y18" s="69"/>
      <c r="Z18" s="69"/>
    </row>
    <row r="19" spans="1:26" x14ac:dyDescent="0.2">
      <c r="A19" s="4" t="s">
        <v>41</v>
      </c>
      <c r="B19" s="62">
        <f t="shared" si="0"/>
        <v>1</v>
      </c>
      <c r="C19" s="69">
        <f>+'Total Company Tonnage'!J19</f>
        <v>0</v>
      </c>
      <c r="D19" s="69">
        <f>+'Total Company Tonnage'!K19</f>
        <v>0.21862641577357253</v>
      </c>
      <c r="E19" s="69">
        <f>+'Total Company Tonnage'!L19</f>
        <v>0.21613304268747655</v>
      </c>
      <c r="F19" s="69">
        <f>+'Total Company Tonnage'!M19</f>
        <v>1.4171392452486624E-2</v>
      </c>
      <c r="G19" s="69">
        <f>+'Total Company Tonnage'!O19</f>
        <v>1.5695504163470504E-2</v>
      </c>
      <c r="H19" s="69">
        <f>+'Total Company Tonnage'!N19</f>
        <v>0.15443822711608637</v>
      </c>
      <c r="I19" s="69">
        <f>+'Total Company Tonnage'!P19</f>
        <v>3.4007448933781097E-2</v>
      </c>
      <c r="J19" s="69">
        <f>+'Total Company Tonnage'!Q19</f>
        <v>5.3175424588179036E-3</v>
      </c>
      <c r="K19" s="69">
        <f>+'Total Company Tonnage'!R19</f>
        <v>7.7622536425788514E-3</v>
      </c>
      <c r="L19" s="69">
        <f>+'Total Company Tonnage'!S19</f>
        <v>0</v>
      </c>
      <c r="M19" s="69">
        <f t="shared" si="1"/>
        <v>0.33384817277172962</v>
      </c>
      <c r="Q19" s="69"/>
      <c r="R19" s="69"/>
      <c r="S19" s="69"/>
      <c r="T19" s="69"/>
      <c r="U19" s="69"/>
      <c r="V19" s="69"/>
      <c r="W19" s="69"/>
      <c r="X19" s="69"/>
      <c r="Y19" s="69"/>
      <c r="Z19" s="69"/>
    </row>
    <row r="20" spans="1:26" x14ac:dyDescent="0.2">
      <c r="A20" s="4" t="s">
        <v>42</v>
      </c>
      <c r="B20" s="62">
        <f t="shared" si="0"/>
        <v>1</v>
      </c>
      <c r="C20" s="69">
        <f>+'Total Company Tonnage'!J20</f>
        <v>0</v>
      </c>
      <c r="D20" s="69">
        <f>+'Total Company Tonnage'!K20</f>
        <v>0.20522433247597813</v>
      </c>
      <c r="E20" s="69">
        <f>+'Total Company Tonnage'!L20</f>
        <v>0.22632395677790121</v>
      </c>
      <c r="F20" s="69">
        <f>+'Total Company Tonnage'!M20</f>
        <v>1.4443380720708672E-2</v>
      </c>
      <c r="G20" s="69">
        <f>+'Total Company Tonnage'!O20</f>
        <v>1.6656291072807382E-2</v>
      </c>
      <c r="H20" s="69">
        <f>+'Total Company Tonnage'!N20</f>
        <v>0.17672611162978089</v>
      </c>
      <c r="I20" s="69">
        <f>+'Total Company Tonnage'!P20</f>
        <v>3.7433615657661595E-2</v>
      </c>
      <c r="J20" s="69">
        <f>+'Total Company Tonnage'!Q20</f>
        <v>5.0885263081658231E-3</v>
      </c>
      <c r="K20" s="69">
        <f>+'Total Company Tonnage'!R20</f>
        <v>9.5655983564742718E-3</v>
      </c>
      <c r="L20" s="69">
        <f>+'Total Company Tonnage'!S20</f>
        <v>0</v>
      </c>
      <c r="M20" s="69">
        <f t="shared" si="1"/>
        <v>0.30853818700052205</v>
      </c>
      <c r="Q20" s="69"/>
      <c r="R20" s="69"/>
      <c r="S20" s="69"/>
      <c r="T20" s="69"/>
      <c r="U20" s="69"/>
      <c r="V20" s="69"/>
      <c r="W20" s="69"/>
      <c r="X20" s="69"/>
      <c r="Y20" s="69"/>
      <c r="Z20" s="69"/>
    </row>
    <row r="21" spans="1:26" x14ac:dyDescent="0.2">
      <c r="A21" s="4" t="s">
        <v>43</v>
      </c>
      <c r="B21" s="62">
        <f t="shared" si="0"/>
        <v>1</v>
      </c>
      <c r="C21" s="69">
        <f>+'Total Company Tonnage'!J21</f>
        <v>0</v>
      </c>
      <c r="D21" s="69">
        <f>+'Total Company Tonnage'!K21</f>
        <v>0.21553882447739972</v>
      </c>
      <c r="E21" s="69">
        <f>+'Total Company Tonnage'!L21</f>
        <v>0.22508742186571939</v>
      </c>
      <c r="F21" s="69">
        <f>+'Total Company Tonnage'!M21</f>
        <v>1.5060680395505462E-2</v>
      </c>
      <c r="G21" s="69">
        <f>+'Total Company Tonnage'!O21</f>
        <v>1.6171351373568919E-2</v>
      </c>
      <c r="H21" s="69">
        <f>+'Total Company Tonnage'!N21</f>
        <v>0.17559464258210447</v>
      </c>
      <c r="I21" s="69">
        <f>+'Total Company Tonnage'!P21</f>
        <v>4.4448801861988629E-2</v>
      </c>
      <c r="J21" s="69">
        <f>+'Total Company Tonnage'!Q21</f>
        <v>5.5305452586002458E-3</v>
      </c>
      <c r="K21" s="69">
        <f>+'Total Company Tonnage'!R21</f>
        <v>8.5755746333408163E-3</v>
      </c>
      <c r="L21" s="69">
        <f>+'Total Company Tonnage'!S21</f>
        <v>0</v>
      </c>
      <c r="M21" s="69">
        <f t="shared" si="1"/>
        <v>0.29399215755177244</v>
      </c>
      <c r="Q21" s="69"/>
      <c r="R21" s="69"/>
      <c r="S21" s="69"/>
      <c r="T21" s="69"/>
      <c r="U21" s="69"/>
      <c r="V21" s="69"/>
      <c r="W21" s="69"/>
      <c r="X21" s="69"/>
      <c r="Y21" s="69"/>
      <c r="Z21" s="69"/>
    </row>
    <row r="22" spans="1:26" x14ac:dyDescent="0.2">
      <c r="C22" s="4"/>
    </row>
    <row r="24" spans="1:26" x14ac:dyDescent="0.2">
      <c r="A24" s="12" t="s">
        <v>59</v>
      </c>
    </row>
    <row r="25" spans="1:26" x14ac:dyDescent="0.2">
      <c r="A25" s="4" t="s">
        <v>58</v>
      </c>
      <c r="B25" s="17">
        <f>+'Calculation of Revenue'!D11</f>
        <v>841.66</v>
      </c>
      <c r="C25" s="21">
        <f t="shared" ref="C25:M25" si="2">+$B25*C10</f>
        <v>0</v>
      </c>
      <c r="D25" s="21">
        <f t="shared" si="2"/>
        <v>230.0756312788134</v>
      </c>
      <c r="E25" s="21">
        <f t="shared" si="2"/>
        <v>163.62348121386387</v>
      </c>
      <c r="F25" s="21">
        <f t="shared" si="2"/>
        <v>11.92159722202569</v>
      </c>
      <c r="G25" s="21">
        <f t="shared" si="2"/>
        <v>11.630524458682727</v>
      </c>
      <c r="H25" s="21">
        <f t="shared" si="2"/>
        <v>141.21740494522444</v>
      </c>
      <c r="I25" s="21">
        <f t="shared" si="2"/>
        <v>33.266139221340829</v>
      </c>
      <c r="J25" s="21">
        <f t="shared" si="2"/>
        <v>4.7962693638902962</v>
      </c>
      <c r="K25" s="21">
        <f t="shared" si="2"/>
        <v>10.171825929458242</v>
      </c>
      <c r="L25" s="21">
        <f t="shared" si="2"/>
        <v>0</v>
      </c>
      <c r="M25" s="21">
        <f t="shared" si="2"/>
        <v>234.95712636670052</v>
      </c>
      <c r="O25" s="17"/>
      <c r="P25" s="17"/>
    </row>
    <row r="26" spans="1:26" x14ac:dyDescent="0.2">
      <c r="A26" s="4" t="s">
        <v>35</v>
      </c>
      <c r="B26" s="17">
        <f>+'Calculation of Revenue'!D12</f>
        <v>892.02</v>
      </c>
      <c r="C26" s="21">
        <f t="shared" ref="C26:M26" si="3">+$B26*C11</f>
        <v>0</v>
      </c>
      <c r="D26" s="21">
        <f t="shared" si="3"/>
        <v>177.15072385689376</v>
      </c>
      <c r="E26" s="21">
        <f t="shared" si="3"/>
        <v>187.00882664436398</v>
      </c>
      <c r="F26" s="21">
        <f t="shared" si="3"/>
        <v>12.534171719295696</v>
      </c>
      <c r="G26" s="21">
        <f t="shared" si="3"/>
        <v>16.70994115814953</v>
      </c>
      <c r="H26" s="21">
        <f t="shared" si="3"/>
        <v>125.5673633102454</v>
      </c>
      <c r="I26" s="21">
        <f t="shared" si="3"/>
        <v>31.973490704480096</v>
      </c>
      <c r="J26" s="21">
        <f t="shared" si="3"/>
        <v>4.6849775102014357</v>
      </c>
      <c r="K26" s="21">
        <f t="shared" si="3"/>
        <v>11.318221204757563</v>
      </c>
      <c r="L26" s="21">
        <f t="shared" si="3"/>
        <v>0</v>
      </c>
      <c r="M26" s="21">
        <f t="shared" si="3"/>
        <v>325.07228389161259</v>
      </c>
      <c r="O26" s="17"/>
      <c r="P26" s="17"/>
    </row>
    <row r="27" spans="1:26" x14ac:dyDescent="0.2">
      <c r="A27" s="4" t="s">
        <v>36</v>
      </c>
      <c r="B27" s="17">
        <f>+'Calculation of Revenue'!D13</f>
        <v>904.81</v>
      </c>
      <c r="C27" s="21">
        <f t="shared" ref="C27:M27" si="4">+$B27*C12</f>
        <v>0</v>
      </c>
      <c r="D27" s="21">
        <f t="shared" si="4"/>
        <v>239.05404784145591</v>
      </c>
      <c r="E27" s="21">
        <f t="shared" si="4"/>
        <v>151.87055992183966</v>
      </c>
      <c r="F27" s="21">
        <f t="shared" si="4"/>
        <v>12.150654817437951</v>
      </c>
      <c r="G27" s="21">
        <f t="shared" si="4"/>
        <v>13.687217356240188</v>
      </c>
      <c r="H27" s="21">
        <f t="shared" si="4"/>
        <v>131.19951746496841</v>
      </c>
      <c r="I27" s="21">
        <f t="shared" si="4"/>
        <v>27.650678519153338</v>
      </c>
      <c r="J27" s="21">
        <f t="shared" si="4"/>
        <v>4.2804408384028481</v>
      </c>
      <c r="K27" s="21">
        <f t="shared" si="4"/>
        <v>8.5661179747417879</v>
      </c>
      <c r="L27" s="21">
        <f t="shared" si="4"/>
        <v>0</v>
      </c>
      <c r="M27" s="21">
        <f t="shared" si="4"/>
        <v>316.35076526575989</v>
      </c>
      <c r="O27" s="17"/>
      <c r="P27" s="17"/>
      <c r="R27" s="17"/>
      <c r="T27" s="68"/>
    </row>
    <row r="28" spans="1:26" x14ac:dyDescent="0.2">
      <c r="A28" s="4" t="s">
        <v>37</v>
      </c>
      <c r="B28" s="17">
        <f>+'Calculation of Revenue'!D14</f>
        <v>967.13</v>
      </c>
      <c r="C28" s="21">
        <f t="shared" ref="C28:M28" si="5">+$B28*C13</f>
        <v>0</v>
      </c>
      <c r="D28" s="21">
        <f t="shared" si="5"/>
        <v>326.38765006428588</v>
      </c>
      <c r="E28" s="21">
        <f t="shared" si="5"/>
        <v>170.03438157031323</v>
      </c>
      <c r="F28" s="21">
        <f t="shared" si="5"/>
        <v>12.152947025434649</v>
      </c>
      <c r="G28" s="21">
        <f t="shared" si="5"/>
        <v>14.757448301879698</v>
      </c>
      <c r="H28" s="21">
        <f t="shared" si="5"/>
        <v>161.66845989010554</v>
      </c>
      <c r="I28" s="21">
        <f t="shared" si="5"/>
        <v>24.956196295883235</v>
      </c>
      <c r="J28" s="21">
        <f t="shared" si="5"/>
        <v>4.829356554327477</v>
      </c>
      <c r="K28" s="21">
        <f t="shared" si="5"/>
        <v>7.5671221264108661</v>
      </c>
      <c r="L28" s="21">
        <f t="shared" si="5"/>
        <v>0</v>
      </c>
      <c r="M28" s="21">
        <f t="shared" si="5"/>
        <v>244.77643817135962</v>
      </c>
      <c r="O28" s="17"/>
      <c r="P28" s="17"/>
      <c r="R28" s="17"/>
      <c r="T28" s="68"/>
    </row>
    <row r="29" spans="1:26" x14ac:dyDescent="0.2">
      <c r="A29" s="4" t="s">
        <v>45</v>
      </c>
      <c r="B29" s="17">
        <f>+'Calculation of Revenue'!D15</f>
        <v>1010.32</v>
      </c>
      <c r="C29" s="21">
        <f t="shared" ref="C29:M29" si="6">+$B29*C14</f>
        <v>0</v>
      </c>
      <c r="D29" s="21">
        <f t="shared" si="6"/>
        <v>286.27802477295529</v>
      </c>
      <c r="E29" s="21">
        <f t="shared" si="6"/>
        <v>168.91367933472102</v>
      </c>
      <c r="F29" s="21">
        <f t="shared" si="6"/>
        <v>11.637267526446561</v>
      </c>
      <c r="G29" s="21">
        <f t="shared" si="6"/>
        <v>15.792390237118749</v>
      </c>
      <c r="H29" s="21">
        <f t="shared" si="6"/>
        <v>195.35123972599365</v>
      </c>
      <c r="I29" s="21">
        <f t="shared" si="6"/>
        <v>29.018931205941492</v>
      </c>
      <c r="J29" s="21">
        <f t="shared" si="6"/>
        <v>5.337370892658436</v>
      </c>
      <c r="K29" s="21">
        <f t="shared" si="6"/>
        <v>7.6624700594153472</v>
      </c>
      <c r="L29" s="21">
        <f t="shared" si="6"/>
        <v>0</v>
      </c>
      <c r="M29" s="21">
        <f t="shared" si="6"/>
        <v>290.32862624474961</v>
      </c>
      <c r="O29" s="17"/>
      <c r="P29" s="17"/>
      <c r="R29" s="17"/>
      <c r="T29" s="68"/>
    </row>
    <row r="30" spans="1:26" x14ac:dyDescent="0.2">
      <c r="A30" s="4" t="s">
        <v>38</v>
      </c>
      <c r="B30" s="17">
        <f>+'Calculation of Revenue'!D16</f>
        <v>680.91</v>
      </c>
      <c r="C30" s="21">
        <f t="shared" ref="C30:M30" si="7">+$B30*C15</f>
        <v>0</v>
      </c>
      <c r="D30" s="21">
        <f t="shared" si="7"/>
        <v>160.4514269445622</v>
      </c>
      <c r="E30" s="21">
        <f t="shared" si="7"/>
        <v>134.51056691992983</v>
      </c>
      <c r="F30" s="21">
        <f t="shared" si="7"/>
        <v>9.2553941524545777</v>
      </c>
      <c r="G30" s="21">
        <f t="shared" si="7"/>
        <v>11.124013977971366</v>
      </c>
      <c r="H30" s="21">
        <f t="shared" si="7"/>
        <v>104.92059921537739</v>
      </c>
      <c r="I30" s="21">
        <f t="shared" si="7"/>
        <v>20.524501365815237</v>
      </c>
      <c r="J30" s="21">
        <f t="shared" si="7"/>
        <v>4.0009950703978037</v>
      </c>
      <c r="K30" s="21">
        <f t="shared" si="7"/>
        <v>4.6105318376674029</v>
      </c>
      <c r="L30" s="21">
        <f t="shared" si="7"/>
        <v>0</v>
      </c>
      <c r="M30" s="21">
        <f t="shared" si="7"/>
        <v>231.51197051582412</v>
      </c>
      <c r="O30" s="17"/>
      <c r="P30" s="17"/>
      <c r="R30" s="17"/>
      <c r="T30" s="68"/>
    </row>
    <row r="31" spans="1:26" x14ac:dyDescent="0.2">
      <c r="A31" s="4" t="s">
        <v>39</v>
      </c>
      <c r="B31" s="17">
        <f>+'Calculation of Revenue'!D17</f>
        <v>829.5</v>
      </c>
      <c r="C31" s="21">
        <f t="shared" ref="C31:M31" si="8">+$B31*C16</f>
        <v>0</v>
      </c>
      <c r="D31" s="21">
        <f t="shared" si="8"/>
        <v>137.9529132546607</v>
      </c>
      <c r="E31" s="21">
        <f t="shared" si="8"/>
        <v>178.16236120023288</v>
      </c>
      <c r="F31" s="21">
        <f t="shared" si="8"/>
        <v>10.805110891080696</v>
      </c>
      <c r="G31" s="21">
        <f t="shared" si="8"/>
        <v>12.65714917070725</v>
      </c>
      <c r="H31" s="21">
        <f t="shared" si="8"/>
        <v>143.47351065140808</v>
      </c>
      <c r="I31" s="21">
        <f t="shared" si="8"/>
        <v>25.469932560204995</v>
      </c>
      <c r="J31" s="21">
        <f t="shared" si="8"/>
        <v>4.5670700872425334</v>
      </c>
      <c r="K31" s="21">
        <f t="shared" si="8"/>
        <v>6.6356933720322449</v>
      </c>
      <c r="L31" s="21">
        <f t="shared" si="8"/>
        <v>0</v>
      </c>
      <c r="M31" s="21">
        <f t="shared" si="8"/>
        <v>309.77625881243068</v>
      </c>
      <c r="O31" s="17"/>
      <c r="P31" s="17"/>
      <c r="R31" s="17"/>
      <c r="T31" s="68"/>
    </row>
    <row r="32" spans="1:26" x14ac:dyDescent="0.2">
      <c r="A32" s="4" t="s">
        <v>40</v>
      </c>
      <c r="B32" s="17">
        <f>+'Calculation of Revenue'!D18</f>
        <v>866.17</v>
      </c>
      <c r="C32" s="21">
        <f t="shared" ref="C32:M32" si="9">+$B32*C17</f>
        <v>0</v>
      </c>
      <c r="D32" s="21">
        <f t="shared" si="9"/>
        <v>101.4306769160669</v>
      </c>
      <c r="E32" s="21">
        <f t="shared" si="9"/>
        <v>193.95071767798905</v>
      </c>
      <c r="F32" s="21">
        <f t="shared" si="9"/>
        <v>13.170243695875618</v>
      </c>
      <c r="G32" s="21">
        <f t="shared" si="9"/>
        <v>14.570422341517094</v>
      </c>
      <c r="H32" s="21">
        <f t="shared" si="9"/>
        <v>127.78010151663592</v>
      </c>
      <c r="I32" s="21">
        <f t="shared" si="9"/>
        <v>31.859285525580773</v>
      </c>
      <c r="J32" s="21">
        <f t="shared" si="9"/>
        <v>4.7974172252958196</v>
      </c>
      <c r="K32" s="21">
        <f t="shared" si="9"/>
        <v>6.7600665157321433</v>
      </c>
      <c r="L32" s="21">
        <f t="shared" si="9"/>
        <v>0</v>
      </c>
      <c r="M32" s="21">
        <f t="shared" si="9"/>
        <v>371.85106858530656</v>
      </c>
      <c r="O32" s="17"/>
      <c r="P32" s="17"/>
      <c r="R32" s="17"/>
      <c r="T32" s="68"/>
    </row>
    <row r="33" spans="1:20" x14ac:dyDescent="0.2">
      <c r="A33" s="4" t="s">
        <v>10</v>
      </c>
      <c r="B33" s="17">
        <f>+'Calculation of Revenue'!D19</f>
        <v>850.79</v>
      </c>
      <c r="C33" s="21">
        <f t="shared" ref="C33:M33" si="10">+$B33*C18</f>
        <v>0</v>
      </c>
      <c r="D33" s="21">
        <f t="shared" si="10"/>
        <v>89.537392128721223</v>
      </c>
      <c r="E33" s="21">
        <f t="shared" si="10"/>
        <v>191.60234540401262</v>
      </c>
      <c r="F33" s="21">
        <f t="shared" si="10"/>
        <v>14.163101824860794</v>
      </c>
      <c r="G33" s="21">
        <f t="shared" si="10"/>
        <v>13.76951763954909</v>
      </c>
      <c r="H33" s="21">
        <f t="shared" si="10"/>
        <v>136.36437842012646</v>
      </c>
      <c r="I33" s="21">
        <f t="shared" si="10"/>
        <v>32.367578968054268</v>
      </c>
      <c r="J33" s="21">
        <f t="shared" si="10"/>
        <v>4.7341382122938329</v>
      </c>
      <c r="K33" s="21">
        <f t="shared" si="10"/>
        <v>7.7806987178566285</v>
      </c>
      <c r="L33" s="21">
        <f t="shared" si="10"/>
        <v>0</v>
      </c>
      <c r="M33" s="21">
        <f t="shared" si="10"/>
        <v>360.47084868452521</v>
      </c>
      <c r="O33" s="17"/>
      <c r="P33" s="17"/>
      <c r="R33" s="17"/>
      <c r="T33" s="68"/>
    </row>
    <row r="34" spans="1:20" x14ac:dyDescent="0.2">
      <c r="A34" s="4" t="s">
        <v>41</v>
      </c>
      <c r="B34" s="17">
        <f>+'Calculation of Revenue'!D20</f>
        <v>790.15</v>
      </c>
      <c r="C34" s="21">
        <f t="shared" ref="C34:M34" si="11">+$B34*C19</f>
        <v>0</v>
      </c>
      <c r="D34" s="21">
        <f t="shared" si="11"/>
        <v>172.74766242348832</v>
      </c>
      <c r="E34" s="21">
        <f t="shared" si="11"/>
        <v>170.77752367950959</v>
      </c>
      <c r="F34" s="21">
        <f t="shared" si="11"/>
        <v>11.197525746332305</v>
      </c>
      <c r="G34" s="21">
        <f t="shared" si="11"/>
        <v>12.401802614766218</v>
      </c>
      <c r="H34" s="21">
        <f t="shared" si="11"/>
        <v>122.02936515577565</v>
      </c>
      <c r="I34" s="21">
        <f t="shared" si="11"/>
        <v>26.870985775027133</v>
      </c>
      <c r="J34" s="21">
        <f t="shared" si="11"/>
        <v>4.2016561738349667</v>
      </c>
      <c r="K34" s="21">
        <f t="shared" si="11"/>
        <v>6.1333447156836796</v>
      </c>
      <c r="L34" s="21">
        <f t="shared" si="11"/>
        <v>0</v>
      </c>
      <c r="M34" s="21">
        <f t="shared" si="11"/>
        <v>263.79013371558216</v>
      </c>
      <c r="O34" s="17"/>
      <c r="P34" s="17"/>
      <c r="R34" s="17"/>
      <c r="T34" s="68"/>
    </row>
    <row r="35" spans="1:20" x14ac:dyDescent="0.2">
      <c r="A35" s="4" t="s">
        <v>42</v>
      </c>
      <c r="B35" s="17">
        <f>+'Calculation of Revenue'!D21</f>
        <v>870.41</v>
      </c>
      <c r="C35" s="341">
        <f t="shared" ref="C35:M35" si="12">+$B35*C20</f>
        <v>0</v>
      </c>
      <c r="D35" s="341">
        <f t="shared" si="12"/>
        <v>178.62931123041611</v>
      </c>
      <c r="E35" s="341">
        <f t="shared" si="12"/>
        <v>196.99463521905298</v>
      </c>
      <c r="F35" s="341">
        <f t="shared" si="12"/>
        <v>12.571663013112035</v>
      </c>
      <c r="G35" s="341">
        <f t="shared" si="12"/>
        <v>14.497802312682273</v>
      </c>
      <c r="H35" s="341">
        <f t="shared" si="12"/>
        <v>153.82417482367757</v>
      </c>
      <c r="I35" s="341">
        <f t="shared" si="12"/>
        <v>32.582593404585225</v>
      </c>
      <c r="J35" s="341">
        <f t="shared" si="12"/>
        <v>4.4291041838906136</v>
      </c>
      <c r="K35" s="341">
        <f t="shared" si="12"/>
        <v>8.3259924654587714</v>
      </c>
      <c r="L35" s="341">
        <f t="shared" si="12"/>
        <v>0</v>
      </c>
      <c r="M35" s="341">
        <f t="shared" si="12"/>
        <v>268.55472334712437</v>
      </c>
      <c r="O35" s="17"/>
      <c r="P35" s="17"/>
      <c r="R35" s="17"/>
      <c r="T35" s="68"/>
    </row>
    <row r="36" spans="1:20" ht="15" x14ac:dyDescent="0.35">
      <c r="A36" s="4" t="s">
        <v>43</v>
      </c>
      <c r="B36" s="24">
        <f>+'Calculation of Revenue'!D22</f>
        <v>870.41</v>
      </c>
      <c r="C36" s="28">
        <f t="shared" ref="C36:M36" si="13">+$B36*C21</f>
        <v>0</v>
      </c>
      <c r="D36" s="28">
        <f t="shared" si="13"/>
        <v>187.60714821337348</v>
      </c>
      <c r="E36" s="28">
        <f t="shared" si="13"/>
        <v>195.91834286614082</v>
      </c>
      <c r="F36" s="28">
        <f t="shared" si="13"/>
        <v>13.108966823051908</v>
      </c>
      <c r="G36" s="28">
        <f t="shared" si="13"/>
        <v>14.075705949068123</v>
      </c>
      <c r="H36" s="28">
        <f t="shared" si="13"/>
        <v>152.83933284988956</v>
      </c>
      <c r="I36" s="28">
        <f t="shared" si="13"/>
        <v>38.688681628693523</v>
      </c>
      <c r="J36" s="28">
        <f t="shared" si="13"/>
        <v>4.8138418985382394</v>
      </c>
      <c r="K36" s="28">
        <f t="shared" si="13"/>
        <v>7.4642659166061796</v>
      </c>
      <c r="L36" s="28">
        <f t="shared" si="13"/>
        <v>0</v>
      </c>
      <c r="M36" s="28">
        <f t="shared" si="13"/>
        <v>255.89371385463824</v>
      </c>
      <c r="O36" s="17"/>
      <c r="P36" s="17"/>
      <c r="R36" s="17"/>
      <c r="T36" s="68"/>
    </row>
    <row r="37" spans="1:20" ht="15" x14ac:dyDescent="0.35">
      <c r="B37" s="31">
        <f>SUM(B25:B36)</f>
        <v>10374.279999999999</v>
      </c>
      <c r="C37" s="31">
        <f>SUM(C25:C36)</f>
        <v>0</v>
      </c>
      <c r="D37" s="31">
        <f t="shared" ref="D37:L37" si="14">SUM(D25:D36)</f>
        <v>2287.3026089256932</v>
      </c>
      <c r="E37" s="31">
        <f t="shared" si="14"/>
        <v>2103.3674216519694</v>
      </c>
      <c r="F37" s="31">
        <f t="shared" si="14"/>
        <v>144.66864445740848</v>
      </c>
      <c r="G37" s="31">
        <f t="shared" si="14"/>
        <v>165.67393551833229</v>
      </c>
      <c r="H37" s="31">
        <f t="shared" si="14"/>
        <v>1696.2354479694282</v>
      </c>
      <c r="I37" s="31">
        <f t="shared" si="14"/>
        <v>355.22899517476014</v>
      </c>
      <c r="J37" s="31">
        <f t="shared" si="14"/>
        <v>55.472638010974308</v>
      </c>
      <c r="K37" s="31">
        <f t="shared" si="14"/>
        <v>92.996350835820849</v>
      </c>
      <c r="L37" s="31">
        <f t="shared" si="14"/>
        <v>0</v>
      </c>
      <c r="M37" s="31">
        <f>SUM(M25:M36)</f>
        <v>3473.333957455613</v>
      </c>
    </row>
    <row r="38" spans="1:20" x14ac:dyDescent="0.2">
      <c r="B38" s="17"/>
      <c r="C38" s="17"/>
      <c r="D38" s="17"/>
      <c r="E38" s="17"/>
      <c r="F38" s="17"/>
      <c r="G38" s="17"/>
      <c r="H38" s="17"/>
      <c r="I38" s="17"/>
      <c r="J38" s="17"/>
      <c r="K38" s="17"/>
      <c r="L38" s="17"/>
      <c r="M38" s="17"/>
      <c r="N38" s="17"/>
    </row>
    <row r="40" spans="1:20" x14ac:dyDescent="0.2">
      <c r="A40" s="12" t="s">
        <v>57</v>
      </c>
    </row>
    <row r="41" spans="1:20" x14ac:dyDescent="0.2">
      <c r="A41" s="4" t="s">
        <v>58</v>
      </c>
      <c r="C41" s="38">
        <f>+'Commodity Prices - JMK'!B9</f>
        <v>0</v>
      </c>
      <c r="D41" s="38">
        <f>+'Commodity Prices - JMK'!C9</f>
        <v>95.78</v>
      </c>
      <c r="E41" s="38">
        <f>+'Commodity Prices - JMK'!D9</f>
        <v>154.36000000000001</v>
      </c>
      <c r="F41" s="38">
        <f>+'Commodity Prices - JMK'!E9</f>
        <v>1510.66</v>
      </c>
      <c r="G41" s="38">
        <f>+'Commodity Prices - JMK'!G9</f>
        <v>219.49</v>
      </c>
      <c r="H41" s="38">
        <f>+'Commodity Prices - JMK'!F9</f>
        <v>-23.33</v>
      </c>
      <c r="I41" s="38">
        <f>+'Commodity Prices - JMK'!H9</f>
        <v>260</v>
      </c>
      <c r="J41" s="38">
        <f>+'Commodity Prices - JMK'!I9</f>
        <v>820</v>
      </c>
      <c r="K41" s="38">
        <f>+'Commodity Prices - JMK'!J9</f>
        <v>220</v>
      </c>
      <c r="L41" s="38">
        <f>+'Commodity Prices - JMK'!K9</f>
        <v>-187.5</v>
      </c>
    </row>
    <row r="42" spans="1:20" x14ac:dyDescent="0.2">
      <c r="A42" s="4" t="s">
        <v>35</v>
      </c>
      <c r="C42" s="38">
        <f>+'Commodity Prices - JMK'!B10</f>
        <v>0</v>
      </c>
      <c r="D42" s="38">
        <f>+'Commodity Prices - JMK'!C10</f>
        <v>93.96</v>
      </c>
      <c r="E42" s="38">
        <f>+'Commodity Prices - JMK'!D10</f>
        <v>127.98</v>
      </c>
      <c r="F42" s="38">
        <f>+'Commodity Prices - JMK'!E10</f>
        <v>1599.53</v>
      </c>
      <c r="G42" s="38">
        <f>+'Commodity Prices - JMK'!G10</f>
        <v>225</v>
      </c>
      <c r="H42" s="38">
        <f>+'Commodity Prices - JMK'!F10</f>
        <v>-24.63</v>
      </c>
      <c r="I42" s="38">
        <f>+'Commodity Prices - JMK'!H10</f>
        <v>250</v>
      </c>
      <c r="J42" s="38">
        <f>+'Commodity Prices - JMK'!I10</f>
        <v>880</v>
      </c>
      <c r="K42" s="38">
        <f>+'Commodity Prices - JMK'!J10</f>
        <v>230</v>
      </c>
      <c r="L42" s="38">
        <f>+'Commodity Prices - JMK'!K10</f>
        <v>-187.5</v>
      </c>
    </row>
    <row r="43" spans="1:20" x14ac:dyDescent="0.2">
      <c r="A43" s="4" t="s">
        <v>36</v>
      </c>
      <c r="C43" s="38">
        <f>+'Commodity Prices - JMK'!B11</f>
        <v>0</v>
      </c>
      <c r="D43" s="38">
        <f>+'Commodity Prices - JMK'!C11</f>
        <v>76.39</v>
      </c>
      <c r="E43" s="38">
        <f>+'Commodity Prices - JMK'!D11</f>
        <v>136.16999999999999</v>
      </c>
      <c r="F43" s="38">
        <f>+'Commodity Prices - JMK'!E11</f>
        <v>1619.98</v>
      </c>
      <c r="G43" s="38">
        <f>+'Commodity Prices - JMK'!G11</f>
        <v>199.09</v>
      </c>
      <c r="H43" s="38">
        <f>+'Commodity Prices - JMK'!F11</f>
        <v>-21.95</v>
      </c>
      <c r="I43" s="38">
        <f>+'Commodity Prices - JMK'!H11</f>
        <v>240</v>
      </c>
      <c r="J43" s="38">
        <f>+'Commodity Prices - JMK'!I11</f>
        <v>1000</v>
      </c>
      <c r="K43" s="38">
        <f>+'Commodity Prices - JMK'!J11</f>
        <v>220</v>
      </c>
      <c r="L43" s="38">
        <f>+'Commodity Prices - JMK'!K11</f>
        <v>-187.5</v>
      </c>
      <c r="M43" s="66"/>
    </row>
    <row r="44" spans="1:20" x14ac:dyDescent="0.2">
      <c r="A44" s="4" t="s">
        <v>37</v>
      </c>
      <c r="C44" s="38">
        <f>+'Commodity Prices - JMK'!B12</f>
        <v>0</v>
      </c>
      <c r="D44" s="38">
        <f>+'Commodity Prices - JMK'!C12</f>
        <v>68.27</v>
      </c>
      <c r="E44" s="38">
        <f>+'Commodity Prices - JMK'!D12</f>
        <v>116.06</v>
      </c>
      <c r="F44" s="38">
        <f>+'Commodity Prices - JMK'!E12</f>
        <v>1619.23</v>
      </c>
      <c r="G44" s="38">
        <f>+'Commodity Prices - JMK'!G12</f>
        <v>188.78</v>
      </c>
      <c r="H44" s="38">
        <f>+'Commodity Prices - JMK'!F12</f>
        <v>-22.52</v>
      </c>
      <c r="I44" s="38">
        <f>+'Commodity Prices - JMK'!H12</f>
        <v>210</v>
      </c>
      <c r="J44" s="38">
        <f>+'Commodity Prices - JMK'!I12</f>
        <v>1090.8900000000001</v>
      </c>
      <c r="K44" s="38">
        <f>+'Commodity Prices - JMK'!J12</f>
        <v>200</v>
      </c>
      <c r="L44" s="38">
        <f>+'Commodity Prices - JMK'!K12</f>
        <v>-187.5</v>
      </c>
      <c r="M44" s="22"/>
    </row>
    <row r="45" spans="1:20" x14ac:dyDescent="0.2">
      <c r="A45" s="4" t="s">
        <v>45</v>
      </c>
      <c r="C45" s="38">
        <f>+'Commodity Prices - JMK'!B13</f>
        <v>0</v>
      </c>
      <c r="D45" s="38">
        <f>+'Commodity Prices - JMK'!C13</f>
        <v>62.07</v>
      </c>
      <c r="E45" s="38">
        <f>+'Commodity Prices - JMK'!D13</f>
        <v>113.15</v>
      </c>
      <c r="F45" s="38">
        <f>+'Commodity Prices - JMK'!E13</f>
        <v>1939.23</v>
      </c>
      <c r="G45" s="38">
        <f>+'Commodity Prices - JMK'!G13</f>
        <v>192.69</v>
      </c>
      <c r="H45" s="38">
        <f>+'Commodity Prices - JMK'!F13</f>
        <v>-16.77</v>
      </c>
      <c r="I45" s="38">
        <f>+'Commodity Prices - JMK'!H13</f>
        <v>180</v>
      </c>
      <c r="J45" s="38">
        <f>+'Commodity Prices - JMK'!I13</f>
        <v>1400</v>
      </c>
      <c r="K45" s="38">
        <f>+'Commodity Prices - JMK'!J13</f>
        <v>160</v>
      </c>
      <c r="L45" s="38">
        <f>+'Commodity Prices - JMK'!K13</f>
        <v>-187.5</v>
      </c>
      <c r="M45" s="22"/>
    </row>
    <row r="46" spans="1:20" x14ac:dyDescent="0.2">
      <c r="A46" s="4" t="s">
        <v>38</v>
      </c>
      <c r="C46" s="38">
        <f>+'Commodity Prices - JMK'!B14</f>
        <v>0</v>
      </c>
      <c r="D46" s="38">
        <f>+'Commodity Prices - JMK'!C14</f>
        <v>67.36</v>
      </c>
      <c r="E46" s="38">
        <f>+'Commodity Prices - JMK'!D14</f>
        <v>122.19</v>
      </c>
      <c r="F46" s="38">
        <f>+'Commodity Prices - JMK'!E14</f>
        <v>2279.36</v>
      </c>
      <c r="G46" s="38">
        <f>+'Commodity Prices - JMK'!G14</f>
        <v>204.3</v>
      </c>
      <c r="H46" s="38">
        <f>+'Commodity Prices - JMK'!F14</f>
        <v>-16.16</v>
      </c>
      <c r="I46" s="38">
        <f>+'Commodity Prices - JMK'!H14</f>
        <v>180</v>
      </c>
      <c r="J46" s="38">
        <f>+'Commodity Prices - JMK'!I14</f>
        <v>1740</v>
      </c>
      <c r="K46" s="38">
        <f>+'Commodity Prices - JMK'!J14</f>
        <v>180</v>
      </c>
      <c r="L46" s="38">
        <f>+'Commodity Prices - JMK'!K14</f>
        <v>-187.5</v>
      </c>
      <c r="M46" s="18"/>
    </row>
    <row r="47" spans="1:20" x14ac:dyDescent="0.2">
      <c r="A47" s="4" t="s">
        <v>39</v>
      </c>
      <c r="C47" s="38">
        <f>+'Commodity Prices - JMK'!B15</f>
        <v>0</v>
      </c>
      <c r="D47" s="38">
        <f>+'Commodity Prices - JMK'!C15</f>
        <v>81.44</v>
      </c>
      <c r="E47" s="38">
        <f>+'Commodity Prices - JMK'!D15</f>
        <v>127.23</v>
      </c>
      <c r="F47" s="38">
        <f>+'Commodity Prices - JMK'!E15</f>
        <v>2284.02</v>
      </c>
      <c r="G47" s="38">
        <f>+'Commodity Prices - JMK'!G15</f>
        <v>220.07</v>
      </c>
      <c r="H47" s="38">
        <f>+'Commodity Prices - JMK'!F15</f>
        <v>-21.65</v>
      </c>
      <c r="I47" s="38">
        <f>+'Commodity Prices - JMK'!H15</f>
        <v>200.6</v>
      </c>
      <c r="J47" s="38">
        <f>+'Commodity Prices - JMK'!I15</f>
        <v>1940</v>
      </c>
      <c r="K47" s="38">
        <f>+'Commodity Prices - JMK'!J15</f>
        <v>220</v>
      </c>
      <c r="L47" s="38">
        <f>+'Commodity Prices - JMK'!K15</f>
        <v>-187.5</v>
      </c>
      <c r="M47" s="18"/>
    </row>
    <row r="48" spans="1:20" x14ac:dyDescent="0.2">
      <c r="A48" s="4" t="s">
        <v>40</v>
      </c>
      <c r="C48" s="38">
        <f>+'Commodity Prices - JMK'!B16</f>
        <v>0</v>
      </c>
      <c r="D48" s="38">
        <f>+'Commodity Prices - JMK'!C16</f>
        <v>79.47</v>
      </c>
      <c r="E48" s="38">
        <f>+'Commodity Prices - JMK'!D16</f>
        <v>118.44</v>
      </c>
      <c r="F48" s="38">
        <f>+'Commodity Prices - JMK'!E16</f>
        <v>1955.58</v>
      </c>
      <c r="G48" s="38">
        <f>+'Commodity Prices - JMK'!G16</f>
        <v>209.6</v>
      </c>
      <c r="H48" s="38">
        <f>+'Commodity Prices - JMK'!F16</f>
        <v>-21.99</v>
      </c>
      <c r="I48" s="38">
        <f>+'Commodity Prices - JMK'!H16</f>
        <v>210</v>
      </c>
      <c r="J48" s="38">
        <f>+'Commodity Prices - JMK'!I16</f>
        <v>2120</v>
      </c>
      <c r="K48" s="38">
        <f>+'Commodity Prices - JMK'!J16</f>
        <v>220</v>
      </c>
      <c r="L48" s="38">
        <f>+'Commodity Prices - JMK'!K16</f>
        <v>-187.5</v>
      </c>
      <c r="M48" s="18"/>
    </row>
    <row r="49" spans="1:13" x14ac:dyDescent="0.2">
      <c r="A49" s="4" t="s">
        <v>10</v>
      </c>
      <c r="C49" s="38">
        <f>+'Commodity Prices - JMK'!B17</f>
        <v>0</v>
      </c>
      <c r="D49" s="38">
        <f>+'Commodity Prices - JMK'!C17</f>
        <v>74</v>
      </c>
      <c r="E49" s="38">
        <f>+'Commodity Prices - JMK'!D17</f>
        <v>123.43</v>
      </c>
      <c r="F49" s="38">
        <f>+'Commodity Prices - JMK'!E17</f>
        <v>1996.35</v>
      </c>
      <c r="G49" s="38">
        <f>+'Commodity Prices - JMK'!G17</f>
        <v>193.01</v>
      </c>
      <c r="H49" s="38">
        <f>+'Commodity Prices - JMK'!F17</f>
        <v>-13.61</v>
      </c>
      <c r="I49" s="38">
        <f>+'Commodity Prices - JMK'!H17</f>
        <v>210</v>
      </c>
      <c r="J49" s="38">
        <f>+'Commodity Prices - JMK'!I17</f>
        <v>1700</v>
      </c>
      <c r="K49" s="38">
        <f>+'Commodity Prices - JMK'!J17</f>
        <v>100</v>
      </c>
      <c r="L49" s="38">
        <f>+'Commodity Prices - JMK'!K17</f>
        <v>-187.5</v>
      </c>
      <c r="M49" s="18"/>
    </row>
    <row r="50" spans="1:13" x14ac:dyDescent="0.2">
      <c r="A50" s="4" t="s">
        <v>41</v>
      </c>
      <c r="C50" s="38">
        <f>+'Commodity Prices - JMK'!B18</f>
        <v>0</v>
      </c>
      <c r="D50" s="38">
        <f>+'Commodity Prices - JMK'!C18</f>
        <v>76.56</v>
      </c>
      <c r="E50" s="38">
        <f>+'Commodity Prices - JMK'!D18</f>
        <v>124.87</v>
      </c>
      <c r="F50" s="38">
        <f>+'Commodity Prices - JMK'!E18</f>
        <v>2440</v>
      </c>
      <c r="G50" s="38">
        <f>+'Commodity Prices - JMK'!G18</f>
        <v>191.9</v>
      </c>
      <c r="H50" s="38">
        <f>+'Commodity Prices - JMK'!F18</f>
        <v>-13.92</v>
      </c>
      <c r="I50" s="38">
        <f>+'Commodity Prices - JMK'!H18</f>
        <v>210</v>
      </c>
      <c r="J50" s="38">
        <f>+'Commodity Prices - JMK'!I18</f>
        <v>1336.65</v>
      </c>
      <c r="K50" s="38">
        <f>+'Commodity Prices - JMK'!J18</f>
        <v>85.36</v>
      </c>
      <c r="L50" s="38">
        <f>+'Commodity Prices - JMK'!K18</f>
        <v>-187.5</v>
      </c>
      <c r="M50" s="18"/>
    </row>
    <row r="51" spans="1:13" x14ac:dyDescent="0.2">
      <c r="A51" s="4" t="s">
        <v>42</v>
      </c>
      <c r="C51" s="38">
        <f>+'Commodity Prices - JMK'!B19</f>
        <v>0</v>
      </c>
      <c r="D51" s="38">
        <f>+'Commodity Prices - JMK'!C19</f>
        <v>77.45</v>
      </c>
      <c r="E51" s="38">
        <f>+'Commodity Prices - JMK'!D19</f>
        <v>118.49</v>
      </c>
      <c r="F51" s="38">
        <f>+'Commodity Prices - JMK'!E19</f>
        <v>2066.59</v>
      </c>
      <c r="G51" s="38">
        <f>+'Commodity Prices - JMK'!G19</f>
        <v>215.2</v>
      </c>
      <c r="H51" s="38">
        <f>+'Commodity Prices - JMK'!F19</f>
        <v>-15.79</v>
      </c>
      <c r="I51" s="38">
        <f>+'Commodity Prices - JMK'!H19</f>
        <v>210</v>
      </c>
      <c r="J51" s="38">
        <f>+'Commodity Prices - JMK'!I19</f>
        <v>1100</v>
      </c>
      <c r="K51" s="38">
        <f>+'Commodity Prices - JMK'!J19</f>
        <v>90</v>
      </c>
      <c r="L51" s="38">
        <f>+'Commodity Prices - JMK'!K19</f>
        <v>-187.5</v>
      </c>
    </row>
    <row r="52" spans="1:13" x14ac:dyDescent="0.2">
      <c r="A52" s="4" t="s">
        <v>43</v>
      </c>
      <c r="C52" s="38">
        <f>+'Commodity Prices - JMK'!B20</f>
        <v>0</v>
      </c>
      <c r="D52" s="38">
        <f>+'Commodity Prices - JMK'!C20</f>
        <v>77.84</v>
      </c>
      <c r="E52" s="38">
        <f>+'Commodity Prices - JMK'!D20</f>
        <v>113.03</v>
      </c>
      <c r="F52" s="38">
        <f>+'Commodity Prices - JMK'!E20</f>
        <v>2114.31</v>
      </c>
      <c r="G52" s="38">
        <f>+'Commodity Prices - JMK'!G20</f>
        <v>186.3</v>
      </c>
      <c r="H52" s="38">
        <f>+'Commodity Prices - JMK'!F20</f>
        <v>-11.25</v>
      </c>
      <c r="I52" s="38">
        <f>+'Commodity Prices - JMK'!H20</f>
        <v>50</v>
      </c>
      <c r="J52" s="38">
        <f>+'Commodity Prices - JMK'!I20</f>
        <v>880</v>
      </c>
      <c r="K52" s="38">
        <f>+'Commodity Prices - JMK'!J20</f>
        <v>80</v>
      </c>
      <c r="L52" s="38">
        <f>+'Commodity Prices - JMK'!K20</f>
        <v>-187.5</v>
      </c>
    </row>
    <row r="55" spans="1:13" x14ac:dyDescent="0.2">
      <c r="A55" s="12" t="s">
        <v>60</v>
      </c>
    </row>
    <row r="56" spans="1:13" x14ac:dyDescent="0.2">
      <c r="A56" s="4" t="s">
        <v>58</v>
      </c>
      <c r="B56" s="20">
        <f t="shared" ref="B56:B67" si="15">SUM(C56:L56)</f>
        <v>79381.165119965764</v>
      </c>
      <c r="C56" s="20">
        <f t="shared" ref="C56:L56" si="16">+C41*C25</f>
        <v>0</v>
      </c>
      <c r="D56" s="20">
        <f t="shared" si="16"/>
        <v>22036.643963884748</v>
      </c>
      <c r="E56" s="20">
        <f t="shared" si="16"/>
        <v>25256.920560172028</v>
      </c>
      <c r="F56" s="20">
        <f t="shared" si="16"/>
        <v>18009.480059425332</v>
      </c>
      <c r="G56" s="20">
        <f t="shared" si="16"/>
        <v>2552.7838134362719</v>
      </c>
      <c r="H56" s="20">
        <f t="shared" si="16"/>
        <v>-3294.6020573720862</v>
      </c>
      <c r="I56" s="20">
        <f t="shared" si="16"/>
        <v>8649.1961975486156</v>
      </c>
      <c r="J56" s="20">
        <f t="shared" si="16"/>
        <v>3932.9408783900431</v>
      </c>
      <c r="K56" s="20">
        <f t="shared" si="16"/>
        <v>2237.8017044808134</v>
      </c>
      <c r="L56" s="20">
        <f t="shared" si="16"/>
        <v>0</v>
      </c>
    </row>
    <row r="57" spans="1:13" x14ac:dyDescent="0.2">
      <c r="A57" s="4" t="s">
        <v>35</v>
      </c>
      <c r="B57" s="20">
        <f t="shared" si="15"/>
        <v>76013.611702148308</v>
      </c>
      <c r="C57" s="20">
        <f t="shared" ref="C57:L57" si="17">+C42*C26</f>
        <v>0</v>
      </c>
      <c r="D57" s="20">
        <f t="shared" si="17"/>
        <v>16645.082013593736</v>
      </c>
      <c r="E57" s="20">
        <f t="shared" si="17"/>
        <v>23933.389633945702</v>
      </c>
      <c r="F57" s="20">
        <f t="shared" si="17"/>
        <v>20048.783690165044</v>
      </c>
      <c r="G57" s="20">
        <f t="shared" si="17"/>
        <v>3759.7367605836444</v>
      </c>
      <c r="H57" s="20">
        <f t="shared" si="17"/>
        <v>-3092.7241583313439</v>
      </c>
      <c r="I57" s="20">
        <f t="shared" si="17"/>
        <v>7993.3726761200242</v>
      </c>
      <c r="J57" s="20">
        <f t="shared" si="17"/>
        <v>4122.7802089772631</v>
      </c>
      <c r="K57" s="20">
        <f t="shared" si="17"/>
        <v>2603.1908770942396</v>
      </c>
      <c r="L57" s="20">
        <f t="shared" si="17"/>
        <v>0</v>
      </c>
    </row>
    <row r="58" spans="1:13" x14ac:dyDescent="0.2">
      <c r="A58" s="4" t="s">
        <v>36</v>
      </c>
      <c r="B58" s="20">
        <f t="shared" si="15"/>
        <v>71271.678982859492</v>
      </c>
      <c r="C58" s="20">
        <f t="shared" ref="C58:L58" si="18">+C43*C27</f>
        <v>0</v>
      </c>
      <c r="D58" s="20">
        <f t="shared" si="18"/>
        <v>18261.338714608817</v>
      </c>
      <c r="E58" s="20">
        <f t="shared" si="18"/>
        <v>20680.214144556903</v>
      </c>
      <c r="F58" s="20">
        <f t="shared" si="18"/>
        <v>19683.817791153131</v>
      </c>
      <c r="G58" s="20">
        <f t="shared" si="18"/>
        <v>2724.9881034538589</v>
      </c>
      <c r="H58" s="20">
        <f t="shared" si="18"/>
        <v>-2879.8294083560563</v>
      </c>
      <c r="I58" s="20">
        <f t="shared" si="18"/>
        <v>6636.1628445968008</v>
      </c>
      <c r="J58" s="20">
        <f t="shared" si="18"/>
        <v>4280.4408384028484</v>
      </c>
      <c r="K58" s="20">
        <f t="shared" si="18"/>
        <v>1884.5459544431933</v>
      </c>
      <c r="L58" s="20">
        <f t="shared" si="18"/>
        <v>0</v>
      </c>
    </row>
    <row r="59" spans="1:13" x14ac:dyDescent="0.2">
      <c r="A59" s="4" t="s">
        <v>37</v>
      </c>
      <c r="B59" s="20">
        <f t="shared" si="15"/>
        <v>72862.75139960552</v>
      </c>
      <c r="C59" s="20">
        <f t="shared" ref="C59:L59" si="19">+C44*C28</f>
        <v>0</v>
      </c>
      <c r="D59" s="20">
        <f t="shared" si="19"/>
        <v>22282.484869888794</v>
      </c>
      <c r="E59" s="20">
        <f t="shared" si="19"/>
        <v>19734.190325050553</v>
      </c>
      <c r="F59" s="20">
        <f t="shared" si="19"/>
        <v>19678.416411994549</v>
      </c>
      <c r="G59" s="20">
        <f t="shared" si="19"/>
        <v>2785.9110904288495</v>
      </c>
      <c r="H59" s="20">
        <f t="shared" si="19"/>
        <v>-3640.7737167251767</v>
      </c>
      <c r="I59" s="20">
        <f t="shared" si="19"/>
        <v>5240.8012221354793</v>
      </c>
      <c r="J59" s="20">
        <f t="shared" si="19"/>
        <v>5268.2967715503019</v>
      </c>
      <c r="K59" s="20">
        <f t="shared" si="19"/>
        <v>1513.4244252821732</v>
      </c>
      <c r="L59" s="20">
        <f t="shared" si="19"/>
        <v>0</v>
      </c>
    </row>
    <row r="60" spans="1:13" x14ac:dyDescent="0.2">
      <c r="A60" s="4" t="s">
        <v>45</v>
      </c>
      <c r="B60" s="20">
        <f t="shared" si="15"/>
        <v>73137.915580575209</v>
      </c>
      <c r="C60" s="20">
        <f t="shared" ref="C60:L60" si="20">+C45*C29</f>
        <v>0</v>
      </c>
      <c r="D60" s="20">
        <f t="shared" si="20"/>
        <v>17769.276997657336</v>
      </c>
      <c r="E60" s="20">
        <f t="shared" si="20"/>
        <v>19112.582816723683</v>
      </c>
      <c r="F60" s="20">
        <f t="shared" si="20"/>
        <v>22567.338305310965</v>
      </c>
      <c r="G60" s="20">
        <f t="shared" si="20"/>
        <v>3043.0356747904116</v>
      </c>
      <c r="H60" s="20">
        <f t="shared" si="20"/>
        <v>-3276.0402902049136</v>
      </c>
      <c r="I60" s="20">
        <f t="shared" si="20"/>
        <v>5223.4076170694689</v>
      </c>
      <c r="J60" s="20">
        <f t="shared" si="20"/>
        <v>7472.3192497218106</v>
      </c>
      <c r="K60" s="20">
        <f t="shared" si="20"/>
        <v>1225.9952095064555</v>
      </c>
      <c r="L60" s="20">
        <f t="shared" si="20"/>
        <v>0</v>
      </c>
    </row>
    <row r="61" spans="1:13" x14ac:dyDescent="0.2">
      <c r="A61" s="4" t="s">
        <v>38</v>
      </c>
      <c r="B61" s="20">
        <f t="shared" si="15"/>
        <v>60403.386077768911</v>
      </c>
      <c r="C61" s="20">
        <f t="shared" ref="C61:L61" si="21">+C46*C30</f>
        <v>0</v>
      </c>
      <c r="D61" s="20">
        <f t="shared" si="21"/>
        <v>10808.00811898571</v>
      </c>
      <c r="E61" s="20">
        <f t="shared" si="21"/>
        <v>16435.846171946225</v>
      </c>
      <c r="F61" s="20">
        <f t="shared" si="21"/>
        <v>21096.375215338867</v>
      </c>
      <c r="G61" s="20">
        <f t="shared" si="21"/>
        <v>2272.6360556995501</v>
      </c>
      <c r="H61" s="20">
        <f t="shared" si="21"/>
        <v>-1695.5168833204987</v>
      </c>
      <c r="I61" s="20">
        <f t="shared" si="21"/>
        <v>3694.4102458467428</v>
      </c>
      <c r="J61" s="20">
        <f t="shared" si="21"/>
        <v>6961.7314224921784</v>
      </c>
      <c r="K61" s="20">
        <f t="shared" si="21"/>
        <v>829.89573078013257</v>
      </c>
      <c r="L61" s="20">
        <f t="shared" si="21"/>
        <v>0</v>
      </c>
    </row>
    <row r="62" spans="1:13" x14ac:dyDescent="0.2">
      <c r="A62" s="4" t="s">
        <v>39</v>
      </c>
      <c r="B62" s="20">
        <f t="shared" si="15"/>
        <v>73690.066143480624</v>
      </c>
      <c r="C62" s="20">
        <f t="shared" ref="C62:L62" si="22">+C47*C31</f>
        <v>0</v>
      </c>
      <c r="D62" s="20">
        <f t="shared" si="22"/>
        <v>11234.885255459567</v>
      </c>
      <c r="E62" s="20">
        <f t="shared" si="22"/>
        <v>22667.59721550563</v>
      </c>
      <c r="F62" s="20">
        <f t="shared" si="22"/>
        <v>24679.089377446133</v>
      </c>
      <c r="G62" s="20">
        <f t="shared" si="22"/>
        <v>2785.4588179975444</v>
      </c>
      <c r="H62" s="20">
        <f t="shared" si="22"/>
        <v>-3106.2015056029845</v>
      </c>
      <c r="I62" s="20">
        <f t="shared" si="22"/>
        <v>5109.268471577122</v>
      </c>
      <c r="J62" s="20">
        <f t="shared" si="22"/>
        <v>8860.1159692505153</v>
      </c>
      <c r="K62" s="20">
        <f t="shared" si="22"/>
        <v>1459.8525418470938</v>
      </c>
      <c r="L62" s="20">
        <f t="shared" si="22"/>
        <v>0</v>
      </c>
    </row>
    <row r="63" spans="1:13" x14ac:dyDescent="0.2">
      <c r="A63" s="4" t="s">
        <v>40</v>
      </c>
      <c r="B63" s="20">
        <f t="shared" si="15"/>
        <v>75379.949264972631</v>
      </c>
      <c r="C63" s="20">
        <f t="shared" ref="C63:L63" si="23">+C48*C32</f>
        <v>0</v>
      </c>
      <c r="D63" s="20">
        <f t="shared" si="23"/>
        <v>8060.6958945198367</v>
      </c>
      <c r="E63" s="20">
        <f t="shared" si="23"/>
        <v>22971.523001781021</v>
      </c>
      <c r="F63" s="20">
        <f t="shared" si="23"/>
        <v>25755.465166780439</v>
      </c>
      <c r="G63" s="20">
        <f t="shared" si="23"/>
        <v>3053.9605227819829</v>
      </c>
      <c r="H63" s="20">
        <f t="shared" si="23"/>
        <v>-2809.8844323508238</v>
      </c>
      <c r="I63" s="20">
        <f t="shared" si="23"/>
        <v>6690.4499603719623</v>
      </c>
      <c r="J63" s="20">
        <f t="shared" si="23"/>
        <v>10170.524517627138</v>
      </c>
      <c r="K63" s="20">
        <f t="shared" si="23"/>
        <v>1487.2146334610716</v>
      </c>
      <c r="L63" s="20">
        <f t="shared" si="23"/>
        <v>0</v>
      </c>
    </row>
    <row r="64" spans="1:13" x14ac:dyDescent="0.2">
      <c r="A64" s="4" t="s">
        <v>10</v>
      </c>
      <c r="B64" s="20">
        <f t="shared" si="15"/>
        <v>74974.784664091523</v>
      </c>
      <c r="C64" s="20">
        <f t="shared" ref="C64:L64" si="24">+C49*C33</f>
        <v>0</v>
      </c>
      <c r="D64" s="20">
        <f t="shared" si="24"/>
        <v>6625.7670175253706</v>
      </c>
      <c r="E64" s="20">
        <f t="shared" si="24"/>
        <v>23649.47749321728</v>
      </c>
      <c r="F64" s="20">
        <f t="shared" si="24"/>
        <v>28274.508328060845</v>
      </c>
      <c r="G64" s="20">
        <f t="shared" si="24"/>
        <v>2657.6545996093696</v>
      </c>
      <c r="H64" s="20">
        <f t="shared" si="24"/>
        <v>-1855.919190297921</v>
      </c>
      <c r="I64" s="20">
        <f t="shared" si="24"/>
        <v>6797.1915832913965</v>
      </c>
      <c r="J64" s="20">
        <f t="shared" si="24"/>
        <v>8048.0349608995157</v>
      </c>
      <c r="K64" s="20">
        <f t="shared" si="24"/>
        <v>778.06987178566283</v>
      </c>
      <c r="L64" s="20">
        <f t="shared" si="24"/>
        <v>0</v>
      </c>
    </row>
    <row r="65" spans="1:13" x14ac:dyDescent="0.2">
      <c r="A65" s="4" t="s">
        <v>41</v>
      </c>
      <c r="B65" s="20">
        <f t="shared" si="15"/>
        <v>74336.36343930164</v>
      </c>
      <c r="C65" s="20">
        <f t="shared" ref="C65:L65" si="25">+C50*C34</f>
        <v>0</v>
      </c>
      <c r="D65" s="20">
        <f t="shared" si="25"/>
        <v>13225.561035142266</v>
      </c>
      <c r="E65" s="20">
        <f t="shared" si="25"/>
        <v>21324.989381860363</v>
      </c>
      <c r="F65" s="20">
        <f t="shared" si="25"/>
        <v>27321.962821050824</v>
      </c>
      <c r="G65" s="20">
        <f t="shared" si="25"/>
        <v>2379.9059217736376</v>
      </c>
      <c r="H65" s="20">
        <f t="shared" si="25"/>
        <v>-1698.648762968397</v>
      </c>
      <c r="I65" s="20">
        <f t="shared" si="25"/>
        <v>5642.9070127556979</v>
      </c>
      <c r="J65" s="20">
        <f t="shared" si="25"/>
        <v>5616.1437247565091</v>
      </c>
      <c r="K65" s="20">
        <f t="shared" si="25"/>
        <v>523.54230493075886</v>
      </c>
      <c r="L65" s="20">
        <f t="shared" si="25"/>
        <v>0</v>
      </c>
    </row>
    <row r="66" spans="1:13" x14ac:dyDescent="0.2">
      <c r="A66" s="4" t="s">
        <v>42</v>
      </c>
      <c r="B66" s="20">
        <f t="shared" si="15"/>
        <v>76311.949424525723</v>
      </c>
      <c r="C66" s="20">
        <f t="shared" ref="C66:L66" si="26">+C51*C35</f>
        <v>0</v>
      </c>
      <c r="D66" s="20">
        <f t="shared" si="26"/>
        <v>13834.840154795727</v>
      </c>
      <c r="E66" s="20">
        <f t="shared" si="26"/>
        <v>23341.894327105587</v>
      </c>
      <c r="F66" s="20">
        <f t="shared" si="26"/>
        <v>25980.473066267201</v>
      </c>
      <c r="G66" s="20">
        <f t="shared" si="26"/>
        <v>3119.927057689225</v>
      </c>
      <c r="H66" s="20">
        <f t="shared" si="26"/>
        <v>-2428.8837204658685</v>
      </c>
      <c r="I66" s="20">
        <f t="shared" si="26"/>
        <v>6842.3446149628971</v>
      </c>
      <c r="J66" s="20">
        <f t="shared" si="26"/>
        <v>4872.0146022796753</v>
      </c>
      <c r="K66" s="20">
        <f t="shared" si="26"/>
        <v>749.33932189128939</v>
      </c>
      <c r="L66" s="20">
        <f t="shared" si="26"/>
        <v>0</v>
      </c>
    </row>
    <row r="67" spans="1:13" ht="15" x14ac:dyDescent="0.35">
      <c r="A67" s="4" t="s">
        <v>43</v>
      </c>
      <c r="B67" s="27">
        <f t="shared" si="15"/>
        <v>72135.02810396273</v>
      </c>
      <c r="C67" s="27">
        <f t="shared" ref="C67:L67" si="27">+C52*C36</f>
        <v>0</v>
      </c>
      <c r="D67" s="27">
        <f t="shared" si="27"/>
        <v>14603.340416928992</v>
      </c>
      <c r="E67" s="27">
        <f t="shared" si="27"/>
        <v>22144.650294159896</v>
      </c>
      <c r="F67" s="27">
        <f t="shared" si="27"/>
        <v>27716.419643646877</v>
      </c>
      <c r="G67" s="27">
        <f t="shared" si="27"/>
        <v>2622.3040183113912</v>
      </c>
      <c r="H67" s="27">
        <f t="shared" si="27"/>
        <v>-1719.4424945612575</v>
      </c>
      <c r="I67" s="27">
        <f t="shared" si="27"/>
        <v>1934.434081434676</v>
      </c>
      <c r="J67" s="27">
        <f t="shared" si="27"/>
        <v>4236.1808707136506</v>
      </c>
      <c r="K67" s="27">
        <f t="shared" si="27"/>
        <v>597.14127332849432</v>
      </c>
      <c r="L67" s="27">
        <f t="shared" si="27"/>
        <v>0</v>
      </c>
    </row>
    <row r="68" spans="1:13" ht="15" x14ac:dyDescent="0.35">
      <c r="B68" s="39">
        <f>SUM(B56:B67)</f>
        <v>879898.64990325808</v>
      </c>
      <c r="C68" s="39">
        <f>SUM(C56:C67)</f>
        <v>0</v>
      </c>
      <c r="D68" s="39">
        <f>SUM(D56:D67)</f>
        <v>175387.92445299088</v>
      </c>
      <c r="E68" s="39">
        <f t="shared" ref="E68:L68" si="28">SUM(E56:E67)</f>
        <v>261253.27536602484</v>
      </c>
      <c r="F68" s="39">
        <f t="shared" si="28"/>
        <v>280812.12987664016</v>
      </c>
      <c r="G68" s="39">
        <f t="shared" si="28"/>
        <v>33758.302436555736</v>
      </c>
      <c r="H68" s="39">
        <f t="shared" si="28"/>
        <v>-31498.466620557327</v>
      </c>
      <c r="I68" s="39">
        <f t="shared" si="28"/>
        <v>70453.946527710897</v>
      </c>
      <c r="J68" s="39">
        <f t="shared" si="28"/>
        <v>73841.524015061455</v>
      </c>
      <c r="K68" s="39">
        <f t="shared" si="28"/>
        <v>15890.013848831381</v>
      </c>
      <c r="L68" s="39">
        <f t="shared" si="28"/>
        <v>0</v>
      </c>
    </row>
    <row r="70" spans="1:13" s="6" customFormat="1" ht="15" x14ac:dyDescent="0.35">
      <c r="A70" s="6" t="s">
        <v>110</v>
      </c>
      <c r="C70" s="34" t="e">
        <f t="shared" ref="C70:L70" si="29">+C68/C37</f>
        <v>#DIV/0!</v>
      </c>
      <c r="D70" s="34">
        <f t="shared" si="29"/>
        <v>76.678933416408583</v>
      </c>
      <c r="E70" s="34">
        <f t="shared" si="29"/>
        <v>124.20715119797683</v>
      </c>
      <c r="F70" s="34">
        <f t="shared" si="29"/>
        <v>1941.0711348671919</v>
      </c>
      <c r="G70" s="34">
        <f t="shared" si="29"/>
        <v>203.76350891248239</v>
      </c>
      <c r="H70" s="34">
        <f t="shared" si="29"/>
        <v>-18.569631154840149</v>
      </c>
      <c r="I70" s="34">
        <f t="shared" si="29"/>
        <v>198.3338845778905</v>
      </c>
      <c r="J70" s="34">
        <f t="shared" si="29"/>
        <v>1331.134171056606</v>
      </c>
      <c r="K70" s="34">
        <f t="shared" si="29"/>
        <v>170.86706850341031</v>
      </c>
      <c r="L70" s="34" t="e">
        <f t="shared" si="29"/>
        <v>#DIV/0!</v>
      </c>
      <c r="M70" s="251"/>
    </row>
    <row r="72" spans="1:13" x14ac:dyDescent="0.2">
      <c r="I72" s="219"/>
    </row>
    <row r="73" spans="1:13" x14ac:dyDescent="0.2">
      <c r="B73" s="17"/>
      <c r="C73" s="17"/>
      <c r="D73" s="17"/>
      <c r="E73" s="17"/>
      <c r="F73" s="17"/>
      <c r="G73" s="17"/>
      <c r="H73" s="17"/>
      <c r="I73" s="17"/>
      <c r="J73" s="17"/>
      <c r="K73" s="17"/>
      <c r="L73" s="17"/>
    </row>
    <row r="74" spans="1:13" x14ac:dyDescent="0.2">
      <c r="I74" s="17"/>
    </row>
    <row r="76" spans="1:13" x14ac:dyDescent="0.2">
      <c r="B76" s="2"/>
    </row>
    <row r="77" spans="1:13" x14ac:dyDescent="0.2">
      <c r="B77" s="2"/>
    </row>
    <row r="78" spans="1:13" x14ac:dyDescent="0.2">
      <c r="B78" s="41"/>
    </row>
    <row r="79" spans="1:13" x14ac:dyDescent="0.2">
      <c r="B79" s="41"/>
    </row>
    <row r="80" spans="1:13" x14ac:dyDescent="0.2">
      <c r="B80" s="41"/>
    </row>
    <row r="81" spans="2:2" x14ac:dyDescent="0.2">
      <c r="B81" s="41"/>
    </row>
    <row r="82" spans="2:2" x14ac:dyDescent="0.2">
      <c r="B82" s="41"/>
    </row>
    <row r="83" spans="2:2" x14ac:dyDescent="0.2">
      <c r="B83" s="41"/>
    </row>
    <row r="84" spans="2:2" x14ac:dyDescent="0.2">
      <c r="B84" s="41"/>
    </row>
    <row r="85" spans="2:2" x14ac:dyDescent="0.2">
      <c r="B85" s="41"/>
    </row>
    <row r="86" spans="2:2" x14ac:dyDescent="0.2">
      <c r="B86" s="41"/>
    </row>
  </sheetData>
  <pageMargins left="0.7" right="0.7" top="0.75" bottom="0.75" header="0.3" footer="0.3"/>
  <pageSetup scale="71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E373CF-DE10-420B-A146-491266DBA1B7}">
  <dimension ref="A1:AA20"/>
  <sheetViews>
    <sheetView workbookViewId="0">
      <pane xSplit="1" ySplit="4" topLeftCell="K5" activePane="bottomRight" state="frozen"/>
      <selection pane="topRight" activeCell="B1" sqref="B1"/>
      <selection pane="bottomLeft" activeCell="A5" sqref="A5"/>
      <selection pane="bottomRight" activeCell="X16" sqref="X16"/>
    </sheetView>
  </sheetViews>
  <sheetFormatPr defaultRowHeight="12.75" x14ac:dyDescent="0.2"/>
  <cols>
    <col min="1" max="1" width="19.85546875" bestFit="1" customWidth="1"/>
    <col min="2" max="9" width="9.28515625" bestFit="1" customWidth="1"/>
    <col min="10" max="10" width="10.28515625" bestFit="1" customWidth="1"/>
    <col min="11" max="15" width="9.28515625" bestFit="1" customWidth="1"/>
    <col min="16" max="16" width="10.28515625" bestFit="1" customWidth="1"/>
    <col min="17" max="17" width="9.28515625" bestFit="1" customWidth="1"/>
    <col min="18" max="18" width="10.28515625" bestFit="1" customWidth="1"/>
    <col min="19" max="21" width="9.28515625" bestFit="1" customWidth="1"/>
    <col min="22" max="22" width="10.28515625" bestFit="1" customWidth="1"/>
    <col min="23" max="23" width="9.28515625" bestFit="1" customWidth="1"/>
    <col min="24" max="24" width="10.28515625" bestFit="1" customWidth="1"/>
    <col min="25" max="25" width="9.28515625" bestFit="1" customWidth="1"/>
    <col min="26" max="26" width="10.28515625" bestFit="1" customWidth="1"/>
    <col min="27" max="27" width="9.28515625" bestFit="1" customWidth="1"/>
  </cols>
  <sheetData>
    <row r="1" spans="1:27" ht="20.25" x14ac:dyDescent="0.3">
      <c r="A1" s="419" t="s">
        <v>153</v>
      </c>
    </row>
    <row r="2" spans="1:27" x14ac:dyDescent="0.2">
      <c r="A2" s="345"/>
    </row>
    <row r="3" spans="1:27" x14ac:dyDescent="0.2">
      <c r="A3" s="345"/>
      <c r="B3" s="689">
        <v>45536</v>
      </c>
      <c r="C3" s="689"/>
      <c r="D3" s="689">
        <v>45566</v>
      </c>
      <c r="E3" s="689"/>
      <c r="F3" s="689">
        <v>45597</v>
      </c>
      <c r="G3" s="689"/>
      <c r="H3" s="689">
        <v>45627</v>
      </c>
      <c r="I3" s="689"/>
      <c r="J3" s="689">
        <v>45658</v>
      </c>
      <c r="K3" s="689"/>
      <c r="L3" s="689">
        <v>45689</v>
      </c>
      <c r="M3" s="689"/>
      <c r="N3" s="689">
        <v>45717</v>
      </c>
      <c r="O3" s="689"/>
      <c r="P3" s="689">
        <v>45748</v>
      </c>
      <c r="Q3" s="689"/>
      <c r="R3" s="689">
        <v>45778</v>
      </c>
      <c r="S3" s="689"/>
      <c r="T3" s="689">
        <v>45809</v>
      </c>
      <c r="U3" s="689"/>
      <c r="V3" s="689">
        <v>45839</v>
      </c>
      <c r="W3" s="689"/>
      <c r="X3" s="689">
        <v>45870</v>
      </c>
      <c r="Y3" s="689"/>
      <c r="Z3" s="689" t="s">
        <v>22</v>
      </c>
      <c r="AA3" s="689"/>
    </row>
    <row r="4" spans="1:27" x14ac:dyDescent="0.2">
      <c r="A4" s="345"/>
      <c r="B4" s="409" t="s">
        <v>0</v>
      </c>
      <c r="C4" s="409" t="s">
        <v>93</v>
      </c>
      <c r="D4" s="409" t="s">
        <v>0</v>
      </c>
      <c r="E4" s="409" t="s">
        <v>93</v>
      </c>
      <c r="F4" s="409" t="s">
        <v>0</v>
      </c>
      <c r="G4" s="409" t="s">
        <v>93</v>
      </c>
      <c r="H4" s="409" t="s">
        <v>0</v>
      </c>
      <c r="I4" s="409" t="s">
        <v>93</v>
      </c>
      <c r="J4" s="409" t="s">
        <v>0</v>
      </c>
      <c r="K4" s="409" t="s">
        <v>93</v>
      </c>
      <c r="L4" s="409" t="s">
        <v>0</v>
      </c>
      <c r="M4" s="409" t="s">
        <v>93</v>
      </c>
      <c r="N4" s="409" t="s">
        <v>0</v>
      </c>
      <c r="O4" s="409" t="s">
        <v>93</v>
      </c>
      <c r="P4" s="409" t="s">
        <v>0</v>
      </c>
      <c r="Q4" s="409" t="s">
        <v>93</v>
      </c>
      <c r="R4" s="409" t="s">
        <v>0</v>
      </c>
      <c r="S4" s="409" t="s">
        <v>93</v>
      </c>
      <c r="T4" s="409" t="s">
        <v>0</v>
      </c>
      <c r="U4" s="409" t="s">
        <v>93</v>
      </c>
      <c r="V4" s="409" t="s">
        <v>0</v>
      </c>
      <c r="W4" s="409" t="s">
        <v>93</v>
      </c>
      <c r="X4" s="409" t="s">
        <v>0</v>
      </c>
      <c r="Y4" s="409" t="s">
        <v>93</v>
      </c>
      <c r="Z4" s="409" t="s">
        <v>0</v>
      </c>
      <c r="AA4" s="409" t="s">
        <v>93</v>
      </c>
    </row>
    <row r="5" spans="1:27" s="411" customFormat="1" x14ac:dyDescent="0.2">
      <c r="A5" s="407" t="s">
        <v>98</v>
      </c>
      <c r="B5" s="497">
        <f>[1]Composition!R6</f>
        <v>562.23</v>
      </c>
      <c r="C5" s="408">
        <f>+B5/B$16</f>
        <v>6.3645496970434506E-2</v>
      </c>
      <c r="D5" s="499">
        <f>[3]Composition!T6</f>
        <v>1510.4</v>
      </c>
      <c r="E5" s="408">
        <f>+D5/D$16</f>
        <v>0.15919668073234272</v>
      </c>
      <c r="F5" s="499">
        <f>[5]Composition!$V$6</f>
        <v>1116.3430000000001</v>
      </c>
      <c r="G5" s="408">
        <f t="shared" ref="G5:G15" si="0">+F5/F$16</f>
        <v>0.1435661642130204</v>
      </c>
      <c r="H5" s="499">
        <f>[8]Composition!X6</f>
        <v>778.2115</v>
      </c>
      <c r="I5" s="408">
        <f t="shared" ref="I5:I15" si="1">+H5/H$16</f>
        <v>7.908004500646923E-2</v>
      </c>
      <c r="J5" s="502">
        <f>[9]Composition!B6</f>
        <v>1112.5955000000001</v>
      </c>
      <c r="K5" s="408">
        <f t="shared" ref="K5:K15" si="2">+J5/J$16</f>
        <v>0.10454314924121109</v>
      </c>
      <c r="L5" s="502">
        <f>[12]Composition!$D$6</f>
        <v>987.08</v>
      </c>
      <c r="M5" s="408">
        <f t="shared" ref="M5:M15" si="3">+L5/L$16</f>
        <v>0.12379879748057884</v>
      </c>
      <c r="N5" s="502">
        <f>[13]Composition!F6</f>
        <v>1477.7849999999999</v>
      </c>
      <c r="O5" s="408">
        <f t="shared" ref="O5:O15" si="4">+N5/N$16</f>
        <v>0.15898401962006223</v>
      </c>
      <c r="P5" s="502">
        <f>[16]Composition!H6</f>
        <v>2027.87</v>
      </c>
      <c r="Q5" s="408">
        <f t="shared" ref="Q5:Q15" si="5">+P5/P$16</f>
        <v>0.22378309040423247</v>
      </c>
      <c r="R5" s="502">
        <f>[17]Composition!J6</f>
        <v>1828.2249999999999</v>
      </c>
      <c r="S5" s="408">
        <f t="shared" ref="S5:S15" si="6">+R5/R$16</f>
        <v>0.19600362626408388</v>
      </c>
      <c r="T5" s="506">
        <f>[19]Composition!L6</f>
        <v>943.59</v>
      </c>
      <c r="U5" s="408">
        <f t="shared" ref="U5:U15" si="7">+T5/T$16</f>
        <v>9.8745988009288674E-2</v>
      </c>
      <c r="V5" s="506">
        <f>[22]Composition!N6</f>
        <v>1159.27</v>
      </c>
      <c r="W5" s="408">
        <f>+V5/V$16</f>
        <v>0.1146991229490063</v>
      </c>
      <c r="X5" s="506">
        <f>[24]Composition!P6</f>
        <v>1056.885</v>
      </c>
      <c r="Y5" s="408">
        <f>+X5/X$16</f>
        <v>0.11934236444190702</v>
      </c>
      <c r="Z5" s="410">
        <f>+X5+V5+T5+R5+P5+N5+L5+J5+H5+F5+D5+B5</f>
        <v>14560.484999999999</v>
      </c>
      <c r="AA5" s="408">
        <f>+Z5/Z$16</f>
        <v>0.13146348109480874</v>
      </c>
    </row>
    <row r="6" spans="1:27" s="411" customFormat="1" x14ac:dyDescent="0.2">
      <c r="A6" s="407" t="s">
        <v>134</v>
      </c>
      <c r="B6" s="497">
        <f>[1]Composition!R7</f>
        <v>2414.7949999999996</v>
      </c>
      <c r="C6" s="408">
        <f t="shared" ref="C6:E15" si="8">+B6/B$16</f>
        <v>0.27335935090037949</v>
      </c>
      <c r="D6" s="499">
        <f>[3]Composition!T7</f>
        <v>1884.1969999999999</v>
      </c>
      <c r="E6" s="408">
        <f t="shared" si="8"/>
        <v>0.19859501340428887</v>
      </c>
      <c r="F6" s="499">
        <f>[5]Composition!$V$7</f>
        <v>2054.3964999999998</v>
      </c>
      <c r="G6" s="408">
        <f t="shared" si="0"/>
        <v>0.26420358731828331</v>
      </c>
      <c r="H6" s="499">
        <f>[8]Composition!X7</f>
        <v>3321.0820000000003</v>
      </c>
      <c r="I6" s="408">
        <f t="shared" si="1"/>
        <v>0.3374806386569395</v>
      </c>
      <c r="J6" s="502">
        <f>[9]Composition!B7</f>
        <v>3015.5794999999998</v>
      </c>
      <c r="K6" s="408">
        <f t="shared" si="2"/>
        <v>0.2833538134184766</v>
      </c>
      <c r="L6" s="502">
        <f>[12]Composition!$D$7</f>
        <v>1878.8400000000001</v>
      </c>
      <c r="M6" s="408">
        <f t="shared" si="3"/>
        <v>0.23564263550918949</v>
      </c>
      <c r="N6" s="502">
        <f>[13]Composition!F7</f>
        <v>1545.8675000000001</v>
      </c>
      <c r="O6" s="408">
        <f t="shared" si="4"/>
        <v>0.16630851507493755</v>
      </c>
      <c r="P6" s="502">
        <f>[16]Composition!H7</f>
        <v>1061.1554999999998</v>
      </c>
      <c r="Q6" s="408">
        <f t="shared" si="5"/>
        <v>0.11710250518497166</v>
      </c>
      <c r="R6" s="502">
        <f>[17]Composition!J7</f>
        <v>981.62950000000001</v>
      </c>
      <c r="S6" s="408">
        <f t="shared" si="6"/>
        <v>0.10524029681674824</v>
      </c>
      <c r="T6" s="506">
        <f>[19]Composition!L7</f>
        <v>2089.1350000000002</v>
      </c>
      <c r="U6" s="408">
        <f t="shared" si="7"/>
        <v>0.21862641577357253</v>
      </c>
      <c r="V6" s="506">
        <f>[22]Composition!N7</f>
        <v>2074.2129999999997</v>
      </c>
      <c r="W6" s="408">
        <f t="shared" ref="W6:W15" si="9">+V6/V$16</f>
        <v>0.20522433247597813</v>
      </c>
      <c r="X6" s="506">
        <f>[24]Composition!P7</f>
        <v>1908.7920000000004</v>
      </c>
      <c r="Y6" s="408">
        <f t="shared" ref="Y6:Y15" si="10">+X6/X$16</f>
        <v>0.21553882447739972</v>
      </c>
      <c r="Z6" s="410">
        <f t="shared" ref="Z6:Z15" si="11">+X6+V6+T6+R6+P6+N6+L6+J6+H6+F6+D6+B6</f>
        <v>24229.682499999999</v>
      </c>
      <c r="AA6" s="408">
        <f t="shared" ref="AA6:AA15" si="12">+Z6/Z$16</f>
        <v>0.21876458148694691</v>
      </c>
    </row>
    <row r="7" spans="1:27" s="411" customFormat="1" x14ac:dyDescent="0.2">
      <c r="A7" s="407" t="s">
        <v>50</v>
      </c>
      <c r="B7" s="497">
        <f>[1]Composition!R8</f>
        <v>1717.3360000000002</v>
      </c>
      <c r="C7" s="408">
        <f t="shared" si="8"/>
        <v>0.19440567594261801</v>
      </c>
      <c r="D7" s="499">
        <f>[3]Composition!T8</f>
        <v>1989.049</v>
      </c>
      <c r="E7" s="408">
        <f t="shared" si="8"/>
        <v>0.20964645035353913</v>
      </c>
      <c r="F7" s="499">
        <f>[5]Composition!$V$8</f>
        <v>1305.1540000000002</v>
      </c>
      <c r="G7" s="408">
        <f t="shared" si="0"/>
        <v>0.16784801220348985</v>
      </c>
      <c r="H7" s="499">
        <f>[8]Composition!X8</f>
        <v>1730.1455000000001</v>
      </c>
      <c r="I7" s="408">
        <f t="shared" si="1"/>
        <v>0.17581336694168645</v>
      </c>
      <c r="J7" s="502">
        <f>[9]Composition!B8</f>
        <v>1779.2934999999998</v>
      </c>
      <c r="K7" s="408">
        <f t="shared" si="2"/>
        <v>0.16718829611877525</v>
      </c>
      <c r="L7" s="502">
        <f>[12]Composition!$D$8</f>
        <v>1575.08</v>
      </c>
      <c r="M7" s="408">
        <f t="shared" si="3"/>
        <v>0.19754529514903563</v>
      </c>
      <c r="N7" s="502">
        <f>[13]Composition!F8</f>
        <v>1996.4449999999999</v>
      </c>
      <c r="O7" s="408">
        <f t="shared" si="4"/>
        <v>0.21478283447888233</v>
      </c>
      <c r="P7" s="502">
        <f>[16]Composition!H8</f>
        <v>2029.0890000000002</v>
      </c>
      <c r="Q7" s="408">
        <f t="shared" si="5"/>
        <v>0.22391761164435278</v>
      </c>
      <c r="R7" s="502">
        <f>[17]Composition!J8</f>
        <v>2100.6030000000001</v>
      </c>
      <c r="S7" s="408">
        <f t="shared" si="6"/>
        <v>0.2252052156278431</v>
      </c>
      <c r="T7" s="506">
        <f>[19]Composition!L8</f>
        <v>2065.3090000000002</v>
      </c>
      <c r="U7" s="408">
        <f t="shared" si="7"/>
        <v>0.21613304268747655</v>
      </c>
      <c r="V7" s="506">
        <f>[22]Composition!N8</f>
        <v>2287.4679999999998</v>
      </c>
      <c r="W7" s="408">
        <f t="shared" si="9"/>
        <v>0.22632395677790121</v>
      </c>
      <c r="X7" s="506">
        <f>[24]Composition!P8</f>
        <v>1993.3534999999997</v>
      </c>
      <c r="Y7" s="408">
        <f t="shared" si="10"/>
        <v>0.22508742186571939</v>
      </c>
      <c r="Z7" s="410">
        <f t="shared" si="11"/>
        <v>22568.325499999995</v>
      </c>
      <c r="AA7" s="408">
        <f t="shared" si="12"/>
        <v>0.20376454717756584</v>
      </c>
    </row>
    <row r="8" spans="1:27" s="411" customFormat="1" x14ac:dyDescent="0.2">
      <c r="A8" s="407" t="s">
        <v>51</v>
      </c>
      <c r="B8" s="497">
        <f>[1]Composition!R9</f>
        <v>125.125</v>
      </c>
      <c r="C8" s="408">
        <f t="shared" si="8"/>
        <v>1.4164386120316626E-2</v>
      </c>
      <c r="D8" s="499">
        <f>[3]Composition!T9</f>
        <v>133.315</v>
      </c>
      <c r="E8" s="408">
        <f t="shared" si="8"/>
        <v>1.4051446962283016E-2</v>
      </c>
      <c r="F8" s="499">
        <f>[5]Composition!$V$9</f>
        <v>104.42099999999999</v>
      </c>
      <c r="G8" s="408">
        <f t="shared" si="0"/>
        <v>1.3428957258913974E-2</v>
      </c>
      <c r="H8" s="499">
        <f>[8]Composition!X9</f>
        <v>123.65949999999999</v>
      </c>
      <c r="I8" s="408">
        <f t="shared" si="1"/>
        <v>1.2565991154689286E-2</v>
      </c>
      <c r="J8" s="502">
        <f>[9]Composition!B9</f>
        <v>122.584</v>
      </c>
      <c r="K8" s="408">
        <f t="shared" si="2"/>
        <v>1.151839766256885E-2</v>
      </c>
      <c r="L8" s="502">
        <f>[12]Composition!$D$9</f>
        <v>108.37799999999999</v>
      </c>
      <c r="M8" s="408">
        <f t="shared" si="3"/>
        <v>1.3592683544748319E-2</v>
      </c>
      <c r="N8" s="502">
        <f>[13]Composition!F9</f>
        <v>121.0795</v>
      </c>
      <c r="O8" s="408">
        <f t="shared" si="4"/>
        <v>1.3026052912695233E-2</v>
      </c>
      <c r="P8" s="502">
        <f>[16]Composition!H9</f>
        <v>137.78550000000001</v>
      </c>
      <c r="Q8" s="408">
        <f t="shared" si="5"/>
        <v>1.5205148753565257E-2</v>
      </c>
      <c r="R8" s="502">
        <f>[17]Composition!J9</f>
        <v>155.27500000000001</v>
      </c>
      <c r="S8" s="408">
        <f t="shared" si="6"/>
        <v>1.6647000816724215E-2</v>
      </c>
      <c r="T8" s="506">
        <f>[19]Composition!L9</f>
        <v>135.41800000000001</v>
      </c>
      <c r="U8" s="408">
        <f t="shared" si="7"/>
        <v>1.4171392452486624E-2</v>
      </c>
      <c r="V8" s="506">
        <f>[22]Composition!N9</f>
        <v>145.98000000000002</v>
      </c>
      <c r="W8" s="408">
        <f t="shared" si="9"/>
        <v>1.4443380720708672E-2</v>
      </c>
      <c r="X8" s="506">
        <f>[24]Composition!P9</f>
        <v>133.376</v>
      </c>
      <c r="Y8" s="408">
        <f t="shared" si="10"/>
        <v>1.5060680395505462E-2</v>
      </c>
      <c r="Z8" s="410">
        <f t="shared" si="11"/>
        <v>1546.3965000000001</v>
      </c>
      <c r="AA8" s="408">
        <f t="shared" si="12"/>
        <v>1.3962080730334767E-2</v>
      </c>
    </row>
    <row r="9" spans="1:27" s="411" customFormat="1" x14ac:dyDescent="0.2">
      <c r="A9" s="407" t="s">
        <v>4</v>
      </c>
      <c r="B9" s="497">
        <f>[1]Composition!R10</f>
        <v>1482.1695</v>
      </c>
      <c r="C9" s="408">
        <f t="shared" si="8"/>
        <v>0.16778438436568738</v>
      </c>
      <c r="D9" s="499">
        <f>[3]Composition!T10</f>
        <v>1335.55</v>
      </c>
      <c r="E9" s="408">
        <f t="shared" si="8"/>
        <v>0.14076743045026502</v>
      </c>
      <c r="F9" s="499">
        <f>[5]Composition!$V$10</f>
        <v>1127.51</v>
      </c>
      <c r="G9" s="408">
        <f t="shared" si="0"/>
        <v>0.14500228497139556</v>
      </c>
      <c r="H9" s="499">
        <f>[8]Composition!X10</f>
        <v>1645.02</v>
      </c>
      <c r="I9" s="408">
        <f t="shared" si="1"/>
        <v>0.16716311136052603</v>
      </c>
      <c r="J9" s="502">
        <f>[9]Composition!B10</f>
        <v>2057.7800000000002</v>
      </c>
      <c r="K9" s="408">
        <f t="shared" si="2"/>
        <v>0.19335580778960493</v>
      </c>
      <c r="L9" s="502">
        <f>[12]Composition!$D$10</f>
        <v>1228.5899999999999</v>
      </c>
      <c r="M9" s="408">
        <f t="shared" si="3"/>
        <v>0.15408879178654653</v>
      </c>
      <c r="N9" s="502">
        <f>[13]Composition!F10</f>
        <v>1607.7299999999998</v>
      </c>
      <c r="O9" s="408">
        <f t="shared" si="4"/>
        <v>0.17296384647547688</v>
      </c>
      <c r="P9" s="502">
        <f>[16]Composition!H10</f>
        <v>1336.82</v>
      </c>
      <c r="Q9" s="408">
        <f t="shared" si="5"/>
        <v>0.14752312076917456</v>
      </c>
      <c r="R9" s="502">
        <f>[17]Composition!J10</f>
        <v>1495.01</v>
      </c>
      <c r="S9" s="408">
        <f t="shared" si="6"/>
        <v>0.1602797146418346</v>
      </c>
      <c r="T9" s="506">
        <f>[19]Composition!L10</f>
        <v>1475.77</v>
      </c>
      <c r="U9" s="408">
        <f t="shared" si="7"/>
        <v>0.15443822711608637</v>
      </c>
      <c r="V9" s="506">
        <f>[22]Composition!N10</f>
        <v>1786.18</v>
      </c>
      <c r="W9" s="408">
        <f t="shared" si="9"/>
        <v>0.17672611162978089</v>
      </c>
      <c r="X9" s="506">
        <f>[24]Composition!P10</f>
        <v>1555.05</v>
      </c>
      <c r="Y9" s="408">
        <f t="shared" si="10"/>
        <v>0.17559464258210447</v>
      </c>
      <c r="Z9" s="410">
        <f t="shared" si="11"/>
        <v>18133.179500000002</v>
      </c>
      <c r="AA9" s="408">
        <f t="shared" si="12"/>
        <v>0.16372056977408539</v>
      </c>
    </row>
    <row r="10" spans="1:27" s="411" customFormat="1" x14ac:dyDescent="0.2">
      <c r="A10" s="407" t="s">
        <v>3</v>
      </c>
      <c r="B10" s="497">
        <f>[1]Composition!R11</f>
        <v>349.15000000000003</v>
      </c>
      <c r="C10" s="408">
        <f t="shared" si="8"/>
        <v>3.9524438872396012E-2</v>
      </c>
      <c r="D10" s="499">
        <f>[3]Composition!T11</f>
        <v>340.07399999999996</v>
      </c>
      <c r="E10" s="408">
        <f t="shared" si="8"/>
        <v>3.5843916845452004E-2</v>
      </c>
      <c r="F10" s="499">
        <f>[5]Composition!$V$11</f>
        <v>237.62599999999998</v>
      </c>
      <c r="G10" s="408">
        <f t="shared" si="0"/>
        <v>3.0559651771259536E-2</v>
      </c>
      <c r="H10" s="499">
        <f>[8]Composition!X11</f>
        <v>253.93599999999998</v>
      </c>
      <c r="I10" s="408">
        <f t="shared" si="1"/>
        <v>2.580438647946319E-2</v>
      </c>
      <c r="J10" s="502">
        <f>[9]Composition!B11</f>
        <v>305.678</v>
      </c>
      <c r="K10" s="408">
        <f t="shared" si="2"/>
        <v>2.8722514852662018E-2</v>
      </c>
      <c r="L10" s="502">
        <f>[12]Composition!$D$11</f>
        <v>240.33599999999998</v>
      </c>
      <c r="M10" s="408">
        <f t="shared" si="3"/>
        <v>3.0142752149058226E-2</v>
      </c>
      <c r="N10" s="502">
        <f>[13]Composition!F11</f>
        <v>285.40999999999997</v>
      </c>
      <c r="O10" s="408">
        <f t="shared" si="4"/>
        <v>3.0705162821223625E-2</v>
      </c>
      <c r="P10" s="502">
        <f>[16]Composition!H11</f>
        <v>333.30799999999999</v>
      </c>
      <c r="Q10" s="408">
        <f t="shared" si="5"/>
        <v>3.678179286465795E-2</v>
      </c>
      <c r="R10" s="502">
        <f>[17]Composition!J11</f>
        <v>354.85699999999997</v>
      </c>
      <c r="S10" s="408">
        <f t="shared" si="6"/>
        <v>3.8044145991436511E-2</v>
      </c>
      <c r="T10" s="506">
        <f>[19]Composition!L11</f>
        <v>324.96600000000001</v>
      </c>
      <c r="U10" s="408">
        <f t="shared" si="7"/>
        <v>3.4007448933781097E-2</v>
      </c>
      <c r="V10" s="506">
        <f>[22]Composition!N11</f>
        <v>378.34349999999995</v>
      </c>
      <c r="W10" s="408">
        <f t="shared" si="9"/>
        <v>3.7433615657661595E-2</v>
      </c>
      <c r="X10" s="506">
        <f>[24]Composition!P11</f>
        <v>393.63450000000006</v>
      </c>
      <c r="Y10" s="408">
        <f t="shared" si="10"/>
        <v>4.4448801861988629E-2</v>
      </c>
      <c r="Z10" s="410">
        <f t="shared" si="11"/>
        <v>3797.3189999999995</v>
      </c>
      <c r="AA10" s="408">
        <f t="shared" si="12"/>
        <v>3.4285174880332489E-2</v>
      </c>
    </row>
    <row r="11" spans="1:27" s="411" customFormat="1" x14ac:dyDescent="0.2">
      <c r="A11" s="407" t="s">
        <v>135</v>
      </c>
      <c r="B11" s="497">
        <f>[1]Composition!R12</f>
        <v>50.34</v>
      </c>
      <c r="C11" s="408">
        <f t="shared" si="8"/>
        <v>5.6985829953785337E-3</v>
      </c>
      <c r="D11" s="499">
        <f>[3]Composition!T12</f>
        <v>49.83</v>
      </c>
      <c r="E11" s="408">
        <f t="shared" si="8"/>
        <v>5.2520991796164169E-3</v>
      </c>
      <c r="F11" s="499">
        <f>[5]Composition!$V$12</f>
        <v>36.785499999999999</v>
      </c>
      <c r="G11" s="408">
        <f t="shared" si="0"/>
        <v>4.7307620808820063E-3</v>
      </c>
      <c r="H11" s="499">
        <f>[8]Composition!X12</f>
        <v>49.14</v>
      </c>
      <c r="I11" s="408">
        <f t="shared" si="1"/>
        <v>4.9934926579957989E-3</v>
      </c>
      <c r="J11" s="502">
        <f>[9]Composition!B12</f>
        <v>56.222499999999997</v>
      </c>
      <c r="K11" s="408">
        <f t="shared" si="2"/>
        <v>5.2828518614482893E-3</v>
      </c>
      <c r="L11" s="502">
        <f>[12]Composition!$D$12</f>
        <v>46.850499999999997</v>
      </c>
      <c r="M11" s="408">
        <f t="shared" si="3"/>
        <v>5.8759528724762512E-3</v>
      </c>
      <c r="N11" s="502">
        <f>[13]Composition!F12</f>
        <v>51.177500000000002</v>
      </c>
      <c r="O11" s="408">
        <f t="shared" si="4"/>
        <v>5.5058108345298774E-3</v>
      </c>
      <c r="P11" s="502">
        <f>[16]Composition!H12</f>
        <v>50.19</v>
      </c>
      <c r="Q11" s="408">
        <f t="shared" si="5"/>
        <v>5.5386554894487454E-3</v>
      </c>
      <c r="R11" s="502">
        <f>[17]Composition!J12</f>
        <v>51.902000000000001</v>
      </c>
      <c r="S11" s="408">
        <f t="shared" si="6"/>
        <v>5.5644027460287886E-3</v>
      </c>
      <c r="T11" s="506">
        <f>[19]Composition!L12</f>
        <v>50.813000000000002</v>
      </c>
      <c r="U11" s="408">
        <f t="shared" si="7"/>
        <v>5.3175424588179036E-3</v>
      </c>
      <c r="V11" s="506">
        <f>[22]Composition!N12</f>
        <v>51.43</v>
      </c>
      <c r="W11" s="408">
        <f t="shared" si="9"/>
        <v>5.0885263081658231E-3</v>
      </c>
      <c r="X11" s="506">
        <f>[24]Composition!P12</f>
        <v>48.977999999999994</v>
      </c>
      <c r="Y11" s="408">
        <f t="shared" si="10"/>
        <v>5.5305452586002458E-3</v>
      </c>
      <c r="Z11" s="410">
        <f t="shared" si="11"/>
        <v>593.65899999999999</v>
      </c>
      <c r="AA11" s="408">
        <f t="shared" si="12"/>
        <v>5.360019169915224E-3</v>
      </c>
    </row>
    <row r="12" spans="1:27" s="411" customFormat="1" x14ac:dyDescent="0.2">
      <c r="A12" s="407" t="s">
        <v>136</v>
      </c>
      <c r="B12" s="497">
        <f>[1]Composition!R13</f>
        <v>106.75999999999999</v>
      </c>
      <c r="C12" s="408">
        <f t="shared" si="8"/>
        <v>1.2085433464175847E-2</v>
      </c>
      <c r="D12" s="499">
        <f>[3]Composition!T13</f>
        <v>120.38200000000001</v>
      </c>
      <c r="E12" s="408">
        <f t="shared" si="8"/>
        <v>1.2688304303443379E-2</v>
      </c>
      <c r="F12" s="499">
        <f>[5]Composition!$V$13</f>
        <v>73.616</v>
      </c>
      <c r="G12" s="408">
        <f t="shared" si="0"/>
        <v>9.4673113413222543E-3</v>
      </c>
      <c r="H12" s="499">
        <f>[8]Composition!X13</f>
        <v>76.997500000000002</v>
      </c>
      <c r="I12" s="408">
        <f t="shared" si="1"/>
        <v>7.8243071008146439E-3</v>
      </c>
      <c r="J12" s="502">
        <f>[9]Composition!B13</f>
        <v>80.714500000000001</v>
      </c>
      <c r="K12" s="408">
        <f t="shared" si="2"/>
        <v>7.5842011040218411E-3</v>
      </c>
      <c r="L12" s="502">
        <f>[12]Composition!$D$13</f>
        <v>53.988</v>
      </c>
      <c r="M12" s="408">
        <f t="shared" si="3"/>
        <v>6.7711325104160653E-3</v>
      </c>
      <c r="N12" s="502">
        <f>[13]Composition!F13</f>
        <v>74.35799999999999</v>
      </c>
      <c r="O12" s="408">
        <f t="shared" si="4"/>
        <v>7.9996303460304341E-3</v>
      </c>
      <c r="P12" s="502">
        <f>[16]Composition!H13</f>
        <v>70.722999999999999</v>
      </c>
      <c r="Q12" s="408">
        <f t="shared" si="5"/>
        <v>7.8045493560526726E-3</v>
      </c>
      <c r="R12" s="502">
        <f>[17]Composition!J13</f>
        <v>85.302500000000009</v>
      </c>
      <c r="S12" s="408">
        <f t="shared" si="6"/>
        <v>9.1452634820068743E-3</v>
      </c>
      <c r="T12" s="506">
        <f>[19]Composition!L13</f>
        <v>74.174000000000007</v>
      </c>
      <c r="U12" s="408">
        <f t="shared" si="7"/>
        <v>7.7622536425788514E-3</v>
      </c>
      <c r="V12" s="506">
        <f>[22]Composition!N13</f>
        <v>96.68</v>
      </c>
      <c r="W12" s="408">
        <f t="shared" si="9"/>
        <v>9.5655983564742718E-3</v>
      </c>
      <c r="X12" s="506">
        <f>[24]Composition!P13</f>
        <v>75.944500000000005</v>
      </c>
      <c r="Y12" s="408">
        <f t="shared" si="10"/>
        <v>8.5755746333408163E-3</v>
      </c>
      <c r="Z12" s="410">
        <f t="shared" si="11"/>
        <v>989.6400000000001</v>
      </c>
      <c r="AA12" s="408">
        <f t="shared" si="12"/>
        <v>8.9352462799602173E-3</v>
      </c>
    </row>
    <row r="13" spans="1:27" s="411" customFormat="1" x14ac:dyDescent="0.2">
      <c r="A13" s="407" t="s">
        <v>137</v>
      </c>
      <c r="B13" s="497">
        <f>[1]Composition!R14</f>
        <v>0</v>
      </c>
      <c r="C13" s="408">
        <f t="shared" si="8"/>
        <v>0</v>
      </c>
      <c r="D13" s="499">
        <f>[3]Composition!T14</f>
        <v>0</v>
      </c>
      <c r="E13" s="408">
        <f t="shared" si="8"/>
        <v>0</v>
      </c>
      <c r="F13" s="499"/>
      <c r="G13" s="408">
        <f t="shared" si="0"/>
        <v>0</v>
      </c>
      <c r="H13" s="499">
        <f>[8]Composition!X14</f>
        <v>0</v>
      </c>
      <c r="I13" s="408">
        <f t="shared" si="1"/>
        <v>0</v>
      </c>
      <c r="J13" s="502">
        <f>[9]Composition!B14</f>
        <v>0</v>
      </c>
      <c r="K13" s="408">
        <f t="shared" si="2"/>
        <v>0</v>
      </c>
      <c r="L13" s="502">
        <f>[12]Composition!$D$14</f>
        <v>0</v>
      </c>
      <c r="M13" s="408">
        <f t="shared" si="3"/>
        <v>0</v>
      </c>
      <c r="N13" s="502">
        <f>[13]Composition!F14</f>
        <v>0</v>
      </c>
      <c r="O13" s="408">
        <f t="shared" si="4"/>
        <v>0</v>
      </c>
      <c r="P13" s="502">
        <f>[16]Composition!H14</f>
        <v>0</v>
      </c>
      <c r="Q13" s="408">
        <f t="shared" si="5"/>
        <v>0</v>
      </c>
      <c r="R13" s="502">
        <f>[17]Composition!J14</f>
        <v>0</v>
      </c>
      <c r="S13" s="408">
        <f t="shared" si="6"/>
        <v>0</v>
      </c>
      <c r="T13" s="506">
        <f>[19]Composition!L14</f>
        <v>0</v>
      </c>
      <c r="U13" s="408">
        <f t="shared" si="7"/>
        <v>0</v>
      </c>
      <c r="V13" s="506">
        <f>[22]Composition!N14</f>
        <v>0</v>
      </c>
      <c r="W13" s="408">
        <f t="shared" si="9"/>
        <v>0</v>
      </c>
      <c r="X13" s="506">
        <f>[24]Composition!P14</f>
        <v>0</v>
      </c>
      <c r="Y13" s="408">
        <f t="shared" si="10"/>
        <v>0</v>
      </c>
      <c r="Z13" s="410">
        <f t="shared" si="11"/>
        <v>0</v>
      </c>
      <c r="AA13" s="408">
        <f t="shared" si="12"/>
        <v>0</v>
      </c>
    </row>
    <row r="14" spans="1:27" s="411" customFormat="1" x14ac:dyDescent="0.2">
      <c r="A14" s="407" t="s">
        <v>138</v>
      </c>
      <c r="B14" s="497">
        <f>[1]Composition!$R$19</f>
        <v>122.07000000000001</v>
      </c>
      <c r="C14" s="408">
        <f t="shared" si="8"/>
        <v>1.3818554355301105E-2</v>
      </c>
      <c r="D14" s="500">
        <f>[3]Composition!$T$19</f>
        <v>177.72899999999998</v>
      </c>
      <c r="E14" s="408">
        <f t="shared" si="8"/>
        <v>1.8732697874654751E-2</v>
      </c>
      <c r="F14" s="500">
        <f>[5]Composition!$V$19</f>
        <v>117.626</v>
      </c>
      <c r="G14" s="408">
        <f t="shared" si="0"/>
        <v>1.5127172949282378E-2</v>
      </c>
      <c r="H14" s="500">
        <f>[8]Composition!$X$19</f>
        <v>150.161</v>
      </c>
      <c r="I14" s="408">
        <f t="shared" si="1"/>
        <v>1.525901202721423E-2</v>
      </c>
      <c r="J14" s="502">
        <f>[9]Composition!$B$19</f>
        <v>166.35300000000001</v>
      </c>
      <c r="K14" s="408">
        <f t="shared" si="2"/>
        <v>1.5631077517141843E-2</v>
      </c>
      <c r="L14" s="502">
        <f>[12]Composition!$D$19</f>
        <v>130.25899999999999</v>
      </c>
      <c r="M14" s="408">
        <f t="shared" si="3"/>
        <v>1.6336981360196453E-2</v>
      </c>
      <c r="N14" s="504">
        <f>[13]Composition!$F$19</f>
        <v>141.833</v>
      </c>
      <c r="O14" s="408">
        <f t="shared" si="4"/>
        <v>1.5258769343830319E-2</v>
      </c>
      <c r="P14" s="502">
        <f>[16]Composition!$H$19</f>
        <v>152.434</v>
      </c>
      <c r="Q14" s="408">
        <f t="shared" si="5"/>
        <v>1.6821665887201236E-2</v>
      </c>
      <c r="R14" s="502">
        <f>[17]Composition!$J$19</f>
        <v>150.95999999999998</v>
      </c>
      <c r="S14" s="408">
        <f t="shared" si="6"/>
        <v>1.6184390554130974E-2</v>
      </c>
      <c r="T14" s="506">
        <f>[19]Composition!$L$19</f>
        <v>149.982</v>
      </c>
      <c r="U14" s="408">
        <f t="shared" si="7"/>
        <v>1.5695504163470504E-2</v>
      </c>
      <c r="V14" s="506">
        <f>[22]Composition!$N$19</f>
        <v>168.346</v>
      </c>
      <c r="W14" s="408">
        <f t="shared" si="9"/>
        <v>1.6656291072807382E-2</v>
      </c>
      <c r="X14" s="506">
        <f>[24]Composition!$P$19</f>
        <v>143.21199999999999</v>
      </c>
      <c r="Y14" s="408">
        <f t="shared" si="10"/>
        <v>1.6171351373568919E-2</v>
      </c>
      <c r="Z14" s="410">
        <f t="shared" si="11"/>
        <v>1770.9649999999999</v>
      </c>
      <c r="AA14" s="408">
        <f t="shared" si="12"/>
        <v>1.5989661319459343E-2</v>
      </c>
    </row>
    <row r="15" spans="1:27" s="411" customFormat="1" ht="15" x14ac:dyDescent="0.35">
      <c r="A15" s="407" t="s">
        <v>86</v>
      </c>
      <c r="B15" s="498">
        <f>[1]Composition!$R$20+[1]Composition!$R$18+[1]Composition!$R$16+[1]Composition!$R$15</f>
        <v>1903.7995000000001</v>
      </c>
      <c r="C15" s="414">
        <f t="shared" si="8"/>
        <v>0.21551369601331255</v>
      </c>
      <c r="D15" s="501">
        <f>[3]Composition!$T$20+[3]Composition!$T$18+[3]Composition!$T$16+[3]Composition!$T$15</f>
        <v>1947.1090000000002</v>
      </c>
      <c r="E15" s="414">
        <f t="shared" si="8"/>
        <v>0.20522595989411485</v>
      </c>
      <c r="F15" s="501">
        <f>[5]Composition!$V$20+[5]Composition!$V$18+[5]Composition!$V$16+[5]Composition!$V$15</f>
        <v>1602.3304999999998</v>
      </c>
      <c r="G15" s="414">
        <f t="shared" si="0"/>
        <v>0.20606609589215058</v>
      </c>
      <c r="H15" s="501">
        <f>[8]Composition!$X$20+[8]Composition!$X$18+[8]Composition!$X$16+[8]Composition!$X$15</f>
        <v>1712.4544999999998</v>
      </c>
      <c r="I15" s="414">
        <f t="shared" si="1"/>
        <v>0.1740156486142016</v>
      </c>
      <c r="J15" s="503">
        <f>[9]Composition!$B$20+[9]Composition!$B$18+[9]Composition!$B$16+[9]Composition!$B$15</f>
        <v>1945.6519999999998</v>
      </c>
      <c r="K15" s="414">
        <f t="shared" si="2"/>
        <v>0.1828198904340893</v>
      </c>
      <c r="L15" s="503">
        <f>[12]Composition!$D$20+[12]Composition!$D$18+[12]Composition!$D$16+[12]Composition!$D$15</f>
        <v>1723.8585</v>
      </c>
      <c r="M15" s="414">
        <f t="shared" si="3"/>
        <v>0.2162049776377542</v>
      </c>
      <c r="N15" s="505">
        <f>[13]Composition!$F$20+[13]Composition!$F$18+[13]Composition!$F$16+[13]Composition!$F$15</f>
        <v>1993.4939999999999</v>
      </c>
      <c r="O15" s="414">
        <f t="shared" si="4"/>
        <v>0.21446535809233164</v>
      </c>
      <c r="P15" s="503">
        <f>[16]Composition!$H$20+[16]Composition!$H$18+[16]Composition!$H$16+[16]Composition!$H$15</f>
        <v>1862.3910000000001</v>
      </c>
      <c r="Q15" s="414">
        <f t="shared" si="5"/>
        <v>0.20552185964634268</v>
      </c>
      <c r="R15" s="503">
        <f>[17]Composition!$J$20+[17]Composition!$J$18+[17]Composition!$J$16+[17]Composition!$J$15</f>
        <v>2123.7419999999997</v>
      </c>
      <c r="S15" s="414">
        <f t="shared" si="6"/>
        <v>0.22768594305916284</v>
      </c>
      <c r="T15" s="507">
        <f>[19]Composition!$L$20+[19]Composition!$L$16+[19]Composition!$L$15+[19]Composition!$L$18</f>
        <v>2246.5729999999999</v>
      </c>
      <c r="U15" s="414">
        <f t="shared" si="7"/>
        <v>0.23510218476244096</v>
      </c>
      <c r="V15" s="507">
        <f>[22]Composition!$N$20+[22]Composition!$N$18+[22]Composition!$N$16+[22]Composition!$N$15</f>
        <v>1959.1415</v>
      </c>
      <c r="W15" s="414">
        <f t="shared" si="9"/>
        <v>0.19383906405151571</v>
      </c>
      <c r="X15" s="507">
        <f>[24]Composition!$P$20+[24]Composition!$P$18+[24]Composition!$P$16+[24]Composition!$P$15</f>
        <v>1546.6825000000001</v>
      </c>
      <c r="Y15" s="414">
        <f t="shared" si="10"/>
        <v>0.17464979310986517</v>
      </c>
      <c r="Z15" s="412">
        <f t="shared" si="11"/>
        <v>22567.228000000003</v>
      </c>
      <c r="AA15" s="414">
        <f t="shared" si="12"/>
        <v>0.20375463808659114</v>
      </c>
    </row>
    <row r="16" spans="1:27" s="411" customFormat="1" ht="15" x14ac:dyDescent="0.35">
      <c r="A16" s="413"/>
      <c r="B16" s="415">
        <f>SUM(B5:B15)</f>
        <v>8833.7749999999996</v>
      </c>
      <c r="C16" s="416">
        <f>SUM(C5:C15)</f>
        <v>1</v>
      </c>
      <c r="D16" s="417">
        <f t="shared" ref="D16:T16" si="13">SUM(D5:D15)</f>
        <v>9487.6349999999984</v>
      </c>
      <c r="E16" s="416">
        <f>SUM(E5:E15)</f>
        <v>1</v>
      </c>
      <c r="F16" s="417">
        <f t="shared" si="13"/>
        <v>7775.808500000001</v>
      </c>
      <c r="G16" s="416">
        <f>SUM(G5:G15)</f>
        <v>0.99999999999999978</v>
      </c>
      <c r="H16" s="417">
        <f t="shared" si="13"/>
        <v>9840.8075000000008</v>
      </c>
      <c r="I16" s="416">
        <f>SUM(I5:I15)</f>
        <v>0.99999999999999978</v>
      </c>
      <c r="J16" s="417">
        <f t="shared" si="13"/>
        <v>10642.452499999999</v>
      </c>
      <c r="K16" s="416">
        <f>SUM(K5:K15)</f>
        <v>1</v>
      </c>
      <c r="L16" s="417">
        <f t="shared" si="13"/>
        <v>7973.26</v>
      </c>
      <c r="M16" s="416">
        <f>SUM(M5:M15)</f>
        <v>1</v>
      </c>
      <c r="N16" s="417">
        <f t="shared" si="13"/>
        <v>9295.1794999999984</v>
      </c>
      <c r="O16" s="416">
        <f>SUM(O5:O15)</f>
        <v>1</v>
      </c>
      <c r="P16" s="417">
        <f t="shared" si="13"/>
        <v>9061.7659999999996</v>
      </c>
      <c r="Q16" s="416">
        <f>SUM(Q5:Q15)</f>
        <v>1.0000000000000002</v>
      </c>
      <c r="R16" s="418">
        <f>SUM(R5:R15)</f>
        <v>9327.5059999999994</v>
      </c>
      <c r="S16" s="416">
        <f>SUM(S5:S15)</f>
        <v>1</v>
      </c>
      <c r="T16" s="418">
        <f t="shared" si="13"/>
        <v>9555.73</v>
      </c>
      <c r="U16" s="416">
        <f t="shared" ref="U16:AA16" si="14">SUM(U5:U15)</f>
        <v>1</v>
      </c>
      <c r="V16" s="418">
        <f t="shared" si="14"/>
        <v>10107.052</v>
      </c>
      <c r="W16" s="416">
        <f t="shared" si="14"/>
        <v>1</v>
      </c>
      <c r="X16" s="418">
        <f t="shared" si="14"/>
        <v>8855.9080000000013</v>
      </c>
      <c r="Y16" s="416">
        <f t="shared" si="14"/>
        <v>0.99999999999999978</v>
      </c>
      <c r="Z16" s="418">
        <f t="shared" si="14"/>
        <v>110756.87999999999</v>
      </c>
      <c r="AA16" s="416">
        <f t="shared" si="14"/>
        <v>1.0000000000000002</v>
      </c>
    </row>
    <row r="17" spans="2:2" s="411" customFormat="1" x14ac:dyDescent="0.2"/>
    <row r="18" spans="2:2" s="411" customFormat="1" x14ac:dyDescent="0.2"/>
    <row r="19" spans="2:2" s="411" customFormat="1" x14ac:dyDescent="0.2">
      <c r="B19" s="411" t="s">
        <v>168</v>
      </c>
    </row>
    <row r="20" spans="2:2" s="411" customFormat="1" x14ac:dyDescent="0.2"/>
  </sheetData>
  <mergeCells count="13">
    <mergeCell ref="Z3:AA3"/>
    <mergeCell ref="L3:M3"/>
    <mergeCell ref="N3:O3"/>
    <mergeCell ref="P3:Q3"/>
    <mergeCell ref="R3:S3"/>
    <mergeCell ref="V3:W3"/>
    <mergeCell ref="T3:U3"/>
    <mergeCell ref="B3:C3"/>
    <mergeCell ref="D3:E3"/>
    <mergeCell ref="F3:G3"/>
    <mergeCell ref="H3:I3"/>
    <mergeCell ref="J3:K3"/>
    <mergeCell ref="X3:Y3"/>
  </mergeCells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010F1-CEA7-4778-A597-CB93371A9A13}">
  <sheetPr>
    <pageSetUpPr fitToPage="1"/>
  </sheetPr>
  <dimension ref="A1:Q68"/>
  <sheetViews>
    <sheetView workbookViewId="0">
      <selection activeCell="B31" sqref="B31"/>
    </sheetView>
  </sheetViews>
  <sheetFormatPr defaultRowHeight="12.75" x14ac:dyDescent="0.2"/>
  <cols>
    <col min="2" max="2" width="9.7109375" bestFit="1" customWidth="1"/>
    <col min="3" max="3" width="9.7109375" customWidth="1"/>
    <col min="4" max="4" width="11.28515625" bestFit="1" customWidth="1"/>
    <col min="5" max="5" width="8.7109375" bestFit="1" customWidth="1"/>
    <col min="6" max="6" width="10.28515625" bestFit="1" customWidth="1"/>
    <col min="7" max="7" width="9.28515625" bestFit="1" customWidth="1"/>
    <col min="8" max="8" width="10.7109375" bestFit="1" customWidth="1"/>
    <col min="9" max="9" width="8.7109375" bestFit="1" customWidth="1"/>
    <col min="10" max="11" width="10.28515625" bestFit="1" customWidth="1"/>
    <col min="12" max="12" width="9.28515625" bestFit="1" customWidth="1"/>
  </cols>
  <sheetData>
    <row r="1" spans="1:13" ht="26.25" x14ac:dyDescent="0.4">
      <c r="A1" s="7" t="s">
        <v>18</v>
      </c>
    </row>
    <row r="2" spans="1:13" ht="18" x14ac:dyDescent="0.25">
      <c r="A2" s="5" t="s">
        <v>89</v>
      </c>
    </row>
    <row r="3" spans="1:13" x14ac:dyDescent="0.2">
      <c r="A3" s="6" t="s">
        <v>87</v>
      </c>
    </row>
    <row r="5" spans="1:13" x14ac:dyDescent="0.2">
      <c r="D5" s="40"/>
      <c r="E5" s="40"/>
      <c r="F5" s="40"/>
      <c r="G5" s="40"/>
      <c r="H5" s="40"/>
      <c r="I5" s="40"/>
      <c r="J5" s="40"/>
      <c r="K5" s="40"/>
      <c r="L5" s="40"/>
    </row>
    <row r="6" spans="1:13" x14ac:dyDescent="0.2">
      <c r="C6" s="2"/>
      <c r="D6" s="41" t="s">
        <v>46</v>
      </c>
      <c r="E6" s="41"/>
      <c r="F6" s="41" t="s">
        <v>1</v>
      </c>
      <c r="G6" s="41"/>
      <c r="H6" s="41" t="s">
        <v>47</v>
      </c>
      <c r="I6" s="41"/>
      <c r="J6" s="41" t="s">
        <v>2</v>
      </c>
      <c r="K6" s="41" t="s">
        <v>2</v>
      </c>
      <c r="L6" s="41" t="s">
        <v>48</v>
      </c>
    </row>
    <row r="7" spans="1:13" x14ac:dyDescent="0.2">
      <c r="B7" s="10" t="s">
        <v>22</v>
      </c>
      <c r="C7" s="10" t="s">
        <v>92</v>
      </c>
      <c r="D7" s="42" t="s">
        <v>49</v>
      </c>
      <c r="E7" s="42" t="s">
        <v>50</v>
      </c>
      <c r="F7" s="42" t="s">
        <v>51</v>
      </c>
      <c r="G7" s="42" t="s">
        <v>4</v>
      </c>
      <c r="H7" s="42" t="s">
        <v>52</v>
      </c>
      <c r="I7" s="42" t="s">
        <v>3</v>
      </c>
      <c r="J7" s="42" t="s">
        <v>53</v>
      </c>
      <c r="K7" s="42" t="s">
        <v>54</v>
      </c>
      <c r="L7" s="42" t="s">
        <v>55</v>
      </c>
      <c r="M7" s="59" t="s">
        <v>86</v>
      </c>
    </row>
    <row r="8" spans="1:13" x14ac:dyDescent="0.2">
      <c r="D8" s="42"/>
      <c r="E8" s="42"/>
      <c r="F8" s="42"/>
      <c r="G8" s="42"/>
      <c r="H8" s="42"/>
      <c r="I8" s="42"/>
      <c r="J8" s="42"/>
      <c r="K8" s="42"/>
      <c r="L8" s="42"/>
    </row>
    <row r="9" spans="1:13" x14ac:dyDescent="0.2">
      <c r="A9" s="12" t="s">
        <v>56</v>
      </c>
      <c r="D9" s="42"/>
      <c r="E9" s="42"/>
      <c r="F9" s="42"/>
      <c r="G9" s="42"/>
      <c r="H9" s="42"/>
      <c r="I9" s="42"/>
      <c r="J9" s="42"/>
      <c r="K9" s="42"/>
      <c r="L9" s="42"/>
    </row>
    <row r="10" spans="1:13" x14ac:dyDescent="0.2">
      <c r="A10" s="4" t="s">
        <v>58</v>
      </c>
      <c r="B10" s="62">
        <f t="shared" ref="B10:B21" si="0">SUM(C10:M10)</f>
        <v>1</v>
      </c>
      <c r="C10" s="58">
        <f>+'Reg. Res''l - SS Mix &amp; Prices'!C10</f>
        <v>0</v>
      </c>
      <c r="D10" s="58">
        <f>+'Reg. Res''l - SS Mix &amp; Prices'!D10</f>
        <v>0.27335935090037949</v>
      </c>
      <c r="E10" s="58">
        <f>+'Reg. Res''l - SS Mix &amp; Prices'!E10</f>
        <v>0.19440567594261801</v>
      </c>
      <c r="F10" s="58">
        <f>+'Reg. Res''l - SS Mix &amp; Prices'!F10</f>
        <v>1.4164386120316626E-2</v>
      </c>
      <c r="G10" s="58">
        <f>+'Reg. Res''l - SS Mix &amp; Prices'!H10</f>
        <v>0.16778438436568738</v>
      </c>
      <c r="H10" s="58">
        <f>+'Reg. Res''l - SS Mix &amp; Prices'!G10</f>
        <v>1.3818554355301105E-2</v>
      </c>
      <c r="I10" s="58">
        <f>+'Reg. Res''l - SS Mix &amp; Prices'!I10</f>
        <v>3.9524438872396012E-2</v>
      </c>
      <c r="J10" s="58">
        <f>+'Reg. Res''l - SS Mix &amp; Prices'!J10</f>
        <v>5.6985829953785337E-3</v>
      </c>
      <c r="K10" s="58">
        <f>+'Reg. Res''l - SS Mix &amp; Prices'!K10</f>
        <v>1.2085433464175847E-2</v>
      </c>
      <c r="L10" s="58">
        <f>+'Reg. Res''l - SS Mix &amp; Prices'!L10</f>
        <v>0</v>
      </c>
      <c r="M10" s="58">
        <f>+'Reg. Res''l - SS Mix &amp; Prices'!M10</f>
        <v>0.27915919298374703</v>
      </c>
    </row>
    <row r="11" spans="1:13" x14ac:dyDescent="0.2">
      <c r="A11" s="4" t="s">
        <v>35</v>
      </c>
      <c r="B11" s="62">
        <f t="shared" si="0"/>
        <v>1</v>
      </c>
      <c r="C11" s="58">
        <f>+'Reg. Res''l - SS Mix &amp; Prices'!C11</f>
        <v>0</v>
      </c>
      <c r="D11" s="58">
        <f>+'Reg. Res''l - SS Mix &amp; Prices'!D11</f>
        <v>0.19859501340428887</v>
      </c>
      <c r="E11" s="58">
        <f>+'Reg. Res''l - SS Mix &amp; Prices'!E11</f>
        <v>0.20964645035353913</v>
      </c>
      <c r="F11" s="58">
        <f>+'Reg. Res''l - SS Mix &amp; Prices'!F11</f>
        <v>1.4051446962283016E-2</v>
      </c>
      <c r="G11" s="58">
        <f>+'Reg. Res''l - SS Mix &amp; Prices'!H11</f>
        <v>0.14076743045026502</v>
      </c>
      <c r="H11" s="58">
        <f>+'Reg. Res''l - SS Mix &amp; Prices'!G11</f>
        <v>1.8732697874654751E-2</v>
      </c>
      <c r="I11" s="58">
        <f>+'Reg. Res''l - SS Mix &amp; Prices'!I11</f>
        <v>3.5843916845452004E-2</v>
      </c>
      <c r="J11" s="58">
        <f>+'Reg. Res''l - SS Mix &amp; Prices'!J11</f>
        <v>5.2520991796164169E-3</v>
      </c>
      <c r="K11" s="58">
        <f>+'Reg. Res''l - SS Mix &amp; Prices'!K11</f>
        <v>1.2688304303443379E-2</v>
      </c>
      <c r="L11" s="58">
        <f>+'Reg. Res''l - SS Mix &amp; Prices'!L11</f>
        <v>0</v>
      </c>
      <c r="M11" s="58">
        <f>+'Reg. Res''l - SS Mix &amp; Prices'!M11</f>
        <v>0.36442264062645746</v>
      </c>
    </row>
    <row r="12" spans="1:13" x14ac:dyDescent="0.2">
      <c r="A12" s="4" t="s">
        <v>36</v>
      </c>
      <c r="B12" s="62">
        <f t="shared" si="0"/>
        <v>0.99999999999999989</v>
      </c>
      <c r="C12" s="58">
        <f>+'Reg. Res''l - SS Mix &amp; Prices'!C12</f>
        <v>0</v>
      </c>
      <c r="D12" s="58">
        <f>+'Reg. Res''l - SS Mix &amp; Prices'!D12</f>
        <v>0.26420358731828331</v>
      </c>
      <c r="E12" s="58">
        <f>+'Reg. Res''l - SS Mix &amp; Prices'!E12</f>
        <v>0.16784801220348985</v>
      </c>
      <c r="F12" s="58">
        <f>+'Reg. Res''l - SS Mix &amp; Prices'!F12</f>
        <v>1.3428957258913974E-2</v>
      </c>
      <c r="G12" s="58">
        <f>+'Reg. Res''l - SS Mix &amp; Prices'!H12</f>
        <v>0.14500228497139556</v>
      </c>
      <c r="H12" s="58">
        <f>+'Reg. Res''l - SS Mix &amp; Prices'!G12</f>
        <v>1.5127172949282378E-2</v>
      </c>
      <c r="I12" s="58">
        <f>+'Reg. Res''l - SS Mix &amp; Prices'!I12</f>
        <v>3.0559651771259536E-2</v>
      </c>
      <c r="J12" s="58">
        <f>+'Reg. Res''l - SS Mix &amp; Prices'!J12</f>
        <v>4.7307620808820063E-3</v>
      </c>
      <c r="K12" s="58">
        <f>+'Reg. Res''l - SS Mix &amp; Prices'!K12</f>
        <v>9.4673113413222543E-3</v>
      </c>
      <c r="L12" s="58">
        <f>+'Reg. Res''l - SS Mix &amp; Prices'!L12</f>
        <v>0</v>
      </c>
      <c r="M12" s="58">
        <f>+'Reg. Res''l - SS Mix &amp; Prices'!M12</f>
        <v>0.34963226010517112</v>
      </c>
    </row>
    <row r="13" spans="1:13" x14ac:dyDescent="0.2">
      <c r="A13" s="4" t="s">
        <v>37</v>
      </c>
      <c r="B13" s="62">
        <f t="shared" si="0"/>
        <v>1</v>
      </c>
      <c r="C13" s="58">
        <f>+'Reg. Res''l - SS Mix &amp; Prices'!C13</f>
        <v>0</v>
      </c>
      <c r="D13" s="58">
        <f>+'Reg. Res''l - SS Mix &amp; Prices'!D13</f>
        <v>0.3374806386569395</v>
      </c>
      <c r="E13" s="58">
        <f>+'Reg. Res''l - SS Mix &amp; Prices'!E13</f>
        <v>0.17581336694168645</v>
      </c>
      <c r="F13" s="58">
        <f>+'Reg. Res''l - SS Mix &amp; Prices'!F13</f>
        <v>1.2565991154689286E-2</v>
      </c>
      <c r="G13" s="58">
        <f>+'Reg. Res''l - SS Mix &amp; Prices'!H13</f>
        <v>0.16716311136052603</v>
      </c>
      <c r="H13" s="58">
        <f>+'Reg. Res''l - SS Mix &amp; Prices'!G13</f>
        <v>1.525901202721423E-2</v>
      </c>
      <c r="I13" s="58">
        <f>+'Reg. Res''l - SS Mix &amp; Prices'!I13</f>
        <v>2.580438647946319E-2</v>
      </c>
      <c r="J13" s="58">
        <f>+'Reg. Res''l - SS Mix &amp; Prices'!J13</f>
        <v>4.9934926579957989E-3</v>
      </c>
      <c r="K13" s="58">
        <f>+'Reg. Res''l - SS Mix &amp; Prices'!K13</f>
        <v>7.8243071008146439E-3</v>
      </c>
      <c r="L13" s="58">
        <f>+'Reg. Res''l - SS Mix &amp; Prices'!L13</f>
        <v>0</v>
      </c>
      <c r="M13" s="58">
        <f>+'Reg. Res''l - SS Mix &amp; Prices'!M13</f>
        <v>0.25309569362067108</v>
      </c>
    </row>
    <row r="14" spans="1:13" x14ac:dyDescent="0.2">
      <c r="A14" s="4" t="s">
        <v>45</v>
      </c>
      <c r="B14" s="62">
        <f t="shared" si="0"/>
        <v>1</v>
      </c>
      <c r="C14" s="58">
        <f>+'Reg. Res''l - SS Mix &amp; Prices'!C14</f>
        <v>0</v>
      </c>
      <c r="D14" s="58">
        <f>+'Reg. Res''l - SS Mix &amp; Prices'!D14</f>
        <v>0.2833538134184766</v>
      </c>
      <c r="E14" s="58">
        <f>+'Reg. Res''l - SS Mix &amp; Prices'!E14</f>
        <v>0.16718829611877525</v>
      </c>
      <c r="F14" s="58">
        <f>+'Reg. Res''l - SS Mix &amp; Prices'!F14</f>
        <v>1.151839766256885E-2</v>
      </c>
      <c r="G14" s="58">
        <f>+'Reg. Res''l - SS Mix &amp; Prices'!H14</f>
        <v>0.19335580778960493</v>
      </c>
      <c r="H14" s="58">
        <f>+'Reg. Res''l - SS Mix &amp; Prices'!G14</f>
        <v>1.5631077517141843E-2</v>
      </c>
      <c r="I14" s="58">
        <f>+'Reg. Res''l - SS Mix &amp; Prices'!I14</f>
        <v>2.8722514852662018E-2</v>
      </c>
      <c r="J14" s="58">
        <f>+'Reg. Res''l - SS Mix &amp; Prices'!J14</f>
        <v>5.2828518614482893E-3</v>
      </c>
      <c r="K14" s="58">
        <f>+'Reg. Res''l - SS Mix &amp; Prices'!K14</f>
        <v>7.5842011040218411E-3</v>
      </c>
      <c r="L14" s="58">
        <f>+'Reg. Res''l - SS Mix &amp; Prices'!L14</f>
        <v>0</v>
      </c>
      <c r="M14" s="58">
        <f>+'Reg. Res''l - SS Mix &amp; Prices'!M14</f>
        <v>0.28736303967530052</v>
      </c>
    </row>
    <row r="15" spans="1:13" x14ac:dyDescent="0.2">
      <c r="A15" s="4" t="s">
        <v>38</v>
      </c>
      <c r="B15" s="62">
        <f t="shared" si="0"/>
        <v>1</v>
      </c>
      <c r="C15" s="58">
        <f>+'Reg. Res''l - SS Mix &amp; Prices'!C15</f>
        <v>0</v>
      </c>
      <c r="D15" s="58">
        <f>+'Reg. Res''l - SS Mix &amp; Prices'!D15</f>
        <v>0.23564263550918949</v>
      </c>
      <c r="E15" s="58">
        <f>+'Reg. Res''l - SS Mix &amp; Prices'!E15</f>
        <v>0.19754529514903563</v>
      </c>
      <c r="F15" s="58">
        <f>+'Reg. Res''l - SS Mix &amp; Prices'!F15</f>
        <v>1.3592683544748319E-2</v>
      </c>
      <c r="G15" s="58">
        <f>+'Reg. Res''l - SS Mix &amp; Prices'!H15</f>
        <v>0.15408879178654653</v>
      </c>
      <c r="H15" s="58">
        <f>+'Reg. Res''l - SS Mix &amp; Prices'!G15</f>
        <v>1.6336981360196453E-2</v>
      </c>
      <c r="I15" s="58">
        <f>+'Reg. Res''l - SS Mix &amp; Prices'!I15</f>
        <v>3.0142752149058226E-2</v>
      </c>
      <c r="J15" s="58">
        <f>+'Reg. Res''l - SS Mix &amp; Prices'!J15</f>
        <v>5.8759528724762512E-3</v>
      </c>
      <c r="K15" s="58">
        <f>+'Reg. Res''l - SS Mix &amp; Prices'!K15</f>
        <v>6.7711325104160653E-3</v>
      </c>
      <c r="L15" s="58">
        <f>+'Reg. Res''l - SS Mix &amp; Prices'!L15</f>
        <v>0</v>
      </c>
      <c r="M15" s="58">
        <f>+'Reg. Res''l - SS Mix &amp; Prices'!M15</f>
        <v>0.34000377511833302</v>
      </c>
    </row>
    <row r="16" spans="1:13" x14ac:dyDescent="0.2">
      <c r="A16" s="4" t="s">
        <v>39</v>
      </c>
      <c r="B16" s="62">
        <f t="shared" si="0"/>
        <v>1</v>
      </c>
      <c r="C16" s="58">
        <f>+'Reg. Res''l - SS Mix &amp; Prices'!C16</f>
        <v>0</v>
      </c>
      <c r="D16" s="58">
        <f>+'Reg. Res''l - SS Mix &amp; Prices'!D16</f>
        <v>0.16630851507493755</v>
      </c>
      <c r="E16" s="58">
        <f>+'Reg. Res''l - SS Mix &amp; Prices'!E16</f>
        <v>0.21478283447888233</v>
      </c>
      <c r="F16" s="58">
        <f>+'Reg. Res''l - SS Mix &amp; Prices'!F16</f>
        <v>1.3026052912695233E-2</v>
      </c>
      <c r="G16" s="58">
        <f>+'Reg. Res''l - SS Mix &amp; Prices'!H16</f>
        <v>0.17296384647547688</v>
      </c>
      <c r="H16" s="58">
        <f>+'Reg. Res''l - SS Mix &amp; Prices'!G16</f>
        <v>1.5258769343830319E-2</v>
      </c>
      <c r="I16" s="58">
        <f>+'Reg. Res''l - SS Mix &amp; Prices'!I16</f>
        <v>3.0705162821223625E-2</v>
      </c>
      <c r="J16" s="58">
        <f>+'Reg. Res''l - SS Mix &amp; Prices'!J16</f>
        <v>5.5058108345298774E-3</v>
      </c>
      <c r="K16" s="58">
        <f>+'Reg. Res''l - SS Mix &amp; Prices'!K16</f>
        <v>7.9996303460304341E-3</v>
      </c>
      <c r="L16" s="58">
        <f>+'Reg. Res''l - SS Mix &amp; Prices'!L16</f>
        <v>0</v>
      </c>
      <c r="M16" s="58">
        <f>+'Reg. Res''l - SS Mix &amp; Prices'!M16</f>
        <v>0.37344937771239384</v>
      </c>
    </row>
    <row r="17" spans="1:17" x14ac:dyDescent="0.2">
      <c r="A17" s="4" t="s">
        <v>40</v>
      </c>
      <c r="B17" s="62">
        <f t="shared" si="0"/>
        <v>0.99999999999999989</v>
      </c>
      <c r="C17" s="58">
        <f>+'Reg. Res''l - SS Mix &amp; Prices'!C17</f>
        <v>0</v>
      </c>
      <c r="D17" s="58">
        <f>+'Reg. Res''l - SS Mix &amp; Prices'!D17</f>
        <v>0.11710250518497166</v>
      </c>
      <c r="E17" s="58">
        <f>+'Reg. Res''l - SS Mix &amp; Prices'!E17</f>
        <v>0.22391761164435278</v>
      </c>
      <c r="F17" s="58">
        <f>+'Reg. Res''l - SS Mix &amp; Prices'!F17</f>
        <v>1.5205148753565257E-2</v>
      </c>
      <c r="G17" s="58">
        <f>+'Reg. Res''l - SS Mix &amp; Prices'!H17</f>
        <v>0.14752312076917456</v>
      </c>
      <c r="H17" s="58">
        <f>+'Reg. Res''l - SS Mix &amp; Prices'!G17</f>
        <v>1.6821665887201236E-2</v>
      </c>
      <c r="I17" s="58">
        <f>+'Reg. Res''l - SS Mix &amp; Prices'!I17</f>
        <v>3.678179286465795E-2</v>
      </c>
      <c r="J17" s="58">
        <f>+'Reg. Res''l - SS Mix &amp; Prices'!J17</f>
        <v>5.5386554894487454E-3</v>
      </c>
      <c r="K17" s="58">
        <f>+'Reg. Res''l - SS Mix &amp; Prices'!K17</f>
        <v>7.8045493560526726E-3</v>
      </c>
      <c r="L17" s="58">
        <f>+'Reg. Res''l - SS Mix &amp; Prices'!L17</f>
        <v>0</v>
      </c>
      <c r="M17" s="58">
        <f>+'Reg. Res''l - SS Mix &amp; Prices'!M17</f>
        <v>0.42930495005057501</v>
      </c>
    </row>
    <row r="18" spans="1:17" x14ac:dyDescent="0.2">
      <c r="A18" s="4" t="s">
        <v>10</v>
      </c>
      <c r="B18" s="62">
        <f t="shared" si="0"/>
        <v>1</v>
      </c>
      <c r="C18" s="58">
        <f>+'Reg. Res''l - SS Mix &amp; Prices'!C18</f>
        <v>0</v>
      </c>
      <c r="D18" s="58">
        <f>+'Reg. Res''l - SS Mix &amp; Prices'!D18</f>
        <v>0.10524029681674824</v>
      </c>
      <c r="E18" s="58">
        <f>+'Reg. Res''l - SS Mix &amp; Prices'!E18</f>
        <v>0.2252052156278431</v>
      </c>
      <c r="F18" s="58">
        <f>+'Reg. Res''l - SS Mix &amp; Prices'!F18</f>
        <v>1.6647000816724215E-2</v>
      </c>
      <c r="G18" s="58">
        <f>+'Reg. Res''l - SS Mix &amp; Prices'!H18</f>
        <v>0.1602797146418346</v>
      </c>
      <c r="H18" s="58">
        <f>+'Reg. Res''l - SS Mix &amp; Prices'!G18</f>
        <v>1.6184390554130974E-2</v>
      </c>
      <c r="I18" s="58">
        <f>+'Reg. Res''l - SS Mix &amp; Prices'!I18</f>
        <v>3.8044145991436511E-2</v>
      </c>
      <c r="J18" s="58">
        <f>+'Reg. Res''l - SS Mix &amp; Prices'!J18</f>
        <v>5.5644027460287886E-3</v>
      </c>
      <c r="K18" s="58">
        <f>+'Reg. Res''l - SS Mix &amp; Prices'!K18</f>
        <v>9.1452634820068743E-3</v>
      </c>
      <c r="L18" s="58">
        <f>+'Reg. Res''l - SS Mix &amp; Prices'!L18</f>
        <v>0</v>
      </c>
      <c r="M18" s="58">
        <f>+'Reg. Res''l - SS Mix &amp; Prices'!M18</f>
        <v>0.42368956932324686</v>
      </c>
    </row>
    <row r="19" spans="1:17" x14ac:dyDescent="0.2">
      <c r="A19" s="4" t="s">
        <v>41</v>
      </c>
      <c r="B19" s="62">
        <f t="shared" si="0"/>
        <v>1</v>
      </c>
      <c r="C19" s="58">
        <f>+'Reg. Res''l - SS Mix &amp; Prices'!C19</f>
        <v>0</v>
      </c>
      <c r="D19" s="58">
        <f>+'Reg. Res''l - SS Mix &amp; Prices'!D19</f>
        <v>0.21862641577357253</v>
      </c>
      <c r="E19" s="58">
        <f>+'Reg. Res''l - SS Mix &amp; Prices'!E19</f>
        <v>0.21613304268747655</v>
      </c>
      <c r="F19" s="58">
        <f>+'Reg. Res''l - SS Mix &amp; Prices'!F19</f>
        <v>1.4171392452486624E-2</v>
      </c>
      <c r="G19" s="58">
        <f>+'Reg. Res''l - SS Mix &amp; Prices'!H19</f>
        <v>0.15443822711608637</v>
      </c>
      <c r="H19" s="58">
        <f>+'Reg. Res''l - SS Mix &amp; Prices'!G19</f>
        <v>1.5695504163470504E-2</v>
      </c>
      <c r="I19" s="58">
        <f>+'Reg. Res''l - SS Mix &amp; Prices'!I19</f>
        <v>3.4007448933781097E-2</v>
      </c>
      <c r="J19" s="58">
        <f>+'Reg. Res''l - SS Mix &amp; Prices'!J19</f>
        <v>5.3175424588179036E-3</v>
      </c>
      <c r="K19" s="58">
        <f>+'Reg. Res''l - SS Mix &amp; Prices'!K19</f>
        <v>7.7622536425788514E-3</v>
      </c>
      <c r="L19" s="58">
        <f>+'Reg. Res''l - SS Mix &amp; Prices'!L19</f>
        <v>0</v>
      </c>
      <c r="M19" s="58">
        <f>+'Reg. Res''l - SS Mix &amp; Prices'!M19</f>
        <v>0.33384817277172962</v>
      </c>
    </row>
    <row r="20" spans="1:17" x14ac:dyDescent="0.2">
      <c r="A20" s="4" t="s">
        <v>42</v>
      </c>
      <c r="B20" s="62">
        <f t="shared" si="0"/>
        <v>1</v>
      </c>
      <c r="C20" s="58">
        <f>+'Reg. Res''l - SS Mix &amp; Prices'!C20</f>
        <v>0</v>
      </c>
      <c r="D20" s="58">
        <f>+'Reg. Res''l - SS Mix &amp; Prices'!D20</f>
        <v>0.20522433247597813</v>
      </c>
      <c r="E20" s="58">
        <f>+'Reg. Res''l - SS Mix &amp; Prices'!E20</f>
        <v>0.22632395677790121</v>
      </c>
      <c r="F20" s="58">
        <f>+'Reg. Res''l - SS Mix &amp; Prices'!F20</f>
        <v>1.4443380720708672E-2</v>
      </c>
      <c r="G20" s="58">
        <f>+'Reg. Res''l - SS Mix &amp; Prices'!H20</f>
        <v>0.17672611162978089</v>
      </c>
      <c r="H20" s="58">
        <f>+'Reg. Res''l - SS Mix &amp; Prices'!G20</f>
        <v>1.6656291072807382E-2</v>
      </c>
      <c r="I20" s="58">
        <f>+'Reg. Res''l - SS Mix &amp; Prices'!I20</f>
        <v>3.7433615657661595E-2</v>
      </c>
      <c r="J20" s="58">
        <f>+'Reg. Res''l - SS Mix &amp; Prices'!J20</f>
        <v>5.0885263081658231E-3</v>
      </c>
      <c r="K20" s="58">
        <f>+'Reg. Res''l - SS Mix &amp; Prices'!K20</f>
        <v>9.5655983564742718E-3</v>
      </c>
      <c r="L20" s="58">
        <f>+'Reg. Res''l - SS Mix &amp; Prices'!L20</f>
        <v>0</v>
      </c>
      <c r="M20" s="58">
        <f>+'Reg. Res''l - SS Mix &amp; Prices'!M20</f>
        <v>0.30853818700052205</v>
      </c>
    </row>
    <row r="21" spans="1:17" x14ac:dyDescent="0.2">
      <c r="A21" s="4" t="s">
        <v>43</v>
      </c>
      <c r="B21" s="62">
        <f t="shared" si="0"/>
        <v>1</v>
      </c>
      <c r="C21" s="58">
        <f>+'Reg. Res''l - SS Mix &amp; Prices'!C21</f>
        <v>0</v>
      </c>
      <c r="D21" s="58">
        <f>+'Reg. Res''l - SS Mix &amp; Prices'!D21</f>
        <v>0.21553882447739972</v>
      </c>
      <c r="E21" s="58">
        <f>+'Reg. Res''l - SS Mix &amp; Prices'!E21</f>
        <v>0.22508742186571939</v>
      </c>
      <c r="F21" s="58">
        <f>+'Reg. Res''l - SS Mix &amp; Prices'!F21</f>
        <v>1.5060680395505462E-2</v>
      </c>
      <c r="G21" s="58">
        <f>+'Reg. Res''l - SS Mix &amp; Prices'!H21</f>
        <v>0.17559464258210447</v>
      </c>
      <c r="H21" s="58">
        <f>+'Reg. Res''l - SS Mix &amp; Prices'!G21</f>
        <v>1.6171351373568919E-2</v>
      </c>
      <c r="I21" s="58">
        <f>+'Reg. Res''l - SS Mix &amp; Prices'!I21</f>
        <v>4.4448801861988629E-2</v>
      </c>
      <c r="J21" s="58">
        <f>+'Reg. Res''l - SS Mix &amp; Prices'!J21</f>
        <v>5.5305452586002458E-3</v>
      </c>
      <c r="K21" s="58">
        <f>+'Reg. Res''l - SS Mix &amp; Prices'!K21</f>
        <v>8.5755746333408163E-3</v>
      </c>
      <c r="L21" s="58">
        <f>+'Reg. Res''l - SS Mix &amp; Prices'!L21</f>
        <v>0</v>
      </c>
      <c r="M21" s="58">
        <f>+'Reg. Res''l - SS Mix &amp; Prices'!M21</f>
        <v>0.29399215755177244</v>
      </c>
    </row>
    <row r="24" spans="1:17" x14ac:dyDescent="0.2">
      <c r="A24" s="12" t="s">
        <v>59</v>
      </c>
    </row>
    <row r="25" spans="1:17" x14ac:dyDescent="0.2">
      <c r="A25" s="4" t="s">
        <v>58</v>
      </c>
      <c r="B25" s="67">
        <f>+'Calculation of Revenue'!D33</f>
        <v>32.31</v>
      </c>
      <c r="C25" s="21">
        <f t="shared" ref="C25:M25" si="1">+$B25*C10</f>
        <v>0</v>
      </c>
      <c r="D25" s="21">
        <f t="shared" si="1"/>
        <v>8.8322406275912613</v>
      </c>
      <c r="E25" s="21">
        <f t="shared" si="1"/>
        <v>6.2812473897059879</v>
      </c>
      <c r="F25" s="21">
        <f t="shared" si="1"/>
        <v>0.45765131554743022</v>
      </c>
      <c r="G25" s="21">
        <f t="shared" si="1"/>
        <v>5.42111345885536</v>
      </c>
      <c r="H25" s="21">
        <f t="shared" si="1"/>
        <v>0.4464774912197787</v>
      </c>
      <c r="I25" s="21">
        <f t="shared" si="1"/>
        <v>1.2770346199671152</v>
      </c>
      <c r="J25" s="21">
        <f t="shared" si="1"/>
        <v>0.18412121658068042</v>
      </c>
      <c r="K25" s="21">
        <f t="shared" si="1"/>
        <v>0.39048035522752161</v>
      </c>
      <c r="L25" s="21">
        <f t="shared" si="1"/>
        <v>0</v>
      </c>
      <c r="M25" s="21">
        <f t="shared" si="1"/>
        <v>9.019633525304867</v>
      </c>
      <c r="O25" s="67"/>
      <c r="Q25" s="68"/>
    </row>
    <row r="26" spans="1:17" x14ac:dyDescent="0.2">
      <c r="A26" s="4" t="s">
        <v>35</v>
      </c>
      <c r="B26" s="67">
        <f>+'Calculation of Revenue'!D34</f>
        <v>34.26</v>
      </c>
      <c r="C26" s="21">
        <f t="shared" ref="C26:M26" si="2">+$B26*C11</f>
        <v>0</v>
      </c>
      <c r="D26" s="21">
        <f t="shared" si="2"/>
        <v>6.803865159230936</v>
      </c>
      <c r="E26" s="21">
        <f t="shared" si="2"/>
        <v>7.18248738911225</v>
      </c>
      <c r="F26" s="21">
        <f t="shared" si="2"/>
        <v>0.48140257292781607</v>
      </c>
      <c r="G26" s="21">
        <f t="shared" si="2"/>
        <v>4.8226921672260792</v>
      </c>
      <c r="H26" s="21">
        <f t="shared" si="2"/>
        <v>0.64178222918567174</v>
      </c>
      <c r="I26" s="21">
        <f t="shared" si="2"/>
        <v>1.2280125911251856</v>
      </c>
      <c r="J26" s="21">
        <f t="shared" si="2"/>
        <v>0.17993691789365843</v>
      </c>
      <c r="K26" s="21">
        <f t="shared" si="2"/>
        <v>0.43470130543597013</v>
      </c>
      <c r="L26" s="21">
        <f t="shared" si="2"/>
        <v>0</v>
      </c>
      <c r="M26" s="21">
        <f t="shared" si="2"/>
        <v>12.485119667862431</v>
      </c>
      <c r="O26" s="67"/>
      <c r="Q26" s="68"/>
    </row>
    <row r="27" spans="1:17" x14ac:dyDescent="0.2">
      <c r="A27" s="4" t="s">
        <v>36</v>
      </c>
      <c r="B27" s="67">
        <f>+'Calculation of Revenue'!D35</f>
        <v>35.11</v>
      </c>
      <c r="C27" s="21">
        <f t="shared" ref="C27:M27" si="3">+$B27*C12</f>
        <v>0</v>
      </c>
      <c r="D27" s="21">
        <f t="shared" si="3"/>
        <v>9.2761879507449265</v>
      </c>
      <c r="E27" s="21">
        <f t="shared" si="3"/>
        <v>5.8931437084645291</v>
      </c>
      <c r="F27" s="21">
        <f t="shared" si="3"/>
        <v>0.47149068936046962</v>
      </c>
      <c r="G27" s="21">
        <f t="shared" si="3"/>
        <v>5.0910302253456976</v>
      </c>
      <c r="H27" s="21">
        <f t="shared" si="3"/>
        <v>0.53111504224930428</v>
      </c>
      <c r="I27" s="21">
        <f t="shared" si="3"/>
        <v>1.0729493736889222</v>
      </c>
      <c r="J27" s="21">
        <f t="shared" si="3"/>
        <v>0.16609705665976723</v>
      </c>
      <c r="K27" s="21">
        <f t="shared" si="3"/>
        <v>0.33239730119382432</v>
      </c>
      <c r="L27" s="21">
        <f t="shared" si="3"/>
        <v>0</v>
      </c>
      <c r="M27" s="21">
        <f t="shared" si="3"/>
        <v>12.275588652292559</v>
      </c>
      <c r="O27" s="67"/>
      <c r="Q27" s="68"/>
    </row>
    <row r="28" spans="1:17" x14ac:dyDescent="0.2">
      <c r="A28" s="4" t="s">
        <v>37</v>
      </c>
      <c r="B28" s="67">
        <f>+'Calculation of Revenue'!D36</f>
        <v>40.54</v>
      </c>
      <c r="C28" s="21">
        <f t="shared" ref="C28:M28" si="4">+$B28*C13</f>
        <v>0</v>
      </c>
      <c r="D28" s="21">
        <f t="shared" si="4"/>
        <v>13.681465091152328</v>
      </c>
      <c r="E28" s="21">
        <f t="shared" si="4"/>
        <v>7.1274738958159682</v>
      </c>
      <c r="F28" s="21">
        <f t="shared" si="4"/>
        <v>0.50942528141110366</v>
      </c>
      <c r="G28" s="21">
        <f t="shared" si="4"/>
        <v>6.7767925345557254</v>
      </c>
      <c r="H28" s="21">
        <f t="shared" si="4"/>
        <v>0.61860034758326488</v>
      </c>
      <c r="I28" s="21">
        <f t="shared" si="4"/>
        <v>1.0461098278774377</v>
      </c>
      <c r="J28" s="21">
        <f t="shared" si="4"/>
        <v>0.20243619235514967</v>
      </c>
      <c r="K28" s="21">
        <f t="shared" si="4"/>
        <v>0.31719740986702566</v>
      </c>
      <c r="L28" s="21">
        <f t="shared" si="4"/>
        <v>0</v>
      </c>
      <c r="M28" s="21">
        <f t="shared" si="4"/>
        <v>10.260499419382006</v>
      </c>
      <c r="O28" s="67"/>
      <c r="Q28" s="68"/>
    </row>
    <row r="29" spans="1:17" x14ac:dyDescent="0.2">
      <c r="A29" s="4" t="s">
        <v>45</v>
      </c>
      <c r="B29" s="67">
        <f>+'Calculation of Revenue'!D37</f>
        <v>36.700000000000003</v>
      </c>
      <c r="C29" s="21">
        <f t="shared" ref="C29:M29" si="5">+$B29*C14</f>
        <v>0</v>
      </c>
      <c r="D29" s="21">
        <f t="shared" si="5"/>
        <v>10.399084952458091</v>
      </c>
      <c r="E29" s="21">
        <f t="shared" si="5"/>
        <v>6.1358104675590521</v>
      </c>
      <c r="F29" s="21">
        <f t="shared" si="5"/>
        <v>0.42272519421627686</v>
      </c>
      <c r="G29" s="21">
        <f t="shared" si="5"/>
        <v>7.0961581458785012</v>
      </c>
      <c r="H29" s="21">
        <f t="shared" si="5"/>
        <v>0.57366054487910567</v>
      </c>
      <c r="I29" s="21">
        <f t="shared" si="5"/>
        <v>1.0541162950926961</v>
      </c>
      <c r="J29" s="21">
        <f t="shared" si="5"/>
        <v>0.19388066331515225</v>
      </c>
      <c r="K29" s="21">
        <f t="shared" si="5"/>
        <v>0.27834018051760157</v>
      </c>
      <c r="L29" s="21">
        <f t="shared" si="5"/>
        <v>0</v>
      </c>
      <c r="M29" s="21">
        <f t="shared" si="5"/>
        <v>10.546223556083531</v>
      </c>
      <c r="O29" s="67"/>
      <c r="Q29" s="68"/>
    </row>
    <row r="30" spans="1:17" x14ac:dyDescent="0.2">
      <c r="A30" s="4" t="s">
        <v>38</v>
      </c>
      <c r="B30" s="67">
        <f>+'Calculation of Revenue'!D38</f>
        <v>29.28</v>
      </c>
      <c r="C30" s="21">
        <f t="shared" ref="C30:M30" si="6">+$B30*C15</f>
        <v>0</v>
      </c>
      <c r="D30" s="21">
        <f t="shared" si="6"/>
        <v>6.8996163677090685</v>
      </c>
      <c r="E30" s="21">
        <f t="shared" si="6"/>
        <v>5.7841262419637633</v>
      </c>
      <c r="F30" s="21">
        <f t="shared" si="6"/>
        <v>0.3979937741902308</v>
      </c>
      <c r="G30" s="21">
        <f t="shared" si="6"/>
        <v>4.5117198235100826</v>
      </c>
      <c r="H30" s="21">
        <f t="shared" si="6"/>
        <v>0.47834681422655217</v>
      </c>
      <c r="I30" s="21">
        <f t="shared" si="6"/>
        <v>0.88257978292442485</v>
      </c>
      <c r="J30" s="21">
        <f t="shared" si="6"/>
        <v>0.17204790010610466</v>
      </c>
      <c r="K30" s="21">
        <f t="shared" si="6"/>
        <v>0.1982587599049824</v>
      </c>
      <c r="L30" s="21">
        <f t="shared" si="6"/>
        <v>0</v>
      </c>
      <c r="M30" s="21">
        <f t="shared" si="6"/>
        <v>9.9553105354647915</v>
      </c>
      <c r="O30" s="67"/>
      <c r="Q30" s="68"/>
    </row>
    <row r="31" spans="1:17" x14ac:dyDescent="0.2">
      <c r="A31" s="4" t="s">
        <v>39</v>
      </c>
      <c r="B31" s="67">
        <f>+'Calculation of Revenue'!D39</f>
        <v>32.06</v>
      </c>
      <c r="C31" s="21">
        <f t="shared" ref="C31:M31" si="7">+$B31*C16</f>
        <v>0</v>
      </c>
      <c r="D31" s="21">
        <f t="shared" si="7"/>
        <v>5.3318509933024982</v>
      </c>
      <c r="E31" s="21">
        <f t="shared" si="7"/>
        <v>6.8859376733929683</v>
      </c>
      <c r="F31" s="21">
        <f t="shared" si="7"/>
        <v>0.41761525638100921</v>
      </c>
      <c r="G31" s="21">
        <f t="shared" si="7"/>
        <v>5.545220918003789</v>
      </c>
      <c r="H31" s="21">
        <f t="shared" si="7"/>
        <v>0.48919614516320004</v>
      </c>
      <c r="I31" s="21">
        <f t="shared" si="7"/>
        <v>0.98440752004842946</v>
      </c>
      <c r="J31" s="21">
        <f t="shared" si="7"/>
        <v>0.17651629535502789</v>
      </c>
      <c r="K31" s="21">
        <f t="shared" si="7"/>
        <v>0.25646814889373576</v>
      </c>
      <c r="L31" s="21">
        <f t="shared" si="7"/>
        <v>0</v>
      </c>
      <c r="M31" s="21">
        <f t="shared" si="7"/>
        <v>11.972787049459347</v>
      </c>
      <c r="O31" s="67"/>
      <c r="Q31" s="68"/>
    </row>
    <row r="32" spans="1:17" x14ac:dyDescent="0.2">
      <c r="A32" s="4" t="s">
        <v>40</v>
      </c>
      <c r="B32" s="67">
        <f>+'Calculation of Revenue'!D40</f>
        <v>31.2</v>
      </c>
      <c r="C32" s="21">
        <f t="shared" ref="C32:M32" si="8">+$B32*C17</f>
        <v>0</v>
      </c>
      <c r="D32" s="21">
        <f t="shared" si="8"/>
        <v>3.6535981617711157</v>
      </c>
      <c r="E32" s="21">
        <f t="shared" si="8"/>
        <v>6.9862294833038066</v>
      </c>
      <c r="F32" s="21">
        <f t="shared" si="8"/>
        <v>0.47440064111123603</v>
      </c>
      <c r="G32" s="21">
        <f t="shared" si="8"/>
        <v>4.6027213679982459</v>
      </c>
      <c r="H32" s="21">
        <f t="shared" si="8"/>
        <v>0.52483597568067852</v>
      </c>
      <c r="I32" s="21">
        <f t="shared" si="8"/>
        <v>1.147591937377328</v>
      </c>
      <c r="J32" s="21">
        <f t="shared" si="8"/>
        <v>0.17280605127080084</v>
      </c>
      <c r="K32" s="21">
        <f t="shared" si="8"/>
        <v>0.24350193990884339</v>
      </c>
      <c r="L32" s="21">
        <f t="shared" si="8"/>
        <v>0</v>
      </c>
      <c r="M32" s="21">
        <f t="shared" si="8"/>
        <v>13.39431444157794</v>
      </c>
      <c r="O32" s="67"/>
      <c r="Q32" s="68"/>
    </row>
    <row r="33" spans="1:17" x14ac:dyDescent="0.2">
      <c r="A33" s="4" t="s">
        <v>10</v>
      </c>
      <c r="B33" s="67">
        <f>+'Calculation of Revenue'!D41</f>
        <v>30.83</v>
      </c>
      <c r="C33" s="21">
        <f t="shared" ref="C33:M33" si="9">+$B33*C18</f>
        <v>0</v>
      </c>
      <c r="D33" s="21">
        <f t="shared" si="9"/>
        <v>3.2445583508603479</v>
      </c>
      <c r="E33" s="21">
        <f t="shared" si="9"/>
        <v>6.9430767978064027</v>
      </c>
      <c r="F33" s="21">
        <f t="shared" si="9"/>
        <v>0.51322703517960755</v>
      </c>
      <c r="G33" s="21">
        <f t="shared" si="9"/>
        <v>4.9414236024077605</v>
      </c>
      <c r="H33" s="21">
        <f t="shared" si="9"/>
        <v>0.49896476078385787</v>
      </c>
      <c r="I33" s="21">
        <f t="shared" si="9"/>
        <v>1.1729010209159876</v>
      </c>
      <c r="J33" s="21">
        <f t="shared" si="9"/>
        <v>0.17155053666006753</v>
      </c>
      <c r="K33" s="21">
        <f t="shared" si="9"/>
        <v>0.28194847315027194</v>
      </c>
      <c r="L33" s="21">
        <f t="shared" si="9"/>
        <v>0</v>
      </c>
      <c r="M33" s="21">
        <f t="shared" si="9"/>
        <v>13.0623494222357</v>
      </c>
      <c r="O33" s="67"/>
      <c r="Q33" s="68"/>
    </row>
    <row r="34" spans="1:17" x14ac:dyDescent="0.2">
      <c r="A34" s="4" t="s">
        <v>41</v>
      </c>
      <c r="B34" s="67">
        <f>+'Calculation of Revenue'!D42</f>
        <v>30.27</v>
      </c>
      <c r="C34" s="21">
        <f t="shared" ref="C34:M34" si="10">+$B34*C19</f>
        <v>0</v>
      </c>
      <c r="D34" s="21">
        <f t="shared" si="10"/>
        <v>6.6178216054660401</v>
      </c>
      <c r="E34" s="21">
        <f t="shared" si="10"/>
        <v>6.5423472021499149</v>
      </c>
      <c r="F34" s="21">
        <f t="shared" si="10"/>
        <v>0.42896804953677009</v>
      </c>
      <c r="G34" s="21">
        <f t="shared" si="10"/>
        <v>4.6748451348039346</v>
      </c>
      <c r="H34" s="21">
        <f t="shared" si="10"/>
        <v>0.47510291102825214</v>
      </c>
      <c r="I34" s="21">
        <f t="shared" si="10"/>
        <v>1.0294054792255538</v>
      </c>
      <c r="J34" s="21">
        <f t="shared" si="10"/>
        <v>0.16096201022841794</v>
      </c>
      <c r="K34" s="21">
        <f t="shared" si="10"/>
        <v>0.23496341776086183</v>
      </c>
      <c r="L34" s="21">
        <f t="shared" si="10"/>
        <v>0</v>
      </c>
      <c r="M34" s="21">
        <f t="shared" si="10"/>
        <v>10.105584189800256</v>
      </c>
      <c r="O34" s="67"/>
      <c r="Q34" s="68"/>
    </row>
    <row r="35" spans="1:17" x14ac:dyDescent="0.2">
      <c r="A35" s="4" t="s">
        <v>42</v>
      </c>
      <c r="B35" s="67">
        <f>+'Calculation of Revenue'!D43</f>
        <v>34.979999999999997</v>
      </c>
      <c r="C35" s="21">
        <f t="shared" ref="C35:M35" si="11">+$B35*C20</f>
        <v>0</v>
      </c>
      <c r="D35" s="21">
        <f t="shared" si="11"/>
        <v>7.1787471500097144</v>
      </c>
      <c r="E35" s="21">
        <f t="shared" si="11"/>
        <v>7.9168120080909832</v>
      </c>
      <c r="F35" s="21">
        <f t="shared" si="11"/>
        <v>0.50522945761038929</v>
      </c>
      <c r="G35" s="21">
        <f t="shared" si="11"/>
        <v>6.1818793848097346</v>
      </c>
      <c r="H35" s="21">
        <f t="shared" si="11"/>
        <v>0.58263706172680219</v>
      </c>
      <c r="I35" s="21">
        <f t="shared" si="11"/>
        <v>1.3094278757050024</v>
      </c>
      <c r="J35" s="21">
        <f t="shared" si="11"/>
        <v>0.17799665025964048</v>
      </c>
      <c r="K35" s="21">
        <f t="shared" si="11"/>
        <v>0.33460463050946998</v>
      </c>
      <c r="L35" s="21">
        <f t="shared" si="11"/>
        <v>0</v>
      </c>
      <c r="M35" s="21">
        <f t="shared" si="11"/>
        <v>10.792665781278259</v>
      </c>
      <c r="O35" s="67"/>
      <c r="Q35" s="68"/>
    </row>
    <row r="36" spans="1:17" ht="15" x14ac:dyDescent="0.35">
      <c r="A36" s="4" t="s">
        <v>43</v>
      </c>
      <c r="B36" s="70">
        <f>+'Calculation of Revenue'!D44</f>
        <v>34.979999999999997</v>
      </c>
      <c r="C36" s="28">
        <f t="shared" ref="C36:M36" si="12">+$B36*C21</f>
        <v>0</v>
      </c>
      <c r="D36" s="28">
        <f t="shared" si="12"/>
        <v>7.5395480802194417</v>
      </c>
      <c r="E36" s="28">
        <f t="shared" si="12"/>
        <v>7.8735580168628641</v>
      </c>
      <c r="F36" s="28">
        <f t="shared" si="12"/>
        <v>0.526822600234781</v>
      </c>
      <c r="G36" s="28">
        <f t="shared" si="12"/>
        <v>6.1423005975220137</v>
      </c>
      <c r="H36" s="28">
        <f t="shared" si="12"/>
        <v>0.56567387104744071</v>
      </c>
      <c r="I36" s="28">
        <f t="shared" si="12"/>
        <v>1.5548190891323621</v>
      </c>
      <c r="J36" s="28">
        <f t="shared" si="12"/>
        <v>0.19345847314583658</v>
      </c>
      <c r="K36" s="28">
        <f t="shared" si="12"/>
        <v>0.29997360067426171</v>
      </c>
      <c r="L36" s="28">
        <f t="shared" si="12"/>
        <v>0</v>
      </c>
      <c r="M36" s="28">
        <f t="shared" si="12"/>
        <v>10.283845671160998</v>
      </c>
      <c r="O36" s="70"/>
      <c r="Q36" s="68"/>
    </row>
    <row r="37" spans="1:17" ht="15" x14ac:dyDescent="0.35">
      <c r="B37" s="31">
        <f>SUM(B25:B36)</f>
        <v>402.52000000000004</v>
      </c>
      <c r="C37" s="31">
        <f>SUM(C25:C36)</f>
        <v>0</v>
      </c>
      <c r="D37" s="31">
        <f t="shared" ref="D37:L37" si="13">SUM(D25:D36)</f>
        <v>89.458584490515761</v>
      </c>
      <c r="E37" s="31">
        <f t="shared" si="13"/>
        <v>81.552250274228484</v>
      </c>
      <c r="F37" s="31">
        <f t="shared" si="13"/>
        <v>5.6069518677071208</v>
      </c>
      <c r="G37" s="31">
        <f>SUM(G25:G36)</f>
        <v>65.807897360916911</v>
      </c>
      <c r="H37" s="31">
        <f t="shared" si="13"/>
        <v>6.4263931947739099</v>
      </c>
      <c r="I37" s="31">
        <f t="shared" si="13"/>
        <v>13.759355413080446</v>
      </c>
      <c r="J37" s="31">
        <f t="shared" si="13"/>
        <v>2.1518099638303041</v>
      </c>
      <c r="K37" s="31">
        <f t="shared" si="13"/>
        <v>3.6028355230443703</v>
      </c>
      <c r="L37" s="31">
        <f t="shared" si="13"/>
        <v>0</v>
      </c>
      <c r="M37" s="31">
        <f>SUM(M25:M36)</f>
        <v>134.15392191190267</v>
      </c>
      <c r="O37" s="31"/>
      <c r="Q37" s="68"/>
    </row>
    <row r="40" spans="1:17" x14ac:dyDescent="0.2">
      <c r="A40" s="12" t="s">
        <v>57</v>
      </c>
    </row>
    <row r="41" spans="1:17" x14ac:dyDescent="0.2">
      <c r="A41" s="4" t="s">
        <v>58</v>
      </c>
      <c r="C41" s="18">
        <f>+'Reg. Res''l - SS Mix &amp; Prices'!C41</f>
        <v>0</v>
      </c>
      <c r="D41" s="18">
        <f>+'Reg. Res''l - SS Mix &amp; Prices'!D41</f>
        <v>95.78</v>
      </c>
      <c r="E41" s="18">
        <f>+'Reg. Res''l - SS Mix &amp; Prices'!E41</f>
        <v>154.36000000000001</v>
      </c>
      <c r="F41" s="18">
        <f>+'Reg. Res''l - SS Mix &amp; Prices'!F41</f>
        <v>1510.66</v>
      </c>
      <c r="G41" s="18">
        <f>+'Reg. Res''l - SS Mix &amp; Prices'!H41</f>
        <v>-23.33</v>
      </c>
      <c r="H41" s="18">
        <f>+'Reg. Res''l - SS Mix &amp; Prices'!G41</f>
        <v>219.49</v>
      </c>
      <c r="I41" s="18">
        <f>+'Reg. Res''l - SS Mix &amp; Prices'!I41</f>
        <v>260</v>
      </c>
      <c r="J41" s="18">
        <f>+'Reg. Res''l - SS Mix &amp; Prices'!J41</f>
        <v>820</v>
      </c>
      <c r="K41" s="18">
        <f>+'Reg. Res''l - SS Mix &amp; Prices'!K41</f>
        <v>220</v>
      </c>
      <c r="L41" s="18">
        <f>+'Reg. Res''l - SS Mix &amp; Prices'!L41</f>
        <v>-187.5</v>
      </c>
    </row>
    <row r="42" spans="1:17" x14ac:dyDescent="0.2">
      <c r="A42" s="4" t="s">
        <v>35</v>
      </c>
      <c r="C42" s="18">
        <f>+'Reg. Res''l - SS Mix &amp; Prices'!C42</f>
        <v>0</v>
      </c>
      <c r="D42" s="18">
        <f>+'Reg. Res''l - SS Mix &amp; Prices'!D42</f>
        <v>93.96</v>
      </c>
      <c r="E42" s="18">
        <f>+'Reg. Res''l - SS Mix &amp; Prices'!E42</f>
        <v>127.98</v>
      </c>
      <c r="F42" s="18">
        <f>+'Reg. Res''l - SS Mix &amp; Prices'!F42</f>
        <v>1599.53</v>
      </c>
      <c r="G42" s="18">
        <f>+'Reg. Res''l - SS Mix &amp; Prices'!H42</f>
        <v>-24.63</v>
      </c>
      <c r="H42" s="18">
        <f>+'Reg. Res''l - SS Mix &amp; Prices'!G42</f>
        <v>225</v>
      </c>
      <c r="I42" s="18">
        <f>+'Reg. Res''l - SS Mix &amp; Prices'!I42</f>
        <v>250</v>
      </c>
      <c r="J42" s="18">
        <f>+'Reg. Res''l - SS Mix &amp; Prices'!J42</f>
        <v>880</v>
      </c>
      <c r="K42" s="18">
        <f>+'Reg. Res''l - SS Mix &amp; Prices'!K42</f>
        <v>230</v>
      </c>
      <c r="L42" s="18">
        <f>+'Reg. Res''l - SS Mix &amp; Prices'!L42</f>
        <v>-187.5</v>
      </c>
    </row>
    <row r="43" spans="1:17" x14ac:dyDescent="0.2">
      <c r="A43" s="4" t="s">
        <v>36</v>
      </c>
      <c r="C43" s="18">
        <f>+'Reg. Res''l - SS Mix &amp; Prices'!C43</f>
        <v>0</v>
      </c>
      <c r="D43" s="18">
        <f>+'Reg. Res''l - SS Mix &amp; Prices'!D43</f>
        <v>76.39</v>
      </c>
      <c r="E43" s="18">
        <f>+'Reg. Res''l - SS Mix &amp; Prices'!E43</f>
        <v>136.16999999999999</v>
      </c>
      <c r="F43" s="18">
        <f>+'Reg. Res''l - SS Mix &amp; Prices'!F43</f>
        <v>1619.98</v>
      </c>
      <c r="G43" s="18">
        <f>+'Reg. Res''l - SS Mix &amp; Prices'!H43</f>
        <v>-21.95</v>
      </c>
      <c r="H43" s="18">
        <f>+'Reg. Res''l - SS Mix &amp; Prices'!G43</f>
        <v>199.09</v>
      </c>
      <c r="I43" s="18">
        <f>+'Reg. Res''l - SS Mix &amp; Prices'!I43</f>
        <v>240</v>
      </c>
      <c r="J43" s="18">
        <f>+'Reg. Res''l - SS Mix &amp; Prices'!J43</f>
        <v>1000</v>
      </c>
      <c r="K43" s="18">
        <f>+'Reg. Res''l - SS Mix &amp; Prices'!K43</f>
        <v>220</v>
      </c>
      <c r="L43" s="18">
        <f>+'Reg. Res''l - SS Mix &amp; Prices'!L43</f>
        <v>-187.5</v>
      </c>
    </row>
    <row r="44" spans="1:17" x14ac:dyDescent="0.2">
      <c r="A44" s="4" t="s">
        <v>37</v>
      </c>
      <c r="C44" s="18">
        <f>+'Reg. Res''l - SS Mix &amp; Prices'!C44</f>
        <v>0</v>
      </c>
      <c r="D44" s="18">
        <f>+'Reg. Res''l - SS Mix &amp; Prices'!D44</f>
        <v>68.27</v>
      </c>
      <c r="E44" s="18">
        <f>+'Reg. Res''l - SS Mix &amp; Prices'!E44</f>
        <v>116.06</v>
      </c>
      <c r="F44" s="18">
        <f>+'Reg. Res''l - SS Mix &amp; Prices'!F44</f>
        <v>1619.23</v>
      </c>
      <c r="G44" s="18">
        <f>+'Reg. Res''l - SS Mix &amp; Prices'!H44</f>
        <v>-22.52</v>
      </c>
      <c r="H44" s="18">
        <f>+'Reg. Res''l - SS Mix &amp; Prices'!G44</f>
        <v>188.78</v>
      </c>
      <c r="I44" s="18">
        <f>+'Reg. Res''l - SS Mix &amp; Prices'!I44</f>
        <v>210</v>
      </c>
      <c r="J44" s="18">
        <f>+'Reg. Res''l - SS Mix &amp; Prices'!J44</f>
        <v>1090.8900000000001</v>
      </c>
      <c r="K44" s="18">
        <f>+'Reg. Res''l - SS Mix &amp; Prices'!K44</f>
        <v>200</v>
      </c>
      <c r="L44" s="18">
        <f>+'Reg. Res''l - SS Mix &amp; Prices'!L44</f>
        <v>-187.5</v>
      </c>
    </row>
    <row r="45" spans="1:17" x14ac:dyDescent="0.2">
      <c r="A45" s="4" t="s">
        <v>45</v>
      </c>
      <c r="C45" s="18">
        <f>+'Reg. Res''l - SS Mix &amp; Prices'!C45</f>
        <v>0</v>
      </c>
      <c r="D45" s="18">
        <f>+'Reg. Res''l - SS Mix &amp; Prices'!D45</f>
        <v>62.07</v>
      </c>
      <c r="E45" s="18">
        <f>+'Reg. Res''l - SS Mix &amp; Prices'!E45</f>
        <v>113.15</v>
      </c>
      <c r="F45" s="18">
        <f>+'Reg. Res''l - SS Mix &amp; Prices'!F45</f>
        <v>1939.23</v>
      </c>
      <c r="G45" s="18">
        <f>+'Reg. Res''l - SS Mix &amp; Prices'!H45</f>
        <v>-16.77</v>
      </c>
      <c r="H45" s="18">
        <f>+'Reg. Res''l - SS Mix &amp; Prices'!G45</f>
        <v>192.69</v>
      </c>
      <c r="I45" s="18">
        <f>+'Reg. Res''l - SS Mix &amp; Prices'!I45</f>
        <v>180</v>
      </c>
      <c r="J45" s="18">
        <f>+'Reg. Res''l - SS Mix &amp; Prices'!J45</f>
        <v>1400</v>
      </c>
      <c r="K45" s="18">
        <f>+'Reg. Res''l - SS Mix &amp; Prices'!K45</f>
        <v>160</v>
      </c>
      <c r="L45" s="18">
        <f>+'Reg. Res''l - SS Mix &amp; Prices'!L45</f>
        <v>-187.5</v>
      </c>
    </row>
    <row r="46" spans="1:17" x14ac:dyDescent="0.2">
      <c r="A46" s="4" t="s">
        <v>38</v>
      </c>
      <c r="C46" s="18">
        <f>+'Reg. Res''l - SS Mix &amp; Prices'!C46</f>
        <v>0</v>
      </c>
      <c r="D46" s="18">
        <f>+'Reg. Res''l - SS Mix &amp; Prices'!D46</f>
        <v>67.36</v>
      </c>
      <c r="E46" s="18">
        <f>+'Reg. Res''l - SS Mix &amp; Prices'!E46</f>
        <v>122.19</v>
      </c>
      <c r="F46" s="18">
        <f>+'Reg. Res''l - SS Mix &amp; Prices'!F46</f>
        <v>2279.36</v>
      </c>
      <c r="G46" s="18">
        <f>+'Reg. Res''l - SS Mix &amp; Prices'!H46</f>
        <v>-16.16</v>
      </c>
      <c r="H46" s="18">
        <f>+'Reg. Res''l - SS Mix &amp; Prices'!G46</f>
        <v>204.3</v>
      </c>
      <c r="I46" s="18">
        <f>+'Reg. Res''l - SS Mix &amp; Prices'!I46</f>
        <v>180</v>
      </c>
      <c r="J46" s="18">
        <f>+'Reg. Res''l - SS Mix &amp; Prices'!J46</f>
        <v>1740</v>
      </c>
      <c r="K46" s="18">
        <f>+'Reg. Res''l - SS Mix &amp; Prices'!K46</f>
        <v>180</v>
      </c>
      <c r="L46" s="18">
        <f>+'Reg. Res''l - SS Mix &amp; Prices'!L46</f>
        <v>-187.5</v>
      </c>
    </row>
    <row r="47" spans="1:17" x14ac:dyDescent="0.2">
      <c r="A47" s="4" t="s">
        <v>39</v>
      </c>
      <c r="C47" s="18">
        <f>+'Reg. Res''l - SS Mix &amp; Prices'!C47</f>
        <v>0</v>
      </c>
      <c r="D47" s="18">
        <f>+'Reg. Res''l - SS Mix &amp; Prices'!D47</f>
        <v>81.44</v>
      </c>
      <c r="E47" s="18">
        <f>+'Reg. Res''l - SS Mix &amp; Prices'!E47</f>
        <v>127.23</v>
      </c>
      <c r="F47" s="18">
        <f>+'Reg. Res''l - SS Mix &amp; Prices'!F47</f>
        <v>2284.02</v>
      </c>
      <c r="G47" s="18">
        <f>+'Reg. Res''l - SS Mix &amp; Prices'!H47</f>
        <v>-21.65</v>
      </c>
      <c r="H47" s="18">
        <f>+'Reg. Res''l - SS Mix &amp; Prices'!G47</f>
        <v>220.07</v>
      </c>
      <c r="I47" s="18">
        <f>+'Reg. Res''l - SS Mix &amp; Prices'!I47</f>
        <v>200.6</v>
      </c>
      <c r="J47" s="18">
        <f>+'Reg. Res''l - SS Mix &amp; Prices'!J47</f>
        <v>1940</v>
      </c>
      <c r="K47" s="18">
        <f>+'Reg. Res''l - SS Mix &amp; Prices'!K47</f>
        <v>220</v>
      </c>
      <c r="L47" s="18">
        <f>+'Reg. Res''l - SS Mix &amp; Prices'!L47</f>
        <v>-187.5</v>
      </c>
      <c r="M47" s="38"/>
    </row>
    <row r="48" spans="1:17" x14ac:dyDescent="0.2">
      <c r="A48" s="4" t="s">
        <v>40</v>
      </c>
      <c r="C48" s="18">
        <f>+'Reg. Res''l - SS Mix &amp; Prices'!C48</f>
        <v>0</v>
      </c>
      <c r="D48" s="18">
        <f>+'Reg. Res''l - SS Mix &amp; Prices'!D48</f>
        <v>79.47</v>
      </c>
      <c r="E48" s="18">
        <f>+'Reg. Res''l - SS Mix &amp; Prices'!E48</f>
        <v>118.44</v>
      </c>
      <c r="F48" s="18">
        <f>+'Reg. Res''l - SS Mix &amp; Prices'!F48</f>
        <v>1955.58</v>
      </c>
      <c r="G48" s="18">
        <f>+'Reg. Res''l - SS Mix &amp; Prices'!H48</f>
        <v>-21.99</v>
      </c>
      <c r="H48" s="18">
        <f>+'Reg. Res''l - SS Mix &amp; Prices'!G48</f>
        <v>209.6</v>
      </c>
      <c r="I48" s="18">
        <f>+'Reg. Res''l - SS Mix &amp; Prices'!I48</f>
        <v>210</v>
      </c>
      <c r="J48" s="18">
        <f>+'Reg. Res''l - SS Mix &amp; Prices'!J48</f>
        <v>2120</v>
      </c>
      <c r="K48" s="18">
        <f>+'Reg. Res''l - SS Mix &amp; Prices'!K48</f>
        <v>220</v>
      </c>
      <c r="L48" s="18">
        <f>+'Reg. Res''l - SS Mix &amp; Prices'!L48</f>
        <v>-187.5</v>
      </c>
    </row>
    <row r="49" spans="1:12" x14ac:dyDescent="0.2">
      <c r="A49" s="4" t="s">
        <v>10</v>
      </c>
      <c r="C49" s="18">
        <f>+'Reg. Res''l - SS Mix &amp; Prices'!C49</f>
        <v>0</v>
      </c>
      <c r="D49" s="18">
        <f>+'Reg. Res''l - SS Mix &amp; Prices'!D49</f>
        <v>74</v>
      </c>
      <c r="E49" s="18">
        <f>+'Reg. Res''l - SS Mix &amp; Prices'!E49</f>
        <v>123.43</v>
      </c>
      <c r="F49" s="18">
        <f>+'Reg. Res''l - SS Mix &amp; Prices'!F49</f>
        <v>1996.35</v>
      </c>
      <c r="G49" s="18">
        <f>+'Reg. Res''l - SS Mix &amp; Prices'!H49</f>
        <v>-13.61</v>
      </c>
      <c r="H49" s="18">
        <f>+'Reg. Res''l - SS Mix &amp; Prices'!G49</f>
        <v>193.01</v>
      </c>
      <c r="I49" s="18">
        <f>+'Reg. Res''l - SS Mix &amp; Prices'!I49</f>
        <v>210</v>
      </c>
      <c r="J49" s="18">
        <f>+'Reg. Res''l - SS Mix &amp; Prices'!J49</f>
        <v>1700</v>
      </c>
      <c r="K49" s="18">
        <f>+'Reg. Res''l - SS Mix &amp; Prices'!K49</f>
        <v>100</v>
      </c>
      <c r="L49" s="18">
        <f>+'Reg. Res''l - SS Mix &amp; Prices'!L49</f>
        <v>-187.5</v>
      </c>
    </row>
    <row r="50" spans="1:12" x14ac:dyDescent="0.2">
      <c r="A50" s="4" t="s">
        <v>41</v>
      </c>
      <c r="C50" s="18">
        <f>+'Reg. Res''l - SS Mix &amp; Prices'!C50</f>
        <v>0</v>
      </c>
      <c r="D50" s="18">
        <f>+'Reg. Res''l - SS Mix &amp; Prices'!D50</f>
        <v>76.56</v>
      </c>
      <c r="E50" s="18">
        <f>+'Reg. Res''l - SS Mix &amp; Prices'!E50</f>
        <v>124.87</v>
      </c>
      <c r="F50" s="18">
        <f>+'Reg. Res''l - SS Mix &amp; Prices'!F50</f>
        <v>2440</v>
      </c>
      <c r="G50" s="18">
        <f>+'Reg. Res''l - SS Mix &amp; Prices'!H50</f>
        <v>-13.92</v>
      </c>
      <c r="H50" s="18">
        <f>+'Reg. Res''l - SS Mix &amp; Prices'!G50</f>
        <v>191.9</v>
      </c>
      <c r="I50" s="18">
        <f>+'Reg. Res''l - SS Mix &amp; Prices'!I50</f>
        <v>210</v>
      </c>
      <c r="J50" s="18">
        <f>+'Reg. Res''l - SS Mix &amp; Prices'!J50</f>
        <v>1336.65</v>
      </c>
      <c r="K50" s="18">
        <f>+'Reg. Res''l - SS Mix &amp; Prices'!K50</f>
        <v>85.36</v>
      </c>
      <c r="L50" s="18">
        <f>+'Reg. Res''l - SS Mix &amp; Prices'!L50</f>
        <v>-187.5</v>
      </c>
    </row>
    <row r="51" spans="1:12" x14ac:dyDescent="0.2">
      <c r="A51" s="4" t="s">
        <v>42</v>
      </c>
      <c r="C51" s="18">
        <f>+'Reg. Res''l - SS Mix &amp; Prices'!C51</f>
        <v>0</v>
      </c>
      <c r="D51" s="18">
        <f>+'Reg. Res''l - SS Mix &amp; Prices'!D51</f>
        <v>77.45</v>
      </c>
      <c r="E51" s="18">
        <f>+'Reg. Res''l - SS Mix &amp; Prices'!E51</f>
        <v>118.49</v>
      </c>
      <c r="F51" s="18">
        <f>+'Reg. Res''l - SS Mix &amp; Prices'!F51</f>
        <v>2066.59</v>
      </c>
      <c r="G51" s="18">
        <f>+'Reg. Res''l - SS Mix &amp; Prices'!H51</f>
        <v>-15.79</v>
      </c>
      <c r="H51" s="18">
        <f>+'Reg. Res''l - SS Mix &amp; Prices'!G51</f>
        <v>215.2</v>
      </c>
      <c r="I51" s="18">
        <f>+'Reg. Res''l - SS Mix &amp; Prices'!I51</f>
        <v>210</v>
      </c>
      <c r="J51" s="18">
        <f>+'Reg. Res''l - SS Mix &amp; Prices'!J51</f>
        <v>1100</v>
      </c>
      <c r="K51" s="18">
        <f>+'Reg. Res''l - SS Mix &amp; Prices'!K51</f>
        <v>90</v>
      </c>
      <c r="L51" s="18">
        <f>+'Reg. Res''l - SS Mix &amp; Prices'!L51</f>
        <v>-187.5</v>
      </c>
    </row>
    <row r="52" spans="1:12" x14ac:dyDescent="0.2">
      <c r="A52" s="4" t="s">
        <v>43</v>
      </c>
      <c r="C52" s="18">
        <f>+'Reg. Res''l - SS Mix &amp; Prices'!C52</f>
        <v>0</v>
      </c>
      <c r="D52" s="18">
        <f>+'Reg. Res''l - SS Mix &amp; Prices'!D52</f>
        <v>77.84</v>
      </c>
      <c r="E52" s="18">
        <f>+'Reg. Res''l - SS Mix &amp; Prices'!E52</f>
        <v>113.03</v>
      </c>
      <c r="F52" s="18">
        <f>+'Reg. Res''l - SS Mix &amp; Prices'!F52</f>
        <v>2114.31</v>
      </c>
      <c r="G52" s="18">
        <f>+'Reg. Res''l - SS Mix &amp; Prices'!H52</f>
        <v>-11.25</v>
      </c>
      <c r="H52" s="18">
        <f>+'Reg. Res''l - SS Mix &amp; Prices'!G52</f>
        <v>186.3</v>
      </c>
      <c r="I52" s="18">
        <f>+'Reg. Res''l - SS Mix &amp; Prices'!I52</f>
        <v>50</v>
      </c>
      <c r="J52" s="18">
        <f>+'Reg. Res''l - SS Mix &amp; Prices'!J52</f>
        <v>880</v>
      </c>
      <c r="K52" s="18">
        <f>+'Reg. Res''l - SS Mix &amp; Prices'!K52</f>
        <v>80</v>
      </c>
      <c r="L52" s="18">
        <f>+'Reg. Res''l - SS Mix &amp; Prices'!L52</f>
        <v>-187.5</v>
      </c>
    </row>
    <row r="55" spans="1:12" x14ac:dyDescent="0.2">
      <c r="A55" s="12" t="s">
        <v>60</v>
      </c>
    </row>
    <row r="56" spans="1:12" x14ac:dyDescent="0.2">
      <c r="A56" s="4" t="s">
        <v>58</v>
      </c>
      <c r="B56" s="20">
        <f t="shared" ref="B56:B67" si="14">SUM(C56:L56)</f>
        <v>3047.3177352209846</v>
      </c>
      <c r="C56" s="20">
        <f t="shared" ref="C56:L56" si="15">+C41*C25</f>
        <v>0</v>
      </c>
      <c r="D56" s="20">
        <f t="shared" si="15"/>
        <v>845.95200731069099</v>
      </c>
      <c r="E56" s="20">
        <f t="shared" si="15"/>
        <v>969.57334707501639</v>
      </c>
      <c r="F56" s="20">
        <f t="shared" si="15"/>
        <v>691.35553634488099</v>
      </c>
      <c r="G56" s="20">
        <f t="shared" si="15"/>
        <v>-126.47457699509555</v>
      </c>
      <c r="H56" s="20">
        <f t="shared" si="15"/>
        <v>97.997344547829229</v>
      </c>
      <c r="I56" s="20">
        <f t="shared" si="15"/>
        <v>332.02900119144994</v>
      </c>
      <c r="J56" s="20">
        <f t="shared" si="15"/>
        <v>150.97939759615795</v>
      </c>
      <c r="K56" s="20">
        <f t="shared" si="15"/>
        <v>85.905678150054754</v>
      </c>
      <c r="L56" s="20">
        <f t="shared" si="15"/>
        <v>0</v>
      </c>
    </row>
    <row r="57" spans="1:12" x14ac:dyDescent="0.2">
      <c r="A57" s="4" t="s">
        <v>35</v>
      </c>
      <c r="B57" s="20">
        <f t="shared" si="14"/>
        <v>2919.4707931611406</v>
      </c>
      <c r="C57" s="20">
        <f t="shared" ref="C57:L57" si="16">+C42*C26</f>
        <v>0</v>
      </c>
      <c r="D57" s="20">
        <f t="shared" si="16"/>
        <v>639.29117036133869</v>
      </c>
      <c r="E57" s="20">
        <f t="shared" si="16"/>
        <v>919.2147360585858</v>
      </c>
      <c r="F57" s="20">
        <f t="shared" si="16"/>
        <v>770.01785747522968</v>
      </c>
      <c r="G57" s="20">
        <f t="shared" si="16"/>
        <v>-118.78290807877832</v>
      </c>
      <c r="H57" s="20">
        <f t="shared" si="16"/>
        <v>144.40100156677613</v>
      </c>
      <c r="I57" s="20">
        <f t="shared" si="16"/>
        <v>307.00314778129638</v>
      </c>
      <c r="J57" s="20">
        <f t="shared" si="16"/>
        <v>158.34448774641942</v>
      </c>
      <c r="K57" s="20">
        <f t="shared" si="16"/>
        <v>99.981300250273136</v>
      </c>
      <c r="L57" s="20">
        <f t="shared" si="16"/>
        <v>0</v>
      </c>
    </row>
    <row r="58" spans="1:12" x14ac:dyDescent="0.2">
      <c r="A58" s="4" t="s">
        <v>36</v>
      </c>
      <c r="B58" s="20">
        <f t="shared" si="14"/>
        <v>2765.6067562120184</v>
      </c>
      <c r="C58" s="20">
        <f t="shared" ref="C58:L58" si="17">+C43*C27</f>
        <v>0</v>
      </c>
      <c r="D58" s="20">
        <f t="shared" si="17"/>
        <v>708.60799755740493</v>
      </c>
      <c r="E58" s="20">
        <f t="shared" si="17"/>
        <v>802.46937878161486</v>
      </c>
      <c r="F58" s="20">
        <f t="shared" si="17"/>
        <v>763.80548695017353</v>
      </c>
      <c r="G58" s="20">
        <f t="shared" si="17"/>
        <v>-111.74811344633805</v>
      </c>
      <c r="H58" s="20">
        <f t="shared" si="17"/>
        <v>105.73969376141399</v>
      </c>
      <c r="I58" s="20">
        <f t="shared" si="17"/>
        <v>257.50784968534134</v>
      </c>
      <c r="J58" s="20">
        <f t="shared" si="17"/>
        <v>166.09705665976725</v>
      </c>
      <c r="K58" s="20">
        <f t="shared" si="17"/>
        <v>73.127406262641358</v>
      </c>
      <c r="L58" s="20">
        <f t="shared" si="17"/>
        <v>0</v>
      </c>
    </row>
    <row r="59" spans="1:12" x14ac:dyDescent="0.2">
      <c r="A59" s="4" t="s">
        <v>37</v>
      </c>
      <c r="B59" s="20">
        <f t="shared" si="14"/>
        <v>3054.2491099852223</v>
      </c>
      <c r="C59" s="20">
        <f t="shared" ref="C59:L59" si="18">+C44*C28</f>
        <v>0</v>
      </c>
      <c r="D59" s="20">
        <f t="shared" si="18"/>
        <v>934.03362177296935</v>
      </c>
      <c r="E59" s="20">
        <f t="shared" si="18"/>
        <v>827.21462034840124</v>
      </c>
      <c r="F59" s="20">
        <f t="shared" si="18"/>
        <v>824.87669841930142</v>
      </c>
      <c r="G59" s="20">
        <f t="shared" si="18"/>
        <v>-152.61336787819494</v>
      </c>
      <c r="H59" s="20">
        <f t="shared" si="18"/>
        <v>116.77937361676874</v>
      </c>
      <c r="I59" s="20">
        <f t="shared" si="18"/>
        <v>219.68306385426192</v>
      </c>
      <c r="J59" s="20">
        <f t="shared" si="18"/>
        <v>220.83561787830925</v>
      </c>
      <c r="K59" s="20">
        <f t="shared" si="18"/>
        <v>63.43948197340513</v>
      </c>
      <c r="L59" s="20">
        <f t="shared" si="18"/>
        <v>0</v>
      </c>
    </row>
    <row r="60" spans="1:12" x14ac:dyDescent="0.2">
      <c r="A60" s="4" t="s">
        <v>45</v>
      </c>
      <c r="B60" s="20">
        <f t="shared" si="14"/>
        <v>2656.7439047104986</v>
      </c>
      <c r="C60" s="20">
        <f t="shared" ref="C60:L60" si="19">+C45*C29</f>
        <v>0</v>
      </c>
      <c r="D60" s="20">
        <f t="shared" si="19"/>
        <v>645.47120299907374</v>
      </c>
      <c r="E60" s="20">
        <f t="shared" si="19"/>
        <v>694.26695440430683</v>
      </c>
      <c r="F60" s="20">
        <f t="shared" si="19"/>
        <v>819.76137838003058</v>
      </c>
      <c r="G60" s="20">
        <f t="shared" si="19"/>
        <v>-119.00257210638246</v>
      </c>
      <c r="H60" s="20">
        <f t="shared" si="19"/>
        <v>110.53865039275487</v>
      </c>
      <c r="I60" s="20">
        <f t="shared" si="19"/>
        <v>189.74093311668531</v>
      </c>
      <c r="J60" s="20">
        <f t="shared" si="19"/>
        <v>271.43292864121315</v>
      </c>
      <c r="K60" s="20">
        <f t="shared" si="19"/>
        <v>44.53442888281625</v>
      </c>
      <c r="L60" s="20">
        <f t="shared" si="19"/>
        <v>0</v>
      </c>
    </row>
    <row r="61" spans="1:12" x14ac:dyDescent="0.2">
      <c r="A61" s="4" t="s">
        <v>38</v>
      </c>
      <c r="B61" s="20">
        <f t="shared" si="14"/>
        <v>2597.4227788651565</v>
      </c>
      <c r="C61" s="20">
        <f t="shared" ref="C61:L61" si="20">+C46*C30</f>
        <v>0</v>
      </c>
      <c r="D61" s="20">
        <f t="shared" si="20"/>
        <v>464.75815852888286</v>
      </c>
      <c r="E61" s="20">
        <f t="shared" si="20"/>
        <v>706.76238550555217</v>
      </c>
      <c r="F61" s="20">
        <f t="shared" si="20"/>
        <v>907.1710891382445</v>
      </c>
      <c r="G61" s="20">
        <f t="shared" si="20"/>
        <v>-72.909392347922932</v>
      </c>
      <c r="H61" s="20">
        <f t="shared" si="20"/>
        <v>97.726254146484621</v>
      </c>
      <c r="I61" s="20">
        <f t="shared" si="20"/>
        <v>158.86436092639647</v>
      </c>
      <c r="J61" s="20">
        <f t="shared" si="20"/>
        <v>299.36334618462212</v>
      </c>
      <c r="K61" s="20">
        <f t="shared" si="20"/>
        <v>35.686576782896829</v>
      </c>
      <c r="L61" s="20">
        <f t="shared" si="20"/>
        <v>0</v>
      </c>
    </row>
    <row r="62" spans="1:12" x14ac:dyDescent="0.2">
      <c r="A62" s="4" t="s">
        <v>39</v>
      </c>
      <c r="B62" s="20">
        <f t="shared" si="14"/>
        <v>2848.1055100180702</v>
      </c>
      <c r="C62" s="20">
        <f t="shared" ref="C62:L62" si="21">+C47*C31</f>
        <v>0</v>
      </c>
      <c r="D62" s="20">
        <f t="shared" si="21"/>
        <v>434.22594489455543</v>
      </c>
      <c r="E62" s="20">
        <f t="shared" si="21"/>
        <v>876.09785018578737</v>
      </c>
      <c r="F62" s="20">
        <f t="shared" si="21"/>
        <v>953.84159787935266</v>
      </c>
      <c r="G62" s="20">
        <f t="shared" si="21"/>
        <v>-120.05403287478202</v>
      </c>
      <c r="H62" s="20">
        <f t="shared" si="21"/>
        <v>107.65739566606543</v>
      </c>
      <c r="I62" s="20">
        <f t="shared" si="21"/>
        <v>197.47214852171496</v>
      </c>
      <c r="J62" s="20">
        <f t="shared" si="21"/>
        <v>342.44161298875412</v>
      </c>
      <c r="K62" s="20">
        <f t="shared" si="21"/>
        <v>56.422992756621866</v>
      </c>
      <c r="L62" s="20">
        <f t="shared" si="21"/>
        <v>0</v>
      </c>
    </row>
    <row r="63" spans="1:12" x14ac:dyDescent="0.2">
      <c r="A63" s="4" t="s">
        <v>40</v>
      </c>
      <c r="B63" s="20">
        <f t="shared" si="14"/>
        <v>2715.2342116064356</v>
      </c>
      <c r="C63" s="20">
        <f t="shared" ref="C63:L63" si="22">+C48*C32</f>
        <v>0</v>
      </c>
      <c r="D63" s="20">
        <f t="shared" si="22"/>
        <v>290.35144591595059</v>
      </c>
      <c r="E63" s="20">
        <f t="shared" si="22"/>
        <v>827.44902000250283</v>
      </c>
      <c r="F63" s="20">
        <f t="shared" si="22"/>
        <v>927.72840574431098</v>
      </c>
      <c r="G63" s="20">
        <f t="shared" si="22"/>
        <v>-101.21384288228143</v>
      </c>
      <c r="H63" s="20">
        <f t="shared" si="22"/>
        <v>110.00562050267021</v>
      </c>
      <c r="I63" s="20">
        <f t="shared" si="22"/>
        <v>240.99430684923888</v>
      </c>
      <c r="J63" s="20">
        <f t="shared" si="22"/>
        <v>366.34882869409779</v>
      </c>
      <c r="K63" s="20">
        <f t="shared" si="22"/>
        <v>53.570426779945549</v>
      </c>
      <c r="L63" s="20">
        <f t="shared" si="22"/>
        <v>0</v>
      </c>
    </row>
    <row r="64" spans="1:12" x14ac:dyDescent="0.2">
      <c r="A64" s="4" t="s">
        <v>10</v>
      </c>
      <c r="B64" s="20">
        <f t="shared" si="14"/>
        <v>2716.8544660773418</v>
      </c>
      <c r="C64" s="20">
        <f t="shared" ref="C64:L64" si="23">+C49*C33</f>
        <v>0</v>
      </c>
      <c r="D64" s="20">
        <f t="shared" si="23"/>
        <v>240.09731796366574</v>
      </c>
      <c r="E64" s="20">
        <f t="shared" si="23"/>
        <v>856.98396915324429</v>
      </c>
      <c r="F64" s="20">
        <f t="shared" si="23"/>
        <v>1024.5807916808094</v>
      </c>
      <c r="G64" s="20">
        <f t="shared" si="23"/>
        <v>-67.252775228769622</v>
      </c>
      <c r="H64" s="20">
        <f t="shared" si="23"/>
        <v>96.305188478892404</v>
      </c>
      <c r="I64" s="20">
        <f t="shared" si="23"/>
        <v>246.3092143923574</v>
      </c>
      <c r="J64" s="20">
        <f t="shared" si="23"/>
        <v>291.63591232211479</v>
      </c>
      <c r="K64" s="20">
        <f t="shared" si="23"/>
        <v>28.194847315027193</v>
      </c>
      <c r="L64" s="20">
        <f t="shared" si="23"/>
        <v>0</v>
      </c>
    </row>
    <row r="65" spans="1:12" x14ac:dyDescent="0.2">
      <c r="A65" s="4" t="s">
        <v>41</v>
      </c>
      <c r="B65" s="20">
        <f t="shared" si="14"/>
        <v>2847.7652614157578</v>
      </c>
      <c r="C65" s="20">
        <f t="shared" ref="C65:L65" si="24">+C50*C34</f>
        <v>0</v>
      </c>
      <c r="D65" s="20">
        <f t="shared" si="24"/>
        <v>506.66042211448007</v>
      </c>
      <c r="E65" s="20">
        <f t="shared" si="24"/>
        <v>816.94289513245985</v>
      </c>
      <c r="F65" s="20">
        <f t="shared" si="24"/>
        <v>1046.682040869719</v>
      </c>
      <c r="G65" s="20">
        <f t="shared" si="24"/>
        <v>-65.073844276470766</v>
      </c>
      <c r="H65" s="20">
        <f t="shared" si="24"/>
        <v>91.17224862632159</v>
      </c>
      <c r="I65" s="20">
        <f t="shared" si="24"/>
        <v>216.1751506373663</v>
      </c>
      <c r="J65" s="20">
        <f t="shared" si="24"/>
        <v>215.14987097181486</v>
      </c>
      <c r="K65" s="20">
        <f t="shared" si="24"/>
        <v>20.056477340067165</v>
      </c>
      <c r="L65" s="20">
        <f t="shared" si="24"/>
        <v>0</v>
      </c>
    </row>
    <row r="66" spans="1:12" x14ac:dyDescent="0.2">
      <c r="A66" s="4" t="s">
        <v>42</v>
      </c>
      <c r="B66" s="20">
        <f t="shared" si="14"/>
        <v>3066.8213725369765</v>
      </c>
      <c r="C66" s="20">
        <f t="shared" ref="C66:L66" si="25">+C51*C35</f>
        <v>0</v>
      </c>
      <c r="D66" s="20">
        <f t="shared" si="25"/>
        <v>555.99396676825245</v>
      </c>
      <c r="E66" s="20">
        <f t="shared" si="25"/>
        <v>938.06305483870051</v>
      </c>
      <c r="F66" s="20">
        <f t="shared" si="25"/>
        <v>1044.1021448030544</v>
      </c>
      <c r="G66" s="20">
        <f t="shared" si="25"/>
        <v>-97.611875486145706</v>
      </c>
      <c r="H66" s="20">
        <f t="shared" si="25"/>
        <v>125.38349568360782</v>
      </c>
      <c r="I66" s="20">
        <f t="shared" si="25"/>
        <v>274.97985389805052</v>
      </c>
      <c r="J66" s="20">
        <f t="shared" si="25"/>
        <v>195.79631528560452</v>
      </c>
      <c r="K66" s="20">
        <f t="shared" si="25"/>
        <v>30.114416745852299</v>
      </c>
      <c r="L66" s="20">
        <f t="shared" si="25"/>
        <v>0</v>
      </c>
    </row>
    <row r="67" spans="1:12" ht="15" x14ac:dyDescent="0.35">
      <c r="A67" s="4" t="s">
        <v>43</v>
      </c>
      <c r="B67" s="27">
        <f t="shared" si="14"/>
        <v>2898.9594364456016</v>
      </c>
      <c r="C67" s="27">
        <f t="shared" ref="C67:L67" si="26">+C52*C36</f>
        <v>0</v>
      </c>
      <c r="D67" s="27">
        <f t="shared" si="26"/>
        <v>586.87842256428132</v>
      </c>
      <c r="E67" s="27">
        <f t="shared" si="26"/>
        <v>889.94826264600954</v>
      </c>
      <c r="F67" s="27">
        <f t="shared" si="26"/>
        <v>1113.8662919023998</v>
      </c>
      <c r="G67" s="27">
        <f t="shared" si="26"/>
        <v>-69.100881722122651</v>
      </c>
      <c r="H67" s="27">
        <f t="shared" si="26"/>
        <v>105.38504217613821</v>
      </c>
      <c r="I67" s="27">
        <f t="shared" si="26"/>
        <v>77.740954456618113</v>
      </c>
      <c r="J67" s="27">
        <f t="shared" si="26"/>
        <v>170.24345636833618</v>
      </c>
      <c r="K67" s="27">
        <f t="shared" si="26"/>
        <v>23.997888053940937</v>
      </c>
      <c r="L67" s="27">
        <f t="shared" si="26"/>
        <v>0</v>
      </c>
    </row>
    <row r="68" spans="1:12" ht="15" x14ac:dyDescent="0.35">
      <c r="B68" s="39">
        <f>SUM(B56:B67)</f>
        <v>34134.551336255201</v>
      </c>
      <c r="C68" s="39">
        <f>SUM(C56:C67)</f>
        <v>0</v>
      </c>
      <c r="D68" s="39">
        <f>SUM(D56:D67)</f>
        <v>6852.3216787515448</v>
      </c>
      <c r="E68" s="39">
        <f t="shared" ref="E68:L68" si="27">SUM(E56:E67)</f>
        <v>10124.98647413218</v>
      </c>
      <c r="F68" s="39">
        <f t="shared" si="27"/>
        <v>10887.789319587508</v>
      </c>
      <c r="G68" s="39">
        <f>SUM(G56:G67)</f>
        <v>-1221.8381833232845</v>
      </c>
      <c r="H68" s="39">
        <f t="shared" si="27"/>
        <v>1309.0913091657235</v>
      </c>
      <c r="I68" s="39">
        <f t="shared" si="27"/>
        <v>2718.499985310777</v>
      </c>
      <c r="J68" s="39">
        <f t="shared" si="27"/>
        <v>2848.6688313372115</v>
      </c>
      <c r="K68" s="39">
        <f t="shared" si="27"/>
        <v>615.03192129354261</v>
      </c>
      <c r="L68" s="39">
        <f t="shared" si="27"/>
        <v>0</v>
      </c>
    </row>
  </sheetData>
  <pageMargins left="0.7" right="0.7" top="0.75" bottom="0.75" header="0.3" footer="0.3"/>
  <pageSetup scale="75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696842-BE0B-4A5A-97C5-016CDFE27F31}">
  <sheetPr>
    <tabColor rgb="FF00B050"/>
    <pageSetUpPr fitToPage="1"/>
  </sheetPr>
  <dimension ref="A1:AJ61"/>
  <sheetViews>
    <sheetView workbookViewId="0">
      <selection activeCell="H21" sqref="H21"/>
    </sheetView>
  </sheetViews>
  <sheetFormatPr defaultRowHeight="12.75" x14ac:dyDescent="0.2"/>
  <cols>
    <col min="1" max="1" width="9.140625" style="146"/>
    <col min="2" max="2" width="10.42578125" style="146" bestFit="1" customWidth="1"/>
    <col min="3" max="3" width="9.28515625" style="146" bestFit="1" customWidth="1"/>
    <col min="4" max="4" width="10.42578125" style="146" bestFit="1" customWidth="1"/>
    <col min="5" max="5" width="4.85546875" style="146" customWidth="1"/>
    <col min="6" max="9" width="10.42578125" style="146" customWidth="1"/>
    <col min="10" max="10" width="11.140625" style="146" bestFit="1" customWidth="1"/>
    <col min="11" max="12" width="9.28515625" style="146" bestFit="1" customWidth="1"/>
    <col min="13" max="13" width="10.28515625" style="146" bestFit="1" customWidth="1"/>
    <col min="14" max="14" width="9.28515625" style="146" bestFit="1" customWidth="1"/>
    <col min="15" max="15" width="10.7109375" style="146" bestFit="1" customWidth="1"/>
    <col min="16" max="17" width="7.7109375" style="146" bestFit="1" customWidth="1"/>
    <col min="18" max="18" width="8.140625" style="146" bestFit="1" customWidth="1"/>
    <col min="19" max="19" width="7.85546875" style="146" bestFit="1" customWidth="1"/>
    <col min="20" max="20" width="9.28515625" style="146" bestFit="1" customWidth="1"/>
    <col min="21" max="21" width="3.5703125" style="146" customWidth="1"/>
    <col min="22" max="22" width="11.140625" style="146" bestFit="1" customWidth="1"/>
    <col min="23" max="23" width="11.140625" style="146" customWidth="1"/>
    <col min="24" max="24" width="12.42578125" style="146" bestFit="1" customWidth="1"/>
    <col min="25" max="16384" width="9.140625" style="146"/>
  </cols>
  <sheetData>
    <row r="1" spans="1:36" ht="26.25" x14ac:dyDescent="0.4">
      <c r="A1" s="145" t="s">
        <v>18</v>
      </c>
    </row>
    <row r="2" spans="1:36" ht="15" x14ac:dyDescent="0.25">
      <c r="A2" s="147" t="s">
        <v>164</v>
      </c>
    </row>
    <row r="5" spans="1:36" x14ac:dyDescent="0.2">
      <c r="B5" s="691" t="s">
        <v>127</v>
      </c>
      <c r="C5" s="691"/>
      <c r="D5" s="691"/>
      <c r="E5" s="10"/>
      <c r="F5" s="691" t="s">
        <v>90</v>
      </c>
      <c r="G5" s="691"/>
      <c r="H5" s="691"/>
      <c r="I5" s="691"/>
    </row>
    <row r="6" spans="1:36" x14ac:dyDescent="0.2">
      <c r="B6" s="2" t="s">
        <v>22</v>
      </c>
      <c r="D6" s="2" t="s">
        <v>101</v>
      </c>
      <c r="E6" s="2"/>
      <c r="F6" s="2" t="s">
        <v>101</v>
      </c>
      <c r="G6" s="2"/>
      <c r="H6" s="2"/>
      <c r="I6" s="2"/>
      <c r="X6" s="2" t="s">
        <v>90</v>
      </c>
    </row>
    <row r="7" spans="1:36" x14ac:dyDescent="0.2">
      <c r="B7" s="2" t="s">
        <v>99</v>
      </c>
      <c r="C7" s="2" t="s">
        <v>24</v>
      </c>
      <c r="D7" s="2" t="s">
        <v>102</v>
      </c>
      <c r="E7" s="2"/>
      <c r="F7" s="2" t="s">
        <v>102</v>
      </c>
      <c r="G7" s="2"/>
      <c r="H7" s="2" t="s">
        <v>24</v>
      </c>
      <c r="I7" s="2"/>
      <c r="J7" s="256" t="s">
        <v>98</v>
      </c>
      <c r="K7" s="41" t="s">
        <v>46</v>
      </c>
      <c r="L7" s="41"/>
      <c r="M7" s="41" t="s">
        <v>1</v>
      </c>
      <c r="N7" s="41"/>
      <c r="O7" s="41"/>
      <c r="P7" s="41"/>
      <c r="Q7" s="41" t="s">
        <v>2</v>
      </c>
      <c r="R7" s="41" t="s">
        <v>2</v>
      </c>
      <c r="S7" s="41" t="s">
        <v>48</v>
      </c>
      <c r="X7" s="2" t="s">
        <v>24</v>
      </c>
      <c r="Y7" s="2"/>
    </row>
    <row r="8" spans="1:36" x14ac:dyDescent="0.2">
      <c r="B8" s="10" t="s">
        <v>0</v>
      </c>
      <c r="C8" s="10" t="s">
        <v>0</v>
      </c>
      <c r="D8" s="10" t="s">
        <v>0</v>
      </c>
      <c r="E8" s="10"/>
      <c r="F8" s="10" t="s">
        <v>0</v>
      </c>
      <c r="G8" s="10" t="s">
        <v>93</v>
      </c>
      <c r="H8" s="10" t="s">
        <v>0</v>
      </c>
      <c r="I8" s="10" t="s">
        <v>93</v>
      </c>
      <c r="J8" s="42" t="s">
        <v>92</v>
      </c>
      <c r="K8" s="42" t="s">
        <v>49</v>
      </c>
      <c r="L8" s="42" t="s">
        <v>50</v>
      </c>
      <c r="M8" s="42" t="s">
        <v>51</v>
      </c>
      <c r="N8" s="42" t="s">
        <v>4</v>
      </c>
      <c r="O8" s="42" t="s">
        <v>52</v>
      </c>
      <c r="P8" s="42" t="s">
        <v>3</v>
      </c>
      <c r="Q8" s="42" t="s">
        <v>53</v>
      </c>
      <c r="R8" s="42" t="s">
        <v>54</v>
      </c>
      <c r="S8" s="42" t="s">
        <v>55</v>
      </c>
      <c r="T8" s="59" t="s">
        <v>86</v>
      </c>
      <c r="X8" s="10" t="s">
        <v>0</v>
      </c>
      <c r="Y8" s="10" t="s">
        <v>93</v>
      </c>
    </row>
    <row r="9" spans="1:36" x14ac:dyDescent="0.2">
      <c r="B9" s="10"/>
      <c r="C9" s="10"/>
      <c r="D9" s="10"/>
      <c r="E9" s="10"/>
      <c r="F9" s="10"/>
      <c r="G9" s="10"/>
      <c r="H9" s="10"/>
      <c r="I9" s="10"/>
      <c r="J9" s="42"/>
      <c r="K9" s="42"/>
      <c r="L9" s="42"/>
      <c r="M9" s="42"/>
      <c r="N9" s="42"/>
      <c r="O9" s="42"/>
      <c r="P9" s="42"/>
      <c r="Q9" s="42"/>
      <c r="R9" s="42"/>
      <c r="S9" s="42"/>
      <c r="T9" s="59"/>
      <c r="X9" s="10"/>
      <c r="Y9" s="10"/>
    </row>
    <row r="10" spans="1:36" x14ac:dyDescent="0.2">
      <c r="A10" s="148" t="s">
        <v>177</v>
      </c>
      <c r="B10" s="508">
        <v>1106.22</v>
      </c>
      <c r="C10" s="509">
        <v>64.260000000000005</v>
      </c>
      <c r="D10" s="149">
        <f>+B10-C10</f>
        <v>1041.96</v>
      </c>
      <c r="E10" s="149"/>
      <c r="F10" s="510">
        <v>841.66</v>
      </c>
      <c r="G10" s="218">
        <f>+F10/D10</f>
        <v>0.80776613305693112</v>
      </c>
      <c r="H10" s="509">
        <v>32.31</v>
      </c>
      <c r="I10" s="342">
        <f>+H10/C10</f>
        <v>0.50280112044817926</v>
      </c>
      <c r="J10" s="139">
        <v>0</v>
      </c>
      <c r="K10" s="139">
        <f>+'Composition - CRC'!C$6</f>
        <v>0.27335935090037949</v>
      </c>
      <c r="L10" s="139">
        <f>+'Composition - CRC'!C$7</f>
        <v>0.19440567594261801</v>
      </c>
      <c r="M10" s="139">
        <f>+'Composition - CRC'!C$8</f>
        <v>1.4164386120316626E-2</v>
      </c>
      <c r="N10" s="139">
        <f>+'Composition - CRC'!C$9</f>
        <v>0.16778438436568738</v>
      </c>
      <c r="O10" s="139">
        <f>+'Composition - CRC'!C$14</f>
        <v>1.3818554355301105E-2</v>
      </c>
      <c r="P10" s="139">
        <f>+'Composition - CRC'!C$10</f>
        <v>3.9524438872396012E-2</v>
      </c>
      <c r="Q10" s="139">
        <f>+'Composition - CRC'!C$11</f>
        <v>5.6985829953785337E-3</v>
      </c>
      <c r="R10" s="139">
        <f>+'Composition - CRC'!C$12</f>
        <v>1.2085433464175847E-2</v>
      </c>
      <c r="S10" s="139">
        <f>+'Composition - CRC'!C$13</f>
        <v>0</v>
      </c>
      <c r="T10" s="139">
        <f>1-SUM(J10:S10)</f>
        <v>0.27915919298374703</v>
      </c>
      <c r="V10" s="156"/>
      <c r="W10" s="157">
        <v>751.99</v>
      </c>
      <c r="X10" s="187">
        <v>46.59</v>
      </c>
      <c r="Y10" s="342">
        <f t="shared" ref="Y10:Y19" si="0">+X10/C10</f>
        <v>0.72502334267040147</v>
      </c>
      <c r="AA10" s="149"/>
      <c r="AB10" s="139"/>
      <c r="AC10" s="139"/>
      <c r="AD10" s="139"/>
      <c r="AE10" s="139"/>
      <c r="AF10" s="139"/>
      <c r="AG10" s="139"/>
      <c r="AH10" s="139"/>
      <c r="AI10" s="139"/>
      <c r="AJ10" s="139"/>
    </row>
    <row r="11" spans="1:36" x14ac:dyDescent="0.2">
      <c r="A11" s="148" t="s">
        <v>35</v>
      </c>
      <c r="B11" s="508">
        <v>1196.79</v>
      </c>
      <c r="C11" s="508">
        <v>66.040000000000006</v>
      </c>
      <c r="D11" s="149">
        <f t="shared" ref="D11:D21" si="1">+B11-C11</f>
        <v>1130.75</v>
      </c>
      <c r="E11" s="149"/>
      <c r="F11" s="508">
        <v>892.02</v>
      </c>
      <c r="G11" s="218">
        <f t="shared" ref="G11:G22" si="2">+F11/D11</f>
        <v>0.78887464072518243</v>
      </c>
      <c r="H11" s="508">
        <v>34.26</v>
      </c>
      <c r="I11" s="342">
        <f t="shared" ref="I11:I22" si="3">+H11/C11</f>
        <v>0.51877649909145962</v>
      </c>
      <c r="J11" s="139">
        <v>0</v>
      </c>
      <c r="K11" s="139">
        <f>+'Composition - CRC'!E$6</f>
        <v>0.19859501340428887</v>
      </c>
      <c r="L11" s="139">
        <f>+'Composition - CRC'!E$7</f>
        <v>0.20964645035353913</v>
      </c>
      <c r="M11" s="139">
        <f>+'Composition - CRC'!E$8</f>
        <v>1.4051446962283016E-2</v>
      </c>
      <c r="N11" s="139">
        <f>+'Composition - CRC'!E$9</f>
        <v>0.14076743045026502</v>
      </c>
      <c r="O11" s="139">
        <f>+'Composition - CRC'!E$14</f>
        <v>1.8732697874654751E-2</v>
      </c>
      <c r="P11" s="139">
        <f>+'Composition - CRC'!E$10</f>
        <v>3.5843916845452004E-2</v>
      </c>
      <c r="Q11" s="139">
        <f>+'Composition - CRC'!E$11</f>
        <v>5.2520991796164169E-3</v>
      </c>
      <c r="R11" s="139">
        <f>+'Composition - CRC'!E$12</f>
        <v>1.2688304303443379E-2</v>
      </c>
      <c r="S11" s="139">
        <f>+'Composition - CRC'!E$13</f>
        <v>0</v>
      </c>
      <c r="T11" s="139">
        <f t="shared" ref="T11:T21" si="4">1-SUM(J11:S11)</f>
        <v>0.36442264062645746</v>
      </c>
      <c r="U11" s="346" t="s">
        <v>139</v>
      </c>
      <c r="V11" s="156"/>
      <c r="W11" s="156"/>
      <c r="X11" s="187">
        <v>55.76</v>
      </c>
      <c r="Y11" s="342">
        <f t="shared" si="0"/>
        <v>0.84433676559660797</v>
      </c>
      <c r="AA11" s="149"/>
      <c r="AB11" s="139"/>
      <c r="AC11" s="139"/>
      <c r="AD11" s="139"/>
      <c r="AE11" s="139"/>
      <c r="AF11" s="139"/>
      <c r="AG11" s="139"/>
      <c r="AH11" s="139"/>
      <c r="AI11" s="139"/>
      <c r="AJ11" s="139"/>
    </row>
    <row r="12" spans="1:36" x14ac:dyDescent="0.2">
      <c r="A12" s="148" t="s">
        <v>36</v>
      </c>
      <c r="B12" s="508">
        <v>1165.3399999999999</v>
      </c>
      <c r="C12" s="508">
        <v>71</v>
      </c>
      <c r="D12" s="149">
        <f t="shared" si="1"/>
        <v>1094.3399999999999</v>
      </c>
      <c r="E12" s="149"/>
      <c r="F12" s="508">
        <v>904.81</v>
      </c>
      <c r="G12" s="218">
        <f t="shared" si="2"/>
        <v>0.82680885282453354</v>
      </c>
      <c r="H12" s="508">
        <v>35.11</v>
      </c>
      <c r="I12" s="342">
        <f t="shared" si="3"/>
        <v>0.4945070422535211</v>
      </c>
      <c r="J12" s="139">
        <v>0</v>
      </c>
      <c r="K12" s="139">
        <f>+'Composition - CRC'!G$6</f>
        <v>0.26420358731828331</v>
      </c>
      <c r="L12" s="139">
        <f>+'Composition - CRC'!G$7</f>
        <v>0.16784801220348985</v>
      </c>
      <c r="M12" s="139">
        <f>+'Composition - CRC'!G$8</f>
        <v>1.3428957258913974E-2</v>
      </c>
      <c r="N12" s="139">
        <f>+'Composition - CRC'!G$9</f>
        <v>0.14500228497139556</v>
      </c>
      <c r="O12" s="139">
        <f>+'Composition - CRC'!G$14</f>
        <v>1.5127172949282378E-2</v>
      </c>
      <c r="P12" s="139">
        <f>+'Composition - CRC'!G$10</f>
        <v>3.0559651771259536E-2</v>
      </c>
      <c r="Q12" s="139">
        <f>+'Composition - CRC'!G$11</f>
        <v>4.7307620808820063E-3</v>
      </c>
      <c r="R12" s="139">
        <f>+'Composition - CRC'!G$12</f>
        <v>9.4673113413222543E-3</v>
      </c>
      <c r="S12" s="139">
        <f>+'Composition - CRC'!G$13</f>
        <v>0</v>
      </c>
      <c r="T12" s="139">
        <f t="shared" si="4"/>
        <v>0.34963226010517123</v>
      </c>
      <c r="U12" s="346" t="s">
        <v>140</v>
      </c>
      <c r="V12" s="156"/>
      <c r="W12" s="156"/>
      <c r="X12" s="187">
        <v>51.05</v>
      </c>
      <c r="Y12" s="342">
        <f t="shared" si="0"/>
        <v>0.71901408450704218</v>
      </c>
      <c r="AA12" s="149"/>
      <c r="AB12" s="139"/>
      <c r="AC12" s="139"/>
      <c r="AD12" s="139"/>
      <c r="AE12" s="139"/>
      <c r="AF12" s="139"/>
      <c r="AG12" s="139"/>
      <c r="AH12" s="139"/>
      <c r="AI12" s="139"/>
      <c r="AJ12" s="139"/>
    </row>
    <row r="13" spans="1:36" x14ac:dyDescent="0.2">
      <c r="A13" s="148" t="s">
        <v>37</v>
      </c>
      <c r="B13" s="508">
        <v>1372.72</v>
      </c>
      <c r="C13" s="508">
        <v>78.17</v>
      </c>
      <c r="D13" s="149">
        <f t="shared" si="1"/>
        <v>1294.55</v>
      </c>
      <c r="E13" s="149"/>
      <c r="F13" s="508">
        <v>967.13</v>
      </c>
      <c r="G13" s="218">
        <f t="shared" si="2"/>
        <v>0.74707813525935651</v>
      </c>
      <c r="H13" s="508">
        <v>40.54</v>
      </c>
      <c r="I13" s="342">
        <f t="shared" si="3"/>
        <v>0.51861327875143914</v>
      </c>
      <c r="J13" s="139">
        <v>0</v>
      </c>
      <c r="K13" s="139">
        <f>+'Composition - CRC'!I$6</f>
        <v>0.3374806386569395</v>
      </c>
      <c r="L13" s="139">
        <f>+'Composition - CRC'!I$7</f>
        <v>0.17581336694168645</v>
      </c>
      <c r="M13" s="139">
        <f>+'Composition - CRC'!I$8</f>
        <v>1.2565991154689286E-2</v>
      </c>
      <c r="N13" s="139">
        <f>+'Composition - CRC'!I$9</f>
        <v>0.16716311136052603</v>
      </c>
      <c r="O13" s="139">
        <f>+'Composition - CRC'!I$14</f>
        <v>1.525901202721423E-2</v>
      </c>
      <c r="P13" s="139">
        <f>+'Composition - CRC'!I$10</f>
        <v>2.580438647946319E-2</v>
      </c>
      <c r="Q13" s="139">
        <f>+'Composition - CRC'!I$11</f>
        <v>4.9934926579957989E-3</v>
      </c>
      <c r="R13" s="139">
        <f>+'Composition - CRC'!I$12</f>
        <v>7.8243071008146439E-3</v>
      </c>
      <c r="S13" s="139">
        <f>+'Composition - CRC'!I$13</f>
        <v>0</v>
      </c>
      <c r="T13" s="139">
        <f t="shared" si="4"/>
        <v>0.25309569362067108</v>
      </c>
      <c r="U13" s="346" t="s">
        <v>141</v>
      </c>
      <c r="V13" s="156"/>
      <c r="W13" s="156"/>
      <c r="X13" s="187">
        <v>55.96</v>
      </c>
      <c r="Y13" s="342">
        <f t="shared" si="0"/>
        <v>0.71587565562236155</v>
      </c>
      <c r="AA13" s="149"/>
      <c r="AB13" s="139"/>
      <c r="AC13" s="139"/>
      <c r="AD13" s="139"/>
      <c r="AE13" s="139"/>
      <c r="AF13" s="139"/>
      <c r="AG13" s="139"/>
      <c r="AH13" s="139"/>
      <c r="AI13" s="139"/>
      <c r="AJ13" s="139"/>
    </row>
    <row r="14" spans="1:36" x14ac:dyDescent="0.2">
      <c r="A14" s="148" t="s">
        <v>178</v>
      </c>
      <c r="B14" s="508">
        <v>1340.17</v>
      </c>
      <c r="C14" s="508">
        <v>76.62</v>
      </c>
      <c r="D14" s="149">
        <f t="shared" si="1"/>
        <v>1263.5500000000002</v>
      </c>
      <c r="E14" s="149"/>
      <c r="F14" s="508">
        <v>1010.32</v>
      </c>
      <c r="G14" s="218">
        <f t="shared" si="2"/>
        <v>0.79958846108187243</v>
      </c>
      <c r="H14" s="508">
        <v>36.700000000000003</v>
      </c>
      <c r="I14" s="342">
        <f t="shared" si="3"/>
        <v>0.47898720960584706</v>
      </c>
      <c r="J14" s="139">
        <v>0</v>
      </c>
      <c r="K14" s="139">
        <f>+'Composition - CRC'!K$6</f>
        <v>0.2833538134184766</v>
      </c>
      <c r="L14" s="139">
        <f>+'Composition - CRC'!K$7</f>
        <v>0.16718829611877525</v>
      </c>
      <c r="M14" s="139">
        <f>+'Composition - CRC'!K$8</f>
        <v>1.151839766256885E-2</v>
      </c>
      <c r="N14" s="139">
        <f>+'Composition - CRC'!K$9</f>
        <v>0.19335580778960493</v>
      </c>
      <c r="O14" s="139">
        <f>+'Composition - CRC'!K$14</f>
        <v>1.5631077517141843E-2</v>
      </c>
      <c r="P14" s="139">
        <f>+'Composition - CRC'!K$10</f>
        <v>2.8722514852662018E-2</v>
      </c>
      <c r="Q14" s="139">
        <f>+'Composition - CRC'!K$11</f>
        <v>5.2828518614482893E-3</v>
      </c>
      <c r="R14" s="139">
        <f>+'Composition - CRC'!K$12</f>
        <v>7.5842011040218411E-3</v>
      </c>
      <c r="S14" s="139">
        <f>+'Composition - CRC'!K$13</f>
        <v>0</v>
      </c>
      <c r="T14" s="139">
        <f t="shared" si="4"/>
        <v>0.28736303967530041</v>
      </c>
      <c r="U14" s="346" t="s">
        <v>142</v>
      </c>
      <c r="V14" s="156"/>
      <c r="W14" s="156"/>
      <c r="X14" s="187">
        <v>61.72</v>
      </c>
      <c r="Y14" s="342">
        <f t="shared" si="0"/>
        <v>0.80553380318454704</v>
      </c>
      <c r="AA14" s="149"/>
      <c r="AB14" s="139"/>
      <c r="AC14" s="139"/>
      <c r="AD14" s="139"/>
      <c r="AE14" s="139"/>
      <c r="AF14" s="139"/>
      <c r="AG14" s="139"/>
      <c r="AH14" s="139"/>
      <c r="AI14" s="139"/>
      <c r="AJ14" s="139"/>
    </row>
    <row r="15" spans="1:36" x14ac:dyDescent="0.2">
      <c r="A15" s="148" t="s">
        <v>38</v>
      </c>
      <c r="B15" s="508">
        <v>959.77</v>
      </c>
      <c r="C15" s="508">
        <v>59.37</v>
      </c>
      <c r="D15" s="149">
        <f t="shared" si="1"/>
        <v>900.4</v>
      </c>
      <c r="E15" s="149"/>
      <c r="F15" s="508">
        <v>680.91</v>
      </c>
      <c r="G15" s="218">
        <f t="shared" si="2"/>
        <v>0.75623056419369172</v>
      </c>
      <c r="H15" s="508">
        <v>29.28</v>
      </c>
      <c r="I15" s="342">
        <f t="shared" si="3"/>
        <v>0.49317837291561401</v>
      </c>
      <c r="J15" s="139">
        <v>0</v>
      </c>
      <c r="K15" s="139">
        <f>+'Composition - CRC'!M$6</f>
        <v>0.23564263550918949</v>
      </c>
      <c r="L15" s="139">
        <f>+'Composition - CRC'!M$7</f>
        <v>0.19754529514903563</v>
      </c>
      <c r="M15" s="139">
        <f>+'Composition - CRC'!M$8</f>
        <v>1.3592683544748319E-2</v>
      </c>
      <c r="N15" s="139">
        <f>+'Composition - CRC'!M$9</f>
        <v>0.15408879178654653</v>
      </c>
      <c r="O15" s="139">
        <f>+'Composition - CRC'!M$14</f>
        <v>1.6336981360196453E-2</v>
      </c>
      <c r="P15" s="139">
        <f>+'Composition - CRC'!M$10</f>
        <v>3.0142752149058226E-2</v>
      </c>
      <c r="Q15" s="139">
        <f>+'Composition - CRC'!M$11</f>
        <v>5.8759528724762512E-3</v>
      </c>
      <c r="R15" s="139">
        <f>+'Composition - CRC'!M$12</f>
        <v>6.7711325104160653E-3</v>
      </c>
      <c r="S15" s="139">
        <f>+'Composition - CRC'!M$13</f>
        <v>0</v>
      </c>
      <c r="T15" s="139">
        <f t="shared" si="4"/>
        <v>0.34000377511833302</v>
      </c>
      <c r="U15" s="346" t="s">
        <v>143</v>
      </c>
      <c r="V15" s="156"/>
      <c r="W15" s="156"/>
      <c r="X15" s="150">
        <v>41.19</v>
      </c>
      <c r="Y15" s="342">
        <f t="shared" si="0"/>
        <v>0.69378473976755939</v>
      </c>
      <c r="AA15" s="149"/>
      <c r="AB15" s="139"/>
      <c r="AC15" s="139"/>
      <c r="AD15" s="139"/>
      <c r="AE15" s="139"/>
      <c r="AF15" s="139"/>
      <c r="AG15" s="139"/>
      <c r="AH15" s="139"/>
      <c r="AI15" s="139"/>
      <c r="AJ15" s="139"/>
    </row>
    <row r="16" spans="1:36" x14ac:dyDescent="0.2">
      <c r="A16" s="148" t="s">
        <v>39</v>
      </c>
      <c r="B16" s="508">
        <f>1075.29</f>
        <v>1075.29</v>
      </c>
      <c r="C16" s="508">
        <v>66.040000000000006</v>
      </c>
      <c r="D16" s="149">
        <f t="shared" si="1"/>
        <v>1009.25</v>
      </c>
      <c r="E16" s="149"/>
      <c r="F16" s="508">
        <v>829.5</v>
      </c>
      <c r="G16" s="218">
        <f t="shared" si="2"/>
        <v>0.82189744860044589</v>
      </c>
      <c r="H16" s="508">
        <v>32.06</v>
      </c>
      <c r="I16" s="342">
        <f t="shared" si="3"/>
        <v>0.48546335554209569</v>
      </c>
      <c r="J16" s="139">
        <v>0</v>
      </c>
      <c r="K16" s="139">
        <f>+'Composition - CRC'!O$6</f>
        <v>0.16630851507493755</v>
      </c>
      <c r="L16" s="139">
        <f>+'Composition - CRC'!O$7</f>
        <v>0.21478283447888233</v>
      </c>
      <c r="M16" s="139">
        <f>+'Composition - CRC'!O$8</f>
        <v>1.3026052912695233E-2</v>
      </c>
      <c r="N16" s="139">
        <f>+'Composition - CRC'!O$9</f>
        <v>0.17296384647547688</v>
      </c>
      <c r="O16" s="139">
        <f>+'Composition - CRC'!O$14</f>
        <v>1.5258769343830319E-2</v>
      </c>
      <c r="P16" s="139">
        <f>+'Composition - CRC'!O$10</f>
        <v>3.0705162821223625E-2</v>
      </c>
      <c r="Q16" s="139">
        <f>+'Composition - CRC'!O$11</f>
        <v>5.5058108345298774E-3</v>
      </c>
      <c r="R16" s="139">
        <f>+'Composition - CRC'!O$12</f>
        <v>7.9996303460304341E-3</v>
      </c>
      <c r="S16" s="139">
        <f>+'Composition - CRC'!O$13</f>
        <v>0</v>
      </c>
      <c r="T16" s="139">
        <f t="shared" si="4"/>
        <v>0.37344937771239384</v>
      </c>
      <c r="U16" s="346" t="s">
        <v>144</v>
      </c>
      <c r="V16" s="156"/>
      <c r="W16" s="156"/>
      <c r="X16" s="150">
        <v>42.81</v>
      </c>
      <c r="Y16" s="342">
        <f t="shared" si="0"/>
        <v>0.64824348879466986</v>
      </c>
      <c r="AA16" s="149"/>
      <c r="AB16" s="139"/>
      <c r="AC16" s="139"/>
      <c r="AD16" s="139"/>
      <c r="AE16" s="139"/>
      <c r="AF16" s="139"/>
      <c r="AG16" s="139"/>
      <c r="AH16" s="139"/>
      <c r="AI16" s="139"/>
      <c r="AJ16" s="139"/>
    </row>
    <row r="17" spans="1:36" x14ac:dyDescent="0.2">
      <c r="A17" s="148" t="s">
        <v>40</v>
      </c>
      <c r="B17" s="508">
        <v>1190.6199999999999</v>
      </c>
      <c r="C17" s="508">
        <v>66.47</v>
      </c>
      <c r="D17" s="149">
        <f t="shared" si="1"/>
        <v>1124.1499999999999</v>
      </c>
      <c r="E17" s="149"/>
      <c r="F17" s="508">
        <v>866.17</v>
      </c>
      <c r="G17" s="218">
        <f t="shared" si="2"/>
        <v>0.77051105279544552</v>
      </c>
      <c r="H17" s="508">
        <v>31.2</v>
      </c>
      <c r="I17" s="342">
        <f t="shared" si="3"/>
        <v>0.46938468482021967</v>
      </c>
      <c r="J17" s="139">
        <v>0</v>
      </c>
      <c r="K17" s="139">
        <f>+'Composition - CRC'!Q$6</f>
        <v>0.11710250518497166</v>
      </c>
      <c r="L17" s="139">
        <f>+'Composition - CRC'!Q$7</f>
        <v>0.22391761164435278</v>
      </c>
      <c r="M17" s="139">
        <f>+'Composition - CRC'!Q$8</f>
        <v>1.5205148753565257E-2</v>
      </c>
      <c r="N17" s="139">
        <f>+'Composition - CRC'!Q$9</f>
        <v>0.14752312076917456</v>
      </c>
      <c r="O17" s="139">
        <f>+'Composition - CRC'!Q$14</f>
        <v>1.6821665887201236E-2</v>
      </c>
      <c r="P17" s="139">
        <f>+'Composition - CRC'!Q$10</f>
        <v>3.678179286465795E-2</v>
      </c>
      <c r="Q17" s="139">
        <f>+'Composition - CRC'!Q$11</f>
        <v>5.5386554894487454E-3</v>
      </c>
      <c r="R17" s="139">
        <f>+'Composition - CRC'!Q$12</f>
        <v>7.8045493560526726E-3</v>
      </c>
      <c r="S17" s="139">
        <f>+'Composition - CRC'!Q$13</f>
        <v>0</v>
      </c>
      <c r="T17" s="139">
        <f t="shared" si="4"/>
        <v>0.42930495005057512</v>
      </c>
      <c r="U17" s="346" t="s">
        <v>145</v>
      </c>
      <c r="V17" s="156"/>
      <c r="W17" s="156"/>
      <c r="X17" s="150">
        <v>55.29</v>
      </c>
      <c r="Y17" s="342">
        <f t="shared" si="0"/>
        <v>0.83180382127275465</v>
      </c>
      <c r="AA17" s="149"/>
      <c r="AB17" s="139"/>
      <c r="AC17" s="139"/>
      <c r="AD17" s="139"/>
      <c r="AE17" s="139"/>
      <c r="AF17" s="139"/>
      <c r="AG17" s="139"/>
      <c r="AH17" s="139"/>
      <c r="AI17" s="139"/>
      <c r="AJ17" s="139"/>
    </row>
    <row r="18" spans="1:36" x14ac:dyDescent="0.2">
      <c r="A18" s="148" t="s">
        <v>10</v>
      </c>
      <c r="B18" s="508">
        <v>1151.75</v>
      </c>
      <c r="C18" s="508">
        <v>61.54</v>
      </c>
      <c r="D18" s="149">
        <f t="shared" si="1"/>
        <v>1090.21</v>
      </c>
      <c r="E18" s="149"/>
      <c r="F18" s="508">
        <v>850.79</v>
      </c>
      <c r="G18" s="218">
        <f t="shared" si="2"/>
        <v>0.78039093385677982</v>
      </c>
      <c r="H18" s="508">
        <v>30.83</v>
      </c>
      <c r="I18" s="342">
        <f t="shared" si="3"/>
        <v>0.50097497562560933</v>
      </c>
      <c r="J18" s="139">
        <v>0</v>
      </c>
      <c r="K18" s="139">
        <f>+'Composition - CRC'!S$6</f>
        <v>0.10524029681674824</v>
      </c>
      <c r="L18" s="139">
        <f>+'Composition - CRC'!S$7</f>
        <v>0.2252052156278431</v>
      </c>
      <c r="M18" s="139">
        <f>+'Composition - CRC'!S$8</f>
        <v>1.6647000816724215E-2</v>
      </c>
      <c r="N18" s="139">
        <f>+'Composition - CRC'!S$9</f>
        <v>0.1602797146418346</v>
      </c>
      <c r="O18" s="139">
        <f>+'Composition - CRC'!S$14</f>
        <v>1.6184390554130974E-2</v>
      </c>
      <c r="P18" s="139">
        <f>+'Composition - CRC'!S$10</f>
        <v>3.8044145991436511E-2</v>
      </c>
      <c r="Q18" s="139">
        <f>+'Composition - CRC'!S$11</f>
        <v>5.5644027460287886E-3</v>
      </c>
      <c r="R18" s="139">
        <f>+'Composition - CRC'!S$12</f>
        <v>9.1452634820068743E-3</v>
      </c>
      <c r="S18" s="139">
        <f>+'Composition - CRC'!S$13</f>
        <v>0</v>
      </c>
      <c r="T18" s="139">
        <f t="shared" si="4"/>
        <v>0.42368956932324686</v>
      </c>
      <c r="U18" s="346" t="s">
        <v>146</v>
      </c>
      <c r="V18" s="156"/>
      <c r="W18" s="156"/>
      <c r="X18" s="150">
        <v>50.07</v>
      </c>
      <c r="Y18" s="342">
        <f t="shared" si="0"/>
        <v>0.81361715957101077</v>
      </c>
      <c r="AA18" s="149"/>
      <c r="AB18" s="139"/>
      <c r="AC18" s="139"/>
      <c r="AD18" s="139"/>
      <c r="AE18" s="139"/>
      <c r="AF18" s="139"/>
      <c r="AG18" s="139"/>
      <c r="AH18" s="139"/>
      <c r="AI18" s="139"/>
      <c r="AJ18" s="139"/>
    </row>
    <row r="19" spans="1:36" x14ac:dyDescent="0.2">
      <c r="A19" s="148" t="s">
        <v>41</v>
      </c>
      <c r="B19" s="508">
        <v>1096.67</v>
      </c>
      <c r="C19" s="508">
        <v>59.16</v>
      </c>
      <c r="D19" s="149">
        <f t="shared" si="1"/>
        <v>1037.51</v>
      </c>
      <c r="E19" s="149"/>
      <c r="F19" s="508">
        <v>790.15</v>
      </c>
      <c r="G19" s="218">
        <f t="shared" si="2"/>
        <v>0.76158302088654561</v>
      </c>
      <c r="H19" s="508">
        <v>30.27</v>
      </c>
      <c r="I19" s="342">
        <f t="shared" si="3"/>
        <v>0.51166328600405686</v>
      </c>
      <c r="J19" s="255">
        <v>0</v>
      </c>
      <c r="K19" s="139">
        <f>+'Composition - CRC'!U$6</f>
        <v>0.21862641577357253</v>
      </c>
      <c r="L19" s="139">
        <f>+'Composition - CRC'!U$7</f>
        <v>0.21613304268747655</v>
      </c>
      <c r="M19" s="139">
        <f>+'Composition - CRC'!U$8</f>
        <v>1.4171392452486624E-2</v>
      </c>
      <c r="N19" s="139">
        <f>+'Composition - CRC'!U$9</f>
        <v>0.15443822711608637</v>
      </c>
      <c r="O19" s="139">
        <f>+'Composition - CRC'!U$14</f>
        <v>1.5695504163470504E-2</v>
      </c>
      <c r="P19" s="139">
        <f>+'Composition - CRC'!U$10</f>
        <v>3.4007448933781097E-2</v>
      </c>
      <c r="Q19" s="139">
        <f>+'Composition - CRC'!U$11</f>
        <v>5.3175424588179036E-3</v>
      </c>
      <c r="R19" s="139">
        <f>+'Composition - CRC'!U$12</f>
        <v>7.7622536425788514E-3</v>
      </c>
      <c r="S19" s="139">
        <f>+'Composition - CRC'!U$13</f>
        <v>0</v>
      </c>
      <c r="T19" s="139">
        <f t="shared" si="4"/>
        <v>0.33384817277172962</v>
      </c>
      <c r="U19" s="346" t="s">
        <v>147</v>
      </c>
      <c r="V19" s="156"/>
      <c r="W19" s="156"/>
      <c r="X19" s="150">
        <v>43.47</v>
      </c>
      <c r="Y19" s="342">
        <f t="shared" si="0"/>
        <v>0.73478701825557813</v>
      </c>
      <c r="AA19" s="149"/>
      <c r="AB19" s="139"/>
      <c r="AC19" s="139"/>
      <c r="AD19" s="139"/>
      <c r="AE19" s="139"/>
      <c r="AF19" s="139"/>
      <c r="AG19" s="139"/>
      <c r="AH19" s="139"/>
      <c r="AI19" s="139"/>
      <c r="AJ19" s="139"/>
    </row>
    <row r="20" spans="1:36" x14ac:dyDescent="0.2">
      <c r="A20" s="148" t="s">
        <v>42</v>
      </c>
      <c r="B20" s="508">
        <v>1163.83</v>
      </c>
      <c r="C20" s="508">
        <v>70.790000000000006</v>
      </c>
      <c r="D20" s="149">
        <f t="shared" si="1"/>
        <v>1093.04</v>
      </c>
      <c r="E20" s="149"/>
      <c r="F20" s="508">
        <v>870.41</v>
      </c>
      <c r="G20" s="218">
        <f t="shared" si="2"/>
        <v>0.79632035424138181</v>
      </c>
      <c r="H20" s="508">
        <v>34.979999999999997</v>
      </c>
      <c r="I20" s="342">
        <f t="shared" si="3"/>
        <v>0.49413759005509245</v>
      </c>
      <c r="J20" s="255">
        <f>+J19</f>
        <v>0</v>
      </c>
      <c r="K20" s="139">
        <f>+'Composition - CRC'!W$6</f>
        <v>0.20522433247597813</v>
      </c>
      <c r="L20" s="139">
        <f>+'Composition - CRC'!W$7</f>
        <v>0.22632395677790121</v>
      </c>
      <c r="M20" s="139">
        <f>+'Composition - CRC'!W$8</f>
        <v>1.4443380720708672E-2</v>
      </c>
      <c r="N20" s="139">
        <f>+'Composition - CRC'!W$9</f>
        <v>0.17672611162978089</v>
      </c>
      <c r="O20" s="139">
        <f>+'Composition - CRC'!W$14</f>
        <v>1.6656291072807382E-2</v>
      </c>
      <c r="P20" s="139">
        <f>+'Composition - CRC'!W$10</f>
        <v>3.7433615657661595E-2</v>
      </c>
      <c r="Q20" s="139">
        <f>+'Composition - CRC'!W$11</f>
        <v>5.0885263081658231E-3</v>
      </c>
      <c r="R20" s="139">
        <f>+'Composition - CRC'!W$12</f>
        <v>9.5655983564742718E-3</v>
      </c>
      <c r="S20" s="139">
        <f>+'Composition - CRC'!W$13</f>
        <v>0</v>
      </c>
      <c r="T20" s="139">
        <f t="shared" si="4"/>
        <v>0.30853818700052205</v>
      </c>
      <c r="U20" s="346" t="s">
        <v>148</v>
      </c>
      <c r="V20" s="156"/>
      <c r="W20" s="156"/>
      <c r="X20" s="150">
        <v>52.99</v>
      </c>
      <c r="Y20" s="342">
        <f>+X20/C20</f>
        <v>0.74855205537505298</v>
      </c>
      <c r="AA20" s="222"/>
      <c r="AB20" s="139"/>
      <c r="AC20" s="139"/>
      <c r="AD20" s="139"/>
      <c r="AE20" s="139"/>
      <c r="AF20" s="139"/>
      <c r="AG20" s="139"/>
      <c r="AH20" s="139"/>
      <c r="AI20" s="139"/>
      <c r="AJ20" s="139"/>
    </row>
    <row r="21" spans="1:36" ht="15" x14ac:dyDescent="0.35">
      <c r="A21" s="148" t="s">
        <v>43</v>
      </c>
      <c r="B21" s="508">
        <f>B20</f>
        <v>1163.83</v>
      </c>
      <c r="C21" s="508">
        <f>C20</f>
        <v>70.790000000000006</v>
      </c>
      <c r="D21" s="539">
        <f t="shared" si="1"/>
        <v>1093.04</v>
      </c>
      <c r="E21" s="539"/>
      <c r="F21" s="508">
        <f>F20</f>
        <v>870.41</v>
      </c>
      <c r="G21" s="189">
        <f t="shared" si="2"/>
        <v>0.79632035424138181</v>
      </c>
      <c r="H21" s="508">
        <f>H20</f>
        <v>34.979999999999997</v>
      </c>
      <c r="I21" s="343">
        <f t="shared" si="3"/>
        <v>0.49413759005509245</v>
      </c>
      <c r="J21" s="189">
        <f>+J20</f>
        <v>0</v>
      </c>
      <c r="K21" s="189">
        <f>+'Composition - CRC'!Y$6</f>
        <v>0.21553882447739972</v>
      </c>
      <c r="L21" s="189">
        <f>+'Composition - CRC'!Y$7</f>
        <v>0.22508742186571939</v>
      </c>
      <c r="M21" s="189">
        <f>+'Composition - CRC'!Y$8</f>
        <v>1.5060680395505462E-2</v>
      </c>
      <c r="N21" s="189">
        <f>+'Composition - CRC'!Y$9</f>
        <v>0.17559464258210447</v>
      </c>
      <c r="O21" s="189">
        <f>+'Composition - CRC'!Y$14</f>
        <v>1.6171351373568919E-2</v>
      </c>
      <c r="P21" s="189">
        <f>+'Composition - CRC'!Y$10</f>
        <v>4.4448801861988629E-2</v>
      </c>
      <c r="Q21" s="189">
        <f>+'Composition - CRC'!Y$11</f>
        <v>5.5305452586002458E-3</v>
      </c>
      <c r="R21" s="189">
        <f>+'Composition - CRC'!Y$12</f>
        <v>8.5755746333408163E-3</v>
      </c>
      <c r="S21" s="189">
        <f>+'Composition - CRC'!Y$13</f>
        <v>0</v>
      </c>
      <c r="T21" s="189">
        <f t="shared" si="4"/>
        <v>0.29399215755177244</v>
      </c>
      <c r="U21" s="346" t="s">
        <v>149</v>
      </c>
      <c r="V21" s="156"/>
      <c r="W21" s="156"/>
      <c r="X21" s="188">
        <f>+X20</f>
        <v>52.99</v>
      </c>
      <c r="Y21" s="343">
        <f>+X21/C21</f>
        <v>0.74855205537505298</v>
      </c>
      <c r="AA21" s="223"/>
      <c r="AB21" s="189"/>
      <c r="AC21" s="189"/>
      <c r="AD21" s="189"/>
      <c r="AE21" s="189"/>
      <c r="AF21" s="189"/>
      <c r="AG21" s="189"/>
      <c r="AH21" s="189"/>
      <c r="AI21" s="189"/>
      <c r="AJ21" s="189"/>
    </row>
    <row r="22" spans="1:36" ht="15" x14ac:dyDescent="0.35">
      <c r="A22" s="148"/>
      <c r="B22" s="152">
        <f>SUM(B10:B21)</f>
        <v>13982.999999999998</v>
      </c>
      <c r="C22" s="344">
        <f>SUM(C10:C21)</f>
        <v>810.24999999999989</v>
      </c>
      <c r="D22" s="152">
        <f>SUM(D10:D21)</f>
        <v>13172.75</v>
      </c>
      <c r="E22" s="152"/>
      <c r="F22" s="152">
        <f>SUM(F10:F21)</f>
        <v>10374.279999999999</v>
      </c>
      <c r="G22" s="154">
        <f t="shared" si="2"/>
        <v>0.78755612913021189</v>
      </c>
      <c r="H22" s="153">
        <f>SUM(H10:H21)</f>
        <v>402.52000000000004</v>
      </c>
      <c r="I22" s="154">
        <f t="shared" si="3"/>
        <v>0.49678494291885233</v>
      </c>
      <c r="J22" s="154">
        <f>+J42/$D$42</f>
        <v>0</v>
      </c>
      <c r="K22" s="154">
        <f t="shared" ref="K22:T22" si="5">+K42/$D$42</f>
        <v>0.22065013022253466</v>
      </c>
      <c r="L22" s="154">
        <f t="shared" si="5"/>
        <v>0.20281882130863949</v>
      </c>
      <c r="M22" s="154">
        <f t="shared" si="5"/>
        <v>1.3948772197186226E-2</v>
      </c>
      <c r="N22" s="154">
        <f t="shared" si="5"/>
        <v>0.16341377333408161</v>
      </c>
      <c r="O22" s="154">
        <f t="shared" si="5"/>
        <v>1.5977621332984783E-2</v>
      </c>
      <c r="P22" s="154">
        <f t="shared" si="5"/>
        <v>3.4206323753987126E-2</v>
      </c>
      <c r="Q22" s="154">
        <f t="shared" si="5"/>
        <v>5.3487092937977753E-3</v>
      </c>
      <c r="R22" s="154">
        <f t="shared" si="5"/>
        <v>8.9433724847882857E-3</v>
      </c>
      <c r="S22" s="154">
        <f t="shared" si="5"/>
        <v>0</v>
      </c>
      <c r="T22" s="154">
        <f t="shared" si="5"/>
        <v>0.33469247607200009</v>
      </c>
      <c r="V22" s="156"/>
      <c r="W22" s="156"/>
      <c r="X22" s="153">
        <f>SUM(X10:X21)</f>
        <v>609.89</v>
      </c>
      <c r="Y22" s="154">
        <f>+X22/C22</f>
        <v>0.75271829682196867</v>
      </c>
    </row>
    <row r="23" spans="1:36" x14ac:dyDescent="0.2">
      <c r="B23" s="150"/>
      <c r="C23" s="150"/>
      <c r="X23" s="155"/>
    </row>
    <row r="24" spans="1:36" x14ac:dyDescent="0.2">
      <c r="B24" s="157"/>
      <c r="C24" s="157"/>
      <c r="D24" s="157"/>
      <c r="E24" s="157"/>
      <c r="F24" s="157"/>
      <c r="G24" s="157"/>
      <c r="H24" s="157"/>
      <c r="I24" s="157"/>
      <c r="J24" s="218"/>
      <c r="K24" s="218"/>
      <c r="L24" s="218"/>
      <c r="M24" s="218"/>
      <c r="N24" s="218"/>
      <c r="O24" s="218"/>
      <c r="P24" s="218"/>
      <c r="Q24" s="218"/>
      <c r="R24" s="218"/>
      <c r="S24" s="218"/>
      <c r="T24" s="218"/>
      <c r="X24" s="155"/>
    </row>
    <row r="26" spans="1:36" ht="15" x14ac:dyDescent="0.2">
      <c r="D26" s="2" t="s">
        <v>101</v>
      </c>
      <c r="E26" s="2"/>
      <c r="F26" s="2"/>
      <c r="G26" s="2"/>
      <c r="H26" s="2"/>
      <c r="I26" s="2"/>
      <c r="J26" s="690" t="s">
        <v>103</v>
      </c>
      <c r="K26" s="690"/>
      <c r="L26" s="690"/>
      <c r="M26" s="690"/>
      <c r="N26" s="690"/>
      <c r="O26" s="690"/>
      <c r="P26" s="690"/>
      <c r="Q26" s="690"/>
      <c r="R26" s="690"/>
      <c r="S26" s="690"/>
      <c r="T26" s="690"/>
    </row>
    <row r="27" spans="1:36" x14ac:dyDescent="0.2">
      <c r="D27" s="2" t="s">
        <v>102</v>
      </c>
      <c r="E27" s="2"/>
      <c r="F27" s="2"/>
      <c r="G27" s="2"/>
      <c r="H27" s="2"/>
      <c r="I27" s="2"/>
      <c r="J27" s="41" t="s">
        <v>98</v>
      </c>
      <c r="K27" s="41" t="s">
        <v>46</v>
      </c>
      <c r="L27" s="41"/>
      <c r="M27" s="41" t="s">
        <v>1</v>
      </c>
      <c r="N27" s="41"/>
      <c r="O27" s="41" t="s">
        <v>47</v>
      </c>
      <c r="P27" s="41"/>
      <c r="Q27" s="41" t="s">
        <v>2</v>
      </c>
      <c r="R27" s="41" t="s">
        <v>2</v>
      </c>
      <c r="S27" s="41" t="s">
        <v>48</v>
      </c>
    </row>
    <row r="28" spans="1:36" x14ac:dyDescent="0.2">
      <c r="C28" s="150"/>
      <c r="D28" s="10" t="s">
        <v>0</v>
      </c>
      <c r="E28" s="10"/>
      <c r="F28" s="10"/>
      <c r="G28" s="10"/>
      <c r="H28" s="10"/>
      <c r="I28" s="10"/>
      <c r="J28" s="42" t="s">
        <v>92</v>
      </c>
      <c r="K28" s="42" t="s">
        <v>49</v>
      </c>
      <c r="L28" s="42" t="s">
        <v>50</v>
      </c>
      <c r="M28" s="42" t="s">
        <v>51</v>
      </c>
      <c r="N28" s="42" t="s">
        <v>4</v>
      </c>
      <c r="O28" s="42" t="s">
        <v>52</v>
      </c>
      <c r="P28" s="42" t="s">
        <v>3</v>
      </c>
      <c r="Q28" s="42" t="s">
        <v>53</v>
      </c>
      <c r="R28" s="42" t="s">
        <v>54</v>
      </c>
      <c r="S28" s="42" t="s">
        <v>55</v>
      </c>
      <c r="T28" s="59" t="s">
        <v>86</v>
      </c>
    </row>
    <row r="29" spans="1:36" x14ac:dyDescent="0.2">
      <c r="C29" s="150"/>
      <c r="D29" s="150"/>
      <c r="E29" s="150"/>
      <c r="F29" s="150"/>
      <c r="G29" s="150"/>
      <c r="H29" s="150"/>
      <c r="I29" s="150"/>
      <c r="J29" s="42"/>
      <c r="K29" s="42"/>
      <c r="L29" s="42"/>
      <c r="M29" s="42"/>
      <c r="N29" s="42"/>
      <c r="O29" s="42"/>
      <c r="P29" s="42"/>
      <c r="Q29" s="42"/>
      <c r="R29" s="42"/>
      <c r="S29" s="42"/>
      <c r="T29" s="59"/>
    </row>
    <row r="30" spans="1:36" x14ac:dyDescent="0.2">
      <c r="A30" s="148" t="s">
        <v>171</v>
      </c>
      <c r="C30" s="150"/>
      <c r="D30" s="157">
        <f t="shared" ref="D30:D41" si="6">SUM(J30:T30)</f>
        <v>1041.96</v>
      </c>
      <c r="E30" s="157"/>
      <c r="F30" s="157"/>
      <c r="G30" s="157"/>
      <c r="H30" s="157"/>
      <c r="I30" s="157"/>
      <c r="J30" s="157">
        <f t="shared" ref="J30:T30" si="7">+$D10*J10</f>
        <v>0</v>
      </c>
      <c r="K30" s="157">
        <f t="shared" si="7"/>
        <v>284.82950926415941</v>
      </c>
      <c r="L30" s="157">
        <f t="shared" si="7"/>
        <v>202.56293810517028</v>
      </c>
      <c r="M30" s="157">
        <f t="shared" si="7"/>
        <v>14.758723761925111</v>
      </c>
      <c r="N30" s="157">
        <f t="shared" si="7"/>
        <v>174.82461713367164</v>
      </c>
      <c r="O30" s="157">
        <f t="shared" si="7"/>
        <v>14.39838089604954</v>
      </c>
      <c r="P30" s="157">
        <f t="shared" si="7"/>
        <v>41.182884327481752</v>
      </c>
      <c r="Q30" s="157">
        <f t="shared" si="7"/>
        <v>5.9376955378646175</v>
      </c>
      <c r="R30" s="157">
        <f t="shared" si="7"/>
        <v>12.592538252332666</v>
      </c>
      <c r="S30" s="157">
        <f t="shared" si="7"/>
        <v>0</v>
      </c>
      <c r="T30" s="157">
        <f t="shared" si="7"/>
        <v>290.87271272134507</v>
      </c>
    </row>
    <row r="31" spans="1:36" x14ac:dyDescent="0.2">
      <c r="A31" s="148" t="s">
        <v>35</v>
      </c>
      <c r="C31" s="150"/>
      <c r="D31" s="157">
        <f t="shared" si="6"/>
        <v>1130.7500000000002</v>
      </c>
      <c r="E31" s="157"/>
      <c r="F31" s="157"/>
      <c r="G31" s="157"/>
      <c r="H31" s="157"/>
      <c r="I31" s="157"/>
      <c r="J31" s="157">
        <f t="shared" ref="J31:T31" si="8">+$D11*J11</f>
        <v>0</v>
      </c>
      <c r="K31" s="157">
        <f t="shared" si="8"/>
        <v>224.56131140689965</v>
      </c>
      <c r="L31" s="157">
        <f t="shared" si="8"/>
        <v>237.05772373726435</v>
      </c>
      <c r="M31" s="157">
        <f t="shared" si="8"/>
        <v>15.88867365260152</v>
      </c>
      <c r="N31" s="157">
        <f t="shared" si="8"/>
        <v>159.17277198163717</v>
      </c>
      <c r="O31" s="157">
        <f t="shared" si="8"/>
        <v>21.181998121765858</v>
      </c>
      <c r="P31" s="157">
        <f t="shared" si="8"/>
        <v>40.530508972994852</v>
      </c>
      <c r="Q31" s="157">
        <f t="shared" si="8"/>
        <v>5.938811147351263</v>
      </c>
      <c r="R31" s="157">
        <f t="shared" si="8"/>
        <v>14.347300091118601</v>
      </c>
      <c r="S31" s="157">
        <f t="shared" si="8"/>
        <v>0</v>
      </c>
      <c r="T31" s="157">
        <f t="shared" si="8"/>
        <v>412.07090088836679</v>
      </c>
    </row>
    <row r="32" spans="1:36" x14ac:dyDescent="0.2">
      <c r="A32" s="148" t="s">
        <v>36</v>
      </c>
      <c r="C32" s="150"/>
      <c r="D32" s="157">
        <f t="shared" si="6"/>
        <v>1094.3400000000001</v>
      </c>
      <c r="E32" s="157"/>
      <c r="F32" s="157"/>
      <c r="G32" s="157"/>
      <c r="H32" s="157"/>
      <c r="I32" s="157"/>
      <c r="J32" s="157">
        <f t="shared" ref="J32:T32" si="9">+$D12*J12</f>
        <v>0</v>
      </c>
      <c r="K32" s="157">
        <f t="shared" si="9"/>
        <v>289.12855374589014</v>
      </c>
      <c r="L32" s="157">
        <f t="shared" si="9"/>
        <v>183.68279367476708</v>
      </c>
      <c r="M32" s="157">
        <f t="shared" si="9"/>
        <v>14.695845086719917</v>
      </c>
      <c r="N32" s="157">
        <f t="shared" si="9"/>
        <v>158.68180053559701</v>
      </c>
      <c r="O32" s="157">
        <f t="shared" si="9"/>
        <v>16.554270445317677</v>
      </c>
      <c r="P32" s="157">
        <f t="shared" si="9"/>
        <v>33.442649319360157</v>
      </c>
      <c r="Q32" s="157">
        <f t="shared" si="9"/>
        <v>5.1770621755924147</v>
      </c>
      <c r="R32" s="157">
        <f t="shared" si="9"/>
        <v>10.360457493262595</v>
      </c>
      <c r="S32" s="157">
        <f t="shared" si="9"/>
        <v>0</v>
      </c>
      <c r="T32" s="157">
        <f t="shared" si="9"/>
        <v>382.61656752349307</v>
      </c>
    </row>
    <row r="33" spans="1:20" x14ac:dyDescent="0.2">
      <c r="A33" s="148" t="s">
        <v>37</v>
      </c>
      <c r="C33" s="150"/>
      <c r="D33" s="157">
        <f t="shared" si="6"/>
        <v>1294.5500000000002</v>
      </c>
      <c r="E33" s="157"/>
      <c r="F33" s="157"/>
      <c r="G33" s="157"/>
      <c r="H33" s="157"/>
      <c r="I33" s="157"/>
      <c r="J33" s="157">
        <f t="shared" ref="J33:T33" si="10">+$D13*J13</f>
        <v>0</v>
      </c>
      <c r="K33" s="157">
        <f t="shared" si="10"/>
        <v>436.88556077334101</v>
      </c>
      <c r="L33" s="157">
        <f t="shared" si="10"/>
        <v>227.59919417436018</v>
      </c>
      <c r="M33" s="157">
        <f t="shared" si="10"/>
        <v>16.267303849303016</v>
      </c>
      <c r="N33" s="157">
        <f t="shared" si="10"/>
        <v>216.40100581176895</v>
      </c>
      <c r="O33" s="157">
        <f t="shared" si="10"/>
        <v>19.75355401983018</v>
      </c>
      <c r="P33" s="157">
        <f t="shared" si="10"/>
        <v>33.405068516989068</v>
      </c>
      <c r="Q33" s="157">
        <f t="shared" si="10"/>
        <v>6.4643259204084611</v>
      </c>
      <c r="R33" s="157">
        <f t="shared" si="10"/>
        <v>10.128956757359598</v>
      </c>
      <c r="S33" s="157">
        <f t="shared" si="10"/>
        <v>0</v>
      </c>
      <c r="T33" s="157">
        <f t="shared" si="10"/>
        <v>327.64503017663975</v>
      </c>
    </row>
    <row r="34" spans="1:20" x14ac:dyDescent="0.2">
      <c r="A34" s="148" t="s">
        <v>172</v>
      </c>
      <c r="C34" s="150"/>
      <c r="D34" s="157">
        <f t="shared" si="6"/>
        <v>1263.5500000000002</v>
      </c>
      <c r="E34" s="157"/>
      <c r="F34" s="157"/>
      <c r="G34" s="157"/>
      <c r="H34" s="157"/>
      <c r="I34" s="157"/>
      <c r="J34" s="157">
        <f t="shared" ref="J34:T34" si="11">+$D14*J14</f>
        <v>0</v>
      </c>
      <c r="K34" s="157">
        <f t="shared" si="11"/>
        <v>358.03171094491614</v>
      </c>
      <c r="L34" s="157">
        <f t="shared" si="11"/>
        <v>211.25077156087849</v>
      </c>
      <c r="M34" s="157">
        <f t="shared" si="11"/>
        <v>14.554071366538873</v>
      </c>
      <c r="N34" s="157">
        <f t="shared" si="11"/>
        <v>244.31473093255534</v>
      </c>
      <c r="O34" s="157">
        <f t="shared" si="11"/>
        <v>19.750647996784579</v>
      </c>
      <c r="P34" s="157">
        <f t="shared" si="11"/>
        <v>36.292333642081097</v>
      </c>
      <c r="Q34" s="157">
        <f t="shared" si="11"/>
        <v>6.6751474695329867</v>
      </c>
      <c r="R34" s="157">
        <f t="shared" si="11"/>
        <v>9.5830173049867984</v>
      </c>
      <c r="S34" s="157">
        <f t="shared" si="11"/>
        <v>0</v>
      </c>
      <c r="T34" s="157">
        <f t="shared" si="11"/>
        <v>363.0975687817259</v>
      </c>
    </row>
    <row r="35" spans="1:20" x14ac:dyDescent="0.2">
      <c r="A35" s="148" t="s">
        <v>38</v>
      </c>
      <c r="C35" s="150"/>
      <c r="D35" s="157">
        <f t="shared" si="6"/>
        <v>900.39999999999986</v>
      </c>
      <c r="E35" s="157"/>
      <c r="F35" s="157"/>
      <c r="G35" s="157"/>
      <c r="H35" s="157"/>
      <c r="I35" s="157"/>
      <c r="J35" s="157">
        <f t="shared" ref="J35:T35" si="12">+$D15*J15</f>
        <v>0</v>
      </c>
      <c r="K35" s="157">
        <f t="shared" si="12"/>
        <v>212.1726290124742</v>
      </c>
      <c r="L35" s="157">
        <f t="shared" si="12"/>
        <v>177.86978375219167</v>
      </c>
      <c r="M35" s="157">
        <f t="shared" si="12"/>
        <v>12.238852263691387</v>
      </c>
      <c r="N35" s="157">
        <f t="shared" si="12"/>
        <v>138.74154812460648</v>
      </c>
      <c r="O35" s="157">
        <f t="shared" si="12"/>
        <v>14.709818016720886</v>
      </c>
      <c r="P35" s="157">
        <f t="shared" si="12"/>
        <v>27.140534035012028</v>
      </c>
      <c r="Q35" s="157">
        <f t="shared" si="12"/>
        <v>5.2907079663776164</v>
      </c>
      <c r="R35" s="157">
        <f t="shared" si="12"/>
        <v>6.096727712378625</v>
      </c>
      <c r="S35" s="157">
        <f t="shared" si="12"/>
        <v>0</v>
      </c>
      <c r="T35" s="157">
        <f t="shared" si="12"/>
        <v>306.13939911654705</v>
      </c>
    </row>
    <row r="36" spans="1:20" x14ac:dyDescent="0.2">
      <c r="A36" s="148" t="s">
        <v>39</v>
      </c>
      <c r="C36" s="150"/>
      <c r="D36" s="157">
        <f t="shared" si="6"/>
        <v>1009.25</v>
      </c>
      <c r="E36" s="157"/>
      <c r="F36" s="157"/>
      <c r="G36" s="157"/>
      <c r="H36" s="157"/>
      <c r="I36" s="157"/>
      <c r="J36" s="157">
        <f t="shared" ref="J36:T36" si="13">+$D16*J16</f>
        <v>0</v>
      </c>
      <c r="K36" s="157">
        <f t="shared" si="13"/>
        <v>167.84686883938073</v>
      </c>
      <c r="L36" s="157">
        <f t="shared" si="13"/>
        <v>216.769575697812</v>
      </c>
      <c r="M36" s="157">
        <f t="shared" si="13"/>
        <v>13.146543902137664</v>
      </c>
      <c r="N36" s="157">
        <f t="shared" si="13"/>
        <v>174.56376205537504</v>
      </c>
      <c r="O36" s="157">
        <f t="shared" si="13"/>
        <v>15.39991296026075</v>
      </c>
      <c r="P36" s="157">
        <f t="shared" si="13"/>
        <v>30.989185577319944</v>
      </c>
      <c r="Q36" s="157">
        <f t="shared" si="13"/>
        <v>5.5567395847492786</v>
      </c>
      <c r="R36" s="157">
        <f t="shared" si="13"/>
        <v>8.0736269267312153</v>
      </c>
      <c r="S36" s="157">
        <f t="shared" si="13"/>
        <v>0</v>
      </c>
      <c r="T36" s="157">
        <f t="shared" si="13"/>
        <v>376.9037844562335</v>
      </c>
    </row>
    <row r="37" spans="1:20" x14ac:dyDescent="0.2">
      <c r="A37" s="148" t="s">
        <v>40</v>
      </c>
      <c r="C37" s="150"/>
      <c r="D37" s="157">
        <f t="shared" si="6"/>
        <v>1124.1499999999999</v>
      </c>
      <c r="E37" s="157"/>
      <c r="F37" s="157"/>
      <c r="G37" s="157"/>
      <c r="H37" s="157"/>
      <c r="I37" s="157"/>
      <c r="J37" s="157">
        <f t="shared" ref="J37:T37" si="14">+$D17*J17</f>
        <v>0</v>
      </c>
      <c r="K37" s="157">
        <f t="shared" si="14"/>
        <v>131.64078120368586</v>
      </c>
      <c r="L37" s="157">
        <f t="shared" si="14"/>
        <v>251.71698312999914</v>
      </c>
      <c r="M37" s="157">
        <f t="shared" si="14"/>
        <v>17.092867971320381</v>
      </c>
      <c r="N37" s="157">
        <f t="shared" si="14"/>
        <v>165.83811621266756</v>
      </c>
      <c r="O37" s="157">
        <f t="shared" si="14"/>
        <v>18.910075707097267</v>
      </c>
      <c r="P37" s="157">
        <f t="shared" si="14"/>
        <v>41.348252448805226</v>
      </c>
      <c r="Q37" s="157">
        <f t="shared" si="14"/>
        <v>6.2262795684638066</v>
      </c>
      <c r="R37" s="157">
        <f t="shared" si="14"/>
        <v>8.7734841586066104</v>
      </c>
      <c r="S37" s="157">
        <f t="shared" si="14"/>
        <v>0</v>
      </c>
      <c r="T37" s="157">
        <f t="shared" si="14"/>
        <v>482.60315959935394</v>
      </c>
    </row>
    <row r="38" spans="1:20" x14ac:dyDescent="0.2">
      <c r="A38" s="148" t="s">
        <v>10</v>
      </c>
      <c r="C38" s="150"/>
      <c r="D38" s="157">
        <f t="shared" si="6"/>
        <v>1090.21</v>
      </c>
      <c r="E38" s="157"/>
      <c r="F38" s="157"/>
      <c r="G38" s="157"/>
      <c r="H38" s="157"/>
      <c r="I38" s="157"/>
      <c r="J38" s="157">
        <f t="shared" ref="J38:T38" si="15">+$D18*J18</f>
        <v>0</v>
      </c>
      <c r="K38" s="157">
        <f t="shared" si="15"/>
        <v>114.7340239925871</v>
      </c>
      <c r="L38" s="157">
        <f t="shared" si="15"/>
        <v>245.52097812963083</v>
      </c>
      <c r="M38" s="157">
        <f t="shared" si="15"/>
        <v>18.148726760400908</v>
      </c>
      <c r="N38" s="157">
        <f t="shared" si="15"/>
        <v>174.73854769967451</v>
      </c>
      <c r="O38" s="157">
        <f t="shared" si="15"/>
        <v>17.64438442601913</v>
      </c>
      <c r="P38" s="157">
        <f t="shared" si="15"/>
        <v>41.476108401323998</v>
      </c>
      <c r="Q38" s="157">
        <f t="shared" si="15"/>
        <v>6.0663675177480458</v>
      </c>
      <c r="R38" s="157">
        <f t="shared" si="15"/>
        <v>9.9702577007187152</v>
      </c>
      <c r="S38" s="157">
        <f t="shared" si="15"/>
        <v>0</v>
      </c>
      <c r="T38" s="157">
        <f t="shared" si="15"/>
        <v>461.91060537189696</v>
      </c>
    </row>
    <row r="39" spans="1:20" x14ac:dyDescent="0.2">
      <c r="A39" s="148" t="s">
        <v>41</v>
      </c>
      <c r="C39" s="151"/>
      <c r="D39" s="157">
        <f t="shared" si="6"/>
        <v>1037.5100000000002</v>
      </c>
      <c r="E39" s="157"/>
      <c r="F39" s="157"/>
      <c r="G39" s="157"/>
      <c r="H39" s="157"/>
      <c r="I39" s="157"/>
      <c r="J39" s="157">
        <f t="shared" ref="J39:T39" si="16">+$D19*J19</f>
        <v>0</v>
      </c>
      <c r="K39" s="157">
        <f t="shared" si="16"/>
        <v>226.82709262923925</v>
      </c>
      <c r="L39" s="157">
        <f t="shared" si="16"/>
        <v>224.24019311868378</v>
      </c>
      <c r="M39" s="157">
        <f t="shared" si="16"/>
        <v>14.702961383379398</v>
      </c>
      <c r="N39" s="157">
        <f t="shared" si="16"/>
        <v>160.23120501521078</v>
      </c>
      <c r="O39" s="157">
        <f t="shared" si="16"/>
        <v>16.284242524642281</v>
      </c>
      <c r="P39" s="157">
        <f t="shared" si="16"/>
        <v>35.283068343287226</v>
      </c>
      <c r="Q39" s="157">
        <f t="shared" si="16"/>
        <v>5.5170034764481635</v>
      </c>
      <c r="R39" s="157">
        <f t="shared" si="16"/>
        <v>8.0534157767119847</v>
      </c>
      <c r="S39" s="157">
        <f t="shared" si="16"/>
        <v>0</v>
      </c>
      <c r="T39" s="157">
        <f t="shared" si="16"/>
        <v>346.3708177323972</v>
      </c>
    </row>
    <row r="40" spans="1:20" x14ac:dyDescent="0.2">
      <c r="A40" s="148" t="s">
        <v>42</v>
      </c>
      <c r="C40" s="153"/>
      <c r="D40" s="157">
        <f t="shared" si="6"/>
        <v>1093.04</v>
      </c>
      <c r="E40" s="157"/>
      <c r="F40" s="157"/>
      <c r="G40" s="157"/>
      <c r="H40" s="157"/>
      <c r="I40" s="157"/>
      <c r="J40" s="157">
        <f t="shared" ref="J40:T40" si="17">+$D20*J20</f>
        <v>0</v>
      </c>
      <c r="K40" s="157">
        <f t="shared" si="17"/>
        <v>224.31840436954312</v>
      </c>
      <c r="L40" s="157">
        <f t="shared" si="17"/>
        <v>247.38113771651712</v>
      </c>
      <c r="M40" s="157">
        <f t="shared" si="17"/>
        <v>15.787192862963407</v>
      </c>
      <c r="N40" s="157">
        <f t="shared" si="17"/>
        <v>193.1687090558157</v>
      </c>
      <c r="O40" s="157">
        <f t="shared" si="17"/>
        <v>18.205992394221379</v>
      </c>
      <c r="P40" s="157">
        <f t="shared" si="17"/>
        <v>40.916439258450431</v>
      </c>
      <c r="Q40" s="157">
        <f t="shared" si="17"/>
        <v>5.5619627958775713</v>
      </c>
      <c r="R40" s="157">
        <f t="shared" si="17"/>
        <v>10.455581627560637</v>
      </c>
      <c r="S40" s="157">
        <f t="shared" si="17"/>
        <v>0</v>
      </c>
      <c r="T40" s="157">
        <f t="shared" si="17"/>
        <v>337.24457991905058</v>
      </c>
    </row>
    <row r="41" spans="1:20" ht="15" x14ac:dyDescent="0.35">
      <c r="A41" s="148" t="s">
        <v>43</v>
      </c>
      <c r="D41" s="158">
        <f t="shared" si="6"/>
        <v>1093.04</v>
      </c>
      <c r="E41" s="158"/>
      <c r="F41" s="158"/>
      <c r="G41" s="158"/>
      <c r="H41" s="158"/>
      <c r="I41" s="158"/>
      <c r="J41" s="158">
        <f t="shared" ref="J41:T41" si="18">+$D21*J21</f>
        <v>0</v>
      </c>
      <c r="K41" s="158">
        <f t="shared" si="18"/>
        <v>235.59255670677697</v>
      </c>
      <c r="L41" s="158">
        <f t="shared" si="18"/>
        <v>246.02955559610592</v>
      </c>
      <c r="M41" s="158">
        <f t="shared" si="18"/>
        <v>16.461926099503287</v>
      </c>
      <c r="N41" s="158">
        <f t="shared" si="18"/>
        <v>191.93196812794346</v>
      </c>
      <c r="O41" s="158">
        <f t="shared" si="18"/>
        <v>17.67593390536577</v>
      </c>
      <c r="P41" s="158">
        <f t="shared" si="18"/>
        <v>48.584318387228052</v>
      </c>
      <c r="Q41" s="158">
        <f t="shared" si="18"/>
        <v>6.0451071894604125</v>
      </c>
      <c r="R41" s="158">
        <f t="shared" si="18"/>
        <v>9.3734460972268447</v>
      </c>
      <c r="S41" s="158">
        <f t="shared" si="18"/>
        <v>0</v>
      </c>
      <c r="T41" s="158">
        <f t="shared" si="18"/>
        <v>321.34518789038935</v>
      </c>
    </row>
    <row r="42" spans="1:20" ht="15" x14ac:dyDescent="0.35">
      <c r="D42" s="152">
        <f>SUM(D30:D41)</f>
        <v>13172.75</v>
      </c>
      <c r="E42" s="152"/>
      <c r="F42" s="152"/>
      <c r="G42" s="152"/>
      <c r="H42" s="152"/>
      <c r="I42" s="152"/>
      <c r="J42" s="152">
        <f>SUM(J30:J41)</f>
        <v>0</v>
      </c>
      <c r="K42" s="152">
        <f t="shared" ref="K42:T42" si="19">SUM(K30:K41)</f>
        <v>2906.5690028888935</v>
      </c>
      <c r="L42" s="152">
        <f t="shared" si="19"/>
        <v>2671.6816283933808</v>
      </c>
      <c r="M42" s="152">
        <f t="shared" si="19"/>
        <v>183.74368896048486</v>
      </c>
      <c r="N42" s="152">
        <f>SUM(N30:N41)</f>
        <v>2152.6087826865237</v>
      </c>
      <c r="O42" s="152">
        <f t="shared" si="19"/>
        <v>210.46921141407529</v>
      </c>
      <c r="P42" s="152">
        <f t="shared" si="19"/>
        <v>450.59135123033388</v>
      </c>
      <c r="Q42" s="152">
        <f t="shared" si="19"/>
        <v>70.457210349874643</v>
      </c>
      <c r="R42" s="152">
        <f t="shared" si="19"/>
        <v>117.80880989899489</v>
      </c>
      <c r="S42" s="152">
        <f t="shared" si="19"/>
        <v>0</v>
      </c>
      <c r="T42" s="152">
        <f t="shared" si="19"/>
        <v>4408.8203141774393</v>
      </c>
    </row>
    <row r="45" spans="1:20" ht="15" x14ac:dyDescent="0.2">
      <c r="J45" s="690" t="s">
        <v>104</v>
      </c>
      <c r="K45" s="690"/>
      <c r="L45" s="690"/>
      <c r="M45" s="690"/>
      <c r="N45" s="690"/>
      <c r="O45" s="690"/>
      <c r="P45" s="690"/>
      <c r="Q45" s="690"/>
      <c r="R45" s="690"/>
      <c r="S45" s="690"/>
      <c r="T45" s="690"/>
    </row>
    <row r="46" spans="1:20" x14ac:dyDescent="0.2">
      <c r="D46" s="2" t="s">
        <v>24</v>
      </c>
      <c r="E46" s="2"/>
      <c r="F46" s="2"/>
      <c r="G46" s="2"/>
      <c r="H46" s="2"/>
      <c r="I46" s="2"/>
      <c r="J46" s="41" t="s">
        <v>98</v>
      </c>
      <c r="K46" s="41" t="s">
        <v>46</v>
      </c>
      <c r="L46" s="41"/>
      <c r="M46" s="41" t="s">
        <v>1</v>
      </c>
      <c r="N46" s="41"/>
      <c r="O46" s="41" t="s">
        <v>47</v>
      </c>
      <c r="P46" s="41"/>
      <c r="Q46" s="41" t="s">
        <v>2</v>
      </c>
      <c r="R46" s="41" t="s">
        <v>2</v>
      </c>
      <c r="S46" s="41" t="s">
        <v>48</v>
      </c>
    </row>
    <row r="47" spans="1:20" x14ac:dyDescent="0.2">
      <c r="D47" s="10" t="s">
        <v>0</v>
      </c>
      <c r="E47" s="10"/>
      <c r="F47" s="10"/>
      <c r="G47" s="10"/>
      <c r="H47" s="10"/>
      <c r="I47" s="10"/>
      <c r="J47" s="42" t="s">
        <v>92</v>
      </c>
      <c r="K47" s="42" t="s">
        <v>49</v>
      </c>
      <c r="L47" s="42" t="s">
        <v>50</v>
      </c>
      <c r="M47" s="42" t="s">
        <v>51</v>
      </c>
      <c r="N47" s="42" t="s">
        <v>4</v>
      </c>
      <c r="O47" s="42" t="s">
        <v>52</v>
      </c>
      <c r="P47" s="42" t="s">
        <v>3</v>
      </c>
      <c r="Q47" s="42" t="s">
        <v>53</v>
      </c>
      <c r="R47" s="42" t="s">
        <v>54</v>
      </c>
      <c r="S47" s="42" t="s">
        <v>55</v>
      </c>
      <c r="T47" s="59" t="s">
        <v>86</v>
      </c>
    </row>
    <row r="48" spans="1:20" x14ac:dyDescent="0.2"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59"/>
    </row>
    <row r="49" spans="1:20" x14ac:dyDescent="0.2">
      <c r="A49" s="148" t="s">
        <v>129</v>
      </c>
      <c r="C49" s="340">
        <f>+D49/D30</f>
        <v>6.1672233099159278E-2</v>
      </c>
      <c r="D49" s="157">
        <f t="shared" ref="D49:D60" si="20">SUM(J49:T49)</f>
        <v>64.260000000000005</v>
      </c>
      <c r="E49" s="157"/>
      <c r="F49" s="157"/>
      <c r="G49" s="157"/>
      <c r="H49" s="157"/>
      <c r="I49" s="157"/>
      <c r="J49" s="157">
        <f t="shared" ref="J49:T49" si="21">+$C10*J10</f>
        <v>0</v>
      </c>
      <c r="K49" s="157">
        <f t="shared" si="21"/>
        <v>17.566071888858389</v>
      </c>
      <c r="L49" s="157">
        <f t="shared" si="21"/>
        <v>12.492508736072635</v>
      </c>
      <c r="M49" s="157">
        <f t="shared" si="21"/>
        <v>0.91020345209154641</v>
      </c>
      <c r="N49" s="157">
        <f t="shared" si="21"/>
        <v>10.781824539339071</v>
      </c>
      <c r="O49" s="157">
        <f t="shared" si="21"/>
        <v>0.88798030287164909</v>
      </c>
      <c r="P49" s="157">
        <f t="shared" si="21"/>
        <v>2.5398404419401679</v>
      </c>
      <c r="Q49" s="157">
        <f t="shared" si="21"/>
        <v>0.36619094328302459</v>
      </c>
      <c r="R49" s="157">
        <f t="shared" si="21"/>
        <v>0.77660995440794001</v>
      </c>
      <c r="S49" s="157">
        <f t="shared" si="21"/>
        <v>0</v>
      </c>
      <c r="T49" s="157">
        <f t="shared" si="21"/>
        <v>17.938769741135584</v>
      </c>
    </row>
    <row r="50" spans="1:20" x14ac:dyDescent="0.2">
      <c r="A50" s="148" t="s">
        <v>35</v>
      </c>
      <c r="C50" s="340">
        <f t="shared" ref="C50:C60" si="22">+D50/D31</f>
        <v>5.8403714348883494E-2</v>
      </c>
      <c r="D50" s="157">
        <f t="shared" si="20"/>
        <v>66.04000000000002</v>
      </c>
      <c r="E50" s="157"/>
      <c r="F50" s="157"/>
      <c r="G50" s="157"/>
      <c r="H50" s="157"/>
      <c r="I50" s="157"/>
      <c r="J50" s="157">
        <f t="shared" ref="J50:T50" si="23">+$C11*J11</f>
        <v>0</v>
      </c>
      <c r="K50" s="157">
        <f t="shared" si="23"/>
        <v>13.115214685219238</v>
      </c>
      <c r="L50" s="157">
        <f t="shared" si="23"/>
        <v>13.845051581347725</v>
      </c>
      <c r="M50" s="157">
        <f t="shared" si="23"/>
        <v>0.92795755738917041</v>
      </c>
      <c r="N50" s="157">
        <f t="shared" si="23"/>
        <v>9.2962811069355027</v>
      </c>
      <c r="O50" s="157">
        <f t="shared" si="23"/>
        <v>1.2371073676422</v>
      </c>
      <c r="P50" s="157">
        <f t="shared" si="23"/>
        <v>2.3671322684736507</v>
      </c>
      <c r="Q50" s="157">
        <f t="shared" si="23"/>
        <v>0.3468486298218682</v>
      </c>
      <c r="R50" s="157">
        <f t="shared" si="23"/>
        <v>0.83793561619940082</v>
      </c>
      <c r="S50" s="157">
        <f t="shared" si="23"/>
        <v>0</v>
      </c>
      <c r="T50" s="157">
        <f t="shared" si="23"/>
        <v>24.066471186971253</v>
      </c>
    </row>
    <row r="51" spans="1:20" x14ac:dyDescent="0.2">
      <c r="A51" s="148" t="s">
        <v>36</v>
      </c>
      <c r="C51" s="340">
        <f t="shared" si="22"/>
        <v>6.4879287972659322E-2</v>
      </c>
      <c r="D51" s="157">
        <f t="shared" si="20"/>
        <v>71.000000000000014</v>
      </c>
      <c r="E51" s="157"/>
      <c r="F51" s="157"/>
      <c r="G51" s="157"/>
      <c r="H51" s="157"/>
      <c r="I51" s="157"/>
      <c r="J51" s="157">
        <f t="shared" ref="J51:T51" si="24">+$C12*J12</f>
        <v>0</v>
      </c>
      <c r="K51" s="157">
        <f t="shared" si="24"/>
        <v>18.758454699598115</v>
      </c>
      <c r="L51" s="157">
        <f t="shared" si="24"/>
        <v>11.91720886644778</v>
      </c>
      <c r="M51" s="157">
        <f t="shared" si="24"/>
        <v>0.95345596538289212</v>
      </c>
      <c r="N51" s="157">
        <f t="shared" si="24"/>
        <v>10.295162232969085</v>
      </c>
      <c r="O51" s="157">
        <f t="shared" si="24"/>
        <v>1.0740292793990489</v>
      </c>
      <c r="P51" s="157">
        <f t="shared" si="24"/>
        <v>2.169735275759427</v>
      </c>
      <c r="Q51" s="157">
        <f t="shared" si="24"/>
        <v>0.33588410774262245</v>
      </c>
      <c r="R51" s="157">
        <f t="shared" si="24"/>
        <v>0.67217910523388003</v>
      </c>
      <c r="S51" s="157">
        <f t="shared" si="24"/>
        <v>0</v>
      </c>
      <c r="T51" s="157">
        <f t="shared" si="24"/>
        <v>24.823890467467159</v>
      </c>
    </row>
    <row r="52" spans="1:20" x14ac:dyDescent="0.2">
      <c r="A52" s="148" t="s">
        <v>37</v>
      </c>
      <c r="C52" s="340">
        <f t="shared" si="22"/>
        <v>6.0383917191301997E-2</v>
      </c>
      <c r="D52" s="157">
        <f t="shared" si="20"/>
        <v>78.170000000000016</v>
      </c>
      <c r="E52" s="157"/>
      <c r="F52" s="157"/>
      <c r="G52" s="157"/>
      <c r="H52" s="157"/>
      <c r="I52" s="157"/>
      <c r="J52" s="157">
        <f t="shared" ref="J52:T52" si="25">+$C13*J13</f>
        <v>0</v>
      </c>
      <c r="K52" s="157">
        <f t="shared" si="25"/>
        <v>26.38086152381296</v>
      </c>
      <c r="L52" s="157">
        <f t="shared" si="25"/>
        <v>13.743330893831629</v>
      </c>
      <c r="M52" s="157">
        <f t="shared" si="25"/>
        <v>0.98228352856206147</v>
      </c>
      <c r="N52" s="157">
        <f t="shared" si="25"/>
        <v>13.06714041505232</v>
      </c>
      <c r="O52" s="157">
        <f t="shared" si="25"/>
        <v>1.1927969701673364</v>
      </c>
      <c r="P52" s="157">
        <f t="shared" si="25"/>
        <v>2.0171288910996377</v>
      </c>
      <c r="Q52" s="157">
        <f t="shared" si="25"/>
        <v>0.3903413210755316</v>
      </c>
      <c r="R52" s="157">
        <f t="shared" si="25"/>
        <v>0.6116260860706807</v>
      </c>
      <c r="S52" s="157">
        <f t="shared" si="25"/>
        <v>0</v>
      </c>
      <c r="T52" s="157">
        <f t="shared" si="25"/>
        <v>19.784490370327859</v>
      </c>
    </row>
    <row r="53" spans="1:20" x14ac:dyDescent="0.2">
      <c r="A53" s="148" t="s">
        <v>130</v>
      </c>
      <c r="C53" s="340">
        <f t="shared" si="22"/>
        <v>6.0638676744094018E-2</v>
      </c>
      <c r="D53" s="157">
        <f t="shared" si="20"/>
        <v>76.62</v>
      </c>
      <c r="E53" s="157"/>
      <c r="F53" s="157"/>
      <c r="G53" s="157"/>
      <c r="H53" s="157"/>
      <c r="I53" s="157"/>
      <c r="J53" s="157">
        <f t="shared" ref="J53:T53" si="26">+$C14*J14</f>
        <v>0</v>
      </c>
      <c r="K53" s="157">
        <f t="shared" si="26"/>
        <v>21.710569184123678</v>
      </c>
      <c r="L53" s="157">
        <f t="shared" si="26"/>
        <v>12.809967248620561</v>
      </c>
      <c r="M53" s="157">
        <f t="shared" si="26"/>
        <v>0.88253962890602533</v>
      </c>
      <c r="N53" s="157">
        <f t="shared" si="26"/>
        <v>14.81492199283953</v>
      </c>
      <c r="O53" s="157">
        <f t="shared" si="26"/>
        <v>1.1976531593634081</v>
      </c>
      <c r="P53" s="157">
        <f t="shared" si="26"/>
        <v>2.2007190880109642</v>
      </c>
      <c r="Q53" s="157">
        <f t="shared" si="26"/>
        <v>0.40477210962416793</v>
      </c>
      <c r="R53" s="157">
        <f t="shared" si="26"/>
        <v>0.58110148859015354</v>
      </c>
      <c r="S53" s="157">
        <f t="shared" si="26"/>
        <v>0</v>
      </c>
      <c r="T53" s="157">
        <f t="shared" si="26"/>
        <v>22.01775609992152</v>
      </c>
    </row>
    <row r="54" spans="1:20" x14ac:dyDescent="0.2">
      <c r="A54" s="148" t="s">
        <v>38</v>
      </c>
      <c r="C54" s="340">
        <f t="shared" si="22"/>
        <v>6.5937361172812084E-2</v>
      </c>
      <c r="D54" s="157">
        <f t="shared" si="20"/>
        <v>59.36999999999999</v>
      </c>
      <c r="E54" s="157"/>
      <c r="F54" s="157"/>
      <c r="G54" s="157"/>
      <c r="H54" s="157"/>
      <c r="I54" s="157"/>
      <c r="J54" s="157">
        <f t="shared" ref="J54:T54" si="27">+$C15*J15</f>
        <v>0</v>
      </c>
      <c r="K54" s="157">
        <f t="shared" si="27"/>
        <v>13.99010327018058</v>
      </c>
      <c r="L54" s="157">
        <f t="shared" si="27"/>
        <v>11.728264172998244</v>
      </c>
      <c r="M54" s="157">
        <f t="shared" si="27"/>
        <v>0.80699762205170766</v>
      </c>
      <c r="N54" s="157">
        <f t="shared" si="27"/>
        <v>9.1482515683672663</v>
      </c>
      <c r="O54" s="157">
        <f t="shared" si="27"/>
        <v>0.96992658335486337</v>
      </c>
      <c r="P54" s="157">
        <f t="shared" si="27"/>
        <v>1.7895751950895868</v>
      </c>
      <c r="Q54" s="157">
        <f t="shared" si="27"/>
        <v>0.34885532203891501</v>
      </c>
      <c r="R54" s="157">
        <f t="shared" si="27"/>
        <v>0.40200213714340177</v>
      </c>
      <c r="S54" s="157">
        <f t="shared" si="27"/>
        <v>0</v>
      </c>
      <c r="T54" s="157">
        <f t="shared" si="27"/>
        <v>20.186024128775429</v>
      </c>
    </row>
    <row r="55" spans="1:20" x14ac:dyDescent="0.2">
      <c r="A55" s="148" t="s">
        <v>39</v>
      </c>
      <c r="C55" s="340">
        <f>+D55/D36</f>
        <v>6.5434728758979446E-2</v>
      </c>
      <c r="D55" s="157">
        <f t="shared" si="20"/>
        <v>66.040000000000006</v>
      </c>
      <c r="E55" s="157"/>
      <c r="F55" s="157"/>
      <c r="G55" s="157"/>
      <c r="H55" s="157"/>
      <c r="I55" s="157"/>
      <c r="J55" s="157">
        <f t="shared" ref="J55:T55" si="28">+$C16*J16</f>
        <v>0</v>
      </c>
      <c r="K55" s="157">
        <f t="shared" si="28"/>
        <v>10.983014335548877</v>
      </c>
      <c r="L55" s="157">
        <f t="shared" si="28"/>
        <v>14.184258388985389</v>
      </c>
      <c r="M55" s="157">
        <f t="shared" si="28"/>
        <v>0.86024053435439329</v>
      </c>
      <c r="N55" s="157">
        <f t="shared" si="28"/>
        <v>11.422532421240495</v>
      </c>
      <c r="O55" s="157">
        <f t="shared" si="28"/>
        <v>1.0076891274665543</v>
      </c>
      <c r="P55" s="157">
        <f t="shared" si="28"/>
        <v>2.0277689527136085</v>
      </c>
      <c r="Q55" s="157">
        <f t="shared" si="28"/>
        <v>0.36360374751235314</v>
      </c>
      <c r="R55" s="157">
        <f t="shared" si="28"/>
        <v>0.52829558805184995</v>
      </c>
      <c r="S55" s="157">
        <f t="shared" si="28"/>
        <v>0</v>
      </c>
      <c r="T55" s="157">
        <f t="shared" si="28"/>
        <v>24.662596904126492</v>
      </c>
    </row>
    <row r="56" spans="1:20" x14ac:dyDescent="0.2">
      <c r="A56" s="148" t="s">
        <v>40</v>
      </c>
      <c r="C56" s="340">
        <f t="shared" si="22"/>
        <v>5.9129119779388881E-2</v>
      </c>
      <c r="D56" s="157">
        <f t="shared" si="20"/>
        <v>66.47</v>
      </c>
      <c r="E56" s="157"/>
      <c r="F56" s="157"/>
      <c r="G56" s="157"/>
      <c r="H56" s="157"/>
      <c r="I56" s="157"/>
      <c r="J56" s="157">
        <f t="shared" ref="J56:T56" si="29">+$C17*J17</f>
        <v>0</v>
      </c>
      <c r="K56" s="157">
        <f t="shared" si="29"/>
        <v>7.7838035196450663</v>
      </c>
      <c r="L56" s="157">
        <f t="shared" si="29"/>
        <v>14.883803646000128</v>
      </c>
      <c r="M56" s="157">
        <f t="shared" si="29"/>
        <v>1.0106862376494825</v>
      </c>
      <c r="N56" s="157">
        <f t="shared" si="29"/>
        <v>9.8058618375270328</v>
      </c>
      <c r="O56" s="157">
        <f t="shared" si="29"/>
        <v>1.1181361315222662</v>
      </c>
      <c r="P56" s="157">
        <f t="shared" si="29"/>
        <v>2.4448857717138139</v>
      </c>
      <c r="Q56" s="157">
        <f t="shared" si="29"/>
        <v>0.36815443038365808</v>
      </c>
      <c r="R56" s="157">
        <f t="shared" si="29"/>
        <v>0.51876839569682109</v>
      </c>
      <c r="S56" s="157">
        <f t="shared" si="29"/>
        <v>0</v>
      </c>
      <c r="T56" s="157">
        <f t="shared" si="29"/>
        <v>28.535900029861729</v>
      </c>
    </row>
    <row r="57" spans="1:20" x14ac:dyDescent="0.2">
      <c r="A57" s="148" t="s">
        <v>10</v>
      </c>
      <c r="C57" s="340">
        <f t="shared" si="22"/>
        <v>5.6447840324341178E-2</v>
      </c>
      <c r="D57" s="157">
        <f t="shared" si="20"/>
        <v>61.54</v>
      </c>
      <c r="E57" s="157"/>
      <c r="F57" s="157"/>
      <c r="G57" s="157"/>
      <c r="H57" s="157"/>
      <c r="I57" s="157"/>
      <c r="J57" s="157">
        <f t="shared" ref="J57:T57" si="30">+$C18*J18</f>
        <v>0</v>
      </c>
      <c r="K57" s="157">
        <f t="shared" si="30"/>
        <v>6.4764878661026861</v>
      </c>
      <c r="L57" s="157">
        <f t="shared" si="30"/>
        <v>13.859128969737464</v>
      </c>
      <c r="M57" s="157">
        <f t="shared" si="30"/>
        <v>1.0244564302612083</v>
      </c>
      <c r="N57" s="157">
        <f t="shared" si="30"/>
        <v>9.8636136390585012</v>
      </c>
      <c r="O57" s="157">
        <f t="shared" si="30"/>
        <v>0.99598739470122011</v>
      </c>
      <c r="P57" s="157">
        <f t="shared" si="30"/>
        <v>2.3412367443130027</v>
      </c>
      <c r="Q57" s="157">
        <f t="shared" si="30"/>
        <v>0.34243334499061162</v>
      </c>
      <c r="R57" s="157">
        <f t="shared" si="30"/>
        <v>0.56279951468270306</v>
      </c>
      <c r="S57" s="157">
        <f t="shared" si="30"/>
        <v>0</v>
      </c>
      <c r="T57" s="157">
        <f t="shared" si="30"/>
        <v>26.07385609615261</v>
      </c>
    </row>
    <row r="58" spans="1:20" x14ac:dyDescent="0.2">
      <c r="A58" s="148" t="s">
        <v>41</v>
      </c>
      <c r="C58" s="340">
        <f t="shared" si="22"/>
        <v>5.7021137145666041E-2</v>
      </c>
      <c r="D58" s="157">
        <f t="shared" si="20"/>
        <v>59.159999999999989</v>
      </c>
      <c r="E58" s="157"/>
      <c r="F58" s="157"/>
      <c r="G58" s="157"/>
      <c r="H58" s="157"/>
      <c r="I58" s="157"/>
      <c r="J58" s="157">
        <f t="shared" ref="J58:T58" si="31">+$C19*J19</f>
        <v>0</v>
      </c>
      <c r="K58" s="157">
        <f t="shared" si="31"/>
        <v>12.933938757164551</v>
      </c>
      <c r="L58" s="157">
        <f t="shared" si="31"/>
        <v>12.786430805391111</v>
      </c>
      <c r="M58" s="157">
        <f t="shared" si="31"/>
        <v>0.83837957748910863</v>
      </c>
      <c r="N58" s="157">
        <f t="shared" si="31"/>
        <v>9.1365655161876695</v>
      </c>
      <c r="O58" s="157">
        <f t="shared" si="31"/>
        <v>0.92854602631091498</v>
      </c>
      <c r="P58" s="157">
        <f t="shared" si="31"/>
        <v>2.0118806789224895</v>
      </c>
      <c r="Q58" s="157">
        <f t="shared" si="31"/>
        <v>0.31458581186366713</v>
      </c>
      <c r="R58" s="157">
        <f t="shared" si="31"/>
        <v>0.45921492549496484</v>
      </c>
      <c r="S58" s="157">
        <f t="shared" si="31"/>
        <v>0</v>
      </c>
      <c r="T58" s="157">
        <f t="shared" si="31"/>
        <v>19.750457901175523</v>
      </c>
    </row>
    <row r="59" spans="1:20" x14ac:dyDescent="0.2">
      <c r="A59" s="148" t="s">
        <v>42</v>
      </c>
      <c r="C59" s="340">
        <f t="shared" si="22"/>
        <v>6.4764327014564887E-2</v>
      </c>
      <c r="D59" s="157">
        <f t="shared" si="20"/>
        <v>70.790000000000006</v>
      </c>
      <c r="E59" s="157"/>
      <c r="F59" s="157"/>
      <c r="G59" s="157"/>
      <c r="H59" s="157"/>
      <c r="I59" s="157"/>
      <c r="J59" s="157">
        <f t="shared" ref="J59:T59" si="32">+$C20*J20</f>
        <v>0</v>
      </c>
      <c r="K59" s="157">
        <f t="shared" si="32"/>
        <v>14.527830495974493</v>
      </c>
      <c r="L59" s="157">
        <f t="shared" si="32"/>
        <v>16.021472900307629</v>
      </c>
      <c r="M59" s="157">
        <f t="shared" si="32"/>
        <v>1.0224469212189671</v>
      </c>
      <c r="N59" s="157">
        <f t="shared" si="32"/>
        <v>12.510441442272191</v>
      </c>
      <c r="O59" s="157">
        <f t="shared" si="32"/>
        <v>1.1790988450440347</v>
      </c>
      <c r="P59" s="157">
        <f t="shared" si="32"/>
        <v>2.6499256524058645</v>
      </c>
      <c r="Q59" s="157">
        <f t="shared" si="32"/>
        <v>0.36021677735505864</v>
      </c>
      <c r="R59" s="157">
        <f t="shared" si="32"/>
        <v>0.67714870765481372</v>
      </c>
      <c r="S59" s="157">
        <f t="shared" si="32"/>
        <v>0</v>
      </c>
      <c r="T59" s="157">
        <f t="shared" si="32"/>
        <v>21.841418257766957</v>
      </c>
    </row>
    <row r="60" spans="1:20" ht="15" x14ac:dyDescent="0.35">
      <c r="A60" s="148" t="s">
        <v>43</v>
      </c>
      <c r="C60" s="340">
        <f t="shared" si="22"/>
        <v>6.4764327014564901E-2</v>
      </c>
      <c r="D60" s="158">
        <f t="shared" si="20"/>
        <v>70.79000000000002</v>
      </c>
      <c r="E60" s="158"/>
      <c r="F60" s="158"/>
      <c r="G60" s="158"/>
      <c r="H60" s="158"/>
      <c r="I60" s="158"/>
      <c r="J60" s="158">
        <f t="shared" ref="J60:T60" si="33">+$C21*J21</f>
        <v>0</v>
      </c>
      <c r="K60" s="158">
        <f t="shared" si="33"/>
        <v>15.257993384755128</v>
      </c>
      <c r="L60" s="158">
        <f t="shared" si="33"/>
        <v>15.933938593874277</v>
      </c>
      <c r="M60" s="158">
        <f t="shared" si="33"/>
        <v>1.0661455651978318</v>
      </c>
      <c r="N60" s="158">
        <f t="shared" si="33"/>
        <v>12.430344748387176</v>
      </c>
      <c r="O60" s="158">
        <f t="shared" si="33"/>
        <v>1.144769963734944</v>
      </c>
      <c r="P60" s="158">
        <f t="shared" si="33"/>
        <v>3.1465306838101754</v>
      </c>
      <c r="Q60" s="158">
        <f t="shared" si="33"/>
        <v>0.39150729885631141</v>
      </c>
      <c r="R60" s="158">
        <f t="shared" si="33"/>
        <v>0.60706492829419645</v>
      </c>
      <c r="S60" s="158">
        <f t="shared" si="33"/>
        <v>0</v>
      </c>
      <c r="T60" s="158">
        <f t="shared" si="33"/>
        <v>20.811704833089973</v>
      </c>
    </row>
    <row r="61" spans="1:20" ht="15" x14ac:dyDescent="0.35">
      <c r="D61" s="152">
        <f>SUM(D49:D60)</f>
        <v>810.25</v>
      </c>
      <c r="E61" s="152"/>
      <c r="F61" s="152"/>
      <c r="G61" s="152"/>
      <c r="H61" s="152"/>
      <c r="I61" s="152"/>
      <c r="J61" s="152">
        <f>SUM(J49:J60)</f>
        <v>0</v>
      </c>
      <c r="K61" s="152">
        <f t="shared" ref="K61:T61" si="34">SUM(K49:K60)</f>
        <v>179.48434361098376</v>
      </c>
      <c r="L61" s="152">
        <f t="shared" si="34"/>
        <v>164.20536480361457</v>
      </c>
      <c r="M61" s="152">
        <f t="shared" si="34"/>
        <v>11.285793020554395</v>
      </c>
      <c r="N61" s="152">
        <f>SUM(N49:N60)</f>
        <v>132.57294146017585</v>
      </c>
      <c r="O61" s="152">
        <f t="shared" si="34"/>
        <v>12.933721151578441</v>
      </c>
      <c r="P61" s="152">
        <f t="shared" si="34"/>
        <v>27.706359644252391</v>
      </c>
      <c r="Q61" s="152">
        <f t="shared" si="34"/>
        <v>4.33339384454779</v>
      </c>
      <c r="R61" s="152">
        <f t="shared" si="34"/>
        <v>7.2347464475208048</v>
      </c>
      <c r="S61" s="152">
        <f t="shared" si="34"/>
        <v>0</v>
      </c>
      <c r="T61" s="152">
        <f t="shared" si="34"/>
        <v>270.4933360167721</v>
      </c>
    </row>
  </sheetData>
  <mergeCells count="4">
    <mergeCell ref="J26:T26"/>
    <mergeCell ref="J45:T45"/>
    <mergeCell ref="B5:D5"/>
    <mergeCell ref="F5:I5"/>
  </mergeCells>
  <pageMargins left="0.45" right="0.5" top="0.5" bottom="0.5" header="0.3" footer="0.3"/>
  <pageSetup scale="71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7319D7-FE1E-4B06-877F-92EA5B1237C8}">
  <sheetPr>
    <tabColor rgb="FF00B050"/>
    <pageSetUpPr fitToPage="1"/>
  </sheetPr>
  <dimension ref="A1:R25"/>
  <sheetViews>
    <sheetView workbookViewId="0">
      <selection activeCell="N24" sqref="N24:O25"/>
    </sheetView>
  </sheetViews>
  <sheetFormatPr defaultRowHeight="12.75" x14ac:dyDescent="0.2"/>
  <cols>
    <col min="1" max="1" width="18.140625" bestFit="1" customWidth="1"/>
    <col min="2" max="2" width="14.42578125" customWidth="1"/>
    <col min="3" max="3" width="12.7109375" bestFit="1" customWidth="1"/>
    <col min="4" max="4" width="9" customWidth="1"/>
    <col min="5" max="5" width="10.42578125" bestFit="1" customWidth="1"/>
    <col min="6" max="6" width="8.7109375" bestFit="1" customWidth="1"/>
    <col min="7" max="7" width="8.85546875" bestFit="1" customWidth="1"/>
    <col min="8" max="10" width="10.28515625" bestFit="1" customWidth="1"/>
    <col min="11" max="11" width="11" bestFit="1" customWidth="1"/>
    <col min="12" max="12" width="4" customWidth="1"/>
    <col min="13" max="13" width="5" customWidth="1"/>
  </cols>
  <sheetData>
    <row r="1" spans="1:18" ht="26.25" x14ac:dyDescent="0.4">
      <c r="A1" s="145" t="s">
        <v>18</v>
      </c>
    </row>
    <row r="2" spans="1:18" ht="15" x14ac:dyDescent="0.25">
      <c r="A2" s="147" t="s">
        <v>123</v>
      </c>
    </row>
    <row r="3" spans="1:18" ht="15" x14ac:dyDescent="0.25">
      <c r="A3" s="147"/>
    </row>
    <row r="4" spans="1:18" ht="15" x14ac:dyDescent="0.25">
      <c r="A4" s="147"/>
    </row>
    <row r="6" spans="1:18" x14ac:dyDescent="0.2">
      <c r="A6" s="225" t="s">
        <v>80</v>
      </c>
      <c r="B6" s="51" t="s">
        <v>81</v>
      </c>
      <c r="C6" s="52"/>
      <c r="D6" s="52"/>
      <c r="E6" s="53"/>
      <c r="F6" s="52"/>
      <c r="G6" s="52"/>
      <c r="H6" s="52"/>
      <c r="I6" s="53" t="s">
        <v>53</v>
      </c>
      <c r="J6" s="53" t="s">
        <v>54</v>
      </c>
      <c r="K6" s="53" t="s">
        <v>48</v>
      </c>
    </row>
    <row r="7" spans="1:18" x14ac:dyDescent="0.2">
      <c r="A7" s="54"/>
      <c r="B7" s="55" t="s">
        <v>82</v>
      </c>
      <c r="C7" s="55" t="s">
        <v>83</v>
      </c>
      <c r="D7" s="55" t="s">
        <v>50</v>
      </c>
      <c r="E7" s="55" t="s">
        <v>84</v>
      </c>
      <c r="F7" s="55" t="s">
        <v>4</v>
      </c>
      <c r="G7" s="55" t="s">
        <v>52</v>
      </c>
      <c r="H7" s="55" t="s">
        <v>3</v>
      </c>
      <c r="I7" s="55" t="s">
        <v>2</v>
      </c>
      <c r="J7" s="55" t="s">
        <v>2</v>
      </c>
      <c r="K7" s="53" t="s">
        <v>85</v>
      </c>
    </row>
    <row r="8" spans="1:18" x14ac:dyDescent="0.2">
      <c r="A8" s="56"/>
      <c r="B8" s="57"/>
      <c r="C8" s="56"/>
      <c r="D8" s="56"/>
      <c r="E8" s="56"/>
      <c r="F8" s="56"/>
      <c r="G8" s="56"/>
      <c r="H8" s="56"/>
      <c r="I8" s="56"/>
      <c r="J8" s="56"/>
      <c r="K8" s="56"/>
    </row>
    <row r="9" spans="1:18" x14ac:dyDescent="0.2">
      <c r="A9" s="224">
        <v>45536</v>
      </c>
      <c r="B9" s="420">
        <f>[2]Prices!B12</f>
        <v>0</v>
      </c>
      <c r="C9" s="420">
        <f>[2]Prices!C12</f>
        <v>95.78</v>
      </c>
      <c r="D9" s="420">
        <f>[2]Prices!D12</f>
        <v>154.36000000000001</v>
      </c>
      <c r="E9" s="420">
        <f>[2]Prices!E12</f>
        <v>1510.66</v>
      </c>
      <c r="F9" s="420">
        <f>[2]Prices!$G$12</f>
        <v>-23.33</v>
      </c>
      <c r="G9" s="476">
        <f>[2]Prices!$F$12</f>
        <v>219.49</v>
      </c>
      <c r="H9" s="476">
        <f>[2]Prices!$H$12</f>
        <v>260</v>
      </c>
      <c r="I9" s="476">
        <f>[2]Prices!J12</f>
        <v>820</v>
      </c>
      <c r="J9" s="476">
        <f>[2]Prices!K12</f>
        <v>220</v>
      </c>
      <c r="K9" s="476">
        <f>[2]Prices!L12</f>
        <v>-187.5</v>
      </c>
      <c r="O9" s="38"/>
    </row>
    <row r="10" spans="1:18" x14ac:dyDescent="0.2">
      <c r="A10" s="224">
        <v>45566</v>
      </c>
      <c r="B10" s="475">
        <f>[4]Prices!B13</f>
        <v>0</v>
      </c>
      <c r="C10" s="475">
        <f>[4]Prices!C13</f>
        <v>93.96</v>
      </c>
      <c r="D10" s="475">
        <f>[4]Prices!D13</f>
        <v>127.98</v>
      </c>
      <c r="E10" s="475">
        <f>[4]Prices!E13</f>
        <v>1599.53</v>
      </c>
      <c r="F10" s="475">
        <f>[4]Prices!$G$13</f>
        <v>-24.63</v>
      </c>
      <c r="G10" s="475">
        <f>[4]Prices!$F$13</f>
        <v>225</v>
      </c>
      <c r="H10" s="475">
        <f>[4]Prices!$H$13</f>
        <v>250</v>
      </c>
      <c r="I10" s="475">
        <f>[4]Prices!J13</f>
        <v>880</v>
      </c>
      <c r="J10" s="475">
        <f>[4]Prices!K13</f>
        <v>230</v>
      </c>
      <c r="K10" s="475">
        <f>[4]Prices!L13</f>
        <v>-187.5</v>
      </c>
      <c r="O10" s="38"/>
    </row>
    <row r="11" spans="1:18" x14ac:dyDescent="0.2">
      <c r="A11" s="224">
        <v>45597</v>
      </c>
      <c r="B11" s="475">
        <f>[6]Prices!B14</f>
        <v>0</v>
      </c>
      <c r="C11" s="475">
        <f>[6]Prices!C14</f>
        <v>76.39</v>
      </c>
      <c r="D11" s="475">
        <f>[6]Prices!D14</f>
        <v>136.16999999999999</v>
      </c>
      <c r="E11" s="475">
        <f>[6]Prices!E14</f>
        <v>1619.98</v>
      </c>
      <c r="F11" s="475">
        <f>[6]Prices!$G$14</f>
        <v>-21.95</v>
      </c>
      <c r="G11" s="475">
        <f>[6]Prices!$F$14</f>
        <v>199.09</v>
      </c>
      <c r="H11" s="475">
        <f>[6]Prices!$H$14</f>
        <v>240</v>
      </c>
      <c r="I11" s="475">
        <f>[6]Prices!J14</f>
        <v>1000</v>
      </c>
      <c r="J11" s="475">
        <f>[6]Prices!K14</f>
        <v>220</v>
      </c>
      <c r="K11" s="475">
        <f>[6]Prices!L14</f>
        <v>-187.5</v>
      </c>
    </row>
    <row r="12" spans="1:18" x14ac:dyDescent="0.2">
      <c r="A12" s="224">
        <v>45627</v>
      </c>
      <c r="B12" s="475">
        <f>[7]Prices!B15</f>
        <v>0</v>
      </c>
      <c r="C12" s="475">
        <f>[7]Prices!C15</f>
        <v>68.27</v>
      </c>
      <c r="D12" s="475">
        <f>[7]Prices!D15</f>
        <v>116.06</v>
      </c>
      <c r="E12" s="475">
        <f>[7]Prices!E15</f>
        <v>1619.23</v>
      </c>
      <c r="F12" s="475">
        <f>[7]Prices!$G$15</f>
        <v>-22.52</v>
      </c>
      <c r="G12" s="475">
        <f>[7]Prices!F15</f>
        <v>188.78</v>
      </c>
      <c r="H12" s="475">
        <f>[7]Prices!H15</f>
        <v>210</v>
      </c>
      <c r="I12" s="475">
        <f>[7]Prices!J15</f>
        <v>1090.8900000000001</v>
      </c>
      <c r="J12" s="475">
        <f>[7]Prices!K15</f>
        <v>200</v>
      </c>
      <c r="K12" s="475">
        <f>[7]Prices!L15</f>
        <v>-187.5</v>
      </c>
    </row>
    <row r="13" spans="1:18" x14ac:dyDescent="0.2">
      <c r="A13" s="224">
        <v>45658</v>
      </c>
      <c r="B13" s="475">
        <f>[10]Prices!B4</f>
        <v>0</v>
      </c>
      <c r="C13" s="475">
        <f>[10]Prices!C4</f>
        <v>62.07</v>
      </c>
      <c r="D13" s="475">
        <f>[10]Prices!D4</f>
        <v>113.15</v>
      </c>
      <c r="E13" s="475">
        <f>[10]Prices!E4</f>
        <v>1939.23</v>
      </c>
      <c r="F13" s="475">
        <f>[10]Prices!$G$4</f>
        <v>-16.77</v>
      </c>
      <c r="G13" s="475">
        <f>[10]Prices!$F$4</f>
        <v>192.69</v>
      </c>
      <c r="H13" s="475">
        <f>[10]Prices!$H$4</f>
        <v>180</v>
      </c>
      <c r="I13" s="475">
        <f>[10]Prices!J4</f>
        <v>1400</v>
      </c>
      <c r="J13" s="475">
        <f>[10]Prices!K4</f>
        <v>160</v>
      </c>
      <c r="K13" s="475">
        <f>[10]Prices!L4</f>
        <v>-187.5</v>
      </c>
    </row>
    <row r="14" spans="1:18" x14ac:dyDescent="0.2">
      <c r="A14" s="224">
        <v>45689</v>
      </c>
      <c r="B14" s="475">
        <f>[11]Prices!B5</f>
        <v>0</v>
      </c>
      <c r="C14" s="475">
        <f>[11]Prices!C5</f>
        <v>67.36</v>
      </c>
      <c r="D14" s="475">
        <f>[11]Prices!D5</f>
        <v>122.19</v>
      </c>
      <c r="E14" s="475">
        <f>[11]Prices!E5</f>
        <v>2279.36</v>
      </c>
      <c r="F14" s="475">
        <f>[11]Prices!G5</f>
        <v>-16.16</v>
      </c>
      <c r="G14" s="475">
        <f>[11]Prices!F5</f>
        <v>204.3</v>
      </c>
      <c r="H14" s="475">
        <f>[11]Prices!H5</f>
        <v>180</v>
      </c>
      <c r="I14" s="475">
        <f>[11]Prices!J5</f>
        <v>1740</v>
      </c>
      <c r="J14" s="475">
        <f>[11]Prices!K5</f>
        <v>180</v>
      </c>
      <c r="K14" s="475">
        <f>[11]Prices!L5</f>
        <v>-187.5</v>
      </c>
    </row>
    <row r="15" spans="1:18" x14ac:dyDescent="0.2">
      <c r="A15" s="224">
        <v>45717</v>
      </c>
      <c r="B15" s="475">
        <f>[14]Prices!B6</f>
        <v>0</v>
      </c>
      <c r="C15" s="475">
        <f>[14]Prices!C6</f>
        <v>81.44</v>
      </c>
      <c r="D15" s="475">
        <f>[14]Prices!D6</f>
        <v>127.23</v>
      </c>
      <c r="E15" s="475">
        <f>[14]Prices!E6</f>
        <v>2284.02</v>
      </c>
      <c r="F15" s="475">
        <f>[14]Prices!$G$6</f>
        <v>-21.65</v>
      </c>
      <c r="G15" s="475">
        <f>[14]Prices!$F$6</f>
        <v>220.07</v>
      </c>
      <c r="H15" s="475">
        <f>[14]Prices!$H$6</f>
        <v>200.6</v>
      </c>
      <c r="I15" s="475">
        <f>[14]Prices!J6</f>
        <v>1940</v>
      </c>
      <c r="J15" s="475">
        <f>[14]Prices!K6</f>
        <v>220</v>
      </c>
      <c r="K15" s="475">
        <f>[14]Prices!L6</f>
        <v>-187.5</v>
      </c>
      <c r="O15" s="18"/>
      <c r="P15" s="18"/>
      <c r="R15" s="18"/>
    </row>
    <row r="16" spans="1:18" x14ac:dyDescent="0.2">
      <c r="A16" s="224">
        <v>45748</v>
      </c>
      <c r="B16" s="475">
        <f>[15]Prices!B7</f>
        <v>0</v>
      </c>
      <c r="C16" s="475">
        <f>[15]Prices!C7</f>
        <v>79.47</v>
      </c>
      <c r="D16" s="475">
        <f>[15]Prices!D7</f>
        <v>118.44</v>
      </c>
      <c r="E16" s="475">
        <f>[15]Prices!E7</f>
        <v>1955.58</v>
      </c>
      <c r="F16" s="475">
        <f>[15]Prices!$G$7</f>
        <v>-21.99</v>
      </c>
      <c r="G16" s="475">
        <f>[15]Prices!$F$7</f>
        <v>209.6</v>
      </c>
      <c r="H16" s="475">
        <f>[15]Prices!$H$7</f>
        <v>210</v>
      </c>
      <c r="I16" s="475">
        <f>[15]Prices!$J$7</f>
        <v>2120</v>
      </c>
      <c r="J16" s="475">
        <f>[15]Prices!$K$7</f>
        <v>220</v>
      </c>
      <c r="K16" s="475">
        <f>[15]Prices!$L$7</f>
        <v>-187.5</v>
      </c>
      <c r="O16" s="18"/>
      <c r="P16" s="18"/>
    </row>
    <row r="17" spans="1:16" x14ac:dyDescent="0.2">
      <c r="A17" s="224">
        <v>45778</v>
      </c>
      <c r="B17" s="475">
        <f>[18]Prices!B8</f>
        <v>0</v>
      </c>
      <c r="C17" s="475">
        <f>[18]Prices!C8</f>
        <v>74</v>
      </c>
      <c r="D17" s="475">
        <f>[18]Prices!D8</f>
        <v>123.43</v>
      </c>
      <c r="E17" s="475">
        <f>[18]Prices!E8</f>
        <v>1996.35</v>
      </c>
      <c r="F17" s="475">
        <f>[18]Prices!$G$8</f>
        <v>-13.61</v>
      </c>
      <c r="G17" s="475">
        <f>[18]Prices!$F$8</f>
        <v>193.01</v>
      </c>
      <c r="H17" s="475">
        <f>[18]Prices!$H$8</f>
        <v>210</v>
      </c>
      <c r="I17" s="475">
        <f>[18]Prices!J8</f>
        <v>1700</v>
      </c>
      <c r="J17" s="475">
        <f>[18]Prices!K8</f>
        <v>100</v>
      </c>
      <c r="K17" s="475">
        <f>[18]Prices!L8</f>
        <v>-187.5</v>
      </c>
      <c r="O17" s="18"/>
      <c r="P17" s="18"/>
    </row>
    <row r="18" spans="1:16" x14ac:dyDescent="0.2">
      <c r="A18" s="224">
        <v>45809</v>
      </c>
      <c r="B18" s="475">
        <f>[20]Prices!B9</f>
        <v>0</v>
      </c>
      <c r="C18" s="475">
        <f>[20]Prices!C9</f>
        <v>76.56</v>
      </c>
      <c r="D18" s="475">
        <f>[20]Prices!D9</f>
        <v>124.87</v>
      </c>
      <c r="E18" s="475">
        <f>[20]Prices!E9</f>
        <v>2440</v>
      </c>
      <c r="F18" s="475">
        <f>[20]Prices!$G$9</f>
        <v>-13.92</v>
      </c>
      <c r="G18" s="475">
        <f>[20]Prices!$F$9</f>
        <v>191.9</v>
      </c>
      <c r="H18" s="475">
        <f>[20]Prices!$H$9</f>
        <v>210</v>
      </c>
      <c r="I18" s="475">
        <f>[20]Prices!$J$9</f>
        <v>1336.65</v>
      </c>
      <c r="J18" s="475">
        <f>[20]Prices!$K$9</f>
        <v>85.36</v>
      </c>
      <c r="K18" s="475">
        <f>[20]Prices!$L$9</f>
        <v>-187.5</v>
      </c>
      <c r="O18" s="18"/>
      <c r="P18" s="18"/>
    </row>
    <row r="19" spans="1:16" x14ac:dyDescent="0.2">
      <c r="A19" s="224">
        <v>45839</v>
      </c>
      <c r="B19" s="476">
        <f>[21]Prices!B10</f>
        <v>0</v>
      </c>
      <c r="C19" s="476">
        <f>[21]Prices!C10</f>
        <v>77.45</v>
      </c>
      <c r="D19" s="476">
        <f>[21]Prices!D10</f>
        <v>118.49</v>
      </c>
      <c r="E19" s="476">
        <f>[21]Prices!E10</f>
        <v>2066.59</v>
      </c>
      <c r="F19" s="476">
        <f>[21]Prices!$G$10</f>
        <v>-15.79</v>
      </c>
      <c r="G19" s="476">
        <f>[21]Prices!$F$10</f>
        <v>215.2</v>
      </c>
      <c r="H19" s="476">
        <f>[21]Prices!$H$10</f>
        <v>210</v>
      </c>
      <c r="I19" s="476">
        <f>[21]Prices!$J$10</f>
        <v>1100</v>
      </c>
      <c r="J19" s="476">
        <f>[21]Prices!$K$10</f>
        <v>90</v>
      </c>
      <c r="K19" s="475">
        <f>[21]Prices!$L$10</f>
        <v>-187.5</v>
      </c>
      <c r="O19" s="18"/>
      <c r="P19" s="18"/>
    </row>
    <row r="20" spans="1:16" x14ac:dyDescent="0.2">
      <c r="A20" s="224">
        <v>45870</v>
      </c>
      <c r="B20" s="476">
        <f>[23]Prices!B11</f>
        <v>0</v>
      </c>
      <c r="C20" s="476">
        <f>[23]Prices!C11</f>
        <v>77.84</v>
      </c>
      <c r="D20" s="476">
        <f>[23]Prices!D11</f>
        <v>113.03</v>
      </c>
      <c r="E20" s="476">
        <f>[23]Prices!E11</f>
        <v>2114.31</v>
      </c>
      <c r="F20" s="476">
        <f>[23]Prices!$G$11</f>
        <v>-11.25</v>
      </c>
      <c r="G20" s="476">
        <f>[23]Prices!$F$11</f>
        <v>186.3</v>
      </c>
      <c r="H20" s="476">
        <f>[23]Prices!$H$11</f>
        <v>50</v>
      </c>
      <c r="I20" s="476">
        <f>[23]Prices!J11</f>
        <v>880</v>
      </c>
      <c r="J20" s="476">
        <f>[23]Prices!K11</f>
        <v>80</v>
      </c>
      <c r="K20" s="476">
        <f>[23]Prices!L11</f>
        <v>-187.5</v>
      </c>
      <c r="O20" s="18"/>
      <c r="P20" s="18"/>
    </row>
    <row r="21" spans="1:16" x14ac:dyDescent="0.2">
      <c r="A21" s="6" t="s">
        <v>110</v>
      </c>
      <c r="B21" s="63"/>
      <c r="C21" s="63">
        <f>+'Reg. Res''l - SS Mix &amp; Prices'!D70</f>
        <v>76.678933416408583</v>
      </c>
      <c r="D21" s="63">
        <f>+'Reg. Res''l - SS Mix &amp; Prices'!E70</f>
        <v>124.20715119797683</v>
      </c>
      <c r="E21" s="63">
        <f>+'Reg. Res''l - SS Mix &amp; Prices'!F70</f>
        <v>1941.0711348671919</v>
      </c>
      <c r="F21" s="63">
        <f>+'Reg. Res''l - SS Mix &amp; Prices'!H70</f>
        <v>-18.569631154840149</v>
      </c>
      <c r="G21" s="63">
        <f>+'Reg. Res''l - SS Mix &amp; Prices'!G70</f>
        <v>203.76350891248239</v>
      </c>
      <c r="H21" s="63">
        <f>+'Reg. Res''l - SS Mix &amp; Prices'!I70</f>
        <v>198.3338845778905</v>
      </c>
      <c r="I21" s="63">
        <f>+'Reg. Res''l - SS Mix &amp; Prices'!J70</f>
        <v>1331.134171056606</v>
      </c>
      <c r="J21" s="63">
        <f>+'Reg. Res''l - SS Mix &amp; Prices'!K70</f>
        <v>170.86706850341031</v>
      </c>
      <c r="K21" s="63" t="e">
        <f>+'Reg. Res''l - SS Mix &amp; Prices'!L70</f>
        <v>#DIV/0!</v>
      </c>
    </row>
    <row r="23" spans="1:16" x14ac:dyDescent="0.2">
      <c r="B23" s="38"/>
      <c r="C23" s="38"/>
      <c r="D23" s="38"/>
      <c r="E23" s="38"/>
      <c r="F23" s="38"/>
      <c r="G23" s="38"/>
      <c r="H23" s="38"/>
      <c r="I23" s="38"/>
      <c r="J23" s="38"/>
      <c r="K23" s="38"/>
    </row>
    <row r="25" spans="1:16" x14ac:dyDescent="0.2">
      <c r="B25" s="220"/>
      <c r="C25" s="220"/>
      <c r="D25" s="220"/>
      <c r="E25" s="220"/>
      <c r="F25" s="220"/>
      <c r="G25" s="220"/>
      <c r="H25" s="220"/>
      <c r="I25" s="220"/>
      <c r="J25" s="220"/>
      <c r="K25" s="220"/>
      <c r="L25" s="220"/>
      <c r="M25" s="221"/>
    </row>
  </sheetData>
  <pageMargins left="0.7" right="0.7" top="0.75" bottom="0.75" header="0.3" footer="0.3"/>
  <pageSetup orientation="landscape" r:id="rId1"/>
  <legacy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B43409-D47B-4006-9B20-CBBA17650173}">
  <sheetPr>
    <tabColor rgb="FF00B050"/>
  </sheetPr>
  <dimension ref="A1:M27"/>
  <sheetViews>
    <sheetView workbookViewId="0">
      <selection activeCell="D20" sqref="D20"/>
    </sheetView>
  </sheetViews>
  <sheetFormatPr defaultRowHeight="12.75" x14ac:dyDescent="0.2"/>
  <cols>
    <col min="1" max="1" width="20.28515625" customWidth="1"/>
    <col min="2" max="2" width="13.5703125" bestFit="1" customWidth="1"/>
    <col min="3" max="4" width="13.5703125" customWidth="1"/>
    <col min="5" max="6" width="11" bestFit="1" customWidth="1"/>
    <col min="8" max="8" width="3.7109375" customWidth="1"/>
    <col min="9" max="9" width="10.28515625" bestFit="1" customWidth="1"/>
    <col min="10" max="10" width="11.28515625" bestFit="1" customWidth="1"/>
    <col min="11" max="11" width="12.28515625" bestFit="1" customWidth="1"/>
    <col min="13" max="13" width="12.28515625" bestFit="1" customWidth="1"/>
  </cols>
  <sheetData>
    <row r="1" spans="1:9" ht="15.75" x14ac:dyDescent="0.25">
      <c r="A1" s="692" t="s">
        <v>74</v>
      </c>
      <c r="B1" s="692"/>
      <c r="C1" s="692"/>
      <c r="D1" s="692"/>
      <c r="E1" s="692"/>
      <c r="F1" s="692"/>
      <c r="G1" s="692"/>
      <c r="H1" s="692"/>
      <c r="I1" s="692"/>
    </row>
    <row r="2" spans="1:9" ht="15.75" x14ac:dyDescent="0.25">
      <c r="A2" s="692" t="s">
        <v>165</v>
      </c>
      <c r="B2" s="692"/>
      <c r="C2" s="692"/>
      <c r="D2" s="692"/>
      <c r="E2" s="692"/>
      <c r="F2" s="692"/>
      <c r="G2" s="692"/>
      <c r="H2" s="692"/>
      <c r="I2" s="692"/>
    </row>
    <row r="3" spans="1:9" ht="15.75" x14ac:dyDescent="0.25">
      <c r="A3" s="692" t="s">
        <v>179</v>
      </c>
      <c r="B3" s="692"/>
      <c r="C3" s="692"/>
      <c r="D3" s="692"/>
      <c r="E3" s="692"/>
      <c r="F3" s="692"/>
      <c r="G3" s="692"/>
      <c r="H3" s="692"/>
      <c r="I3" s="692"/>
    </row>
    <row r="4" spans="1:9" ht="15.75" x14ac:dyDescent="0.25">
      <c r="A4" s="105"/>
      <c r="B4" s="105"/>
      <c r="C4" s="105"/>
      <c r="D4" s="105"/>
      <c r="E4" s="105"/>
      <c r="F4" s="105"/>
    </row>
    <row r="5" spans="1:9" ht="15.75" x14ac:dyDescent="0.25">
      <c r="A5" s="1"/>
      <c r="B5" s="105" t="s">
        <v>90</v>
      </c>
      <c r="C5" s="105"/>
      <c r="D5" s="105"/>
    </row>
    <row r="6" spans="1:9" ht="15.75" x14ac:dyDescent="0.25">
      <c r="A6" s="1"/>
      <c r="B6" s="105" t="s">
        <v>19</v>
      </c>
      <c r="C6" s="105"/>
      <c r="D6" s="105" t="s">
        <v>132</v>
      </c>
      <c r="E6" s="105" t="s">
        <v>22</v>
      </c>
      <c r="F6" s="105"/>
      <c r="G6" s="105" t="s">
        <v>93</v>
      </c>
      <c r="I6" s="105" t="s">
        <v>75</v>
      </c>
    </row>
    <row r="7" spans="1:9" ht="15.75" x14ac:dyDescent="0.25">
      <c r="A7" s="1"/>
      <c r="B7" s="50" t="s">
        <v>76</v>
      </c>
      <c r="C7" s="50" t="s">
        <v>131</v>
      </c>
      <c r="D7" s="50" t="s">
        <v>133</v>
      </c>
      <c r="E7" s="50" t="s">
        <v>91</v>
      </c>
      <c r="F7" s="50" t="s">
        <v>22</v>
      </c>
      <c r="G7" s="50" t="s">
        <v>94</v>
      </c>
      <c r="I7" s="50" t="s">
        <v>77</v>
      </c>
    </row>
    <row r="8" spans="1:9" ht="15" x14ac:dyDescent="0.2">
      <c r="A8" s="44"/>
      <c r="B8" s="45"/>
      <c r="C8" s="45"/>
      <c r="D8" s="45"/>
      <c r="E8" s="45"/>
      <c r="F8" s="45"/>
      <c r="G8" s="45"/>
      <c r="I8" s="45"/>
    </row>
    <row r="9" spans="1:9" ht="15" x14ac:dyDescent="0.2">
      <c r="A9" s="44" t="s">
        <v>14</v>
      </c>
      <c r="B9" s="537">
        <v>51496</v>
      </c>
      <c r="C9" s="537">
        <v>10888</v>
      </c>
      <c r="D9" s="537">
        <v>5110</v>
      </c>
      <c r="E9" s="104">
        <f>+D9+C9</f>
        <v>15998</v>
      </c>
      <c r="F9" s="46">
        <f>+E9+B9</f>
        <v>67494</v>
      </c>
      <c r="G9" s="140">
        <f>+B9/F9</f>
        <v>0.76297152339467211</v>
      </c>
      <c r="I9" s="104">
        <f>+'MF Units'!C9</f>
        <v>5183.5704545454519</v>
      </c>
    </row>
    <row r="10" spans="1:9" ht="15" x14ac:dyDescent="0.2">
      <c r="A10" s="44" t="s">
        <v>15</v>
      </c>
      <c r="B10" s="537">
        <v>51460</v>
      </c>
      <c r="C10" s="537">
        <v>10853</v>
      </c>
      <c r="D10" s="537">
        <v>5125</v>
      </c>
      <c r="E10" s="104">
        <f t="shared" ref="E10:E20" si="0">+D10+C10</f>
        <v>15978</v>
      </c>
      <c r="F10" s="46">
        <f>+E10+B10</f>
        <v>67438</v>
      </c>
      <c r="G10" s="140">
        <f>+B10/F10</f>
        <v>0.76307126545864346</v>
      </c>
      <c r="I10" s="104">
        <f>+'MF Units'!C10</f>
        <v>5549.734090909089</v>
      </c>
    </row>
    <row r="11" spans="1:9" ht="15" x14ac:dyDescent="0.2">
      <c r="A11" s="44" t="s">
        <v>16</v>
      </c>
      <c r="B11" s="537">
        <v>51424</v>
      </c>
      <c r="C11" s="537">
        <v>10918</v>
      </c>
      <c r="D11" s="537">
        <v>5147</v>
      </c>
      <c r="E11" s="104">
        <f t="shared" si="0"/>
        <v>16065</v>
      </c>
      <c r="F11" s="46">
        <f>+E11+B11</f>
        <v>67489</v>
      </c>
      <c r="G11" s="140">
        <f>+B11/F11</f>
        <v>0.7619612084932359</v>
      </c>
      <c r="I11" s="104">
        <f>+'MF Units'!C11</f>
        <v>5517.7477272727247</v>
      </c>
    </row>
    <row r="12" spans="1:9" ht="15" x14ac:dyDescent="0.2">
      <c r="A12" s="44" t="s">
        <v>17</v>
      </c>
      <c r="B12" s="537">
        <v>51411</v>
      </c>
      <c r="C12" s="537">
        <v>10812</v>
      </c>
      <c r="D12" s="537">
        <v>5167</v>
      </c>
      <c r="E12" s="104">
        <f t="shared" si="0"/>
        <v>15979</v>
      </c>
      <c r="F12" s="46">
        <f>+E12+B12</f>
        <v>67390</v>
      </c>
      <c r="G12" s="140">
        <f>+B12/F12</f>
        <v>0.7628876687935896</v>
      </c>
      <c r="I12" s="104">
        <f>+'MF Units'!C12</f>
        <v>5256.1795454545436</v>
      </c>
    </row>
    <row r="13" spans="1:9" ht="15" x14ac:dyDescent="0.2">
      <c r="A13" s="44" t="s">
        <v>5</v>
      </c>
      <c r="B13" s="537">
        <v>51451</v>
      </c>
      <c r="C13" s="537">
        <v>10793</v>
      </c>
      <c r="D13" s="537">
        <v>5204</v>
      </c>
      <c r="E13" s="104">
        <f t="shared" si="0"/>
        <v>15997</v>
      </c>
      <c r="F13" s="46">
        <f t="shared" ref="F13:F20" si="1">+E13+B13</f>
        <v>67448</v>
      </c>
      <c r="G13" s="140">
        <f t="shared" ref="G13:G20" si="2">+B13/F13</f>
        <v>0.76282469457952795</v>
      </c>
      <c r="I13" s="104">
        <f>+'MF Units'!C13</f>
        <v>5551.2090909090884</v>
      </c>
    </row>
    <row r="14" spans="1:9" ht="15" x14ac:dyDescent="0.2">
      <c r="A14" s="44" t="s">
        <v>6</v>
      </c>
      <c r="B14" s="537">
        <v>51400</v>
      </c>
      <c r="C14" s="537">
        <v>10777</v>
      </c>
      <c r="D14" s="537">
        <v>5217</v>
      </c>
      <c r="E14" s="104">
        <f t="shared" si="0"/>
        <v>15994</v>
      </c>
      <c r="F14" s="46">
        <f t="shared" si="1"/>
        <v>67394</v>
      </c>
      <c r="G14" s="140">
        <f t="shared" si="2"/>
        <v>0.76267917025254472</v>
      </c>
      <c r="I14" s="104">
        <f>+'MF Units'!C14</f>
        <v>5218.5749999999971</v>
      </c>
    </row>
    <row r="15" spans="1:9" ht="15" x14ac:dyDescent="0.2">
      <c r="A15" s="44" t="s">
        <v>8</v>
      </c>
      <c r="B15" s="537">
        <v>51481</v>
      </c>
      <c r="C15" s="537">
        <v>10777</v>
      </c>
      <c r="D15" s="537">
        <v>5255</v>
      </c>
      <c r="E15" s="104">
        <f t="shared" si="0"/>
        <v>16032</v>
      </c>
      <c r="F15" s="46">
        <f t="shared" si="1"/>
        <v>67513</v>
      </c>
      <c r="G15" s="140">
        <f t="shared" si="2"/>
        <v>0.76253462296150376</v>
      </c>
      <c r="I15" s="104">
        <f>+'MF Units'!C15</f>
        <v>5499.7090909090884</v>
      </c>
    </row>
    <row r="16" spans="1:9" ht="15" x14ac:dyDescent="0.2">
      <c r="A16" s="44" t="s">
        <v>9</v>
      </c>
      <c r="B16" s="537">
        <v>51608</v>
      </c>
      <c r="C16" s="537">
        <v>10807</v>
      </c>
      <c r="D16" s="537">
        <v>5287</v>
      </c>
      <c r="E16" s="104">
        <f t="shared" si="0"/>
        <v>16094</v>
      </c>
      <c r="F16" s="46">
        <f t="shared" si="1"/>
        <v>67702</v>
      </c>
      <c r="G16" s="140">
        <f t="shared" si="2"/>
        <v>0.76228176420194382</v>
      </c>
      <c r="I16" s="104">
        <f>+'MF Units'!C16</f>
        <v>5277.7636363636329</v>
      </c>
    </row>
    <row r="17" spans="1:13" ht="15" x14ac:dyDescent="0.2">
      <c r="A17" s="44" t="s">
        <v>10</v>
      </c>
      <c r="B17" s="537">
        <v>51813</v>
      </c>
      <c r="C17" s="537">
        <v>10818</v>
      </c>
      <c r="D17" s="537">
        <v>5323</v>
      </c>
      <c r="E17" s="104">
        <f t="shared" si="0"/>
        <v>16141</v>
      </c>
      <c r="F17" s="46">
        <f t="shared" si="1"/>
        <v>67954</v>
      </c>
      <c r="G17" s="140">
        <f t="shared" si="2"/>
        <v>0.76247167201342081</v>
      </c>
      <c r="I17" s="104">
        <f>+'MF Units'!C17</f>
        <v>5480.1159090909068</v>
      </c>
    </row>
    <row r="18" spans="1:13" ht="15" x14ac:dyDescent="0.2">
      <c r="A18" s="44" t="s">
        <v>11</v>
      </c>
      <c r="B18" s="537">
        <v>51873</v>
      </c>
      <c r="C18" s="537">
        <v>10810</v>
      </c>
      <c r="D18" s="537">
        <v>5340</v>
      </c>
      <c r="E18" s="104">
        <f t="shared" si="0"/>
        <v>16150</v>
      </c>
      <c r="F18" s="46">
        <f t="shared" si="1"/>
        <v>68023</v>
      </c>
      <c r="G18" s="140">
        <f t="shared" si="2"/>
        <v>0.76258030372080032</v>
      </c>
      <c r="I18" s="104">
        <f>+'MF Units'!C18</f>
        <v>5494.1499999999969</v>
      </c>
    </row>
    <row r="19" spans="1:13" ht="15" x14ac:dyDescent="0.2">
      <c r="A19" s="44" t="s">
        <v>12</v>
      </c>
      <c r="B19" s="537">
        <v>52005</v>
      </c>
      <c r="C19" s="537">
        <v>10838</v>
      </c>
      <c r="D19" s="537">
        <v>5360</v>
      </c>
      <c r="E19" s="104">
        <f t="shared" si="0"/>
        <v>16198</v>
      </c>
      <c r="F19" s="46">
        <f t="shared" si="1"/>
        <v>68203</v>
      </c>
      <c r="G19" s="140">
        <f t="shared" si="2"/>
        <v>0.76250311569872298</v>
      </c>
      <c r="I19" s="104">
        <f>+'MF Units'!C19</f>
        <v>5476.3318181818158</v>
      </c>
    </row>
    <row r="20" spans="1:13" ht="17.25" x14ac:dyDescent="0.35">
      <c r="A20" s="44" t="s">
        <v>13</v>
      </c>
      <c r="B20" s="537">
        <f>B19</f>
        <v>52005</v>
      </c>
      <c r="C20" s="537">
        <f>C19</f>
        <v>10838</v>
      </c>
      <c r="D20" s="537">
        <f>D19</f>
        <v>5360</v>
      </c>
      <c r="E20" s="257">
        <f t="shared" si="0"/>
        <v>16198</v>
      </c>
      <c r="F20" s="47">
        <f t="shared" si="1"/>
        <v>68203</v>
      </c>
      <c r="G20" s="144">
        <f t="shared" si="2"/>
        <v>0.76250311569872298</v>
      </c>
      <c r="I20" s="257">
        <f>+'MF Units'!C20</f>
        <v>5485.154545454543</v>
      </c>
      <c r="K20" s="18"/>
      <c r="M20" s="38"/>
    </row>
    <row r="21" spans="1:13" ht="18" x14ac:dyDescent="0.4">
      <c r="A21" s="44"/>
      <c r="B21" s="48">
        <f>SUM(B9:B20)</f>
        <v>619427</v>
      </c>
      <c r="C21" s="48">
        <f>SUM(C9:C20)</f>
        <v>129929</v>
      </c>
      <c r="D21" s="48">
        <f>SUM(D9:D20)</f>
        <v>62895</v>
      </c>
      <c r="E21" s="48">
        <f>SUM(E9:E20)</f>
        <v>192824</v>
      </c>
      <c r="F21" s="48">
        <f>SUM(F9:F20)</f>
        <v>812251</v>
      </c>
      <c r="G21" s="141">
        <f>+B21/F21</f>
        <v>0.76260540153228495</v>
      </c>
      <c r="I21" s="48">
        <f>SUM(I9:I20)</f>
        <v>64990.240909090877</v>
      </c>
    </row>
    <row r="22" spans="1:13" ht="15" x14ac:dyDescent="0.2">
      <c r="A22" s="44"/>
      <c r="B22" s="44"/>
      <c r="C22" s="44"/>
      <c r="D22" s="44"/>
      <c r="F22" s="44"/>
      <c r="G22" s="44"/>
      <c r="I22" s="44"/>
    </row>
    <row r="23" spans="1:13" ht="18" x14ac:dyDescent="0.4">
      <c r="A23" s="1" t="s">
        <v>78</v>
      </c>
      <c r="B23" s="48">
        <f>+B21/12</f>
        <v>51618.916666666664</v>
      </c>
      <c r="C23" s="48"/>
      <c r="D23" s="48"/>
      <c r="E23" s="48"/>
      <c r="F23" s="48"/>
      <c r="G23" s="49"/>
      <c r="I23" s="48">
        <f>+I21/12</f>
        <v>5415.8534090909061</v>
      </c>
    </row>
    <row r="25" spans="1:13" ht="15" x14ac:dyDescent="0.2">
      <c r="B25" s="538"/>
      <c r="C25" s="538"/>
      <c r="D25" s="538"/>
      <c r="I25" s="38"/>
    </row>
    <row r="27" spans="1:13" x14ac:dyDescent="0.2">
      <c r="B27" s="38"/>
      <c r="I27" s="38"/>
      <c r="J27" s="38"/>
    </row>
  </sheetData>
  <mergeCells count="3">
    <mergeCell ref="A1:I1"/>
    <mergeCell ref="A2:I2"/>
    <mergeCell ref="A3:I3"/>
  </mergeCells>
  <pageMargins left="0.7" right="0.7" top="0.75" bottom="0.75" header="0.3" footer="0.3"/>
  <pageSetup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BA60E7-867B-423D-AF19-855A7A8BC0E7}">
  <sheetPr>
    <tabColor rgb="FF00B050"/>
  </sheetPr>
  <dimension ref="A1:K25"/>
  <sheetViews>
    <sheetView tabSelected="1" workbookViewId="0">
      <selection activeCell="H27" sqref="H27"/>
    </sheetView>
  </sheetViews>
  <sheetFormatPr defaultRowHeight="12.75" x14ac:dyDescent="0.2"/>
  <cols>
    <col min="1" max="1" width="11.5703125" bestFit="1" customWidth="1"/>
    <col min="2" max="2" width="4.28515625" customWidth="1"/>
    <col min="3" max="3" width="8.5703125" bestFit="1" customWidth="1"/>
    <col min="4" max="4" width="8.85546875" bestFit="1" customWidth="1"/>
    <col min="5" max="5" width="6.7109375" style="18" bestFit="1" customWidth="1"/>
    <col min="6" max="7" width="11.28515625" bestFit="1" customWidth="1"/>
    <col min="8" max="8" width="11.28515625" customWidth="1"/>
    <col min="9" max="9" width="11.28515625" bestFit="1" customWidth="1"/>
    <col min="10" max="10" width="14" bestFit="1" customWidth="1"/>
    <col min="11" max="11" width="11.42578125" bestFit="1" customWidth="1"/>
    <col min="12" max="12" width="11.7109375" bestFit="1" customWidth="1"/>
    <col min="13" max="16" width="11.28515625" bestFit="1" customWidth="1"/>
  </cols>
  <sheetData>
    <row r="1" spans="1:10" ht="26.25" x14ac:dyDescent="0.4">
      <c r="A1" s="145" t="s">
        <v>18</v>
      </c>
    </row>
    <row r="2" spans="1:10" ht="15" x14ac:dyDescent="0.25">
      <c r="A2" s="147" t="s">
        <v>124</v>
      </c>
    </row>
    <row r="6" spans="1:10" x14ac:dyDescent="0.2">
      <c r="B6" s="21"/>
      <c r="C6" s="21"/>
      <c r="D6" s="21"/>
      <c r="G6" s="691" t="s">
        <v>122</v>
      </c>
      <c r="H6" s="691"/>
      <c r="I6" s="691"/>
      <c r="J6" s="691"/>
    </row>
    <row r="7" spans="1:10" x14ac:dyDescent="0.2">
      <c r="B7" s="2"/>
      <c r="C7" s="2" t="s">
        <v>114</v>
      </c>
      <c r="D7" s="2" t="s">
        <v>116</v>
      </c>
      <c r="G7" s="2" t="s">
        <v>118</v>
      </c>
      <c r="H7" s="2" t="s">
        <v>154</v>
      </c>
      <c r="I7" s="2" t="s">
        <v>119</v>
      </c>
      <c r="J7" s="2" t="s">
        <v>120</v>
      </c>
    </row>
    <row r="8" spans="1:10" x14ac:dyDescent="0.2">
      <c r="A8" s="12" t="s">
        <v>112</v>
      </c>
      <c r="B8" s="10"/>
      <c r="C8" s="10" t="s">
        <v>115</v>
      </c>
      <c r="D8" s="10" t="s">
        <v>33</v>
      </c>
      <c r="E8" s="253" t="s">
        <v>113</v>
      </c>
      <c r="G8" s="10" t="s">
        <v>117</v>
      </c>
      <c r="H8" s="10" t="s">
        <v>117</v>
      </c>
      <c r="I8" s="10" t="s">
        <v>117</v>
      </c>
      <c r="J8" s="10" t="s">
        <v>117</v>
      </c>
    </row>
    <row r="9" spans="1:10" x14ac:dyDescent="0.2">
      <c r="A9" s="15" t="s">
        <v>175</v>
      </c>
      <c r="B9" s="3"/>
      <c r="C9" s="252">
        <f>+D9/E9</f>
        <v>5183.5704545454519</v>
      </c>
      <c r="D9" s="20">
        <f>SUM(G9:J9)</f>
        <v>22807.71</v>
      </c>
      <c r="E9" s="18">
        <v>4.4000000000000021</v>
      </c>
      <c r="G9" s="511">
        <v>2280.58</v>
      </c>
      <c r="H9" s="511">
        <v>718.69</v>
      </c>
      <c r="I9" s="511">
        <v>396.77</v>
      </c>
      <c r="J9" s="511">
        <v>19411.669999999998</v>
      </c>
    </row>
    <row r="10" spans="1:10" x14ac:dyDescent="0.2">
      <c r="A10" s="15" t="s">
        <v>35</v>
      </c>
      <c r="B10" s="3"/>
      <c r="C10" s="252">
        <f t="shared" ref="C10:C20" si="0">+D10/E10</f>
        <v>5549.734090909089</v>
      </c>
      <c r="D10" s="20">
        <f t="shared" ref="D10:D20" si="1">SUM(G10:J10)</f>
        <v>24418.83</v>
      </c>
      <c r="E10" s="18">
        <v>4.4000000000000021</v>
      </c>
      <c r="G10" s="511">
        <v>2287.73</v>
      </c>
      <c r="H10" s="511">
        <v>718.69</v>
      </c>
      <c r="I10" s="511">
        <v>653.04999999999995</v>
      </c>
      <c r="J10" s="511">
        <v>20759.36</v>
      </c>
    </row>
    <row r="11" spans="1:10" x14ac:dyDescent="0.2">
      <c r="A11" s="15" t="s">
        <v>36</v>
      </c>
      <c r="B11" s="3"/>
      <c r="C11" s="252">
        <f t="shared" si="0"/>
        <v>5517.7477272727247</v>
      </c>
      <c r="D11" s="20">
        <f t="shared" si="1"/>
        <v>24278.09</v>
      </c>
      <c r="E11" s="18">
        <v>4.4000000000000021</v>
      </c>
      <c r="G11" s="511">
        <v>2287.73</v>
      </c>
      <c r="H11" s="511">
        <v>718.69</v>
      </c>
      <c r="I11" s="511">
        <v>653.04999999999995</v>
      </c>
      <c r="J11" s="511">
        <v>20618.62</v>
      </c>
    </row>
    <row r="12" spans="1:10" x14ac:dyDescent="0.2">
      <c r="A12" s="15" t="s">
        <v>37</v>
      </c>
      <c r="B12" s="3"/>
      <c r="C12" s="252">
        <f t="shared" si="0"/>
        <v>5256.1795454545436</v>
      </c>
      <c r="D12" s="20">
        <f t="shared" si="1"/>
        <v>23127.190000000002</v>
      </c>
      <c r="E12" s="18">
        <v>4.4000000000000021</v>
      </c>
      <c r="G12" s="511">
        <v>2287.73</v>
      </c>
      <c r="H12" s="511">
        <v>718.69</v>
      </c>
      <c r="I12" s="511">
        <v>653.04999999999995</v>
      </c>
      <c r="J12" s="511">
        <v>19467.72</v>
      </c>
    </row>
    <row r="13" spans="1:10" x14ac:dyDescent="0.2">
      <c r="A13" s="15" t="s">
        <v>176</v>
      </c>
      <c r="B13" s="3"/>
      <c r="C13" s="252">
        <f t="shared" si="0"/>
        <v>5551.2090909090884</v>
      </c>
      <c r="D13" s="20">
        <f t="shared" si="1"/>
        <v>24425.32</v>
      </c>
      <c r="E13" s="18">
        <v>4.4000000000000021</v>
      </c>
      <c r="G13" s="511">
        <v>2301.6999999999998</v>
      </c>
      <c r="H13" s="511">
        <v>718.69</v>
      </c>
      <c r="I13" s="511"/>
      <c r="J13" s="511">
        <v>21404.93</v>
      </c>
    </row>
    <row r="14" spans="1:10" x14ac:dyDescent="0.2">
      <c r="A14" s="15" t="s">
        <v>38</v>
      </c>
      <c r="B14" s="3"/>
      <c r="C14" s="252">
        <f t="shared" si="0"/>
        <v>5218.5749999999971</v>
      </c>
      <c r="D14" s="20">
        <f t="shared" si="1"/>
        <v>22961.73</v>
      </c>
      <c r="E14" s="18">
        <v>4.4000000000000021</v>
      </c>
      <c r="G14" s="511">
        <v>1964.51</v>
      </c>
      <c r="H14" s="511">
        <v>718.69</v>
      </c>
      <c r="I14" s="511"/>
      <c r="J14" s="511">
        <v>20278.53</v>
      </c>
    </row>
    <row r="15" spans="1:10" x14ac:dyDescent="0.2">
      <c r="A15" s="15" t="s">
        <v>39</v>
      </c>
      <c r="B15" s="3"/>
      <c r="C15" s="252">
        <f t="shared" si="0"/>
        <v>5499.7090909090884</v>
      </c>
      <c r="D15" s="20">
        <f t="shared" si="1"/>
        <v>24198.720000000001</v>
      </c>
      <c r="E15" s="18">
        <v>4.4000000000000021</v>
      </c>
      <c r="G15" s="511">
        <v>1964.51</v>
      </c>
      <c r="H15" s="511">
        <v>718.69</v>
      </c>
      <c r="I15" s="511"/>
      <c r="J15" s="511">
        <v>21515.52</v>
      </c>
    </row>
    <row r="16" spans="1:10" x14ac:dyDescent="0.2">
      <c r="A16" s="15" t="s">
        <v>40</v>
      </c>
      <c r="B16" s="3"/>
      <c r="C16" s="252">
        <f t="shared" si="0"/>
        <v>5277.7636363636329</v>
      </c>
      <c r="D16" s="20">
        <f t="shared" si="1"/>
        <v>23222.159999999996</v>
      </c>
      <c r="E16" s="18">
        <v>4.4000000000000021</v>
      </c>
      <c r="G16" s="511">
        <v>1964.51</v>
      </c>
      <c r="H16" s="511">
        <v>727.73</v>
      </c>
      <c r="I16" s="511"/>
      <c r="J16" s="511">
        <v>20529.919999999998</v>
      </c>
    </row>
    <row r="17" spans="1:11" x14ac:dyDescent="0.2">
      <c r="A17" s="15" t="s">
        <v>10</v>
      </c>
      <c r="B17" s="3"/>
      <c r="C17" s="252">
        <f t="shared" si="0"/>
        <v>5480.1159090909068</v>
      </c>
      <c r="D17" s="20">
        <f t="shared" si="1"/>
        <v>24112.510000000002</v>
      </c>
      <c r="E17" s="18">
        <v>4.4000000000000021</v>
      </c>
      <c r="G17" s="511">
        <v>1966.06</v>
      </c>
      <c r="H17" s="511">
        <v>727.73</v>
      </c>
      <c r="I17" s="511"/>
      <c r="J17" s="511">
        <v>21418.720000000001</v>
      </c>
    </row>
    <row r="18" spans="1:11" x14ac:dyDescent="0.2">
      <c r="A18" s="15" t="s">
        <v>41</v>
      </c>
      <c r="B18" s="3"/>
      <c r="C18" s="252">
        <f t="shared" si="0"/>
        <v>5494.1499999999969</v>
      </c>
      <c r="D18" s="20">
        <f t="shared" si="1"/>
        <v>24174.26</v>
      </c>
      <c r="E18" s="18">
        <v>4.4000000000000021</v>
      </c>
      <c r="G18" s="511">
        <v>1966.06</v>
      </c>
      <c r="H18" s="511">
        <v>534.28</v>
      </c>
      <c r="I18" s="511"/>
      <c r="J18" s="511">
        <v>21673.919999999998</v>
      </c>
    </row>
    <row r="19" spans="1:11" x14ac:dyDescent="0.2">
      <c r="A19" s="15" t="s">
        <v>42</v>
      </c>
      <c r="B19" s="3"/>
      <c r="C19" s="252">
        <f t="shared" si="0"/>
        <v>5476.3318181818158</v>
      </c>
      <c r="D19" s="20">
        <f t="shared" si="1"/>
        <v>24095.86</v>
      </c>
      <c r="E19" s="18">
        <v>4.4000000000000021</v>
      </c>
      <c r="G19" s="511">
        <v>1810.96</v>
      </c>
      <c r="H19" s="511">
        <v>534.28</v>
      </c>
      <c r="I19" s="511"/>
      <c r="J19" s="511">
        <v>21750.62</v>
      </c>
    </row>
    <row r="20" spans="1:11" x14ac:dyDescent="0.2">
      <c r="A20" s="15" t="s">
        <v>43</v>
      </c>
      <c r="B20" s="3"/>
      <c r="C20" s="252">
        <f t="shared" si="0"/>
        <v>5485.154545454543</v>
      </c>
      <c r="D20" s="20">
        <f t="shared" si="1"/>
        <v>24134.68</v>
      </c>
      <c r="E20" s="18">
        <v>4.4000000000000021</v>
      </c>
      <c r="G20" s="511">
        <v>2142.36</v>
      </c>
      <c r="H20" s="511">
        <v>628.9</v>
      </c>
      <c r="I20" s="511"/>
      <c r="J20" s="511">
        <v>21363.42</v>
      </c>
      <c r="K20" s="4"/>
    </row>
    <row r="21" spans="1:11" x14ac:dyDescent="0.2">
      <c r="G21" s="512"/>
      <c r="H21" s="512"/>
      <c r="I21" s="512"/>
      <c r="J21" s="512"/>
    </row>
    <row r="22" spans="1:11" x14ac:dyDescent="0.2">
      <c r="G22" s="512"/>
      <c r="H22" s="512"/>
      <c r="I22" s="512"/>
      <c r="J22" s="512"/>
    </row>
    <row r="23" spans="1:11" x14ac:dyDescent="0.2">
      <c r="G23" s="512"/>
      <c r="H23" s="512"/>
      <c r="I23" s="512"/>
      <c r="J23" s="512"/>
    </row>
    <row r="24" spans="1:11" x14ac:dyDescent="0.2">
      <c r="G24" s="512"/>
      <c r="H24" s="512"/>
      <c r="I24" s="512"/>
      <c r="J24" s="512"/>
    </row>
    <row r="25" spans="1:11" x14ac:dyDescent="0.2">
      <c r="G25" s="512"/>
      <c r="H25" s="512"/>
      <c r="I25" s="512"/>
      <c r="J25" s="512"/>
    </row>
  </sheetData>
  <mergeCells count="1">
    <mergeCell ref="G6:J6"/>
  </mergeCells>
  <phoneticPr fontId="34" type="noConversion"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Filed Document" ma:contentTypeID="0x0101006E56B4D1795A2E4DB2F0B01679ED314A002875E421A112B941842CCF34FFB400A7" ma:contentTypeVersion="19" ma:contentTypeDescription="" ma:contentTypeScope="" ma:versionID="e9f631de126e921a631cc059f7d24524">
  <xsd:schema xmlns:xsd="http://www.w3.org/2001/XMLSchema" xmlns:xs="http://www.w3.org/2001/XMLSchema" xmlns:p="http://schemas.microsoft.com/office/2006/metadata/properties" xmlns:ns1="http://schemas.microsoft.com/sharepoint/v3" xmlns:ns2="dc463f71-b30c-4ab2-9473-d307f9d35888" targetNamespace="http://schemas.microsoft.com/office/2006/metadata/properties" ma:root="true" ma:fieldsID="d275ef9dcc7ead6001da0d7ec3e70ce9" ns1:_="" ns2:_="">
    <xsd:import namespace="http://schemas.microsoft.com/sharepoint/v3"/>
    <xsd:import namespace="dc463f71-b30c-4ab2-9473-d307f9d35888"/>
    <xsd:element name="properties">
      <xsd:complexType>
        <xsd:sequence>
          <xsd:element name="documentManagement">
            <xsd:complexType>
              <xsd:all>
                <xsd:element ref="ns2:IsConfidential" minOccurs="0"/>
                <xsd:element ref="ns2:IsHighlyConfidential" minOccurs="0"/>
                <xsd:element ref="ns2:Date1" minOccurs="0"/>
                <xsd:element ref="ns2:DocketNumber" minOccurs="0"/>
                <xsd:element ref="ns2:DocumentSetType" minOccurs="0"/>
                <xsd:element ref="ns2:IndustryCode" minOccurs="0"/>
                <xsd:element ref="ns2:CaseType" minOccurs="0"/>
                <xsd:element ref="ns2:CaseStatus" minOccurs="0"/>
                <xsd:element ref="ns2:AgendaOrder" minOccurs="0"/>
                <xsd:element ref="ns2:DelegatedOrder" minOccurs="0"/>
                <xsd:element ref="ns2:IsDocumentOrder" minOccurs="0"/>
                <xsd:element ref="ns2:CaseCompanyNames" minOccurs="0"/>
                <xsd:element ref="ns2:OpenedDate" minOccurs="0"/>
                <xsd:element ref="ns2:Prefix" minOccurs="0"/>
                <xsd:element ref="ns2:Visibility" minOccurs="0"/>
                <xsd:element ref="ns1:Nickname" minOccurs="0"/>
                <xsd:element ref="ns2:SignificantOrd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Nickname" ma:index="17" nillable="true" ma:displayName="Nickname" ma:internalName="Nicknam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c463f71-b30c-4ab2-9473-d307f9d35888" elementFormDefault="qualified">
    <xsd:import namespace="http://schemas.microsoft.com/office/2006/documentManagement/types"/>
    <xsd:import namespace="http://schemas.microsoft.com/office/infopath/2007/PartnerControls"/>
    <xsd:element name="IsConfidential" ma:index="2" nillable="true" ma:displayName="Is Confidential" ma:default="0" ma:internalName="IsConfidential" ma:readOnly="false">
      <xsd:simpleType>
        <xsd:restriction base="dms:Boolean"/>
      </xsd:simpleType>
    </xsd:element>
    <xsd:element name="IsHighlyConfidential" ma:index="3" nillable="true" ma:displayName="Is Highly Confidential" ma:default="0" ma:internalName="IsHighlyConfidential" ma:readOnly="false">
      <xsd:simpleType>
        <xsd:restriction base="dms:Boolean"/>
      </xsd:simpleType>
    </xsd:element>
    <xsd:element name="Date1" ma:index="4" nillable="true" ma:displayName="Date" ma:default="[today]" ma:description="Date the document set was requested" ma:format="DateOnly" ma:internalName="Date1" ma:readOnly="false">
      <xsd:simpleType>
        <xsd:restriction base="dms:DateTime"/>
      </xsd:simpleType>
    </xsd:element>
    <xsd:element name="DocketNumber" ma:index="5" nillable="true" ma:displayName="Docket Number" ma:internalName="DocketNumber" ma:readOnly="false">
      <xsd:simpleType>
        <xsd:restriction base="dms:Text">
          <xsd:maxLength value="255"/>
        </xsd:restriction>
      </xsd:simpleType>
    </xsd:element>
    <xsd:element name="DocumentSetType" ma:index="6" nillable="true" ma:displayName="Document Set Type" ma:internalName="DocumentSetType" ma:readOnly="false">
      <xsd:simpleType>
        <xsd:restriction base="dms:Text">
          <xsd:maxLength value="255"/>
        </xsd:restriction>
      </xsd:simpleType>
    </xsd:element>
    <xsd:element name="IndustryCode" ma:index="7" nillable="true" ma:displayName="Industry Code" ma:internalName="IndustryCode" ma:readOnly="false">
      <xsd:simpleType>
        <xsd:restriction base="dms:Text">
          <xsd:maxLength value="255"/>
        </xsd:restriction>
      </xsd:simpleType>
    </xsd:element>
    <xsd:element name="CaseType" ma:index="8" nillable="true" ma:displayName="CaseType" ma:internalName="CaseType" ma:readOnly="false">
      <xsd:simpleType>
        <xsd:restriction base="dms:Text">
          <xsd:maxLength value="255"/>
        </xsd:restriction>
      </xsd:simpleType>
    </xsd:element>
    <xsd:element name="CaseStatus" ma:index="9" nillable="true" ma:displayName="CaseStatus" ma:internalName="CaseStatus" ma:readOnly="false">
      <xsd:simpleType>
        <xsd:restriction base="dms:Text">
          <xsd:maxLength value="255"/>
        </xsd:restriction>
      </xsd:simpleType>
    </xsd:element>
    <xsd:element name="AgendaOrder" ma:index="10" nillable="true" ma:displayName="Agenda Order" ma:default="0" ma:internalName="AgendaOrder" ma:readOnly="false">
      <xsd:simpleType>
        <xsd:restriction base="dms:Boolean"/>
      </xsd:simpleType>
    </xsd:element>
    <xsd:element name="DelegatedOrder" ma:index="11" nillable="true" ma:displayName="DelegatedOrder" ma:default="0" ma:description="Is this a delegated order?" ma:internalName="DelegatedOrder" ma:readOnly="false">
      <xsd:simpleType>
        <xsd:restriction base="dms:Boolean"/>
      </xsd:simpleType>
    </xsd:element>
    <xsd:element name="IsDocumentOrder" ma:index="12" nillable="true" ma:displayName="IsDocumentOrder" ma:default="0" ma:internalName="IsDocumentOrder" ma:readOnly="false">
      <xsd:simpleType>
        <xsd:restriction base="dms:Boolean"/>
      </xsd:simpleType>
    </xsd:element>
    <xsd:element name="CaseCompanyNames" ma:index="13" nillable="true" ma:displayName="Company Names" ma:description="Company names delimited by ;" ma:internalName="CaseCompanyNames" ma:readOnly="false">
      <xsd:simpleType>
        <xsd:restriction base="dms:Note">
          <xsd:maxLength value="255"/>
        </xsd:restriction>
      </xsd:simpleType>
    </xsd:element>
    <xsd:element name="OpenedDate" ma:index="14" nillable="true" ma:displayName="OpenedDate" ma:format="DateOnly" ma:internalName="OpenedDate">
      <xsd:simpleType>
        <xsd:restriction base="dms:DateTime"/>
      </xsd:simpleType>
    </xsd:element>
    <xsd:element name="Prefix" ma:index="15" nillable="true" ma:displayName="Prefix" ma:description="Docket number prefix" ma:internalName="Prefix">
      <xsd:simpleType>
        <xsd:restriction base="dms:Text">
          <xsd:maxLength value="255"/>
        </xsd:restriction>
      </xsd:simpleType>
    </xsd:element>
    <xsd:element name="Visibility" ma:index="16" nillable="true" ma:displayName="Visibility" ma:default="Full Visibility" ma:format="Dropdown" ma:internalName="Visibility" ma:readOnly="false">
      <xsd:simpleType>
        <xsd:restriction base="dms:Choice">
          <xsd:enumeration value="Full Visibility"/>
        </xsd:restriction>
      </xsd:simpleType>
    </xsd:element>
    <xsd:element name="SignificantOrder" ma:index="24" nillable="true" ma:displayName="SignificantOrder" ma:default="0" ma:description="Whether this document set contains a significant order" ma:internalName="SignificantOrder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2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015f1b76-b32e-440f-80a7-f0ca4d8a872c" ContentTypeId="0x0101006E56B4D1795A2E4DB2F0B01679ED314A" PreviousValue="true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refix xmlns="dc463f71-b30c-4ab2-9473-d307f9d35888">TG</Prefix>
    <DocumentSetType xmlns="dc463f71-b30c-4ab2-9473-d307f9d35888">Workpapers</DocumentSetType>
    <Visibility xmlns="dc463f71-b30c-4ab2-9473-d307f9d35888">Full Visibility</Visibility>
    <IsConfidential xmlns="dc463f71-b30c-4ab2-9473-d307f9d35888">false</IsConfidential>
    <AgendaOrder xmlns="dc463f71-b30c-4ab2-9473-d307f9d35888">false</AgendaOrder>
    <CaseType xmlns="dc463f71-b30c-4ab2-9473-d307f9d35888">Tariff Revision</CaseType>
    <IndustryCode xmlns="dc463f71-b30c-4ab2-9473-d307f9d35888">227</IndustryCode>
    <CaseStatus xmlns="dc463f71-b30c-4ab2-9473-d307f9d35888">Pending</CaseStatus>
    <OpenedDate xmlns="dc463f71-b30c-4ab2-9473-d307f9d35888">2025-09-24T07:00:00+00:00</OpenedDate>
    <SignificantOrder xmlns="dc463f71-b30c-4ab2-9473-d307f9d35888">false</SignificantOrder>
    <Date1 xmlns="dc463f71-b30c-4ab2-9473-d307f9d35888">2025-09-24T07:00:00+00:00</Date1>
    <IsDocumentOrder xmlns="dc463f71-b30c-4ab2-9473-d307f9d35888">false</IsDocumentOrder>
    <IsHighlyConfidential xmlns="dc463f71-b30c-4ab2-9473-d307f9d35888">false</IsHighlyConfidential>
    <CaseCompanyNames xmlns="dc463f71-b30c-4ab2-9473-d307f9d35888">Waste Management of Washington, Inc.  </CaseCompanyNames>
    <Nickname xmlns="http://schemas.microsoft.com/sharepoint/v3" xsi:nil="true"/>
    <DocketNumber xmlns="dc463f71-b30c-4ab2-9473-d307f9d35888">250729</DocketNumber>
    <DelegatedOrder xmlns="dc463f71-b30c-4ab2-9473-d307f9d35888">false</DelegatedOrder>
  </documentManagement>
</p:properties>
</file>

<file path=customXml/itemProps1.xml><?xml version="1.0" encoding="utf-8"?>
<ds:datastoreItem xmlns:ds="http://schemas.openxmlformats.org/officeDocument/2006/customXml" ds:itemID="{FAC46543-464F-4907-AC4F-243EF78E409B}"/>
</file>

<file path=customXml/itemProps2.xml><?xml version="1.0" encoding="utf-8"?>
<ds:datastoreItem xmlns:ds="http://schemas.openxmlformats.org/officeDocument/2006/customXml" ds:itemID="{5F8E066B-9B69-4D91-9256-EB2836BCB28A}"/>
</file>

<file path=customXml/itemProps3.xml><?xml version="1.0" encoding="utf-8"?>
<ds:datastoreItem xmlns:ds="http://schemas.openxmlformats.org/officeDocument/2006/customXml" ds:itemID="{EEEB9C1B-C4D8-4798-9212-490A99BF68D1}"/>
</file>

<file path=customXml/itemProps4.xml><?xml version="1.0" encoding="utf-8"?>
<ds:datastoreItem xmlns:ds="http://schemas.openxmlformats.org/officeDocument/2006/customXml" ds:itemID="{0006C357-3843-4723-9F62-3E0607A8A95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7</vt:i4>
      </vt:variant>
    </vt:vector>
  </HeadingPairs>
  <TitlesOfParts>
    <vt:vector size="16" baseType="lpstr">
      <vt:lpstr>Rebate Analysis</vt:lpstr>
      <vt:lpstr>Calculation of Revenue</vt:lpstr>
      <vt:lpstr>Reg. Res'l - SS Mix &amp; Prices</vt:lpstr>
      <vt:lpstr>Composition - CRC</vt:lpstr>
      <vt:lpstr>Reg. MF - SS Mix &amp; Prices</vt:lpstr>
      <vt:lpstr>Total Company Tonnage</vt:lpstr>
      <vt:lpstr>Commodity Prices - JMK</vt:lpstr>
      <vt:lpstr>Customer Counts</vt:lpstr>
      <vt:lpstr>MF Units</vt:lpstr>
      <vt:lpstr>'Calculation of Revenue'!Print_Area</vt:lpstr>
      <vt:lpstr>'Commodity Prices - JMK'!Print_Area</vt:lpstr>
      <vt:lpstr>'Customer Counts'!Print_Area</vt:lpstr>
      <vt:lpstr>'Rebate Analysis'!Print_Area</vt:lpstr>
      <vt:lpstr>'Reg. MF - SS Mix &amp; Prices'!Print_Area</vt:lpstr>
      <vt:lpstr>'Reg. Res''l - SS Mix &amp; Prices'!Print_Area</vt:lpstr>
      <vt:lpstr>'Total Company Tonnage'!Print_Area</vt:lpstr>
    </vt:vector>
  </TitlesOfParts>
  <Company>Waste Management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Cynthia Burnite</dc:creator>
  <cp:lastModifiedBy>Burmester, Evan</cp:lastModifiedBy>
  <cp:lastPrinted>2018-09-07T15:11:39Z</cp:lastPrinted>
  <dcterms:created xsi:type="dcterms:W3CDTF">2003-01-04T00:18:15Z</dcterms:created>
  <dcterms:modified xsi:type="dcterms:W3CDTF">2025-09-24T16:43:09Z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0x0101006E56B4D1795A2E4DB2F0B01679ED314A002875E421A112B941842CCF34FFB400A7</vt:lpwstr>
  </property>
</Properties>
</file>