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duresources.sharepoint.com/sites/WestRegulatoryGeneral/Shared Documents/Projects/09-15-2025 Filings/5 - WA Conservation Program Adjustment/"/>
    </mc:Choice>
  </mc:AlternateContent>
  <xr:revisionPtr revIDLastSave="2" documentId="8_{BDEA3C67-CCC2-4A6F-9C8E-368EA6251579}" xr6:coauthVersionLast="47" xr6:coauthVersionMax="47" xr10:uidLastSave="{BBDD838F-6731-49B7-AB9A-5F0086598638}"/>
  <bookViews>
    <workbookView xWindow="38280" yWindow="-120" windowWidth="38640" windowHeight="21120" activeTab="3" xr2:uid="{9C0A9A1C-00AF-4221-8F5C-133FAB2E5D76}"/>
  </bookViews>
  <sheets>
    <sheet name="CPA Table of Contents" sheetId="1" r:id="rId1"/>
    <sheet name="CPA Summary of Def. Accts." sheetId="2" r:id="rId2"/>
    <sheet name="CPA Proposed Rate 596" sheetId="3" r:id="rId3"/>
    <sheet name="CPA Amount of Change" sheetId="4" r:id="rId4"/>
    <sheet name="Effects of CPA Avg. Bill" sheetId="5" r:id="rId5"/>
    <sheet name="Workpapers---&gt;" sheetId="12" r:id="rId6"/>
    <sheet name="Balances at 7-31-2025" sheetId="13" r:id="rId7"/>
    <sheet name="Int calc thru 10-31-2025" sheetId="14" r:id="rId8"/>
    <sheet name="Amort Calc thru 10-31-2025" sheetId="15" r:id="rId9"/>
    <sheet name="EstimatedBalances" sheetId="16" r:id="rId10"/>
    <sheet name=" Int during Amort" sheetId="17" r:id="rId11"/>
    <sheet name="Test Period Volumes" sheetId="18" r:id="rId12"/>
    <sheet name="Bills-Therms-Revs" sheetId="19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0">#REF!</definedName>
    <definedName name="\a">#REF!</definedName>
    <definedName name="\b">#REF!</definedName>
    <definedName name="\bb">'[1]Input Data'!$C$181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>'[1]Input Data'!#REF!</definedName>
    <definedName name="___apr99">'[2]185'!#REF!</definedName>
    <definedName name="___re22">'[3]St.of Op. '!$B$807:$N$817</definedName>
    <definedName name="___y1212">[3]Actual.Rev!$C$1036:$O$1049</definedName>
    <definedName name="__apr98">[4]Detail!$B$822:$N$832</definedName>
    <definedName name="__aug98">[5]Detail!$C$280:$K$285</definedName>
    <definedName name="__Aug99">[6]Detail!$B$1198:$N$1212</definedName>
    <definedName name="__dec98">[5]Detail!$C$310:$K$315</definedName>
    <definedName name="__dec99">[6]Detail!$B$1265:$N$1324</definedName>
    <definedName name="__feb98">[4]Detail!$B$796:$I$806</definedName>
    <definedName name="__FEB99">'[7]185'!#REF!</definedName>
    <definedName name="__jan98">[4]Detail!$B$783:$N$793</definedName>
    <definedName name="__jan99">'[7]185'!#REF!</definedName>
    <definedName name="__jul98">[5]Detail!$C$271:$K$276</definedName>
    <definedName name="__jul99">[6]Detail!$B$1180:$N$1194</definedName>
    <definedName name="__jun98">[4]Detail!$B$848:$N$859</definedName>
    <definedName name="__mar98">[4]Detail!$B$809:$N$819</definedName>
    <definedName name="__MAR99">'[7]185'!#REF!</definedName>
    <definedName name="__may98">[4]Detail!$B$835:$N$845</definedName>
    <definedName name="__may99">'[7]185'!#REF!</definedName>
    <definedName name="__nov98">[5]Detail!$C$303:$K$308</definedName>
    <definedName name="__nov99">[6]Detail!$B$1248:$N$1262</definedName>
    <definedName name="__oct98">[5]Detail!$C$296:$K$301</definedName>
    <definedName name="__oct99">[6]Detail!$B$1232:$N$1246</definedName>
    <definedName name="__sep98">[5]Detail!$C$288:$K$293</definedName>
    <definedName name="__sep99">[6]Detail!$B$1215:$N$1229</definedName>
    <definedName name="_12_91">#REF!</definedName>
    <definedName name="_1994DD">#REF!</definedName>
    <definedName name="_228">'[8]Interest Rates'!#REF!</definedName>
    <definedName name="_230">'[8]Interest Rates'!#REF!</definedName>
    <definedName name="_244">'[9]Int Rates'!#REF!</definedName>
    <definedName name="_246">'[9]Int Rates'!#REF!</definedName>
    <definedName name="_4000">#REF!</definedName>
    <definedName name="_40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UG92">#REF!</definedName>
    <definedName name="_DEC91">#REF!</definedName>
    <definedName name="_JUL92">#REF!</definedName>
    <definedName name="_JUN92">#REF!</definedName>
    <definedName name="_JUN99">#REF!</definedName>
    <definedName name="_MAY92">#REF!</definedName>
    <definedName name="_OR321">#REF!</definedName>
    <definedName name="_OR324">#REF!</definedName>
    <definedName name="_OR325">#REF!</definedName>
    <definedName name="_SEP92">#REF!</definedName>
    <definedName name="_WA321">#REF!</definedName>
    <definedName name="_WA324">#REF!</definedName>
    <definedName name="_WA325">#REF!</definedName>
    <definedName name="AGREE">[10]SETUP!#REF!</definedName>
    <definedName name="alc">[11]SETUP!#REF!</definedName>
    <definedName name="ALCOA1">[10]SETUP!#REF!</definedName>
    <definedName name="ALCOA2">[10]SETUP!#REF!</definedName>
    <definedName name="BalancesJuly" localSheetId="6">'Balances at 7-31-2025'!$A$6:$I$375</definedName>
    <definedName name="BalancesJuly">#REF!</definedName>
    <definedName name="BEGINNING">#N/A</definedName>
    <definedName name="BELLINGHAM_24_H">#REF!</definedName>
    <definedName name="BELLINGHAM_MAX">#REF!</definedName>
    <definedName name="BELLINGHAM_MAX_">#REF!</definedName>
    <definedName name="BELLINGHAM_MIN">#REF!</definedName>
    <definedName name="BUYSELL">[12]SETUP!#REF!</definedName>
    <definedName name="C_">#REF!</definedName>
    <definedName name="canadian_toll_DataTable">#REF!</definedName>
    <definedName name="Canadian_tolls_DataTable">#REF!</definedName>
    <definedName name="CAP">'[13]Int Rates'!#REF!</definedName>
    <definedName name="CENTRAL_STORES">#REF!</definedName>
    <definedName name="Citygate_all_monts_DataTable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>#REF!</definedName>
    <definedName name="Criteria_MI">#REF!</definedName>
    <definedName name="CUST">[12]SETUP!#REF!</definedName>
    <definedName name="Daily_Flow_DataTable">#REF!</definedName>
    <definedName name="Data">'[14]Section 7 Storage History'!$D$7:$W$102</definedName>
    <definedName name="_xlnm.Database">#REF!</definedName>
    <definedName name="Database_MI">#REF!</definedName>
    <definedName name="DATE">#REF!</definedName>
    <definedName name="DAY">[12]SETUP!#REF!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 localSheetId="6">EstimatedBalances!$A$5:$I$5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'[15]New FERC Int. Rates'!$A$44:$C$55</definedName>
    <definedName name="FERCINT06">'[15]New FERC Int. Rates'!$A$56:$C$67</definedName>
    <definedName name="FERCINT07">'[16]New FERC Int. Rates'!$A$68:$C$79</definedName>
    <definedName name="FERCINT08">'[16]New FERC Int. Rates'!$A$80:$C$94</definedName>
    <definedName name="FERCINT09">'[16]New FERC Int. Rates'!$A$95:$C$106</definedName>
    <definedName name="FERCINT10">'[15]New FERC Int. Rates'!$A$107:$C$118</definedName>
    <definedName name="FERCINTRATE">'[16]New FERC Int. Rates'!$A$5:$C$10</definedName>
    <definedName name="FERCINTRATE02">'[16]New FERC Int. Rates'!$A$11:$C$22</definedName>
    <definedName name="FERCINTRATE03">'[15]New FERC Int. Rates'!$A$23:$C$34</definedName>
    <definedName name="FERCOR">#REF!</definedName>
    <definedName name="FERCWA">#REF!</definedName>
    <definedName name="FILE" localSheetId="3">[17]input!$C$4</definedName>
    <definedName name="FILE">[17]input!$C$4</definedName>
    <definedName name="FIT">[17]input!$C$16</definedName>
    <definedName name="FITRBADJ">[17]input!$C$52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>[18]Notes!#REF!</definedName>
    <definedName name="gcnew">[19]Notes!#REF!</definedName>
    <definedName name="GEN_OFFICE">#REF!</definedName>
    <definedName name="HOQUIAM_24_HR_A">#REF!</definedName>
    <definedName name="HOQUIAM_MAX">#REF!</definedName>
    <definedName name="HOQUIAM_MAX_MIN">#REF!</definedName>
    <definedName name="HOQUIAM_MIN">#REF!</definedName>
    <definedName name="I">[12]SETUP!#REF!</definedName>
    <definedName name="ID">'[20]JTS-5 S1p1'!#REF!</definedName>
    <definedName name="IMPORT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>'[21]Interest Rates'!$A$231:$C$245</definedName>
    <definedName name="IntCY09">'[22]Interest Rates-new amort'!$A$246:$C$267</definedName>
    <definedName name="intdate">'[23]Interest Rates'!$A$5:$C$159</definedName>
    <definedName name="InterestDuringAmort" localSheetId="6">' Int during Amort'!$A$7:$Q$7</definedName>
    <definedName name="InterestDuringAmort">#REF!</definedName>
    <definedName name="INTERSTATE" localSheetId="6">#REF!</definedName>
    <definedName name="INTERSTATE">#REF!</definedName>
    <definedName name="INTFY05">'[15]Int Rates DO NOT USE'!$A$176:$C$187</definedName>
    <definedName name="INTFY06">'[15]Int Rates DO NOT USE'!$A$188:$C$199</definedName>
    <definedName name="INTFY07">'[21]Interest Rates'!$A$218:$C$230</definedName>
    <definedName name="JANSEP">#N/A</definedName>
    <definedName name="jjjj">'[3]Actual therms'!#REF!</definedName>
    <definedName name="jjjjjjjjj">'[3]Actual therms'!#REF!</definedName>
    <definedName name="JRS">#REF!</definedName>
    <definedName name="july_int_rate">'[24]July Int Rate for Amort'!$B$17</definedName>
    <definedName name="kkkkkk">[3]Bills!#REF!</definedName>
    <definedName name="LEGEND">#REF!</definedName>
    <definedName name="llllll">[3]Bills!#REF!</definedName>
    <definedName name="M">[12]SETUP!#REF!</definedName>
    <definedName name="M___R">#REF!</definedName>
    <definedName name="MACRO">#N/A</definedName>
    <definedName name="MACROS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>[12]SETUP!#REF!</definedName>
    <definedName name="NCT">[12]SETUP!#REF!</definedName>
    <definedName name="new">#REF!</definedName>
    <definedName name="new_int">#REF!</definedName>
    <definedName name="njnjn" localSheetId="6">#REF!</definedName>
    <definedName name="njnjn" localSheetId="3">#REF!</definedName>
    <definedName name="njnjn">#REF!</definedName>
    <definedName name="NN" localSheetId="6">[12]SETUP!#REF!</definedName>
    <definedName name="NN">[12]SETUP!#REF!</definedName>
    <definedName name="nnnnn" localSheetId="3">[3]Bills!#REF!</definedName>
    <definedName name="nnnnn">[3]Bills!#REF!</definedName>
    <definedName name="Oct_07">"INTCY08"</definedName>
    <definedName name="OF">[12]SETUP!#REF!</definedName>
    <definedName name="old_int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>#REF!</definedName>
    <definedName name="OREGON_MAX">#REF!</definedName>
    <definedName name="OREGON_MAX_MIN">#REF!</definedName>
    <definedName name="OREGON_MIN">#REF!</definedName>
    <definedName name="ORTAXES">#REF!</definedName>
    <definedName name="ORTAXS">#REF!</definedName>
    <definedName name="OTI">[17]input!$C$18</definedName>
    <definedName name="OVER">[12]SETUP!#REF!</definedName>
    <definedName name="Page1">#REF!</definedName>
    <definedName name="Page2">#REF!</definedName>
    <definedName name="Page4">#REF!</definedName>
    <definedName name="Page5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>[17]input!$C$12</definedName>
    <definedName name="PGAPeriodVolumes" localSheetId="6">'Test Period Volumes'!#REF!</definedName>
    <definedName name="PGAPeriodVolumes">'Test Period Volumes'!#REF!</definedName>
    <definedName name="pint3">[0]!pint3</definedName>
    <definedName name="pint3r">[0]!pint3r</definedName>
    <definedName name="ppopo">#REF!</definedName>
    <definedName name="ppppp">#REF!</definedName>
    <definedName name="PRINT">#REF!</definedName>
    <definedName name="_xlnm.Print_Area" localSheetId="10">' Int during Amort'!$A$1:$T$52</definedName>
    <definedName name="_xlnm.Print_Area" localSheetId="12">'Bills-Therms-Revs'!$A$1:$J$47</definedName>
    <definedName name="_xlnm.Print_Area" localSheetId="2">'CPA Proposed Rate 596'!$B$1:$I$21</definedName>
    <definedName name="_xlnm.Print_Area" localSheetId="4">'Effects of CPA Avg. Bill'!$A$1:$K$35</definedName>
    <definedName name="_xlnm.Print_Area" localSheetId="11">'Test Period Volumes'!$B$1:$I$36</definedName>
    <definedName name="Print_Area_MI">#REF!</definedName>
    <definedName name="_xlnm.Print_Titles" localSheetId="10">' Int during Amort'!$A:$C,' Int during Amort'!#REF!</definedName>
    <definedName name="print1">[13]!print1</definedName>
    <definedName name="print10">[0]!print10</definedName>
    <definedName name="print2">[13]!print2</definedName>
    <definedName name="print3">[13]!print3</definedName>
    <definedName name="pzint3">[0]!pzint3</definedName>
    <definedName name="qqqq">#REF!</definedName>
    <definedName name="QUIT">#REF!</definedName>
    <definedName name="revsens">'[25]General Inputs'!$D$10</definedName>
    <definedName name="S">[12]SETUP!#REF!</definedName>
    <definedName name="SAVE">#REF!</definedName>
    <definedName name="scenario_2790_DataTable">#REF!</definedName>
    <definedName name="Sheet1_DataTable">#REF!</definedName>
    <definedName name="Sheet3_DataTable">#REF!</definedName>
    <definedName name="Sheet5_DataTable">#REF!</definedName>
    <definedName name="SSPBILL">'[13]Int Rates'!#REF!</definedName>
    <definedName name="SSPREF">'[13]Int Rates'!#REF!</definedName>
    <definedName name="Storage_DataTable">#REF!</definedName>
    <definedName name="storage_info_DataTable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>[12]SETUP!#REF!</definedName>
    <definedName name="TAXINT18">'[26]TAX Interest Rates'!$A$10:$C$21</definedName>
    <definedName name="TAXINT19">'[26]TAX Interest Rates'!$A$22:$C$33</definedName>
    <definedName name="TESTPERIOD">[17]input!$C$5</definedName>
    <definedName name="TestPeriodVolumes" localSheetId="6">'Test Period Volumes'!#REF!</definedName>
    <definedName name="TestPeriodVolumes">'Test Period Volumes'!#REF!</definedName>
    <definedName name="TITLES">#REF!</definedName>
    <definedName name="TRANSPORT">[12]SETUP!#REF!</definedName>
    <definedName name="Transport_DataTable">#REF!</definedName>
    <definedName name="Transport_Info_DataTable">#REF!</definedName>
    <definedName name="TRNSPTREV">[17]input!$C$51</definedName>
    <definedName name="VARIANCE">#REF!</definedName>
    <definedName name="VARIANCEREVENUE">#REF!</definedName>
    <definedName name="WA">#REF!</definedName>
    <definedName name="WA_3_FACTOR">#REF!</definedName>
    <definedName name="WA_CUST">#REF!</definedName>
    <definedName name="WA_PLANT">#REF!</definedName>
    <definedName name="wa_revsens">'[25]General Inputs'!$E$10</definedName>
    <definedName name="WA320A">#REF!</definedName>
    <definedName name="WACOG">#REF!</definedName>
    <definedName name="WALLA_WALLA_24_">#REF!</definedName>
    <definedName name="WALLA_WALLA_MAX">#REF!</definedName>
    <definedName name="WALLA_WALLA_MIN">#REF!</definedName>
    <definedName name="WATAXES">#REF!</definedName>
    <definedName name="WATAXS">#REF!</definedName>
    <definedName name="WCALL">#N/A</definedName>
    <definedName name="xyz5" localSheetId="6">[27]!xyz5</definedName>
    <definedName name="xyz5" localSheetId="3">'CPA Amount of Change'!xyz5</definedName>
    <definedName name="xyz5">'Balances at 7-31-2025'!xyz5</definedName>
    <definedName name="YAKIMA_24_HR_AV">#REF!</definedName>
    <definedName name="YAKIMA_MAX">#REF!</definedName>
    <definedName name="YAKIMA_MAX_MIN_">#REF!</definedName>
    <definedName name="YAKIMA_MIN">#REF!</definedName>
    <definedName name="YEAR">#REF!</definedName>
    <definedName name="YTD_Firm_therms_query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7" l="1"/>
  <c r="I19" i="17"/>
  <c r="J19" i="17"/>
  <c r="K19" i="17"/>
  <c r="L19" i="17"/>
  <c r="M19" i="17"/>
  <c r="N19" i="17"/>
  <c r="O19" i="17"/>
  <c r="P19" i="17"/>
  <c r="Q19" i="17"/>
  <c r="R19" i="17"/>
  <c r="G19" i="17"/>
  <c r="I46" i="19"/>
  <c r="G46" i="19"/>
  <c r="F46" i="19"/>
  <c r="I39" i="19"/>
  <c r="G39" i="19"/>
  <c r="F39" i="19"/>
  <c r="I32" i="19"/>
  <c r="G32" i="19"/>
  <c r="F32" i="19"/>
  <c r="F40" i="19" s="1"/>
  <c r="F47" i="19" s="1"/>
  <c r="C31" i="19"/>
  <c r="C36" i="19" s="1"/>
  <c r="C30" i="19"/>
  <c r="C35" i="19" s="1"/>
  <c r="I26" i="19"/>
  <c r="G26" i="19"/>
  <c r="F26" i="19"/>
  <c r="C22" i="19"/>
  <c r="C21" i="19"/>
  <c r="I16" i="19"/>
  <c r="I40" i="19" s="1"/>
  <c r="I47" i="19" s="1"/>
  <c r="G16" i="19"/>
  <c r="F16" i="19"/>
  <c r="I35" i="18"/>
  <c r="D31" i="18"/>
  <c r="H30" i="18"/>
  <c r="D30" i="18"/>
  <c r="C30" i="18"/>
  <c r="H29" i="18"/>
  <c r="G29" i="18"/>
  <c r="F29" i="18"/>
  <c r="H28" i="18"/>
  <c r="G28" i="18"/>
  <c r="F28" i="18"/>
  <c r="E28" i="18"/>
  <c r="D28" i="18"/>
  <c r="C28" i="18"/>
  <c r="H27" i="18"/>
  <c r="F27" i="18"/>
  <c r="E27" i="18"/>
  <c r="D27" i="18"/>
  <c r="C27" i="18"/>
  <c r="H26" i="18"/>
  <c r="H25" i="18"/>
  <c r="H24" i="18"/>
  <c r="F24" i="18"/>
  <c r="H23" i="18"/>
  <c r="F23" i="18"/>
  <c r="E23" i="18"/>
  <c r="D23" i="18"/>
  <c r="H22" i="18"/>
  <c r="D22" i="18"/>
  <c r="C22" i="18"/>
  <c r="H21" i="18"/>
  <c r="H33" i="18" s="1"/>
  <c r="G21" i="18"/>
  <c r="G33" i="18" s="1"/>
  <c r="F21" i="18"/>
  <c r="F33" i="18" s="1"/>
  <c r="H20" i="18"/>
  <c r="G20" i="18"/>
  <c r="G32" i="18" s="1"/>
  <c r="F20" i="18"/>
  <c r="F32" i="18" s="1"/>
  <c r="E20" i="18"/>
  <c r="E32" i="18" s="1"/>
  <c r="D20" i="18"/>
  <c r="D32" i="18" s="1"/>
  <c r="C20" i="18"/>
  <c r="C32" i="18" s="1"/>
  <c r="H19" i="18"/>
  <c r="H31" i="18" s="1"/>
  <c r="F19" i="18"/>
  <c r="F31" i="18" s="1"/>
  <c r="E19" i="18"/>
  <c r="E31" i="18" s="1"/>
  <c r="D19" i="18"/>
  <c r="C19" i="18"/>
  <c r="C31" i="18" s="1"/>
  <c r="I17" i="18"/>
  <c r="G30" i="18" s="1"/>
  <c r="I16" i="18"/>
  <c r="E29" i="18" s="1"/>
  <c r="I15" i="18"/>
  <c r="I14" i="18"/>
  <c r="G27" i="18" s="1"/>
  <c r="I13" i="18"/>
  <c r="D26" i="18" s="1"/>
  <c r="I12" i="18"/>
  <c r="I11" i="18"/>
  <c r="G24" i="18" s="1"/>
  <c r="I10" i="18"/>
  <c r="C23" i="18" s="1"/>
  <c r="I9" i="18"/>
  <c r="G22" i="18" s="1"/>
  <c r="I8" i="18"/>
  <c r="E21" i="18" s="1"/>
  <c r="E33" i="18" s="1"/>
  <c r="I7" i="18"/>
  <c r="I6" i="18"/>
  <c r="G19" i="18" s="1"/>
  <c r="G31" i="18" s="1"/>
  <c r="E16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B14" i="17"/>
  <c r="B24" i="17" s="1"/>
  <c r="A14" i="17"/>
  <c r="A24" i="17" s="1"/>
  <c r="R13" i="17"/>
  <c r="Q13" i="17"/>
  <c r="P13" i="17"/>
  <c r="O13" i="17"/>
  <c r="N13" i="17"/>
  <c r="M13" i="17"/>
  <c r="L13" i="17"/>
  <c r="K13" i="17"/>
  <c r="J13" i="17"/>
  <c r="I13" i="17"/>
  <c r="H13" i="17"/>
  <c r="G13" i="17"/>
  <c r="B13" i="17"/>
  <c r="B23" i="17" s="1"/>
  <c r="A13" i="17"/>
  <c r="A23" i="17" s="1"/>
  <c r="R12" i="17"/>
  <c r="Q12" i="17"/>
  <c r="P12" i="17"/>
  <c r="O12" i="17"/>
  <c r="N12" i="17"/>
  <c r="M12" i="17"/>
  <c r="L12" i="17"/>
  <c r="K12" i="17"/>
  <c r="J12" i="17"/>
  <c r="I12" i="17"/>
  <c r="H12" i="17"/>
  <c r="G12" i="17"/>
  <c r="B12" i="17"/>
  <c r="B22" i="17" s="1"/>
  <c r="A12" i="17"/>
  <c r="A22" i="17" s="1"/>
  <c r="R11" i="17"/>
  <c r="Q11" i="17"/>
  <c r="P11" i="17"/>
  <c r="O11" i="17"/>
  <c r="N11" i="17"/>
  <c r="M11" i="17"/>
  <c r="L11" i="17"/>
  <c r="K11" i="17"/>
  <c r="J11" i="17"/>
  <c r="I11" i="17"/>
  <c r="H11" i="17"/>
  <c r="G11" i="17"/>
  <c r="B11" i="17"/>
  <c r="B21" i="17" s="1"/>
  <c r="A11" i="17"/>
  <c r="A21" i="17" s="1"/>
  <c r="R10" i="17"/>
  <c r="Q10" i="17"/>
  <c r="P10" i="17"/>
  <c r="O10" i="17"/>
  <c r="N10" i="17"/>
  <c r="M10" i="17"/>
  <c r="L10" i="17"/>
  <c r="K10" i="17"/>
  <c r="J10" i="17"/>
  <c r="I10" i="17"/>
  <c r="H10" i="17"/>
  <c r="G10" i="17"/>
  <c r="B10" i="17"/>
  <c r="B20" i="17" s="1"/>
  <c r="A10" i="17"/>
  <c r="A20" i="17" s="1"/>
  <c r="C15" i="16"/>
  <c r="B15" i="16"/>
  <c r="A15" i="16"/>
  <c r="C14" i="16"/>
  <c r="B14" i="16"/>
  <c r="A14" i="16"/>
  <c r="C13" i="16"/>
  <c r="B13" i="16"/>
  <c r="A13" i="16"/>
  <c r="C12" i="16"/>
  <c r="B12" i="16"/>
  <c r="A12" i="16"/>
  <c r="C11" i="16"/>
  <c r="B11" i="16"/>
  <c r="A11" i="16"/>
  <c r="A18" i="15"/>
  <c r="A17" i="15"/>
  <c r="D16" i="15"/>
  <c r="A16" i="15"/>
  <c r="A15" i="15"/>
  <c r="E14" i="15"/>
  <c r="A14" i="15"/>
  <c r="F8" i="15"/>
  <c r="E8" i="15"/>
  <c r="D8" i="15"/>
  <c r="F7" i="15"/>
  <c r="F17" i="15" s="1"/>
  <c r="E7" i="15"/>
  <c r="E17" i="15" s="1"/>
  <c r="D7" i="15"/>
  <c r="D17" i="15" s="1"/>
  <c r="E6" i="15"/>
  <c r="D6" i="15"/>
  <c r="B17" i="14"/>
  <c r="F15" i="14"/>
  <c r="B15" i="14"/>
  <c r="A15" i="14"/>
  <c r="F14" i="14"/>
  <c r="F17" i="14" s="1"/>
  <c r="B14" i="14"/>
  <c r="A14" i="14"/>
  <c r="F13" i="14"/>
  <c r="B13" i="14"/>
  <c r="A13" i="14"/>
  <c r="F12" i="14"/>
  <c r="B12" i="14"/>
  <c r="A12" i="14"/>
  <c r="F11" i="14"/>
  <c r="B11" i="14"/>
  <c r="A11" i="14"/>
  <c r="F10" i="14"/>
  <c r="E10" i="14"/>
  <c r="D10" i="14"/>
  <c r="C10" i="14"/>
  <c r="C15" i="14" s="1"/>
  <c r="F8" i="14"/>
  <c r="D14" i="13"/>
  <c r="C11" i="2" s="1"/>
  <c r="D35" i="5"/>
  <c r="F34" i="5"/>
  <c r="G33" i="5"/>
  <c r="G35" i="5" s="1"/>
  <c r="F33" i="5"/>
  <c r="E32" i="5"/>
  <c r="D30" i="5"/>
  <c r="F29" i="5"/>
  <c r="F28" i="5"/>
  <c r="F27" i="5"/>
  <c r="E26" i="5"/>
  <c r="D24" i="5"/>
  <c r="F23" i="5"/>
  <c r="F22" i="5"/>
  <c r="F21" i="5"/>
  <c r="E20" i="5"/>
  <c r="F18" i="5"/>
  <c r="E18" i="5"/>
  <c r="D18" i="5"/>
  <c r="F16" i="5"/>
  <c r="E16" i="5"/>
  <c r="D16" i="5"/>
  <c r="G11" i="5"/>
  <c r="K10" i="5"/>
  <c r="I10" i="5"/>
  <c r="D9" i="5"/>
  <c r="H17" i="4"/>
  <c r="E17" i="4"/>
  <c r="H16" i="4"/>
  <c r="E16" i="4"/>
  <c r="H15" i="4"/>
  <c r="E15" i="4"/>
  <c r="H14" i="4"/>
  <c r="H18" i="4" s="1"/>
  <c r="E14" i="4"/>
  <c r="H13" i="4"/>
  <c r="E13" i="4"/>
  <c r="E18" i="4" s="1"/>
  <c r="E16" i="3"/>
  <c r="E15" i="3"/>
  <c r="E14" i="3"/>
  <c r="E13" i="3"/>
  <c r="H1" i="3"/>
  <c r="L2" i="4" s="1"/>
  <c r="J1" i="5" s="1"/>
  <c r="G12" i="2"/>
  <c r="B11" i="2"/>
  <c r="J16" i="17" l="1"/>
  <c r="R16" i="17"/>
  <c r="K16" i="17"/>
  <c r="L16" i="17"/>
  <c r="H16" i="17"/>
  <c r="P16" i="17"/>
  <c r="S14" i="17"/>
  <c r="S12" i="17"/>
  <c r="S10" i="17"/>
  <c r="Q16" i="17"/>
  <c r="H17" i="15"/>
  <c r="E16" i="15"/>
  <c r="H16" i="15" s="1"/>
  <c r="D14" i="15"/>
  <c r="D19" i="15" s="1"/>
  <c r="F16" i="15"/>
  <c r="F14" i="15"/>
  <c r="H14" i="15" s="1"/>
  <c r="D18" i="15"/>
  <c r="D15" i="16" s="1"/>
  <c r="D15" i="15"/>
  <c r="E18" i="15"/>
  <c r="C15" i="2"/>
  <c r="C16" i="16"/>
  <c r="C12" i="14"/>
  <c r="M16" i="17"/>
  <c r="N16" i="17"/>
  <c r="G21" i="5"/>
  <c r="G27" i="5"/>
  <c r="G30" i="5" s="1"/>
  <c r="G16" i="17"/>
  <c r="O16" i="17"/>
  <c r="I16" i="17"/>
  <c r="G16" i="5"/>
  <c r="G18" i="5"/>
  <c r="G40" i="19"/>
  <c r="G47" i="19" s="1"/>
  <c r="C14" i="14"/>
  <c r="D14" i="16" s="1"/>
  <c r="E24" i="18"/>
  <c r="D24" i="18"/>
  <c r="C24" i="18"/>
  <c r="C26" i="18"/>
  <c r="C11" i="14"/>
  <c r="G25" i="18"/>
  <c r="F25" i="18"/>
  <c r="E25" i="18"/>
  <c r="D25" i="18"/>
  <c r="C25" i="18"/>
  <c r="H32" i="18"/>
  <c r="H35" i="18" s="1"/>
  <c r="G22" i="5"/>
  <c r="C13" i="14"/>
  <c r="G26" i="18"/>
  <c r="F26" i="18"/>
  <c r="E26" i="18"/>
  <c r="S13" i="17"/>
  <c r="E15" i="15"/>
  <c r="E19" i="15" s="1"/>
  <c r="F18" i="15"/>
  <c r="S11" i="17"/>
  <c r="C21" i="18"/>
  <c r="E22" i="18"/>
  <c r="G23" i="18"/>
  <c r="G35" i="18" s="1"/>
  <c r="C29" i="18"/>
  <c r="E30" i="18"/>
  <c r="F15" i="15"/>
  <c r="D21" i="18"/>
  <c r="D33" i="18" s="1"/>
  <c r="F22" i="18"/>
  <c r="D29" i="18"/>
  <c r="F30" i="18"/>
  <c r="S16" i="17" l="1"/>
  <c r="D12" i="16"/>
  <c r="D12" i="14" s="1"/>
  <c r="E12" i="16" s="1"/>
  <c r="D11" i="16"/>
  <c r="H18" i="15"/>
  <c r="F17" i="4"/>
  <c r="F19" i="15"/>
  <c r="D11" i="14"/>
  <c r="D15" i="14"/>
  <c r="E15" i="16" s="1"/>
  <c r="H15" i="15"/>
  <c r="C17" i="14"/>
  <c r="D35" i="18"/>
  <c r="E35" i="18"/>
  <c r="F35" i="18"/>
  <c r="C33" i="18"/>
  <c r="C35" i="18" s="1"/>
  <c r="F6" i="15"/>
  <c r="G24" i="5"/>
  <c r="D13" i="16"/>
  <c r="D14" i="14"/>
  <c r="H19" i="15" l="1"/>
  <c r="D16" i="16"/>
  <c r="F13" i="4"/>
  <c r="E12" i="14"/>
  <c r="G12" i="14" s="1"/>
  <c r="D13" i="14"/>
  <c r="E13" i="16" s="1"/>
  <c r="F15" i="4"/>
  <c r="E15" i="14"/>
  <c r="F15" i="16" s="1"/>
  <c r="F16" i="4"/>
  <c r="E14" i="16"/>
  <c r="F14" i="4"/>
  <c r="E11" i="16"/>
  <c r="F12" i="16" l="1"/>
  <c r="F11" i="17" s="1"/>
  <c r="H15" i="16"/>
  <c r="F14" i="17"/>
  <c r="G15" i="14"/>
  <c r="E16" i="16"/>
  <c r="E11" i="14"/>
  <c r="D17" i="14"/>
  <c r="F18" i="4"/>
  <c r="E13" i="14"/>
  <c r="F13" i="16" s="1"/>
  <c r="E14" i="14"/>
  <c r="G14" i="14" s="1"/>
  <c r="H12" i="16" l="1"/>
  <c r="F12" i="17"/>
  <c r="H13" i="16"/>
  <c r="E17" i="14"/>
  <c r="G11" i="14"/>
  <c r="F11" i="16"/>
  <c r="R21" i="17"/>
  <c r="T11" i="17"/>
  <c r="Q21" i="17"/>
  <c r="K21" i="17"/>
  <c r="O21" i="17"/>
  <c r="P21" i="17"/>
  <c r="G21" i="17"/>
  <c r="M21" i="17"/>
  <c r="I21" i="17"/>
  <c r="N21" i="17"/>
  <c r="L21" i="17"/>
  <c r="J21" i="17"/>
  <c r="H21" i="17"/>
  <c r="T14" i="17"/>
  <c r="R24" i="17"/>
  <c r="J24" i="17"/>
  <c r="H24" i="17"/>
  <c r="N24" i="17"/>
  <c r="L24" i="17"/>
  <c r="O24" i="17"/>
  <c r="Q24" i="17"/>
  <c r="P24" i="17"/>
  <c r="K24" i="17"/>
  <c r="G24" i="17"/>
  <c r="I24" i="17"/>
  <c r="M24" i="17"/>
  <c r="G13" i="14"/>
  <c r="F14" i="16"/>
  <c r="G17" i="14" l="1"/>
  <c r="S21" i="17"/>
  <c r="H14" i="16"/>
  <c r="F13" i="17"/>
  <c r="S24" i="17"/>
  <c r="F16" i="16"/>
  <c r="H11" i="16"/>
  <c r="F10" i="17"/>
  <c r="T12" i="17"/>
  <c r="R22" i="17"/>
  <c r="L22" i="17"/>
  <c r="Q22" i="17"/>
  <c r="K22" i="17"/>
  <c r="P22" i="17"/>
  <c r="O22" i="17"/>
  <c r="M22" i="17"/>
  <c r="I22" i="17"/>
  <c r="G22" i="17"/>
  <c r="J22" i="17"/>
  <c r="N22" i="17"/>
  <c r="H22" i="17"/>
  <c r="R23" i="17" l="1"/>
  <c r="T13" i="17"/>
  <c r="H23" i="17"/>
  <c r="L23" i="17"/>
  <c r="Q23" i="17"/>
  <c r="N23" i="17"/>
  <c r="I23" i="17"/>
  <c r="K23" i="17"/>
  <c r="G23" i="17"/>
  <c r="O23" i="17"/>
  <c r="P23" i="17"/>
  <c r="J23" i="17"/>
  <c r="M23" i="17"/>
  <c r="H16" i="16"/>
  <c r="D11" i="2" s="1"/>
  <c r="F16" i="17"/>
  <c r="G15" i="17" s="1"/>
  <c r="H15" i="17" s="1"/>
  <c r="I15" i="17" s="1"/>
  <c r="J15" i="17" s="1"/>
  <c r="K15" i="17" s="1"/>
  <c r="L15" i="17" s="1"/>
  <c r="M15" i="17" s="1"/>
  <c r="N15" i="17" s="1"/>
  <c r="O15" i="17" s="1"/>
  <c r="P15" i="17" s="1"/>
  <c r="Q15" i="17" s="1"/>
  <c r="R15" i="17" s="1"/>
  <c r="T10" i="17"/>
  <c r="R20" i="17"/>
  <c r="R26" i="17" s="1"/>
  <c r="G20" i="17"/>
  <c r="M20" i="17"/>
  <c r="I20" i="17"/>
  <c r="H20" i="17"/>
  <c r="H26" i="17" s="1"/>
  <c r="K20" i="17"/>
  <c r="N20" i="17"/>
  <c r="L20" i="17"/>
  <c r="J20" i="17"/>
  <c r="Q20" i="17"/>
  <c r="O20" i="17"/>
  <c r="O26" i="17" s="1"/>
  <c r="P20" i="17"/>
  <c r="P26" i="17" s="1"/>
  <c r="S22" i="17"/>
  <c r="Q26" i="17" l="1"/>
  <c r="J26" i="17"/>
  <c r="I26" i="17"/>
  <c r="M26" i="17"/>
  <c r="D15" i="2"/>
  <c r="G26" i="17"/>
  <c r="S20" i="17"/>
  <c r="S26" i="17" s="1"/>
  <c r="E11" i="2" s="1"/>
  <c r="E15" i="2" s="1"/>
  <c r="L26" i="17"/>
  <c r="T16" i="17"/>
  <c r="S23" i="17"/>
  <c r="N26" i="17"/>
  <c r="K26" i="17"/>
  <c r="F11" i="2" l="1"/>
  <c r="F15" i="2" s="1"/>
  <c r="G11" i="2" l="1"/>
  <c r="I12" i="2" l="1"/>
  <c r="I15" i="2" s="1"/>
  <c r="F16" i="3" s="1"/>
  <c r="H12" i="2"/>
  <c r="H15" i="2" s="1"/>
  <c r="F12" i="3" s="1"/>
  <c r="G15" i="2"/>
  <c r="G12" i="3" l="1"/>
  <c r="K13" i="4" s="1"/>
  <c r="F15" i="3"/>
  <c r="H12" i="3"/>
  <c r="F13" i="3"/>
  <c r="F14" i="3"/>
  <c r="G16" i="3"/>
  <c r="K17" i="4" s="1"/>
  <c r="H16" i="3"/>
  <c r="H34" i="5" l="1"/>
  <c r="H33" i="5"/>
  <c r="I33" i="5" s="1"/>
  <c r="I35" i="5" s="1"/>
  <c r="J35" i="5" s="1"/>
  <c r="K35" i="5" s="1"/>
  <c r="L17" i="4"/>
  <c r="M17" i="4" s="1"/>
  <c r="H14" i="3"/>
  <c r="G14" i="3"/>
  <c r="K16" i="4" s="1"/>
  <c r="H13" i="3"/>
  <c r="G13" i="3"/>
  <c r="K14" i="4" s="1"/>
  <c r="H15" i="3"/>
  <c r="G15" i="3"/>
  <c r="K15" i="4" s="1"/>
  <c r="H16" i="5"/>
  <c r="I16" i="5" s="1"/>
  <c r="J16" i="5" s="1"/>
  <c r="K16" i="5" s="1"/>
  <c r="L13" i="4"/>
  <c r="H27" i="5" l="1"/>
  <c r="I27" i="5" s="1"/>
  <c r="I30" i="5" s="1"/>
  <c r="J30" i="5" s="1"/>
  <c r="K30" i="5" s="1"/>
  <c r="H29" i="5"/>
  <c r="H28" i="5"/>
  <c r="L16" i="4"/>
  <c r="M16" i="4" s="1"/>
  <c r="H21" i="5"/>
  <c r="I21" i="5" s="1"/>
  <c r="H23" i="5"/>
  <c r="H22" i="5"/>
  <c r="I22" i="5" s="1"/>
  <c r="L15" i="4"/>
  <c r="M15" i="4" s="1"/>
  <c r="H18" i="5"/>
  <c r="I18" i="5" s="1"/>
  <c r="J18" i="5" s="1"/>
  <c r="K18" i="5" s="1"/>
  <c r="L14" i="4"/>
  <c r="M14" i="4" s="1"/>
  <c r="M13" i="4"/>
  <c r="I24" i="5" l="1"/>
  <c r="J24" i="5" s="1"/>
  <c r="K24" i="5" s="1"/>
  <c r="L18" i="4"/>
  <c r="M18" i="4" s="1"/>
</calcChain>
</file>

<file path=xl/sharedStrings.xml><?xml version="1.0" encoding="utf-8"?>
<sst xmlns="http://schemas.openxmlformats.org/spreadsheetml/2006/main" count="385" uniqueCount="213">
  <si>
    <t>CASCADE NATURAL GAS CORPORATION</t>
  </si>
  <si>
    <t>EXHIBIT A</t>
  </si>
  <si>
    <t>TABLE OF CONTENTS</t>
  </si>
  <si>
    <t>Description</t>
  </si>
  <si>
    <t>Page</t>
  </si>
  <si>
    <t>CPA Calculation of Per Therm Rates to Amortize Deferred Accounts</t>
  </si>
  <si>
    <t>CPA Derivation of Proposed Rate Level Within</t>
  </si>
  <si>
    <t>CPA Amount of Change by Rate Schedule</t>
  </si>
  <si>
    <t>CPA Proposed Typical Monthly Bill by Class</t>
  </si>
  <si>
    <t>Cascade Natural Gas Corporation</t>
  </si>
  <si>
    <t>CNGC Advice W25-09-02</t>
  </si>
  <si>
    <t>CPA CALCULATION OF PER THERM RATES TO AMORTIZE DEFERRED ACCOUNTS</t>
  </si>
  <si>
    <t>CPA Exhibit A</t>
  </si>
  <si>
    <t>State of Washington</t>
  </si>
  <si>
    <t>Page 1 of 4</t>
  </si>
  <si>
    <t>PROPOSED TECH. ADJUSTMENTS</t>
  </si>
  <si>
    <t>CORE</t>
  </si>
  <si>
    <t>Line No.</t>
  </si>
  <si>
    <t>Consolidated Account</t>
  </si>
  <si>
    <t>Account Balance 7/31/2025</t>
  </si>
  <si>
    <t>Interest Assignments &amp; Amortization through 10/31/2025</t>
  </si>
  <si>
    <t>Interest Accruals Through Am.</t>
  </si>
  <si>
    <t>Revenue Sensitive costs</t>
  </si>
  <si>
    <t>Amount</t>
  </si>
  <si>
    <t>503/504</t>
  </si>
  <si>
    <t>All Other Core</t>
  </si>
  <si>
    <t>Proposed Period of Am.</t>
  </si>
  <si>
    <t>Item</t>
  </si>
  <si>
    <t>(a)</t>
  </si>
  <si>
    <t>(b)</t>
  </si>
  <si>
    <t>(c)</t>
  </si>
  <si>
    <t>(d)</t>
  </si>
  <si>
    <t>(e)</t>
  </si>
  <si>
    <t xml:space="preserve"> (f)</t>
  </si>
  <si>
    <t xml:space="preserve"> (g)</t>
  </si>
  <si>
    <t xml:space="preserve"> (h)</t>
  </si>
  <si>
    <t>(i)</t>
  </si>
  <si>
    <t>(j)</t>
  </si>
  <si>
    <t>Conservation Program Deferrals</t>
  </si>
  <si>
    <t>Divide by</t>
  </si>
  <si>
    <t>1 Year</t>
  </si>
  <si>
    <t>Core</t>
  </si>
  <si>
    <t xml:space="preserve">TOTAL </t>
  </si>
  <si>
    <t>Page 2 of 4</t>
  </si>
  <si>
    <t>CPA DERIVATION OF PROPOSED RATE LEVEL WITHIN</t>
  </si>
  <si>
    <t>RATE ADDITION SCHEDULE NO. 596</t>
  </si>
  <si>
    <t>Line</t>
  </si>
  <si>
    <t>Rate Schedule</t>
  </si>
  <si>
    <t>Reverse Prior Conservation Rate Adj.</t>
  </si>
  <si>
    <t>Conservation Related Temporary Rate Adj.</t>
  </si>
  <si>
    <t>Incremental R/S 596 Rate Change</t>
  </si>
  <si>
    <t>Posted R/S 596 Tariff Rate</t>
  </si>
  <si>
    <t>No.</t>
  </si>
  <si>
    <t>(f)</t>
  </si>
  <si>
    <t xml:space="preserve">  CORE MARKET RATE SCHEDULES</t>
  </si>
  <si>
    <t>Residential</t>
  </si>
  <si>
    <t>Commercial</t>
  </si>
  <si>
    <t>Com-Ind Dual Service</t>
  </si>
  <si>
    <t>Industrial Firm</t>
  </si>
  <si>
    <t>Industrial Interr.</t>
  </si>
  <si>
    <t>CPA AMOUNT OF CHANGE BY RATE SCHEDULE</t>
  </si>
  <si>
    <t>Bills and Revenues Based Upon the Twelve Months Ended 7/31/25</t>
  </si>
  <si>
    <t>Page 3 of 4</t>
  </si>
  <si>
    <t xml:space="preserve">   </t>
  </si>
  <si>
    <t>Per Therm</t>
  </si>
  <si>
    <t>Rate</t>
  </si>
  <si>
    <t>Average</t>
  </si>
  <si>
    <t>Forecasted</t>
  </si>
  <si>
    <t xml:space="preserve">  Actual</t>
  </si>
  <si>
    <t>Conservation</t>
  </si>
  <si>
    <t>Amount of</t>
  </si>
  <si>
    <t>Percentage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</si>
  <si>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</si>
  <si>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</si>
  <si>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</si>
  <si>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</si>
  <si>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</si>
  <si>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</si>
  <si>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</si>
  <si>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</si>
  <si>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 xml:space="preserve"> CORE MARKET RATE SCHEDULES</t>
  </si>
  <si>
    <t xml:space="preserve">    Residential</t>
  </si>
  <si>
    <t>503</t>
  </si>
  <si>
    <t xml:space="preserve">    Commercial</t>
  </si>
  <si>
    <t>504</t>
  </si>
  <si>
    <t xml:space="preserve">    Industrial Firm</t>
  </si>
  <si>
    <t>505</t>
  </si>
  <si>
    <t xml:space="preserve">    Large Volume</t>
  </si>
  <si>
    <t>511</t>
  </si>
  <si>
    <t xml:space="preserve">    Industrial Interruptible</t>
  </si>
  <si>
    <t>570</t>
  </si>
  <si>
    <t>Total Core</t>
  </si>
  <si>
    <t>Page 4 of 4</t>
  </si>
  <si>
    <t>CPA PROPOSED TYPICAL MONTHLY BILL BY  CLASS</t>
  </si>
  <si>
    <t>FOR TWELVE MONTHS ENDED 6/30/08</t>
  </si>
  <si>
    <t>Proposed</t>
  </si>
  <si>
    <t>Typical</t>
  </si>
  <si>
    <t>Current</t>
  </si>
  <si>
    <t>Monthly</t>
  </si>
  <si>
    <t>Basic</t>
  </si>
  <si>
    <t>CPA Effect</t>
  </si>
  <si>
    <t>Bill</t>
  </si>
  <si>
    <t>CPA Effects</t>
  </si>
  <si>
    <t>Type of Service</t>
  </si>
  <si>
    <t>Therm Used</t>
  </si>
  <si>
    <t>Service Charge</t>
  </si>
  <si>
    <t>Billing Rates</t>
  </si>
  <si>
    <t>Average Bill</t>
  </si>
  <si>
    <t>Difference</t>
  </si>
  <si>
    <t>% Bill Change</t>
  </si>
  <si>
    <t>e=c+(b*d)</t>
  </si>
  <si>
    <t>g=c+(b*f)</t>
  </si>
  <si>
    <t>Residential, Schedule 503</t>
  </si>
  <si>
    <t>Commercial, Schedule 504</t>
  </si>
  <si>
    <t>Industrial Firm, Schedule 505</t>
  </si>
  <si>
    <t>First 500 therms</t>
  </si>
  <si>
    <t>Next 3,500 therms</t>
  </si>
  <si>
    <t>Over 4,000 therms</t>
  </si>
  <si>
    <t>Total 505</t>
  </si>
  <si>
    <t>Large Volume, Schedule 511</t>
  </si>
  <si>
    <t>First 20,000 therms</t>
  </si>
  <si>
    <t>Next 80,000 therms</t>
  </si>
  <si>
    <t>Over 100,000 therms</t>
  </si>
  <si>
    <t>Total 511</t>
  </si>
  <si>
    <t>Industrial Interruptible, Schedule 570</t>
  </si>
  <si>
    <t>First 30,000 therms</t>
  </si>
  <si>
    <t>Over 30,000 therms</t>
  </si>
  <si>
    <t>Total 570</t>
  </si>
  <si>
    <t xml:space="preserve"> NONCORE MARKET RATE SCHEDULES</t>
  </si>
  <si>
    <t>Interruptible</t>
  </si>
  <si>
    <t>Large Volume</t>
  </si>
  <si>
    <t>Deferral</t>
  </si>
  <si>
    <t>Amortization</t>
  </si>
  <si>
    <t>Interest</t>
  </si>
  <si>
    <t>Deferral Balances at 7/31/2025</t>
  </si>
  <si>
    <t>Account Number</t>
  </si>
  <si>
    <t>Rolled Into</t>
  </si>
  <si>
    <t>Customer
Class</t>
  </si>
  <si>
    <t>Status</t>
  </si>
  <si>
    <t>Amort.</t>
  </si>
  <si>
    <t>Yes</t>
  </si>
  <si>
    <t>No</t>
  </si>
  <si>
    <t>Consolidated</t>
  </si>
  <si>
    <t>47WA.1823.47020430</t>
  </si>
  <si>
    <t>CORE Conservation</t>
  </si>
  <si>
    <t xml:space="preserve">Commercial Conservation Program </t>
  </si>
  <si>
    <t>47WA.1823.47020431</t>
  </si>
  <si>
    <t>Low Income Weatherization Program</t>
  </si>
  <si>
    <t>47WA.1823.47020444</t>
  </si>
  <si>
    <t>Washington Conservation Administration &amp; Program Delivery Fees</t>
  </si>
  <si>
    <t>47WA.1823.47020449</t>
  </si>
  <si>
    <t xml:space="preserve">Washington Residential Conservation Program </t>
  </si>
  <si>
    <t>47WA.1823.47020478</t>
  </si>
  <si>
    <t>Consolidated Technical Adjustments - Conservation</t>
  </si>
  <si>
    <t>Consolidation of accounts related to core conservation.</t>
  </si>
  <si>
    <t>Annual and Monthly Interest Rate</t>
  </si>
  <si>
    <t>DATE</t>
  </si>
  <si>
    <t>Total Interest</t>
  </si>
  <si>
    <t>ANNUAL INTEREST RATE</t>
  </si>
  <si>
    <t xml:space="preserve">through </t>
  </si>
  <si>
    <t>MONTHLY INTEREST RATE</t>
  </si>
  <si>
    <t>Acct</t>
  </si>
  <si>
    <t>Estimated Amortization Thru 10/31/2025 on Balances Currently Amortizing</t>
  </si>
  <si>
    <t>Estimated</t>
  </si>
  <si>
    <t>FIRM THERMS</t>
  </si>
  <si>
    <t>CORE THERMS</t>
  </si>
  <si>
    <t>ALL THERMS</t>
  </si>
  <si>
    <t xml:space="preserve"> AMORT</t>
  </si>
  <si>
    <t>Amortization thru</t>
  </si>
  <si>
    <t>ACCT NO</t>
  </si>
  <si>
    <t>RATE</t>
  </si>
  <si>
    <t>Total Monthly CPA Amortization</t>
  </si>
  <si>
    <t>ESTIMATED BALANCES FOR DEFERRED ACCOUNTS PERIOD ENDING: 10/31/2025</t>
  </si>
  <si>
    <t>Interest &amp;</t>
  </si>
  <si>
    <t>ENDING</t>
  </si>
  <si>
    <t>Amort. Thru</t>
  </si>
  <si>
    <t>BALANCE</t>
  </si>
  <si>
    <t>-</t>
  </si>
  <si>
    <t>TOTAL</t>
  </si>
  <si>
    <t>INTEREST CALCULATIONS FOR AMORTIZATION PERIOD 11/1/2025 TO 10/31/2026</t>
  </si>
  <si>
    <t>Amortization Calculations</t>
  </si>
  <si>
    <t>Proposed Amortization by Month</t>
  </si>
  <si>
    <t>Proposed Amortization
Rate</t>
  </si>
  <si>
    <t>10/31/2025
Balance</t>
  </si>
  <si>
    <t>Total Amortization</t>
  </si>
  <si>
    <t>Remaining
Balance</t>
  </si>
  <si>
    <t>Interest During Amortization</t>
  </si>
  <si>
    <t>Interest Rate:</t>
  </si>
  <si>
    <t>CONSERVATION</t>
  </si>
  <si>
    <t>TEST PERIOD VOLUME - WEATHER NORMALIZED</t>
  </si>
  <si>
    <t>Actual</t>
  </si>
  <si>
    <t xml:space="preserve">12 month </t>
  </si>
  <si>
    <t>total</t>
  </si>
  <si>
    <t>ACTUAL BILL, THERMS, AND REVENUE</t>
  </si>
  <si>
    <t>BASED UPON THE  TWELVE MONTHS ENDED 7/31/2025</t>
  </si>
  <si>
    <t xml:space="preserve"> Actual</t>
  </si>
  <si>
    <t>General Service</t>
  </si>
  <si>
    <t>EOM</t>
  </si>
  <si>
    <t>LM</t>
  </si>
  <si>
    <t>Total Residential</t>
  </si>
  <si>
    <t>Less Company Use</t>
  </si>
  <si>
    <t>Total Commercial</t>
  </si>
  <si>
    <t>Total Industrial Firm</t>
  </si>
  <si>
    <t>General</t>
  </si>
  <si>
    <t>Total Institut. Interr.</t>
  </si>
  <si>
    <t>Subtotal  Core</t>
  </si>
  <si>
    <t xml:space="preserve"> Distribution</t>
  </si>
  <si>
    <t>663</t>
  </si>
  <si>
    <t>Special Contracts</t>
  </si>
  <si>
    <t>9xx</t>
  </si>
  <si>
    <t>Subtotal  Noncore</t>
  </si>
  <si>
    <t>TOTAL CORE AND NONCORE</t>
  </si>
  <si>
    <t>Balance 7/31/25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</si>
</sst>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_(&quot;$&quot;* #,##0.00000_);_(&quot;$&quot;* \(#,##0.00000\);_(&quot;$&quot;* &quot;-&quot;??_);_(@_)"/>
    <numFmt numFmtId="167" formatCode="_(* #,##0_);_(* \(#,##0\);_(* &quot;-&quot;??_);_(@_)"/>
    <numFmt numFmtId="168" formatCode="0.00000"/>
    <numFmt numFmtId="169" formatCode="0.0000000%"/>
    <numFmt numFmtId="170" formatCode="_(* #,##0.00000_);_(* \(#,##0.00000\);_(* &quot;-&quot;??_);_(@_)"/>
    <numFmt numFmtId="171" formatCode="&quot;$&quot;#,##0.00"/>
    <numFmt numFmtId="172" formatCode="&quot;$&quot;#,##0.00000"/>
    <numFmt numFmtId="173" formatCode="&quot;$&quot;#,##0"/>
    <numFmt numFmtId="174" formatCode="&quot;$&quot;#,##0.00000_);\(&quot;$&quot;#,##0.00000\)"/>
    <numFmt numFmtId="175" formatCode="#,##0.00000_);\(#,##0.00000\)"/>
    <numFmt numFmtId="176" formatCode="0.000%"/>
    <numFmt numFmtId="177" formatCode="0.000000_)"/>
    <numFmt numFmtId="178" formatCode="[$-409]mmm\-yy;@"/>
    <numFmt numFmtId="179" formatCode="mm/dd/yy"/>
    <numFmt numFmtId="180" formatCode="0.0000%"/>
    <numFmt numFmtId="181" formatCode="0_);\(0\)"/>
  </numFmts>
  <fonts count="22" x14ac:knownFonts="1">
    <font>
      <sz val="8"/>
      <name val="Helv"/>
    </font>
    <font>
      <sz val="11"/>
      <color theme="1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8"/>
      <name val="Helv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name val="Aptos Narrow"/>
      <family val="2"/>
      <scheme val="minor"/>
    </font>
    <font>
      <sz val="10"/>
      <name val="Courier"/>
      <family val="3"/>
    </font>
    <font>
      <i/>
      <sz val="12"/>
      <name val="Times New Roman"/>
      <family val="1"/>
    </font>
    <font>
      <sz val="11"/>
      <color indexed="8"/>
      <name val="Calibri"/>
      <family val="2"/>
    </font>
    <font>
      <sz val="10"/>
      <name val="Times"/>
    </font>
    <font>
      <b/>
      <sz val="11"/>
      <name val="Aptos Narrow"/>
      <family val="2"/>
      <scheme val="minor"/>
    </font>
    <font>
      <sz val="12"/>
      <name val="Helv"/>
    </font>
    <font>
      <b/>
      <i/>
      <sz val="11"/>
      <name val="Aptos Narrow"/>
      <family val="2"/>
      <scheme val="minor"/>
    </font>
    <font>
      <b/>
      <u/>
      <sz val="11"/>
      <name val="Aptos Narrow"/>
      <family val="2"/>
      <scheme val="minor"/>
    </font>
    <font>
      <sz val="10"/>
      <color rgb="FF3F3F76"/>
      <name val="Arial"/>
      <family val="2"/>
    </font>
    <font>
      <sz val="11"/>
      <name val="Calibri"/>
      <family val="2"/>
    </font>
    <font>
      <sz val="11"/>
      <color theme="3" tint="-0.249977111117893"/>
      <name val="Aptos Narrow"/>
      <family val="2"/>
      <scheme val="minor"/>
    </font>
    <font>
      <b/>
      <sz val="8"/>
      <name val="Helv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indexed="46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2">
    <xf numFmtId="164" fontId="0" fillId="0" borderId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2" borderId="1" applyNumberFormat="0" applyAlignment="0" applyProtection="0"/>
    <xf numFmtId="164" fontId="3" fillId="0" borderId="0"/>
    <xf numFmtId="0" fontId="8" fillId="0" borderId="0"/>
    <xf numFmtId="164" fontId="10" fillId="0" borderId="0"/>
    <xf numFmtId="164" fontId="10" fillId="0" borderId="0"/>
    <xf numFmtId="164" fontId="10" fillId="0" borderId="0"/>
    <xf numFmtId="0" fontId="12" fillId="3" borderId="0" applyNumberFormat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39" fontId="15" fillId="0" borderId="0"/>
    <xf numFmtId="0" fontId="1" fillId="0" borderId="0"/>
    <xf numFmtId="43" fontId="6" fillId="0" borderId="0" applyFont="0" applyFill="0" applyBorder="0" applyAlignment="0" applyProtection="0"/>
  </cellStyleXfs>
  <cellXfs count="325">
    <xf numFmtId="164" fontId="0" fillId="0" borderId="0" xfId="0"/>
    <xf numFmtId="164" fontId="5" fillId="0" borderId="0" xfId="0" applyFont="1" applyAlignment="1">
      <alignment horizontal="center"/>
    </xf>
    <xf numFmtId="164" fontId="6" fillId="0" borderId="0" xfId="0" applyFont="1"/>
    <xf numFmtId="164" fontId="6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7" fillId="0" borderId="0" xfId="5" applyFont="1"/>
    <xf numFmtId="164" fontId="6" fillId="0" borderId="0" xfId="0" quotePrefix="1" applyFont="1" applyAlignment="1" applyProtection="1">
      <alignment horizontal="center"/>
    </xf>
    <xf numFmtId="164" fontId="7" fillId="0" borderId="0" xfId="5" applyFont="1" applyAlignment="1">
      <alignment horizontal="left"/>
    </xf>
    <xf numFmtId="164" fontId="4" fillId="0" borderId="0" xfId="0" applyFont="1" applyAlignment="1">
      <alignment horizontal="centerContinuous"/>
    </xf>
    <xf numFmtId="164" fontId="6" fillId="0" borderId="0" xfId="0" applyFont="1" applyAlignment="1">
      <alignment horizontal="centerContinuous"/>
    </xf>
    <xf numFmtId="164" fontId="6" fillId="0" borderId="0" xfId="0" applyFont="1" applyAlignment="1">
      <alignment horizontal="right" readingOrder="1"/>
    </xf>
    <xf numFmtId="164" fontId="6" fillId="0" borderId="0" xfId="0" applyFont="1" applyAlignment="1" applyProtection="1">
      <alignment horizontal="center"/>
    </xf>
    <xf numFmtId="164" fontId="6" fillId="0" borderId="0" xfId="0" applyFont="1" applyAlignment="1">
      <alignment horizontal="center" wrapText="1"/>
    </xf>
    <xf numFmtId="164" fontId="6" fillId="0" borderId="0" xfId="0" applyFont="1" applyAlignment="1" applyProtection="1">
      <alignment horizontal="center" wrapText="1"/>
    </xf>
    <xf numFmtId="164" fontId="6" fillId="0" borderId="0" xfId="0" quotePrefix="1" applyFont="1" applyAlignment="1">
      <alignment horizontal="center" wrapText="1"/>
    </xf>
    <xf numFmtId="164" fontId="6" fillId="0" borderId="6" xfId="0" applyFont="1" applyBorder="1" applyAlignment="1" applyProtection="1">
      <alignment horizontal="center" wrapText="1"/>
    </xf>
    <xf numFmtId="164" fontId="6" fillId="0" borderId="7" xfId="0" applyFont="1" applyBorder="1" applyAlignment="1" applyProtection="1">
      <alignment horizontal="center" wrapText="1"/>
    </xf>
    <xf numFmtId="164" fontId="6" fillId="0" borderId="0" xfId="0" quotePrefix="1" applyFont="1" applyAlignment="1" applyProtection="1">
      <alignment horizontal="center" wrapText="1"/>
    </xf>
    <xf numFmtId="164" fontId="6" fillId="0" borderId="8" xfId="0" applyFont="1" applyBorder="1" applyAlignment="1">
      <alignment horizontal="center"/>
    </xf>
    <xf numFmtId="164" fontId="6" fillId="0" borderId="8" xfId="0" applyFont="1" applyBorder="1" applyAlignment="1" applyProtection="1">
      <alignment horizontal="center"/>
    </xf>
    <xf numFmtId="164" fontId="6" fillId="0" borderId="9" xfId="0" applyFont="1" applyBorder="1" applyAlignment="1" applyProtection="1">
      <alignment horizontal="center"/>
    </xf>
    <xf numFmtId="164" fontId="6" fillId="0" borderId="10" xfId="0" applyFont="1" applyBorder="1" applyAlignment="1" applyProtection="1">
      <alignment horizontal="center"/>
    </xf>
    <xf numFmtId="164" fontId="6" fillId="0" borderId="0" xfId="0" applyFont="1" applyAlignment="1" applyProtection="1">
      <alignment horizontal="centerContinuous"/>
    </xf>
    <xf numFmtId="165" fontId="6" fillId="0" borderId="0" xfId="2" applyNumberFormat="1" applyFont="1" applyFill="1" applyBorder="1" applyAlignment="1" applyProtection="1">
      <alignment horizontal="center"/>
    </xf>
    <xf numFmtId="164" fontId="6" fillId="0" borderId="6" xfId="0" applyFont="1" applyBorder="1" applyAlignment="1" applyProtection="1">
      <alignment horizontal="center"/>
    </xf>
    <xf numFmtId="164" fontId="6" fillId="0" borderId="7" xfId="0" applyFont="1" applyBorder="1" applyAlignment="1" applyProtection="1">
      <alignment horizontal="center"/>
    </xf>
    <xf numFmtId="164" fontId="6" fillId="0" borderId="0" xfId="0" applyFont="1" applyAlignment="1" applyProtection="1">
      <alignment horizontal="left"/>
    </xf>
    <xf numFmtId="165" fontId="6" fillId="0" borderId="0" xfId="0" applyNumberFormat="1" applyFont="1" applyProtection="1"/>
    <xf numFmtId="165" fontId="6" fillId="0" borderId="0" xfId="2" applyNumberFormat="1" applyFont="1" applyFill="1" applyProtection="1"/>
    <xf numFmtId="166" fontId="6" fillId="0" borderId="6" xfId="2" applyNumberFormat="1" applyFont="1" applyFill="1" applyBorder="1"/>
    <xf numFmtId="166" fontId="6" fillId="0" borderId="7" xfId="2" applyNumberFormat="1" applyFont="1" applyFill="1" applyBorder="1"/>
    <xf numFmtId="167" fontId="6" fillId="0" borderId="0" xfId="1" applyNumberFormat="1" applyFont="1" applyFill="1" applyProtection="1"/>
    <xf numFmtId="166" fontId="6" fillId="0" borderId="6" xfId="2" applyNumberFormat="1" applyFont="1" applyFill="1" applyBorder="1" applyAlignment="1" applyProtection="1">
      <alignment horizontal="center"/>
    </xf>
    <xf numFmtId="166" fontId="6" fillId="0" borderId="7" xfId="2" applyNumberFormat="1" applyFont="1" applyFill="1" applyBorder="1" applyAlignment="1" applyProtection="1">
      <alignment horizontal="center"/>
    </xf>
    <xf numFmtId="165" fontId="6" fillId="0" borderId="0" xfId="0" applyNumberFormat="1" applyFont="1"/>
    <xf numFmtId="7" fontId="4" fillId="0" borderId="0" xfId="0" applyNumberFormat="1" applyFont="1" applyAlignment="1" applyProtection="1">
      <alignment horizontal="right"/>
    </xf>
    <xf numFmtId="165" fontId="4" fillId="0" borderId="0" xfId="2" applyNumberFormat="1" applyFont="1" applyFill="1" applyProtection="1"/>
    <xf numFmtId="166" fontId="4" fillId="0" borderId="11" xfId="2" applyNumberFormat="1" applyFont="1" applyFill="1" applyBorder="1" applyAlignment="1" applyProtection="1">
      <alignment horizontal="center"/>
    </xf>
    <xf numFmtId="166" fontId="4" fillId="0" borderId="12" xfId="2" applyNumberFormat="1" applyFont="1" applyFill="1" applyBorder="1" applyAlignment="1" applyProtection="1">
      <alignment horizontal="center"/>
    </xf>
    <xf numFmtId="168" fontId="6" fillId="0" borderId="0" xfId="0" applyNumberFormat="1" applyFont="1"/>
    <xf numFmtId="0" fontId="6" fillId="0" borderId="0" xfId="6" applyFont="1"/>
    <xf numFmtId="0" fontId="9" fillId="0" borderId="0" xfId="6" applyFont="1"/>
    <xf numFmtId="0" fontId="6" fillId="0" borderId="0" xfId="6" applyFont="1" applyAlignment="1">
      <alignment horizontal="center"/>
    </xf>
    <xf numFmtId="0" fontId="9" fillId="0" borderId="0" xfId="6" applyFont="1" applyAlignment="1">
      <alignment horizontal="center"/>
    </xf>
    <xf numFmtId="164" fontId="6" fillId="0" borderId="13" xfId="5" applyFont="1" applyBorder="1" applyAlignment="1">
      <alignment horizontal="center"/>
    </xf>
    <xf numFmtId="0" fontId="6" fillId="0" borderId="14" xfId="6" applyFont="1" applyBorder="1" applyAlignment="1">
      <alignment horizontal="center" wrapText="1"/>
    </xf>
    <xf numFmtId="0" fontId="6" fillId="0" borderId="13" xfId="6" applyFont="1" applyBorder="1" applyAlignment="1">
      <alignment horizontal="center" wrapText="1"/>
    </xf>
    <xf numFmtId="0" fontId="6" fillId="0" borderId="15" xfId="6" applyFont="1" applyBorder="1" applyAlignment="1">
      <alignment horizontal="center" wrapText="1"/>
    </xf>
    <xf numFmtId="0" fontId="6" fillId="0" borderId="0" xfId="6" applyFont="1" applyAlignment="1">
      <alignment horizontal="center" wrapText="1"/>
    </xf>
    <xf numFmtId="0" fontId="9" fillId="0" borderId="0" xfId="6" applyFont="1" applyAlignment="1">
      <alignment horizontal="center" wrapText="1"/>
    </xf>
    <xf numFmtId="0" fontId="9" fillId="0" borderId="0" xfId="6" applyFont="1" applyAlignment="1">
      <alignment wrapText="1"/>
    </xf>
    <xf numFmtId="164" fontId="6" fillId="0" borderId="16" xfId="5" applyFont="1" applyBorder="1" applyAlignment="1">
      <alignment horizontal="center"/>
    </xf>
    <xf numFmtId="0" fontId="6" fillId="0" borderId="17" xfId="6" applyFont="1" applyBorder="1" applyAlignment="1">
      <alignment horizontal="center"/>
    </xf>
    <xf numFmtId="0" fontId="6" fillId="0" borderId="18" xfId="6" quotePrefix="1" applyFont="1" applyBorder="1" applyAlignment="1">
      <alignment horizontal="center"/>
    </xf>
    <xf numFmtId="0" fontId="6" fillId="0" borderId="8" xfId="6" quotePrefix="1" applyFont="1" applyBorder="1" applyAlignment="1">
      <alignment horizontal="center"/>
    </xf>
    <xf numFmtId="0" fontId="6" fillId="0" borderId="17" xfId="6" quotePrefix="1" applyFont="1" applyBorder="1" applyAlignment="1">
      <alignment horizontal="center"/>
    </xf>
    <xf numFmtId="0" fontId="9" fillId="0" borderId="16" xfId="6" applyFont="1" applyBorder="1"/>
    <xf numFmtId="0" fontId="4" fillId="0" borderId="19" xfId="6" applyFont="1" applyBorder="1" applyAlignment="1">
      <alignment horizontal="left"/>
    </xf>
    <xf numFmtId="0" fontId="6" fillId="0" borderId="19" xfId="6" applyFont="1" applyBorder="1"/>
    <xf numFmtId="0" fontId="6" fillId="0" borderId="20" xfId="6" applyFont="1" applyBorder="1"/>
    <xf numFmtId="0" fontId="6" fillId="0" borderId="0" xfId="6" applyFont="1" applyAlignment="1">
      <alignment horizontal="left"/>
    </xf>
    <xf numFmtId="0" fontId="6" fillId="0" borderId="16" xfId="6" quotePrefix="1" applyFont="1" applyBorder="1" applyAlignment="1">
      <alignment horizontal="center"/>
    </xf>
    <xf numFmtId="166" fontId="6" fillId="0" borderId="16" xfId="2" applyNumberFormat="1" applyFont="1" applyFill="1" applyBorder="1"/>
    <xf numFmtId="166" fontId="6" fillId="0" borderId="0" xfId="6" applyNumberFormat="1" applyFont="1"/>
    <xf numFmtId="166" fontId="6" fillId="0" borderId="16" xfId="6" applyNumberFormat="1" applyFont="1" applyBorder="1"/>
    <xf numFmtId="164" fontId="6" fillId="0" borderId="0" xfId="8" applyFont="1" applyAlignment="1">
      <alignment horizontal="center"/>
    </xf>
    <xf numFmtId="166" fontId="9" fillId="0" borderId="0" xfId="2" applyNumberFormat="1" applyFont="1" applyFill="1" applyBorder="1"/>
    <xf numFmtId="166" fontId="9" fillId="0" borderId="0" xfId="2" applyNumberFormat="1" applyFont="1" applyFill="1"/>
    <xf numFmtId="0" fontId="6" fillId="0" borderId="16" xfId="6" applyFont="1" applyBorder="1" applyAlignment="1">
      <alignment horizontal="center"/>
    </xf>
    <xf numFmtId="164" fontId="6" fillId="0" borderId="18" xfId="5" applyFont="1" applyBorder="1" applyAlignment="1">
      <alignment horizontal="center"/>
    </xf>
    <xf numFmtId="0" fontId="6" fillId="0" borderId="8" xfId="6" applyFont="1" applyBorder="1" applyAlignment="1">
      <alignment horizontal="left"/>
    </xf>
    <xf numFmtId="0" fontId="6" fillId="0" borderId="18" xfId="6" applyFont="1" applyBorder="1"/>
    <xf numFmtId="0" fontId="6" fillId="0" borderId="8" xfId="6" applyFont="1" applyBorder="1"/>
    <xf numFmtId="166" fontId="6" fillId="0" borderId="0" xfId="2" applyNumberFormat="1" applyFont="1" applyFill="1" applyBorder="1"/>
    <xf numFmtId="164" fontId="6" fillId="0" borderId="0" xfId="5" applyFont="1" applyAlignment="1">
      <alignment horizontal="center"/>
    </xf>
    <xf numFmtId="0" fontId="11" fillId="0" borderId="0" xfId="6" quotePrefix="1" applyFont="1" applyAlignment="1">
      <alignment horizontal="left"/>
    </xf>
    <xf numFmtId="167" fontId="6" fillId="0" borderId="0" xfId="1" applyNumberFormat="1" applyFont="1" applyFill="1"/>
    <xf numFmtId="44" fontId="6" fillId="0" borderId="0" xfId="2" applyFont="1" applyFill="1"/>
    <xf numFmtId="44" fontId="9" fillId="0" borderId="0" xfId="2" applyFont="1" applyFill="1"/>
    <xf numFmtId="169" fontId="9" fillId="0" borderId="0" xfId="3" applyNumberFormat="1" applyFont="1" applyFill="1" applyBorder="1" applyAlignment="1">
      <alignment horizontal="right"/>
    </xf>
    <xf numFmtId="0" fontId="9" fillId="0" borderId="0" xfId="6" applyFont="1" applyAlignment="1">
      <alignment horizontal="right"/>
    </xf>
    <xf numFmtId="164" fontId="6" fillId="0" borderId="0" xfId="5" applyFont="1"/>
    <xf numFmtId="164" fontId="6" fillId="0" borderId="0" xfId="5" applyFont="1" applyAlignment="1">
      <alignment horizontal="centerContinuous"/>
    </xf>
    <xf numFmtId="164" fontId="6" fillId="0" borderId="21" xfId="5" applyFont="1" applyBorder="1"/>
    <xf numFmtId="164" fontId="6" fillId="0" borderId="14" xfId="5" applyFont="1" applyBorder="1"/>
    <xf numFmtId="164" fontId="6" fillId="0" borderId="21" xfId="5" applyFont="1" applyBorder="1" applyAlignment="1">
      <alignment horizontal="center"/>
    </xf>
    <xf numFmtId="164" fontId="6" fillId="0" borderId="22" xfId="5" applyFont="1" applyBorder="1"/>
    <xf numFmtId="170" fontId="6" fillId="0" borderId="13" xfId="5" applyNumberFormat="1" applyFont="1" applyBorder="1" applyAlignment="1">
      <alignment horizontal="centerContinuous"/>
    </xf>
    <xf numFmtId="164" fontId="6" fillId="0" borderId="13" xfId="5" applyFont="1" applyBorder="1"/>
    <xf numFmtId="164" fontId="6" fillId="0" borderId="22" xfId="5" quotePrefix="1" applyFont="1" applyBorder="1"/>
    <xf numFmtId="164" fontId="6" fillId="0" borderId="22" xfId="5" applyFont="1" applyBorder="1" applyAlignment="1">
      <alignment horizontal="center"/>
    </xf>
    <xf numFmtId="170" fontId="6" fillId="0" borderId="16" xfId="5" applyNumberFormat="1" applyFont="1" applyBorder="1" applyAlignment="1">
      <alignment horizontal="centerContinuous"/>
    </xf>
    <xf numFmtId="164" fontId="6" fillId="0" borderId="22" xfId="5" applyFont="1" applyBorder="1" applyAlignment="1">
      <alignment horizontal="centerContinuous"/>
    </xf>
    <xf numFmtId="170" fontId="6" fillId="0" borderId="18" xfId="5" applyNumberFormat="1" applyFont="1" applyBorder="1" applyAlignment="1">
      <alignment horizontal="center"/>
    </xf>
    <xf numFmtId="164" fontId="6" fillId="0" borderId="24" xfId="5" applyFont="1" applyBorder="1" applyAlignment="1">
      <alignment horizontal="center"/>
    </xf>
    <xf numFmtId="164" fontId="4" fillId="0" borderId="19" xfId="5" applyFont="1" applyBorder="1" applyAlignment="1">
      <alignment horizontal="left"/>
    </xf>
    <xf numFmtId="164" fontId="6" fillId="0" borderId="19" xfId="5" applyFont="1" applyBorder="1"/>
    <xf numFmtId="37" fontId="6" fillId="0" borderId="19" xfId="5" applyNumberFormat="1" applyFont="1" applyBorder="1"/>
    <xf numFmtId="170" fontId="6" fillId="0" borderId="19" xfId="5" applyNumberFormat="1" applyFont="1" applyBorder="1"/>
    <xf numFmtId="164" fontId="6" fillId="0" borderId="0" xfId="5" applyFont="1" applyAlignment="1">
      <alignment horizontal="left"/>
    </xf>
    <xf numFmtId="167" fontId="6" fillId="0" borderId="0" xfId="1" applyNumberFormat="1" applyFont="1" applyFill="1" applyBorder="1" applyProtection="1"/>
    <xf numFmtId="167" fontId="6" fillId="0" borderId="16" xfId="1" applyNumberFormat="1" applyFont="1" applyFill="1" applyBorder="1" applyProtection="1"/>
    <xf numFmtId="167" fontId="6" fillId="0" borderId="13" xfId="1" applyNumberFormat="1" applyFont="1" applyFill="1" applyBorder="1" applyProtection="1"/>
    <xf numFmtId="166" fontId="6" fillId="0" borderId="13" xfId="2" applyNumberFormat="1" applyFont="1" applyFill="1" applyBorder="1" applyProtection="1"/>
    <xf numFmtId="165" fontId="6" fillId="0" borderId="22" xfId="2" applyNumberFormat="1" applyFont="1" applyFill="1" applyBorder="1" applyProtection="1"/>
    <xf numFmtId="10" fontId="6" fillId="0" borderId="13" xfId="5" applyNumberFormat="1" applyFont="1" applyBorder="1"/>
    <xf numFmtId="164" fontId="6" fillId="0" borderId="22" xfId="5" quotePrefix="1" applyFont="1" applyBorder="1" applyAlignment="1">
      <alignment horizontal="left"/>
    </xf>
    <xf numFmtId="37" fontId="6" fillId="0" borderId="22" xfId="5" applyNumberFormat="1" applyFont="1" applyBorder="1"/>
    <xf numFmtId="37" fontId="6" fillId="0" borderId="0" xfId="5" applyNumberFormat="1" applyFont="1"/>
    <xf numFmtId="166" fontId="6" fillId="0" borderId="16" xfId="2" applyNumberFormat="1" applyFont="1" applyFill="1" applyBorder="1" applyProtection="1"/>
    <xf numFmtId="10" fontId="6" fillId="0" borderId="16" xfId="5" applyNumberFormat="1" applyFont="1" applyBorder="1"/>
    <xf numFmtId="167" fontId="6" fillId="0" borderId="18" xfId="1" applyNumberFormat="1" applyFont="1" applyFill="1" applyBorder="1" applyProtection="1"/>
    <xf numFmtId="166" fontId="6" fillId="0" borderId="18" xfId="2" applyNumberFormat="1" applyFont="1" applyFill="1" applyBorder="1" applyProtection="1"/>
    <xf numFmtId="10" fontId="6" fillId="0" borderId="18" xfId="5" applyNumberFormat="1" applyFont="1" applyBorder="1"/>
    <xf numFmtId="164" fontId="4" fillId="0" borderId="19" xfId="5" applyFont="1" applyBorder="1"/>
    <xf numFmtId="164" fontId="4" fillId="0" borderId="20" xfId="5" applyFont="1" applyBorder="1"/>
    <xf numFmtId="167" fontId="4" fillId="0" borderId="19" xfId="1" applyNumberFormat="1" applyFont="1" applyFill="1" applyBorder="1" applyProtection="1"/>
    <xf numFmtId="167" fontId="4" fillId="0" borderId="25" xfId="1" applyNumberFormat="1" applyFont="1" applyFill="1" applyBorder="1" applyProtection="1"/>
    <xf numFmtId="37" fontId="4" fillId="0" borderId="22" xfId="5" applyNumberFormat="1" applyFont="1" applyBorder="1"/>
    <xf numFmtId="37" fontId="4" fillId="0" borderId="0" xfId="5" applyNumberFormat="1" applyFont="1"/>
    <xf numFmtId="166" fontId="4" fillId="0" borderId="25" xfId="2" applyNumberFormat="1" applyFont="1" applyFill="1" applyBorder="1" applyProtection="1"/>
    <xf numFmtId="165" fontId="4" fillId="0" borderId="25" xfId="2" applyNumberFormat="1" applyFont="1" applyFill="1" applyBorder="1" applyProtection="1"/>
    <xf numFmtId="10" fontId="4" fillId="0" borderId="18" xfId="5" applyNumberFormat="1" applyFont="1" applyBorder="1"/>
    <xf numFmtId="164" fontId="4" fillId="0" borderId="0" xfId="5" applyFont="1"/>
    <xf numFmtId="170" fontId="6" fillId="0" borderId="0" xfId="5" applyNumberFormat="1" applyFont="1"/>
    <xf numFmtId="164" fontId="6" fillId="0" borderId="0" xfId="9" applyFont="1"/>
    <xf numFmtId="164" fontId="6" fillId="0" borderId="0" xfId="9" applyFont="1" applyAlignment="1">
      <alignment horizontal="left"/>
    </xf>
    <xf numFmtId="164" fontId="4" fillId="0" borderId="0" xfId="9" applyFont="1" applyAlignment="1">
      <alignment horizontal="centerContinuous"/>
    </xf>
    <xf numFmtId="164" fontId="6" fillId="0" borderId="0" xfId="9" applyFont="1" applyAlignment="1">
      <alignment horizontal="centerContinuous"/>
    </xf>
    <xf numFmtId="164" fontId="4" fillId="0" borderId="0" xfId="7" applyFont="1"/>
    <xf numFmtId="164" fontId="6" fillId="0" borderId="0" xfId="9" applyFont="1" applyAlignment="1">
      <alignment horizontal="center"/>
    </xf>
    <xf numFmtId="164" fontId="6" fillId="0" borderId="13" xfId="9" applyFont="1" applyBorder="1" applyAlignment="1">
      <alignment horizontal="center"/>
    </xf>
    <xf numFmtId="14" fontId="6" fillId="0" borderId="0" xfId="9" applyNumberFormat="1" applyFont="1" applyAlignment="1">
      <alignment horizontal="center"/>
    </xf>
    <xf numFmtId="14" fontId="6" fillId="0" borderId="16" xfId="9" applyNumberFormat="1" applyFont="1" applyBorder="1" applyAlignment="1">
      <alignment horizontal="center"/>
    </xf>
    <xf numFmtId="164" fontId="6" fillId="0" borderId="0" xfId="9" applyFont="1" applyAlignment="1">
      <alignment horizontal="right"/>
    </xf>
    <xf numFmtId="164" fontId="4" fillId="0" borderId="16" xfId="9" applyFont="1" applyBorder="1" applyAlignment="1">
      <alignment horizontal="centerContinuous"/>
    </xf>
    <xf numFmtId="164" fontId="6" fillId="0" borderId="8" xfId="9" applyFont="1" applyBorder="1" applyAlignment="1">
      <alignment horizontal="center"/>
    </xf>
    <xf numFmtId="164" fontId="6" fillId="0" borderId="18" xfId="9" applyFont="1" applyBorder="1" applyAlignment="1">
      <alignment horizontal="centerContinuous"/>
    </xf>
    <xf numFmtId="164" fontId="6" fillId="0" borderId="16" xfId="9" applyFont="1" applyBorder="1" applyAlignment="1">
      <alignment horizontal="centerContinuous"/>
    </xf>
    <xf numFmtId="164" fontId="6" fillId="0" borderId="16" xfId="9" applyFont="1" applyBorder="1" applyAlignment="1">
      <alignment horizontal="center"/>
    </xf>
    <xf numFmtId="1" fontId="6" fillId="0" borderId="0" xfId="9" applyNumberFormat="1" applyFont="1" applyAlignment="1">
      <alignment horizontal="center"/>
    </xf>
    <xf numFmtId="171" fontId="6" fillId="0" borderId="0" xfId="9" applyNumberFormat="1" applyFont="1" applyAlignment="1">
      <alignment horizontal="center"/>
    </xf>
    <xf numFmtId="172" fontId="6" fillId="0" borderId="0" xfId="9" applyNumberFormat="1" applyFont="1" applyAlignment="1">
      <alignment horizontal="center"/>
    </xf>
    <xf numFmtId="7" fontId="6" fillId="0" borderId="0" xfId="9" applyNumberFormat="1" applyFont="1"/>
    <xf numFmtId="7" fontId="6" fillId="0" borderId="0" xfId="9" applyNumberFormat="1" applyFont="1" applyAlignment="1">
      <alignment horizontal="center"/>
    </xf>
    <xf numFmtId="10" fontId="6" fillId="0" borderId="16" xfId="3" applyNumberFormat="1" applyFont="1" applyFill="1" applyBorder="1" applyAlignment="1" applyProtection="1">
      <alignment horizontal="center"/>
    </xf>
    <xf numFmtId="10" fontId="6" fillId="0" borderId="0" xfId="9" applyNumberFormat="1" applyFont="1"/>
    <xf numFmtId="173" fontId="6" fillId="0" borderId="0" xfId="9" applyNumberFormat="1" applyFont="1" applyAlignment="1">
      <alignment horizontal="center"/>
    </xf>
    <xf numFmtId="174" fontId="6" fillId="0" borderId="0" xfId="9" applyNumberFormat="1" applyFont="1"/>
    <xf numFmtId="3" fontId="6" fillId="0" borderId="0" xfId="9" applyNumberFormat="1" applyFont="1" applyAlignment="1">
      <alignment horizontal="center"/>
    </xf>
    <xf numFmtId="7" fontId="6" fillId="0" borderId="0" xfId="2" applyNumberFormat="1" applyFont="1" applyFill="1"/>
    <xf numFmtId="10" fontId="6" fillId="0" borderId="18" xfId="3" applyNumberFormat="1" applyFont="1" applyFill="1" applyBorder="1" applyAlignment="1" applyProtection="1">
      <alignment horizontal="center"/>
    </xf>
    <xf numFmtId="164" fontId="9" fillId="0" borderId="0" xfId="0" applyFont="1"/>
    <xf numFmtId="164" fontId="14" fillId="0" borderId="0" xfId="0" quotePrefix="1" applyFont="1" applyAlignment="1" applyProtection="1">
      <alignment horizontal="left"/>
    </xf>
    <xf numFmtId="164" fontId="14" fillId="0" borderId="0" xfId="0" applyFont="1" applyAlignment="1" applyProtection="1">
      <alignment horizontal="left"/>
    </xf>
    <xf numFmtId="164" fontId="16" fillId="0" borderId="0" xfId="0" applyFont="1" applyAlignment="1">
      <alignment horizontal="center"/>
    </xf>
    <xf numFmtId="164" fontId="14" fillId="0" borderId="8" xfId="0" applyFont="1" applyBorder="1" applyAlignment="1">
      <alignment horizontal="center" wrapText="1"/>
    </xf>
    <xf numFmtId="14" fontId="14" fillId="0" borderId="8" xfId="0" applyNumberFormat="1" applyFont="1" applyBorder="1" applyAlignment="1">
      <alignment horizontal="center" wrapText="1"/>
    </xf>
    <xf numFmtId="164" fontId="9" fillId="0" borderId="0" xfId="0" applyFont="1" applyAlignment="1">
      <alignment horizontal="center"/>
    </xf>
    <xf numFmtId="165" fontId="9" fillId="0" borderId="0" xfId="2" applyNumberFormat="1" applyFont="1" applyFill="1"/>
    <xf numFmtId="167" fontId="9" fillId="0" borderId="0" xfId="1" applyNumberFormat="1" applyFont="1" applyFill="1"/>
    <xf numFmtId="165" fontId="14" fillId="0" borderId="8" xfId="0" applyNumberFormat="1" applyFont="1" applyBorder="1" applyAlignment="1">
      <alignment horizontal="center" wrapText="1"/>
    </xf>
    <xf numFmtId="44" fontId="9" fillId="0" borderId="0" xfId="2" applyFont="1" applyFill="1" applyBorder="1"/>
    <xf numFmtId="43" fontId="9" fillId="0" borderId="0" xfId="1" applyFont="1" applyFill="1"/>
    <xf numFmtId="164" fontId="9" fillId="0" borderId="0" xfId="0" quotePrefix="1" applyFont="1"/>
    <xf numFmtId="164" fontId="14" fillId="0" borderId="0" xfId="7" applyFont="1"/>
    <xf numFmtId="164" fontId="14" fillId="0" borderId="0" xfId="0" applyFont="1"/>
    <xf numFmtId="17" fontId="14" fillId="0" borderId="0" xfId="0" applyNumberFormat="1" applyFont="1" applyAlignment="1" applyProtection="1">
      <alignment horizontal="right"/>
    </xf>
    <xf numFmtId="164" fontId="14" fillId="0" borderId="0" xfId="0" applyFont="1" applyAlignment="1">
      <alignment horizontal="center"/>
    </xf>
    <xf numFmtId="164" fontId="16" fillId="0" borderId="0" xfId="0" applyFont="1" applyAlignment="1" applyProtection="1">
      <alignment horizontal="left"/>
    </xf>
    <xf numFmtId="176" fontId="16" fillId="0" borderId="0" xfId="0" applyNumberFormat="1" applyFont="1" applyProtection="1"/>
    <xf numFmtId="177" fontId="16" fillId="0" borderId="0" xfId="0" applyNumberFormat="1" applyFont="1" applyProtection="1"/>
    <xf numFmtId="14" fontId="16" fillId="0" borderId="0" xfId="0" applyNumberFormat="1" applyFont="1" applyAlignment="1">
      <alignment horizontal="centerContinuous"/>
    </xf>
    <xf numFmtId="164" fontId="17" fillId="0" borderId="0" xfId="0" applyFont="1" applyAlignment="1" applyProtection="1">
      <alignment horizontal="center"/>
    </xf>
    <xf numFmtId="164" fontId="17" fillId="0" borderId="0" xfId="0" applyFont="1" applyAlignment="1">
      <alignment horizontal="center"/>
    </xf>
    <xf numFmtId="164" fontId="9" fillId="0" borderId="0" xfId="0" applyFont="1" applyAlignment="1" applyProtection="1">
      <alignment horizontal="left"/>
    </xf>
    <xf numFmtId="165" fontId="9" fillId="0" borderId="0" xfId="2" applyNumberFormat="1" applyFont="1" applyFill="1" applyProtection="1"/>
    <xf numFmtId="165" fontId="9" fillId="0" borderId="27" xfId="2" applyNumberFormat="1" applyFont="1" applyFill="1" applyBorder="1"/>
    <xf numFmtId="7" fontId="9" fillId="0" borderId="0" xfId="1" applyNumberFormat="1" applyFont="1" applyFill="1" applyBorder="1"/>
    <xf numFmtId="178" fontId="14" fillId="0" borderId="0" xfId="0" applyNumberFormat="1" applyFont="1"/>
    <xf numFmtId="10" fontId="16" fillId="0" borderId="0" xfId="3" applyNumberFormat="1" applyFont="1" applyFill="1"/>
    <xf numFmtId="165" fontId="9" fillId="0" borderId="0" xfId="0" applyNumberFormat="1" applyFont="1"/>
    <xf numFmtId="17" fontId="9" fillId="0" borderId="0" xfId="0" applyNumberFormat="1" applyFont="1" applyAlignment="1" applyProtection="1">
      <alignment horizontal="left"/>
    </xf>
    <xf numFmtId="17" fontId="9" fillId="0" borderId="0" xfId="0" quotePrefix="1" applyNumberFormat="1" applyFont="1" applyAlignment="1" applyProtection="1">
      <alignment horizontal="left"/>
    </xf>
    <xf numFmtId="37" fontId="9" fillId="0" borderId="0" xfId="0" applyNumberFormat="1" applyFont="1" applyProtection="1"/>
    <xf numFmtId="164" fontId="9" fillId="0" borderId="0" xfId="0" applyFont="1" applyAlignment="1">
      <alignment horizontal="right"/>
    </xf>
    <xf numFmtId="164" fontId="9" fillId="0" borderId="0" xfId="0" applyFont="1" applyProtection="1"/>
    <xf numFmtId="17" fontId="14" fillId="0" borderId="0" xfId="0" quotePrefix="1" applyNumberFormat="1" applyFont="1" applyAlignment="1" applyProtection="1">
      <alignment horizontal="center"/>
    </xf>
    <xf numFmtId="164" fontId="9" fillId="0" borderId="0" xfId="0" applyFont="1" applyAlignment="1" applyProtection="1">
      <alignment horizontal="right"/>
    </xf>
    <xf numFmtId="164" fontId="9" fillId="0" borderId="0" xfId="0" applyFont="1" applyAlignment="1" applyProtection="1">
      <alignment horizontal="center"/>
    </xf>
    <xf numFmtId="179" fontId="14" fillId="0" borderId="0" xfId="0" applyNumberFormat="1" applyFont="1" applyAlignment="1" applyProtection="1">
      <alignment horizontal="center"/>
    </xf>
    <xf numFmtId="37" fontId="14" fillId="0" borderId="0" xfId="0" applyNumberFormat="1" applyFont="1" applyAlignment="1" applyProtection="1">
      <alignment horizontal="center"/>
    </xf>
    <xf numFmtId="164" fontId="14" fillId="0" borderId="0" xfId="0" applyFont="1" applyAlignment="1" applyProtection="1">
      <alignment horizontal="center"/>
    </xf>
    <xf numFmtId="164" fontId="14" fillId="0" borderId="8" xfId="0" applyFont="1" applyBorder="1" applyAlignment="1" applyProtection="1">
      <alignment horizontal="center"/>
    </xf>
    <xf numFmtId="164" fontId="14" fillId="0" borderId="8" xfId="0" applyFont="1" applyBorder="1" applyAlignment="1">
      <alignment horizontal="center"/>
    </xf>
    <xf numFmtId="14" fontId="14" fillId="0" borderId="8" xfId="0" applyNumberFormat="1" applyFont="1" applyBorder="1" applyAlignment="1">
      <alignment horizontal="center"/>
    </xf>
    <xf numFmtId="175" fontId="9" fillId="0" borderId="1" xfId="4" applyNumberFormat="1" applyFont="1" applyFill="1"/>
    <xf numFmtId="44" fontId="9" fillId="0" borderId="0" xfId="2" applyFont="1" applyFill="1" applyProtection="1"/>
    <xf numFmtId="165" fontId="14" fillId="0" borderId="27" xfId="2" applyNumberFormat="1" applyFont="1" applyFill="1" applyBorder="1"/>
    <xf numFmtId="14" fontId="14" fillId="0" borderId="0" xfId="0" applyNumberFormat="1" applyFont="1" applyAlignment="1" applyProtection="1">
      <alignment horizontal="center"/>
    </xf>
    <xf numFmtId="164" fontId="14" fillId="0" borderId="0" xfId="0" applyFont="1" applyAlignment="1">
      <alignment horizontal="centerContinuous"/>
    </xf>
    <xf numFmtId="164" fontId="9" fillId="0" borderId="0" xfId="0" applyFont="1" applyAlignment="1" applyProtection="1">
      <alignment horizontal="fill"/>
    </xf>
    <xf numFmtId="7" fontId="9" fillId="0" borderId="0" xfId="0" applyNumberFormat="1" applyFont="1" applyProtection="1"/>
    <xf numFmtId="165" fontId="14" fillId="0" borderId="27" xfId="2" applyNumberFormat="1" applyFont="1" applyFill="1" applyBorder="1" applyProtection="1"/>
    <xf numFmtId="44" fontId="9" fillId="0" borderId="0" xfId="0" applyNumberFormat="1" applyFont="1" applyProtection="1"/>
    <xf numFmtId="3" fontId="9" fillId="0" borderId="0" xfId="0" applyNumberFormat="1" applyFont="1"/>
    <xf numFmtId="37" fontId="9" fillId="0" borderId="0" xfId="0" applyNumberFormat="1" applyFont="1"/>
    <xf numFmtId="3" fontId="14" fillId="0" borderId="27" xfId="2" applyNumberFormat="1" applyFont="1" applyFill="1" applyBorder="1" applyProtection="1"/>
    <xf numFmtId="4" fontId="9" fillId="0" borderId="0" xfId="0" applyNumberFormat="1" applyFont="1"/>
    <xf numFmtId="39" fontId="9" fillId="0" borderId="0" xfId="0" applyNumberFormat="1" applyFont="1"/>
    <xf numFmtId="164" fontId="14" fillId="0" borderId="0" xfId="0" quotePrefix="1" applyFont="1"/>
    <xf numFmtId="164" fontId="9" fillId="0" borderId="8" xfId="0" applyFont="1" applyBorder="1" applyAlignment="1">
      <alignment horizontal="center"/>
    </xf>
    <xf numFmtId="164" fontId="9" fillId="0" borderId="8" xfId="0" applyFont="1" applyBorder="1" applyAlignment="1">
      <alignment horizontal="center" vertical="center" wrapText="1"/>
    </xf>
    <xf numFmtId="164" fontId="9" fillId="0" borderId="8" xfId="0" quotePrefix="1" applyFont="1" applyBorder="1" applyAlignment="1">
      <alignment horizontal="center" wrapText="1"/>
    </xf>
    <xf numFmtId="17" fontId="9" fillId="0" borderId="8" xfId="0" applyNumberFormat="1" applyFont="1" applyBorder="1" applyAlignment="1">
      <alignment horizontal="center"/>
    </xf>
    <xf numFmtId="164" fontId="9" fillId="0" borderId="8" xfId="0" applyFont="1" applyBorder="1" applyAlignment="1">
      <alignment horizontal="center" wrapText="1"/>
    </xf>
    <xf numFmtId="166" fontId="14" fillId="0" borderId="0" xfId="2" applyNumberFormat="1" applyFont="1" applyFill="1"/>
    <xf numFmtId="165" fontId="14" fillId="0" borderId="0" xfId="2" applyNumberFormat="1" applyFont="1" applyFill="1"/>
    <xf numFmtId="164" fontId="14" fillId="0" borderId="0" xfId="0" applyFont="1" applyAlignment="1">
      <alignment horizontal="right"/>
    </xf>
    <xf numFmtId="10" fontId="14" fillId="0" borderId="0" xfId="3" applyNumberFormat="1" applyFont="1" applyFill="1"/>
    <xf numFmtId="180" fontId="14" fillId="0" borderId="0" xfId="3" applyNumberFormat="1" applyFont="1" applyFill="1"/>
    <xf numFmtId="165" fontId="9" fillId="0" borderId="0" xfId="1" applyNumberFormat="1" applyFont="1" applyFill="1" applyBorder="1"/>
    <xf numFmtId="165" fontId="9" fillId="0" borderId="0" xfId="1" applyNumberFormat="1" applyFont="1" applyFill="1"/>
    <xf numFmtId="164" fontId="9" fillId="0" borderId="28" xfId="0" applyFont="1" applyBorder="1"/>
    <xf numFmtId="164" fontId="9" fillId="0" borderId="28" xfId="0" applyFont="1" applyBorder="1" applyAlignment="1">
      <alignment horizontal="center"/>
    </xf>
    <xf numFmtId="164" fontId="9" fillId="0" borderId="29" xfId="0" applyFont="1" applyBorder="1" applyAlignment="1">
      <alignment horizontal="center" wrapText="1"/>
    </xf>
    <xf numFmtId="10" fontId="14" fillId="0" borderId="0" xfId="0" applyNumberFormat="1" applyFont="1"/>
    <xf numFmtId="164" fontId="19" fillId="0" borderId="0" xfId="0" applyFont="1"/>
    <xf numFmtId="17" fontId="9" fillId="4" borderId="25" xfId="4" applyNumberFormat="1" applyFont="1" applyFill="1" applyBorder="1"/>
    <xf numFmtId="37" fontId="1" fillId="4" borderId="25" xfId="0" applyNumberFormat="1" applyFont="1" applyFill="1" applyBorder="1"/>
    <xf numFmtId="167" fontId="9" fillId="4" borderId="20" xfId="4" applyNumberFormat="1" applyFont="1" applyFill="1" applyBorder="1"/>
    <xf numFmtId="3" fontId="20" fillId="4" borderId="25" xfId="0" applyNumberFormat="1" applyFont="1" applyFill="1" applyBorder="1"/>
    <xf numFmtId="37" fontId="1" fillId="4" borderId="16" xfId="0" applyNumberFormat="1" applyFont="1" applyFill="1" applyBorder="1"/>
    <xf numFmtId="167" fontId="1" fillId="4" borderId="25" xfId="1" applyNumberFormat="1" applyFont="1" applyFill="1" applyBorder="1"/>
    <xf numFmtId="37" fontId="1" fillId="4" borderId="18" xfId="0" applyNumberFormat="1" applyFont="1" applyFill="1" applyBorder="1"/>
    <xf numFmtId="167" fontId="1" fillId="4" borderId="18" xfId="1" applyNumberFormat="1" applyFont="1" applyFill="1" applyBorder="1"/>
    <xf numFmtId="17" fontId="9" fillId="4" borderId="0" xfId="0" applyNumberFormat="1" applyFont="1" applyFill="1"/>
    <xf numFmtId="167" fontId="2" fillId="4" borderId="0" xfId="4" applyNumberFormat="1" applyFont="1" applyFill="1" applyBorder="1" applyAlignment="1"/>
    <xf numFmtId="167" fontId="2" fillId="4" borderId="0" xfId="4" applyNumberFormat="1" applyFont="1" applyFill="1" applyBorder="1"/>
    <xf numFmtId="3" fontId="20" fillId="4" borderId="0" xfId="0" applyNumberFormat="1" applyFont="1" applyFill="1"/>
    <xf numFmtId="17" fontId="9" fillId="0" borderId="0" xfId="0" applyNumberFormat="1" applyFont="1"/>
    <xf numFmtId="3" fontId="9" fillId="0" borderId="0" xfId="1" applyNumberFormat="1" applyFont="1" applyFill="1"/>
    <xf numFmtId="164" fontId="21" fillId="0" borderId="0" xfId="0" applyFont="1" applyAlignment="1">
      <alignment horizontal="center"/>
    </xf>
    <xf numFmtId="3" fontId="14" fillId="0" borderId="0" xfId="1" applyNumberFormat="1" applyFont="1" applyFill="1" applyAlignment="1">
      <alignment horizontal="center"/>
    </xf>
    <xf numFmtId="164" fontId="9" fillId="0" borderId="0" xfId="7" quotePrefix="1" applyFont="1" applyAlignment="1">
      <alignment horizontal="left"/>
    </xf>
    <xf numFmtId="164" fontId="9" fillId="0" borderId="0" xfId="7" applyFont="1" applyAlignment="1">
      <alignment horizontal="center"/>
    </xf>
    <xf numFmtId="164" fontId="9" fillId="0" borderId="0" xfId="7" applyFont="1"/>
    <xf numFmtId="164" fontId="9" fillId="0" borderId="13" xfId="7" applyFont="1" applyBorder="1" applyAlignment="1">
      <alignment horizontal="center"/>
    </xf>
    <xf numFmtId="164" fontId="9" fillId="0" borderId="21" xfId="7" applyFont="1" applyBorder="1"/>
    <xf numFmtId="164" fontId="9" fillId="0" borderId="16" xfId="7" applyFont="1" applyBorder="1" applyAlignment="1">
      <alignment horizontal="center"/>
    </xf>
    <xf numFmtId="164" fontId="9" fillId="0" borderId="0" xfId="7" applyFont="1" applyAlignment="1">
      <alignment horizontal="left"/>
    </xf>
    <xf numFmtId="164" fontId="9" fillId="0" borderId="18" xfId="7" applyFont="1" applyBorder="1" applyAlignment="1">
      <alignment horizontal="center"/>
    </xf>
    <xf numFmtId="164" fontId="9" fillId="0" borderId="19" xfId="7" applyFont="1" applyBorder="1" applyAlignment="1">
      <alignment horizontal="center"/>
    </xf>
    <xf numFmtId="164" fontId="14" fillId="0" borderId="19" xfId="7" applyFont="1" applyBorder="1" applyAlignment="1">
      <alignment horizontal="left"/>
    </xf>
    <xf numFmtId="164" fontId="9" fillId="0" borderId="19" xfId="7" applyFont="1" applyBorder="1"/>
    <xf numFmtId="37" fontId="9" fillId="0" borderId="19" xfId="7" applyNumberFormat="1" applyFont="1" applyBorder="1"/>
    <xf numFmtId="164" fontId="9" fillId="0" borderId="15" xfId="7" applyFont="1" applyBorder="1" applyAlignment="1">
      <alignment horizontal="left"/>
    </xf>
    <xf numFmtId="164" fontId="9" fillId="0" borderId="14" xfId="7" applyFont="1" applyBorder="1"/>
    <xf numFmtId="164" fontId="9" fillId="0" borderId="14" xfId="7" applyFont="1" applyBorder="1" applyAlignment="1">
      <alignment horizontal="center"/>
    </xf>
    <xf numFmtId="164" fontId="9" fillId="0" borderId="13" xfId="7" applyFont="1" applyBorder="1"/>
    <xf numFmtId="164" fontId="9" fillId="0" borderId="26" xfId="7" applyFont="1" applyBorder="1" applyAlignment="1">
      <alignment horizontal="left" indent="1"/>
    </xf>
    <xf numFmtId="164" fontId="9" fillId="0" borderId="22" xfId="7" applyFont="1" applyBorder="1"/>
    <xf numFmtId="164" fontId="9" fillId="0" borderId="22" xfId="7" applyFont="1" applyBorder="1" applyAlignment="1">
      <alignment horizontal="center"/>
    </xf>
    <xf numFmtId="37" fontId="9" fillId="0" borderId="22" xfId="0" applyNumberFormat="1" applyFont="1" applyBorder="1" applyProtection="1"/>
    <xf numFmtId="37" fontId="9" fillId="0" borderId="16" xfId="7" applyNumberFormat="1" applyFont="1" applyBorder="1"/>
    <xf numFmtId="165" fontId="9" fillId="0" borderId="16" xfId="2" applyNumberFormat="1" applyFont="1" applyFill="1" applyBorder="1"/>
    <xf numFmtId="37" fontId="9" fillId="0" borderId="0" xfId="7" applyNumberFormat="1" applyFont="1"/>
    <xf numFmtId="43" fontId="9" fillId="0" borderId="0" xfId="1" applyFont="1" applyFill="1" applyBorder="1" applyProtection="1"/>
    <xf numFmtId="164" fontId="9" fillId="0" borderId="26" xfId="8" applyFont="1" applyBorder="1"/>
    <xf numFmtId="164" fontId="9" fillId="0" borderId="23" xfId="8" applyFont="1" applyBorder="1"/>
    <xf numFmtId="164" fontId="9" fillId="0" borderId="8" xfId="7" applyFont="1" applyBorder="1"/>
    <xf numFmtId="37" fontId="9" fillId="0" borderId="17" xfId="0" applyNumberFormat="1" applyFont="1" applyBorder="1" applyProtection="1"/>
    <xf numFmtId="37" fontId="9" fillId="0" borderId="18" xfId="7" applyNumberFormat="1" applyFont="1" applyBorder="1"/>
    <xf numFmtId="165" fontId="9" fillId="0" borderId="18" xfId="2" applyNumberFormat="1" applyFont="1" applyFill="1" applyBorder="1" applyProtection="1"/>
    <xf numFmtId="164" fontId="14" fillId="0" borderId="19" xfId="7" applyFont="1" applyBorder="1" applyAlignment="1">
      <alignment horizontal="left" indent="1"/>
    </xf>
    <xf numFmtId="164" fontId="14" fillId="0" borderId="17" xfId="7" applyFont="1" applyBorder="1"/>
    <xf numFmtId="164" fontId="14" fillId="0" borderId="20" xfId="7" applyFont="1" applyBorder="1" applyAlignment="1">
      <alignment horizontal="center"/>
    </xf>
    <xf numFmtId="37" fontId="14" fillId="0" borderId="19" xfId="7" applyNumberFormat="1" applyFont="1" applyBorder="1"/>
    <xf numFmtId="37" fontId="14" fillId="0" borderId="25" xfId="7" applyNumberFormat="1" applyFont="1" applyBorder="1"/>
    <xf numFmtId="37" fontId="14" fillId="0" borderId="0" xfId="7" applyNumberFormat="1" applyFont="1"/>
    <xf numFmtId="165" fontId="14" fillId="0" borderId="25" xfId="2" applyNumberFormat="1" applyFont="1" applyFill="1" applyBorder="1"/>
    <xf numFmtId="10" fontId="14" fillId="0" borderId="0" xfId="1" applyNumberFormat="1" applyFont="1" applyFill="1" applyBorder="1" applyProtection="1"/>
    <xf numFmtId="10" fontId="9" fillId="0" borderId="0" xfId="7" applyNumberFormat="1" applyFont="1"/>
    <xf numFmtId="164" fontId="9" fillId="0" borderId="0" xfId="7" applyFont="1" applyAlignment="1">
      <alignment horizontal="left" indent="1"/>
    </xf>
    <xf numFmtId="165" fontId="9" fillId="0" borderId="16" xfId="2" applyNumberFormat="1" applyFont="1" applyFill="1" applyBorder="1" applyProtection="1"/>
    <xf numFmtId="10" fontId="9" fillId="0" borderId="0" xfId="1" applyNumberFormat="1" applyFont="1" applyFill="1" applyBorder="1" applyProtection="1"/>
    <xf numFmtId="164" fontId="14" fillId="0" borderId="20" xfId="7" applyFont="1" applyBorder="1"/>
    <xf numFmtId="181" fontId="9" fillId="0" borderId="16" xfId="7" applyNumberFormat="1" applyFont="1" applyBorder="1"/>
    <xf numFmtId="165" fontId="14" fillId="0" borderId="25" xfId="2" applyNumberFormat="1" applyFont="1" applyFill="1" applyBorder="1" applyProtection="1"/>
    <xf numFmtId="164" fontId="14" fillId="0" borderId="0" xfId="7" applyFont="1" applyAlignment="1">
      <alignment horizontal="left" indent="1"/>
    </xf>
    <xf numFmtId="164" fontId="14" fillId="0" borderId="25" xfId="7" applyFont="1" applyBorder="1" applyAlignment="1">
      <alignment horizontal="center"/>
    </xf>
    <xf numFmtId="37" fontId="9" fillId="0" borderId="0" xfId="7" applyNumberFormat="1" applyFont="1" applyAlignment="1">
      <alignment horizontal="left"/>
    </xf>
    <xf numFmtId="44" fontId="9" fillId="0" borderId="13" xfId="2" applyFont="1" applyFill="1" applyBorder="1"/>
    <xf numFmtId="164" fontId="9" fillId="0" borderId="26" xfId="7" applyFont="1" applyBorder="1" applyAlignment="1">
      <alignment horizontal="left"/>
    </xf>
    <xf numFmtId="44" fontId="9" fillId="0" borderId="16" xfId="2" applyFont="1" applyFill="1" applyBorder="1"/>
    <xf numFmtId="37" fontId="9" fillId="0" borderId="23" xfId="7" applyNumberFormat="1" applyFont="1" applyBorder="1"/>
    <xf numFmtId="164" fontId="14" fillId="0" borderId="24" xfId="7" applyFont="1" applyBorder="1" applyAlignment="1">
      <alignment horizontal="left" indent="1"/>
    </xf>
    <xf numFmtId="37" fontId="14" fillId="0" borderId="8" xfId="7" applyNumberFormat="1" applyFont="1" applyBorder="1"/>
    <xf numFmtId="37" fontId="14" fillId="0" borderId="18" xfId="7" applyNumberFormat="1" applyFont="1" applyBorder="1"/>
    <xf numFmtId="165" fontId="14" fillId="0" borderId="18" xfId="2" applyNumberFormat="1" applyFont="1" applyFill="1" applyBorder="1"/>
    <xf numFmtId="164" fontId="14" fillId="0" borderId="19" xfId="7" applyFont="1" applyBorder="1"/>
    <xf numFmtId="164" fontId="9" fillId="0" borderId="0" xfId="7" quotePrefix="1" applyFont="1" applyAlignment="1">
      <alignment horizontal="center"/>
    </xf>
    <xf numFmtId="43" fontId="9" fillId="0" borderId="0" xfId="1" applyFont="1" applyFill="1" applyAlignment="1" applyProtection="1">
      <alignment horizontal="left"/>
    </xf>
    <xf numFmtId="164" fontId="14" fillId="0" borderId="0" xfId="7" quotePrefix="1" applyFont="1" applyAlignment="1">
      <alignment horizontal="left"/>
    </xf>
    <xf numFmtId="43" fontId="14" fillId="0" borderId="0" xfId="1" quotePrefix="1" applyFont="1" applyFill="1" applyAlignment="1">
      <alignment horizontal="left"/>
    </xf>
    <xf numFmtId="164" fontId="4" fillId="0" borderId="0" xfId="5" applyFont="1" applyAlignment="1">
      <alignment horizontal="center"/>
    </xf>
    <xf numFmtId="164" fontId="4" fillId="0" borderId="0" xfId="0" applyFont="1" applyAlignment="1">
      <alignment horizontal="center"/>
    </xf>
    <xf numFmtId="164" fontId="4" fillId="0" borderId="0" xfId="0" applyFont="1" applyAlignment="1" applyProtection="1">
      <alignment horizontal="center"/>
    </xf>
    <xf numFmtId="164" fontId="4" fillId="0" borderId="0" xfId="0" applyFont="1" applyAlignment="1">
      <alignment horizontal="center" vertical="center" wrapText="1"/>
    </xf>
    <xf numFmtId="164" fontId="4" fillId="0" borderId="2" xfId="0" quotePrefix="1" applyFont="1" applyBorder="1" applyAlignment="1" applyProtection="1">
      <alignment horizontal="center"/>
    </xf>
    <xf numFmtId="164" fontId="4" fillId="0" borderId="3" xfId="0" applyFont="1" applyBorder="1" applyAlignment="1" applyProtection="1">
      <alignment horizontal="center"/>
    </xf>
    <xf numFmtId="164" fontId="6" fillId="0" borderId="4" xfId="0" applyFont="1" applyBorder="1" applyAlignment="1">
      <alignment horizontal="center"/>
    </xf>
    <xf numFmtId="164" fontId="6" fillId="0" borderId="5" xfId="0" applyFont="1" applyBorder="1" applyAlignment="1">
      <alignment horizontal="center"/>
    </xf>
    <xf numFmtId="164" fontId="4" fillId="0" borderId="0" xfId="7" applyFont="1" applyAlignment="1">
      <alignment horizontal="center"/>
    </xf>
    <xf numFmtId="164" fontId="4" fillId="0" borderId="0" xfId="5" quotePrefix="1" applyFont="1" applyAlignment="1">
      <alignment horizontal="center"/>
    </xf>
    <xf numFmtId="164" fontId="6" fillId="0" borderId="23" xfId="5" applyFont="1" applyBorder="1" applyAlignment="1">
      <alignment horizontal="center"/>
    </xf>
    <xf numFmtId="164" fontId="6" fillId="0" borderId="17" xfId="5" applyFont="1" applyBorder="1" applyAlignment="1">
      <alignment horizontal="center"/>
    </xf>
    <xf numFmtId="164" fontId="14" fillId="0" borderId="0" xfId="7" applyFont="1" applyAlignment="1">
      <alignment horizontal="center"/>
    </xf>
    <xf numFmtId="164" fontId="9" fillId="0" borderId="0" xfId="0" quotePrefix="1" applyFont="1" applyAlignment="1">
      <alignment horizontal="left"/>
    </xf>
    <xf numFmtId="164" fontId="14" fillId="0" borderId="0" xfId="7" applyFont="1" applyAlignment="1">
      <alignment horizontal="right"/>
    </xf>
    <xf numFmtId="164" fontId="14" fillId="0" borderId="0" xfId="0" quotePrefix="1" applyFont="1" applyAlignment="1">
      <alignment horizontal="center"/>
    </xf>
    <xf numFmtId="164" fontId="9" fillId="0" borderId="0" xfId="0" applyFont="1" applyAlignment="1">
      <alignment horizontal="center"/>
    </xf>
    <xf numFmtId="164" fontId="14" fillId="0" borderId="0" xfId="0" applyFont="1" applyAlignment="1" applyProtection="1">
      <alignment horizontal="center"/>
    </xf>
    <xf numFmtId="164" fontId="14" fillId="0" borderId="0" xfId="7" quotePrefix="1" applyFont="1" applyAlignment="1">
      <alignment horizontal="center"/>
    </xf>
    <xf numFmtId="164" fontId="9" fillId="0" borderId="0" xfId="7" applyFont="1"/>
  </cellXfs>
  <cellStyles count="22">
    <cellStyle name="20% - Accent4 2" xfId="10" xr:uid="{BFA7AC1A-FD00-4D84-A3A6-6381F7B11F92}"/>
    <cellStyle name="Comma" xfId="1" builtinId="3"/>
    <cellStyle name="Comma 13 4" xfId="14" xr:uid="{317104F6-9233-4A8E-ABDC-E90A7F1F1C6A}"/>
    <cellStyle name="Comma 16" xfId="21" xr:uid="{7F14C817-A56F-44C2-B0B1-08B7BEEC17A3}"/>
    <cellStyle name="Comma 6 3 2" xfId="12" xr:uid="{D2664D34-DE4B-430A-AF2F-03373C62A8A7}"/>
    <cellStyle name="Currency" xfId="2" builtinId="4"/>
    <cellStyle name="Currency 12 18" xfId="15" xr:uid="{DD5414B1-844D-427F-A81F-A0880F555EA5}"/>
    <cellStyle name="Currency 13 4 2" xfId="11" xr:uid="{654E1E3B-4098-4975-A099-754ADBDA47CE}"/>
    <cellStyle name="Currency 20" xfId="17" xr:uid="{4E5DD419-9774-4841-8177-D8C177564971}"/>
    <cellStyle name="Input" xfId="4" builtinId="20"/>
    <cellStyle name="Normal" xfId="0" builtinId="0"/>
    <cellStyle name="Normal 2 2 28" xfId="19" xr:uid="{6B137D34-9905-4FE0-85E8-3879015EBD37}"/>
    <cellStyle name="Normal 2 40 2" xfId="20" xr:uid="{9F2AC2AF-2A1A-4302-AA80-1650E93B7CB7}"/>
    <cellStyle name="Normal 25 3" xfId="5" xr:uid="{28ECDF5F-0B55-48B9-8DC2-2481726FB9BD}"/>
    <cellStyle name="Normal 64" xfId="18" xr:uid="{62E368E6-A529-458D-9E64-2950E71D77F9}"/>
    <cellStyle name="Normal_Book2" xfId="6" xr:uid="{913EADEC-7B06-490E-A520-A075E4900DF8}"/>
    <cellStyle name="Normal_CNGC Deferral Workpapers" xfId="7" xr:uid="{447001D5-E259-4740-B716-2E45CC9557C5}"/>
    <cellStyle name="Normal_CNGC Deferral Workpapers 2" xfId="9" xr:uid="{30B83738-C29C-40BB-A9B6-E50C352FD0A9}"/>
    <cellStyle name="Normal_RORO9912" xfId="8" xr:uid="{572FC27F-E3E9-479F-845F-610A1E8DDD85}"/>
    <cellStyle name="Percent" xfId="3" builtinId="5"/>
    <cellStyle name="Percent 2 26" xfId="16" xr:uid="{C1AA287B-05F0-457A-9606-900635AF23C3}"/>
    <cellStyle name="Percent 5 5 2" xfId="13" xr:uid="{6E0FB222-FBBC-444D-8270-06881D50B4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customXml" Target="../customXml/item1.xml"/><Relationship Id="rId50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llocation\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KATHIE\semiannual\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1G\GA\gascst99\DEFSUM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PATRICIA\tran\2000\Tran0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tran\2001\Tran01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PGA%202014\Oregon\August%20Worksheets\Combined%20CNGC%20Gas%20Cost%20PGA%20Nov14-Oct15%20Workpaper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Local%20Settings\Temporary%20Internet%20Files\Content.Outlook\GMUW2DQR\DEFSUMWA_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Desktop\DEFSUMWA_20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Accounting%20Reports\DEFSUMWA-TAX\07-2019%20DEFSUMWATAX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opher.mickelso\AppData\Local\Microsoft\Windows\INetCache\Content.Outlook\38XAP6XV\Pieline.xlsx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ept\Rates\PGA%202025\WA%20PGA\NEW-CNGC-Advice-W25-09-01-PGA-WP-09-15-25.xlsx" TargetMode="External"/><Relationship Id="rId1" Type="http://schemas.openxmlformats.org/officeDocument/2006/relationships/externalLinkPath" Target="/Dept/Rates/PGA%202025/WA%20PGA/NEW-CNGC-Advice-W25-09-01-PGA-WP-09-15-25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alice.peters\AppData\Local\Microsoft\Windows\INetCache\Content.Outlook\GUZ6KYV5\NEW,%20CNGC%20Advice%20No.%20W21-09-02%20CPA%20WP,%209-15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VSD JE UPLOAD"/>
      <sheetName val="TAX Interest Rates"/>
      <sheetName val="Therm Sales Master"/>
      <sheetName val="DEFERRALS"/>
      <sheetName val="47WA.2292"/>
      <sheetName val="AMORTIZATIONS"/>
      <sheetName val="2540.20481"/>
      <sheetName val="Protected EDIT Base"/>
      <sheetName val="2540.20482"/>
      <sheetName val="Protected EDIT Gross up"/>
      <sheetName val="2540.20483"/>
      <sheetName val="Unprotected EDIT Base"/>
      <sheetName val="2540.20484"/>
      <sheetName val="Unprotected EDIT Gross up"/>
      <sheetName val="2540.20485"/>
      <sheetName val="Temp Rate Credit Base"/>
      <sheetName val="2540.20486"/>
      <sheetName val="Temp Rate Credit Gross up"/>
      <sheetName val="====&gt; Unused Tabs"/>
      <sheetName val="Aug 18 True-up JE UPLOAD"/>
    </sheetNames>
    <sheetDataSet>
      <sheetData sheetId="0"/>
      <sheetData sheetId="1"/>
      <sheetData sheetId="2">
        <row r="10">
          <cell r="A10">
            <v>43131</v>
          </cell>
          <cell r="B10">
            <v>0</v>
          </cell>
          <cell r="C10">
            <v>31</v>
          </cell>
        </row>
        <row r="11">
          <cell r="A11">
            <v>43159</v>
          </cell>
          <cell r="B11">
            <v>0</v>
          </cell>
          <cell r="C11">
            <v>28</v>
          </cell>
        </row>
        <row r="12">
          <cell r="A12">
            <v>43190</v>
          </cell>
          <cell r="B12">
            <v>0</v>
          </cell>
          <cell r="C12">
            <v>31</v>
          </cell>
        </row>
        <row r="13">
          <cell r="A13">
            <v>43220</v>
          </cell>
          <cell r="B13">
            <v>0</v>
          </cell>
          <cell r="C13">
            <v>30</v>
          </cell>
        </row>
        <row r="14">
          <cell r="A14">
            <v>43251</v>
          </cell>
          <cell r="B14">
            <v>0</v>
          </cell>
          <cell r="C14">
            <v>31</v>
          </cell>
        </row>
        <row r="15">
          <cell r="A15">
            <v>43281</v>
          </cell>
          <cell r="B15">
            <v>0</v>
          </cell>
          <cell r="C15">
            <v>30</v>
          </cell>
        </row>
        <row r="16">
          <cell r="A16">
            <v>43312</v>
          </cell>
          <cell r="B16">
            <v>0</v>
          </cell>
          <cell r="C16">
            <v>31</v>
          </cell>
        </row>
        <row r="17">
          <cell r="A17">
            <v>43343</v>
          </cell>
          <cell r="B17">
            <v>0</v>
          </cell>
          <cell r="C17">
            <v>31</v>
          </cell>
        </row>
        <row r="18">
          <cell r="A18">
            <v>43373</v>
          </cell>
          <cell r="B18">
            <v>0</v>
          </cell>
          <cell r="C18">
            <v>30</v>
          </cell>
        </row>
        <row r="19">
          <cell r="A19">
            <v>43404</v>
          </cell>
          <cell r="B19">
            <v>0</v>
          </cell>
          <cell r="C19">
            <v>31</v>
          </cell>
        </row>
        <row r="20">
          <cell r="A20">
            <v>43434</v>
          </cell>
          <cell r="B20">
            <v>0</v>
          </cell>
          <cell r="C20">
            <v>30</v>
          </cell>
        </row>
        <row r="21">
          <cell r="A21">
            <v>43465</v>
          </cell>
          <cell r="B21">
            <v>0</v>
          </cell>
          <cell r="C21">
            <v>31</v>
          </cell>
        </row>
        <row r="22">
          <cell r="A22">
            <v>43496</v>
          </cell>
          <cell r="B22">
            <v>0</v>
          </cell>
          <cell r="C22">
            <v>31</v>
          </cell>
        </row>
        <row r="23">
          <cell r="A23">
            <v>43524</v>
          </cell>
          <cell r="B23">
            <v>0</v>
          </cell>
          <cell r="C23">
            <v>28</v>
          </cell>
        </row>
        <row r="24">
          <cell r="A24">
            <v>43555</v>
          </cell>
          <cell r="B24">
            <v>0</v>
          </cell>
          <cell r="C24">
            <v>31</v>
          </cell>
        </row>
        <row r="25">
          <cell r="A25">
            <v>43585</v>
          </cell>
          <cell r="B25">
            <v>0</v>
          </cell>
          <cell r="C25">
            <v>30</v>
          </cell>
        </row>
        <row r="26">
          <cell r="A26">
            <v>43616</v>
          </cell>
          <cell r="B26">
            <v>0</v>
          </cell>
          <cell r="C26">
            <v>31</v>
          </cell>
        </row>
        <row r="27">
          <cell r="A27">
            <v>43646</v>
          </cell>
          <cell r="B27">
            <v>0</v>
          </cell>
          <cell r="C27">
            <v>30</v>
          </cell>
        </row>
        <row r="28">
          <cell r="A28">
            <v>43677</v>
          </cell>
          <cell r="B28">
            <v>0</v>
          </cell>
          <cell r="C28">
            <v>31</v>
          </cell>
        </row>
        <row r="29">
          <cell r="A29">
            <v>43708</v>
          </cell>
          <cell r="B29">
            <v>0</v>
          </cell>
          <cell r="C29">
            <v>31</v>
          </cell>
        </row>
        <row r="30">
          <cell r="A30">
            <v>43738</v>
          </cell>
          <cell r="B30">
            <v>0</v>
          </cell>
          <cell r="C30">
            <v>30</v>
          </cell>
        </row>
        <row r="31">
          <cell r="A31">
            <v>43769</v>
          </cell>
          <cell r="B31">
            <v>0</v>
          </cell>
          <cell r="C31">
            <v>31</v>
          </cell>
        </row>
        <row r="32">
          <cell r="A32">
            <v>43799</v>
          </cell>
          <cell r="B32">
            <v>0</v>
          </cell>
          <cell r="C32">
            <v>30</v>
          </cell>
        </row>
        <row r="33">
          <cell r="A33">
            <v>43830</v>
          </cell>
          <cell r="B33">
            <v>0</v>
          </cell>
          <cell r="C33">
            <v>31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R4">
            <v>61836631</v>
          </cell>
        </row>
      </sheetData>
      <sheetData sheetId="9"/>
      <sheetData sheetId="10">
        <row r="4">
          <cell r="R4">
            <v>61836631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ipeline"/>
      <sheetName val="Sheet3"/>
      <sheetName val="Sheet4"/>
      <sheetName val="Test Period Volumes"/>
      <sheetName val="Bills-Therms-Revs"/>
      <sheetName val="proposed WA Rates 11-1-15"/>
      <sheetName val="Pieline"/>
    </sheetNames>
    <definedNames>
      <definedName name="xyz5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GA Rate Schedule Changes"/>
      <sheetName val="PGA TTA Table of Content"/>
      <sheetName val="PGA Demand Cost Allocation"/>
      <sheetName val="PGA Amount Change"/>
      <sheetName val="Effects of PGA Avg. Bill"/>
      <sheetName val="PGA Proposed Rate Adj."/>
      <sheetName val="TTA Summary of Def. Accts."/>
      <sheetName val="TTA Proposed Rate 590"/>
      <sheetName val="TTA Amount of Change"/>
      <sheetName val="Effects of TTA Avg. Bill"/>
      <sheetName val="Combined PGA TTA Avg Bill"/>
      <sheetName val="CPA Table of Contents"/>
      <sheetName val="CPA Summary of Def. Accts."/>
      <sheetName val="CPA Proposed Rate 596"/>
      <sheetName val="CPA Amount of Change"/>
      <sheetName val="Effects of CPA Avg. Bill"/>
      <sheetName val="582 Table of Contents"/>
      <sheetName val="Unprotected Cost Allocation"/>
      <sheetName val="Unpro. Amount Change"/>
      <sheetName val="Effects of UPT Avg. Bill"/>
      <sheetName val="Unprot. Proposed Rate Adj."/>
      <sheetName val="47WA.2540."/>
      <sheetName val="Workpapers---&gt;"/>
      <sheetName val="Balances at 7-31-2025"/>
      <sheetName val="Int calc thru 10-31-2025"/>
      <sheetName val="Amort Calc thru 10-31-2025"/>
      <sheetName val="EstimatedBalances"/>
      <sheetName val=" Int during Amort"/>
      <sheetName val="Test Period Volumes"/>
      <sheetName val="Bills-Therms-Revs"/>
    </sheetNames>
    <sheetDataSet>
      <sheetData sheetId="0"/>
      <sheetData sheetId="1"/>
      <sheetData sheetId="2"/>
      <sheetData sheetId="3"/>
      <sheetData sheetId="4">
        <row r="16">
          <cell r="D16">
            <v>53</v>
          </cell>
          <cell r="E16">
            <v>5.5</v>
          </cell>
          <cell r="F16">
            <v>1.85869</v>
          </cell>
        </row>
        <row r="18">
          <cell r="D18">
            <v>277</v>
          </cell>
          <cell r="E18">
            <v>20</v>
          </cell>
          <cell r="F18">
            <v>1.72176</v>
          </cell>
        </row>
        <row r="20">
          <cell r="E20">
            <v>100</v>
          </cell>
        </row>
        <row r="21">
          <cell r="F21">
            <v>1.629397762537012</v>
          </cell>
        </row>
        <row r="22">
          <cell r="F22">
            <v>1.584527762537012</v>
          </cell>
        </row>
        <row r="23">
          <cell r="F23">
            <v>1.577747762537012</v>
          </cell>
        </row>
        <row r="24">
          <cell r="D24">
            <v>2050</v>
          </cell>
        </row>
        <row r="26">
          <cell r="E26">
            <v>250</v>
          </cell>
        </row>
        <row r="27">
          <cell r="F27">
            <v>1.6145977625370118</v>
          </cell>
        </row>
        <row r="28">
          <cell r="F28">
            <v>1.5694477625370118</v>
          </cell>
        </row>
        <row r="29">
          <cell r="F29">
            <v>1.4577877625370119</v>
          </cell>
        </row>
        <row r="30">
          <cell r="D30">
            <v>14048</v>
          </cell>
        </row>
        <row r="32">
          <cell r="E32">
            <v>300</v>
          </cell>
        </row>
        <row r="33">
          <cell r="F33">
            <v>1.4733000000000001</v>
          </cell>
        </row>
        <row r="34">
          <cell r="F34">
            <v>1.3978299999999999</v>
          </cell>
        </row>
        <row r="35">
          <cell r="D35">
            <v>24971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D6" t="str">
            <v>UG-240008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CPA Summary of Def. Accts."/>
      <sheetName val="CPA Proposed Rate 596"/>
      <sheetName val="CPA Amount of Change"/>
      <sheetName val="CPA Cost by Class"/>
      <sheetName val="Effects of CPA Avg. Bill"/>
      <sheetName val="Pipeline Workpapers---&gt;"/>
      <sheetName val="Ex-1"/>
      <sheetName val="Ex-2"/>
      <sheetName val="Ex-3"/>
      <sheetName val="Ex-4"/>
      <sheetName val="Workpapers---&gt;"/>
      <sheetName val="Balances at 7-31-2021"/>
      <sheetName val="Int calc thru 10-31-2021"/>
      <sheetName val="Amort Calc thru 10-31-2021"/>
      <sheetName val="EstimatedBalances"/>
      <sheetName val="Int during Amort"/>
      <sheetName val="Test Period Volumes"/>
      <sheetName val="Bills-Therms-Re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83B9E-E040-494E-9A2C-7BF93E0470EE}">
  <dimension ref="A1:E20"/>
  <sheetViews>
    <sheetView topLeftCell="A2" workbookViewId="0">
      <selection activeCell="A41" sqref="A41"/>
    </sheetView>
  </sheetViews>
  <sheetFormatPr defaultRowHeight="10.5" x14ac:dyDescent="0.15"/>
  <cols>
    <col min="1" max="1" width="73.33203125" bestFit="1" customWidth="1"/>
    <col min="5" max="5" width="9.33203125" style="4"/>
  </cols>
  <sheetData>
    <row r="1" spans="1:5" ht="15.75" x14ac:dyDescent="0.25">
      <c r="A1" s="305" t="s">
        <v>0</v>
      </c>
      <c r="B1" s="305"/>
      <c r="C1" s="305"/>
      <c r="D1" s="305"/>
      <c r="E1" s="305"/>
    </row>
    <row r="3" spans="1:5" ht="15.75" x14ac:dyDescent="0.25">
      <c r="A3" s="306" t="s">
        <v>1</v>
      </c>
      <c r="B3" s="306"/>
      <c r="C3" s="306"/>
      <c r="D3" s="306"/>
      <c r="E3" s="306"/>
    </row>
    <row r="6" spans="1:5" ht="15.75" x14ac:dyDescent="0.25">
      <c r="A6" s="306" t="s">
        <v>2</v>
      </c>
      <c r="B6" s="306"/>
      <c r="C6" s="306"/>
      <c r="D6" s="306"/>
      <c r="E6" s="306"/>
    </row>
    <row r="9" spans="1:5" ht="15.75" x14ac:dyDescent="0.25">
      <c r="A9" s="1" t="s">
        <v>3</v>
      </c>
      <c r="B9" s="2"/>
      <c r="C9" s="2"/>
      <c r="D9" s="2"/>
      <c r="E9" s="1" t="s">
        <v>4</v>
      </c>
    </row>
    <row r="10" spans="1:5" ht="15.75" x14ac:dyDescent="0.25">
      <c r="A10" s="2"/>
      <c r="B10" s="2"/>
      <c r="C10" s="2"/>
      <c r="D10" s="2"/>
      <c r="E10" s="3"/>
    </row>
    <row r="11" spans="1:5" ht="15.75" x14ac:dyDescent="0.25">
      <c r="A11" s="2" t="s">
        <v>5</v>
      </c>
      <c r="B11" s="2"/>
      <c r="C11" s="2"/>
      <c r="D11" s="2"/>
      <c r="E11" s="3">
        <v>1</v>
      </c>
    </row>
    <row r="12" spans="1:5" ht="15.75" x14ac:dyDescent="0.25">
      <c r="A12" s="2" t="s">
        <v>6</v>
      </c>
      <c r="B12" s="2"/>
      <c r="C12" s="2"/>
      <c r="D12" s="2"/>
      <c r="E12" s="3">
        <v>2</v>
      </c>
    </row>
    <row r="13" spans="1:5" ht="15.75" x14ac:dyDescent="0.25">
      <c r="A13" s="2" t="s">
        <v>7</v>
      </c>
      <c r="B13" s="2"/>
      <c r="C13" s="2"/>
      <c r="D13" s="2"/>
      <c r="E13" s="3">
        <v>3</v>
      </c>
    </row>
    <row r="14" spans="1:5" ht="15.75" x14ac:dyDescent="0.25">
      <c r="A14" s="2" t="s">
        <v>8</v>
      </c>
      <c r="B14" s="2"/>
      <c r="C14" s="2"/>
      <c r="D14" s="2"/>
      <c r="E14" s="3">
        <v>4</v>
      </c>
    </row>
    <row r="15" spans="1:5" ht="15.75" x14ac:dyDescent="0.25">
      <c r="B15" s="2"/>
      <c r="C15" s="2"/>
      <c r="D15" s="2"/>
      <c r="E15" s="3"/>
    </row>
    <row r="16" spans="1:5" ht="15.75" x14ac:dyDescent="0.25">
      <c r="B16" s="2"/>
      <c r="C16" s="2"/>
      <c r="D16" s="2"/>
      <c r="E16" s="3"/>
    </row>
    <row r="17" spans="2:5" ht="15.75" x14ac:dyDescent="0.25">
      <c r="B17" s="2"/>
      <c r="C17" s="2"/>
      <c r="D17" s="2"/>
      <c r="E17" s="3"/>
    </row>
    <row r="18" spans="2:5" ht="15.75" x14ac:dyDescent="0.25">
      <c r="B18" s="2"/>
      <c r="C18" s="2"/>
      <c r="D18" s="2"/>
      <c r="E18" s="3"/>
    </row>
    <row r="19" spans="2:5" ht="15.75" x14ac:dyDescent="0.25">
      <c r="B19" s="2"/>
      <c r="C19" s="2"/>
      <c r="D19" s="2"/>
      <c r="E19" s="3"/>
    </row>
    <row r="20" spans="2:5" ht="15.75" x14ac:dyDescent="0.25">
      <c r="B20" s="2"/>
      <c r="C20" s="2"/>
      <c r="D20" s="2"/>
      <c r="E20" s="3"/>
    </row>
  </sheetData>
  <mergeCells count="3">
    <mergeCell ref="A1:E1"/>
    <mergeCell ref="A3:E3"/>
    <mergeCell ref="A6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FF92C-E506-40BD-AA7A-E10842057F28}">
  <sheetPr transitionEvaluation="1">
    <pageSetUpPr fitToPage="1"/>
  </sheetPr>
  <dimension ref="A1:K31"/>
  <sheetViews>
    <sheetView workbookViewId="0">
      <selection activeCell="C11" sqref="C11"/>
    </sheetView>
  </sheetViews>
  <sheetFormatPr defaultColWidth="18.33203125" defaultRowHeight="15" customHeight="1" x14ac:dyDescent="0.25"/>
  <cols>
    <col min="1" max="1" width="10.1640625" style="3" bestFit="1" customWidth="1"/>
    <col min="2" max="2" width="22.6640625" style="2" bestFit="1" customWidth="1"/>
    <col min="3" max="7" width="18.33203125" style="2"/>
    <col min="8" max="8" width="22.83203125" style="2" customWidth="1"/>
    <col min="9" max="9" width="25" style="2" customWidth="1"/>
    <col min="10" max="16384" width="18.33203125" style="2"/>
  </cols>
  <sheetData>
    <row r="1" spans="1:11" ht="15" customHeight="1" x14ac:dyDescent="0.25">
      <c r="D1" s="306" t="s">
        <v>9</v>
      </c>
      <c r="E1" s="306"/>
      <c r="F1" s="306"/>
      <c r="G1" s="306"/>
      <c r="H1" s="306"/>
      <c r="I1" s="306"/>
      <c r="J1" s="306"/>
      <c r="K1" s="5" t="s">
        <v>10</v>
      </c>
    </row>
    <row r="2" spans="1:11" ht="15" customHeight="1" x14ac:dyDescent="0.25">
      <c r="A2" s="6"/>
      <c r="D2" s="307" t="s">
        <v>11</v>
      </c>
      <c r="E2" s="307"/>
      <c r="F2" s="307"/>
      <c r="G2" s="307"/>
      <c r="H2" s="307"/>
      <c r="I2" s="307"/>
      <c r="J2" s="307"/>
      <c r="K2" s="7" t="s">
        <v>12</v>
      </c>
    </row>
    <row r="3" spans="1:11" ht="15" customHeight="1" x14ac:dyDescent="0.25">
      <c r="D3" s="306" t="s">
        <v>13</v>
      </c>
      <c r="E3" s="306"/>
      <c r="F3" s="306"/>
      <c r="G3" s="306"/>
      <c r="H3" s="306"/>
      <c r="I3" s="306"/>
      <c r="J3" s="306"/>
      <c r="K3" s="7" t="s">
        <v>14</v>
      </c>
    </row>
    <row r="4" spans="1:11" ht="15" customHeight="1" x14ac:dyDescent="0.25">
      <c r="D4" s="308"/>
      <c r="E4" s="308"/>
      <c r="F4" s="308"/>
      <c r="G4" s="308"/>
      <c r="H4" s="308"/>
      <c r="I4" s="308"/>
      <c r="J4" s="308"/>
      <c r="K4" s="7"/>
    </row>
    <row r="5" spans="1:11" ht="15" customHeight="1" thickBot="1" x14ac:dyDescent="0.3">
      <c r="D5" s="8"/>
      <c r="E5" s="9"/>
      <c r="F5" s="9"/>
      <c r="H5" s="9"/>
      <c r="I5" s="9"/>
      <c r="J5" s="9"/>
      <c r="K5" s="10"/>
    </row>
    <row r="6" spans="1:11" s="3" customFormat="1" ht="15" customHeight="1" x14ac:dyDescent="0.25">
      <c r="D6" s="11"/>
      <c r="H6" s="309" t="s">
        <v>15</v>
      </c>
      <c r="I6" s="310"/>
      <c r="K6" s="11"/>
    </row>
    <row r="7" spans="1:11" s="3" customFormat="1" ht="15.75" x14ac:dyDescent="0.25">
      <c r="G7" s="12"/>
      <c r="H7" s="311" t="s">
        <v>16</v>
      </c>
      <c r="I7" s="312"/>
      <c r="J7" s="11"/>
    </row>
    <row r="8" spans="1:11" s="3" customFormat="1" ht="78.75" x14ac:dyDescent="0.25">
      <c r="A8" s="13" t="s">
        <v>17</v>
      </c>
      <c r="B8" s="13" t="s">
        <v>18</v>
      </c>
      <c r="C8" s="12" t="s">
        <v>19</v>
      </c>
      <c r="D8" s="12" t="s">
        <v>20</v>
      </c>
      <c r="E8" s="14" t="s">
        <v>21</v>
      </c>
      <c r="F8" s="12" t="s">
        <v>22</v>
      </c>
      <c r="G8" s="11" t="s">
        <v>23</v>
      </c>
      <c r="H8" s="15" t="s">
        <v>24</v>
      </c>
      <c r="I8" s="16" t="s">
        <v>25</v>
      </c>
      <c r="J8" s="17" t="s">
        <v>26</v>
      </c>
      <c r="K8" s="11" t="s">
        <v>27</v>
      </c>
    </row>
    <row r="9" spans="1:11" ht="15" customHeight="1" x14ac:dyDescent="0.25">
      <c r="A9" s="18"/>
      <c r="B9" s="19" t="s">
        <v>28</v>
      </c>
      <c r="C9" s="19" t="s">
        <v>29</v>
      </c>
      <c r="D9" s="19" t="s">
        <v>30</v>
      </c>
      <c r="E9" s="19" t="s">
        <v>31</v>
      </c>
      <c r="F9" s="19" t="s">
        <v>32</v>
      </c>
      <c r="G9" s="19" t="s">
        <v>33</v>
      </c>
      <c r="H9" s="20" t="s">
        <v>34</v>
      </c>
      <c r="I9" s="21" t="s">
        <v>35</v>
      </c>
      <c r="J9" s="19" t="s">
        <v>36</v>
      </c>
      <c r="K9" s="19" t="s">
        <v>37</v>
      </c>
    </row>
    <row r="10" spans="1:11" ht="15" customHeight="1" x14ac:dyDescent="0.25">
      <c r="B10" s="22"/>
      <c r="C10" s="11"/>
      <c r="D10" s="23"/>
      <c r="E10" s="11"/>
      <c r="F10" s="11"/>
      <c r="G10" s="11"/>
      <c r="H10" s="24"/>
      <c r="I10" s="25"/>
      <c r="J10" s="11"/>
      <c r="K10" s="11"/>
    </row>
    <row r="11" spans="1:11" ht="15" customHeight="1" x14ac:dyDescent="0.25">
      <c r="A11" s="11">
        <v>1</v>
      </c>
      <c r="B11" s="26" t="str">
        <f>+'Balances at 7-31-2025'!A14</f>
        <v>CORE Conservation</v>
      </c>
      <c r="C11" s="27">
        <f>+'Balances at 7-31-2025'!D14</f>
        <v>23050738.82</v>
      </c>
      <c r="D11" s="28">
        <f>+EstimatedBalances!H16</f>
        <v>-1669492.4999999995</v>
      </c>
      <c r="E11" s="28">
        <f>+' Int during Amort'!S26</f>
        <v>631886.57242738619</v>
      </c>
      <c r="F11" s="28">
        <f>((C11+D11+E11)/(1-0.04924))-(C11+D11+E11)</f>
        <v>1140063.3846850134</v>
      </c>
      <c r="G11" s="28">
        <f>SUM(C11:F11)</f>
        <v>23153196.277112398</v>
      </c>
      <c r="H11" s="29"/>
      <c r="I11" s="30"/>
      <c r="K11" s="2" t="s">
        <v>38</v>
      </c>
    </row>
    <row r="12" spans="1:11" ht="15" customHeight="1" x14ac:dyDescent="0.25">
      <c r="A12" s="11">
        <v>2</v>
      </c>
      <c r="C12" s="27"/>
      <c r="D12" s="28"/>
      <c r="E12" s="26" t="s">
        <v>39</v>
      </c>
      <c r="F12" s="26"/>
      <c r="G12" s="31">
        <f>+'Test Period Volumes'!I35</f>
        <v>270658517</v>
      </c>
      <c r="H12" s="32">
        <f>ROUND(G11/G12,5)</f>
        <v>8.5540000000000005E-2</v>
      </c>
      <c r="I12" s="33">
        <f>ROUND(G11/G12,5)</f>
        <v>8.5540000000000005E-2</v>
      </c>
      <c r="J12" s="11" t="s">
        <v>40</v>
      </c>
      <c r="K12" s="26" t="s">
        <v>41</v>
      </c>
    </row>
    <row r="13" spans="1:11" ht="15" customHeight="1" x14ac:dyDescent="0.25">
      <c r="A13" s="11"/>
      <c r="C13" s="27"/>
      <c r="D13" s="28"/>
      <c r="E13" s="28"/>
      <c r="F13" s="28"/>
      <c r="G13" s="31"/>
      <c r="H13" s="32"/>
      <c r="I13" s="33"/>
      <c r="J13" s="11"/>
      <c r="K13" s="26"/>
    </row>
    <row r="14" spans="1:11" ht="15" customHeight="1" x14ac:dyDescent="0.25">
      <c r="A14" s="11"/>
      <c r="C14" s="34"/>
      <c r="D14" s="28"/>
      <c r="E14" s="26"/>
      <c r="F14" s="26"/>
      <c r="G14" s="31"/>
      <c r="H14" s="32"/>
      <c r="I14" s="33"/>
      <c r="J14" s="11"/>
      <c r="K14" s="26"/>
    </row>
    <row r="15" spans="1:11" ht="22.5" customHeight="1" thickBot="1" x14ac:dyDescent="0.3">
      <c r="A15" s="11">
        <v>3</v>
      </c>
      <c r="B15" s="35" t="s">
        <v>42</v>
      </c>
      <c r="C15" s="36">
        <f>+C11</f>
        <v>23050738.82</v>
      </c>
      <c r="D15" s="36">
        <f>+D11</f>
        <v>-1669492.4999999995</v>
      </c>
      <c r="E15" s="36">
        <f t="shared" ref="E15:F15" si="0">+E11</f>
        <v>631886.57242738619</v>
      </c>
      <c r="F15" s="36">
        <f t="shared" si="0"/>
        <v>1140063.3846850134</v>
      </c>
      <c r="G15" s="36">
        <f>+G11</f>
        <v>23153196.277112398</v>
      </c>
      <c r="H15" s="37">
        <f>+H12</f>
        <v>8.5540000000000005E-2</v>
      </c>
      <c r="I15" s="38">
        <f>+I12</f>
        <v>8.5540000000000005E-2</v>
      </c>
    </row>
    <row r="16" spans="1:11" ht="15" customHeight="1" x14ac:dyDescent="0.25">
      <c r="A16" s="11"/>
    </row>
    <row r="19" spans="1:9" ht="15" customHeight="1" x14ac:dyDescent="0.25">
      <c r="A19" s="11"/>
      <c r="I19" s="39"/>
    </row>
    <row r="22" spans="1:9" ht="15" customHeight="1" x14ac:dyDescent="0.25">
      <c r="A22" s="11"/>
    </row>
    <row r="25" spans="1:9" ht="15" customHeight="1" x14ac:dyDescent="0.25">
      <c r="A25" s="11"/>
    </row>
    <row r="27" spans="1:9" ht="15" customHeight="1" x14ac:dyDescent="0.25">
      <c r="A27" s="11"/>
    </row>
    <row r="29" spans="1:9" ht="15" customHeight="1" x14ac:dyDescent="0.25">
      <c r="A29" s="11"/>
    </row>
    <row r="30" spans="1:9" ht="15" customHeight="1" x14ac:dyDescent="0.25">
      <c r="A30" s="11"/>
    </row>
    <row r="31" spans="1:9" ht="15" customHeight="1" x14ac:dyDescent="0.25">
      <c r="A31" s="11"/>
    </row>
  </sheetData>
  <mergeCells count="6">
    <mergeCell ref="H7:I7"/>
    <mergeCell ref="D1:J1"/>
    <mergeCell ref="D2:J2"/>
    <mergeCell ref="D3:J3"/>
    <mergeCell ref="D4:J4"/>
    <mergeCell ref="H6:I6"/>
  </mergeCells>
  <printOptions horizontalCentered="1"/>
  <pageMargins left="0.2" right="0.2" top="1" bottom="0.17" header="0.35" footer="0.5"/>
  <pageSetup scale="74" orientation="landscape" r:id="rId1"/>
  <headerFooter scaleWithDoc="0" alignWithMargins="0">
    <oddFooter>&amp;LTab Name: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5C02F-39BB-498A-BF65-E79F8D00C8D7}">
  <sheetPr>
    <pageSetUpPr fitToPage="1"/>
  </sheetPr>
  <dimension ref="B1:W27"/>
  <sheetViews>
    <sheetView view="pageBreakPreview" topLeftCell="D1" zoomScale="95" zoomScaleNormal="100" zoomScaleSheetLayoutView="95" workbookViewId="0">
      <selection activeCell="C11" sqref="C11"/>
    </sheetView>
  </sheetViews>
  <sheetFormatPr defaultColWidth="10.6640625" defaultRowHeight="15" x14ac:dyDescent="0.25"/>
  <cols>
    <col min="1" max="1" width="10.6640625" style="41"/>
    <col min="2" max="2" width="5" style="41" customWidth="1"/>
    <col min="3" max="3" width="26" style="41" customWidth="1"/>
    <col min="4" max="4" width="14.1640625" style="41" customWidth="1"/>
    <col min="5" max="5" width="19.6640625" style="41" bestFit="1" customWidth="1"/>
    <col min="6" max="6" width="16" style="41" customWidth="1"/>
    <col min="7" max="7" width="18.33203125" style="41" customWidth="1"/>
    <col min="8" max="8" width="17.83203125" style="41" customWidth="1"/>
    <col min="9" max="9" width="16.1640625" style="41" customWidth="1"/>
    <col min="10" max="10" width="18" style="41" customWidth="1"/>
    <col min="11" max="11" width="16.1640625" style="41" customWidth="1"/>
    <col min="12" max="13" width="13.83203125" style="41" customWidth="1"/>
    <col min="14" max="14" width="14.83203125" style="41" customWidth="1"/>
    <col min="15" max="15" width="13.33203125" style="41" customWidth="1"/>
    <col min="16" max="16" width="19.6640625" style="41" customWidth="1"/>
    <col min="17" max="18" width="13.33203125" style="41" customWidth="1"/>
    <col min="19" max="19" width="16" style="41" customWidth="1"/>
    <col min="20" max="20" width="14.1640625" style="41" customWidth="1"/>
    <col min="21" max="21" width="17" style="41" customWidth="1"/>
    <col min="22" max="22" width="14.1640625" style="41" customWidth="1"/>
    <col min="23" max="16384" width="10.6640625" style="41"/>
  </cols>
  <sheetData>
    <row r="1" spans="2:16" ht="15.75" customHeight="1" x14ac:dyDescent="0.25">
      <c r="B1" s="40"/>
      <c r="C1" s="40"/>
      <c r="H1" s="5" t="str">
        <f>+'CPA Summary of Def. Accts.'!K1</f>
        <v>CNGC Advice W25-09-02</v>
      </c>
      <c r="I1" s="40"/>
    </row>
    <row r="2" spans="2:16" ht="15.75" customHeight="1" x14ac:dyDescent="0.25">
      <c r="B2" s="40"/>
      <c r="C2" s="40"/>
      <c r="H2" s="7" t="s">
        <v>12</v>
      </c>
      <c r="I2" s="40"/>
    </row>
    <row r="3" spans="2:16" ht="15.75" customHeight="1" x14ac:dyDescent="0.25">
      <c r="B3" s="40"/>
      <c r="C3" s="40"/>
      <c r="H3" s="7" t="s">
        <v>43</v>
      </c>
      <c r="I3" s="40"/>
    </row>
    <row r="4" spans="2:16" ht="15.75" customHeight="1" x14ac:dyDescent="0.25">
      <c r="B4" s="40"/>
      <c r="C4" s="40"/>
      <c r="D4" s="313" t="s">
        <v>9</v>
      </c>
      <c r="E4" s="313"/>
      <c r="F4" s="313"/>
      <c r="G4" s="313"/>
      <c r="H4" s="42"/>
      <c r="I4" s="42"/>
      <c r="J4" s="43"/>
      <c r="K4" s="43"/>
      <c r="L4" s="43"/>
      <c r="M4" s="43"/>
      <c r="N4" s="43"/>
      <c r="O4" s="43"/>
      <c r="P4" s="43"/>
    </row>
    <row r="5" spans="2:16" ht="15.75" customHeight="1" x14ac:dyDescent="0.25">
      <c r="B5" s="40"/>
      <c r="C5" s="313" t="s">
        <v>44</v>
      </c>
      <c r="D5" s="313"/>
      <c r="E5" s="313"/>
      <c r="F5" s="313"/>
      <c r="G5" s="313"/>
      <c r="H5" s="313"/>
      <c r="I5" s="42"/>
      <c r="J5" s="43"/>
      <c r="K5" s="43"/>
      <c r="L5" s="43"/>
      <c r="M5" s="43"/>
      <c r="N5" s="43"/>
      <c r="O5" s="43"/>
      <c r="P5" s="43"/>
    </row>
    <row r="6" spans="2:16" ht="15.75" customHeight="1" x14ac:dyDescent="0.25">
      <c r="B6" s="40"/>
      <c r="C6" s="40"/>
      <c r="D6" s="313" t="s">
        <v>45</v>
      </c>
      <c r="E6" s="313"/>
      <c r="F6" s="313"/>
      <c r="G6" s="313"/>
      <c r="H6" s="42"/>
      <c r="I6" s="42"/>
      <c r="J6" s="43"/>
      <c r="K6" s="43"/>
      <c r="L6" s="43"/>
      <c r="M6" s="43"/>
      <c r="N6" s="43"/>
      <c r="O6" s="43"/>
      <c r="P6" s="43"/>
    </row>
    <row r="7" spans="2:16" ht="15.75" customHeight="1" x14ac:dyDescent="0.25">
      <c r="B7" s="40"/>
      <c r="C7" s="40"/>
      <c r="D7" s="313" t="s">
        <v>13</v>
      </c>
      <c r="E7" s="313"/>
      <c r="F7" s="313"/>
      <c r="G7" s="313"/>
      <c r="H7" s="42"/>
      <c r="I7" s="42"/>
      <c r="J7" s="43"/>
      <c r="K7" s="43"/>
      <c r="L7" s="43"/>
      <c r="M7" s="43"/>
      <c r="N7" s="43"/>
      <c r="O7" s="43"/>
      <c r="P7" s="43"/>
    </row>
    <row r="8" spans="2:16" ht="15.75" x14ac:dyDescent="0.25">
      <c r="B8" s="40"/>
      <c r="C8" s="40"/>
      <c r="D8" s="40"/>
      <c r="E8" s="40"/>
      <c r="F8" s="40"/>
      <c r="G8" s="42"/>
      <c r="H8" s="40"/>
      <c r="I8" s="40"/>
    </row>
    <row r="9" spans="2:16" s="50" customFormat="1" ht="63" x14ac:dyDescent="0.25">
      <c r="B9" s="44" t="s">
        <v>46</v>
      </c>
      <c r="C9" s="45" t="s">
        <v>3</v>
      </c>
      <c r="D9" s="45" t="s">
        <v>47</v>
      </c>
      <c r="E9" s="46" t="s">
        <v>48</v>
      </c>
      <c r="F9" s="47" t="s">
        <v>49</v>
      </c>
      <c r="G9" s="46" t="s">
        <v>50</v>
      </c>
      <c r="H9" s="46" t="s">
        <v>51</v>
      </c>
      <c r="I9" s="48"/>
      <c r="J9" s="49"/>
      <c r="K9" s="49"/>
      <c r="L9" s="49"/>
    </row>
    <row r="10" spans="2:16" ht="15.75" x14ac:dyDescent="0.25">
      <c r="B10" s="51" t="s">
        <v>52</v>
      </c>
      <c r="C10" s="52" t="s">
        <v>28</v>
      </c>
      <c r="D10" s="52" t="s">
        <v>29</v>
      </c>
      <c r="E10" s="53" t="s">
        <v>30</v>
      </c>
      <c r="F10" s="54" t="s">
        <v>31</v>
      </c>
      <c r="G10" s="53" t="s">
        <v>32</v>
      </c>
      <c r="H10" s="55" t="s">
        <v>53</v>
      </c>
      <c r="I10" s="42"/>
      <c r="J10" s="43"/>
      <c r="K10" s="43"/>
      <c r="L10" s="43"/>
    </row>
    <row r="11" spans="2:16" ht="16.5" customHeight="1" x14ac:dyDescent="0.25">
      <c r="B11" s="56"/>
      <c r="C11" s="57" t="s">
        <v>54</v>
      </c>
      <c r="D11" s="58"/>
      <c r="E11" s="58"/>
      <c r="F11" s="58"/>
      <c r="G11" s="59"/>
      <c r="H11" s="58"/>
      <c r="I11" s="40"/>
    </row>
    <row r="12" spans="2:16" ht="15.75" x14ac:dyDescent="0.25">
      <c r="B12" s="51">
        <v>1</v>
      </c>
      <c r="C12" s="60" t="s">
        <v>55</v>
      </c>
      <c r="D12" s="61">
        <v>503</v>
      </c>
      <c r="E12" s="62">
        <v>-6.2990000000000004E-2</v>
      </c>
      <c r="F12" s="62">
        <f>+'CPA Summary of Def. Accts.'!H15</f>
        <v>8.5540000000000005E-2</v>
      </c>
      <c r="G12" s="63">
        <f t="shared" ref="G12:G16" si="0">SUM(E12:F12)</f>
        <v>2.2550000000000001E-2</v>
      </c>
      <c r="H12" s="64">
        <f t="shared" ref="H12:H16" si="1">+F12</f>
        <v>8.5540000000000005E-2</v>
      </c>
      <c r="I12" s="65"/>
      <c r="J12" s="66"/>
      <c r="K12" s="67"/>
      <c r="L12" s="67"/>
    </row>
    <row r="13" spans="2:16" ht="15.75" x14ac:dyDescent="0.25">
      <c r="B13" s="51">
        <v>2</v>
      </c>
      <c r="C13" s="60" t="s">
        <v>56</v>
      </c>
      <c r="D13" s="61">
        <v>504</v>
      </c>
      <c r="E13" s="62">
        <f>+E12</f>
        <v>-6.2990000000000004E-2</v>
      </c>
      <c r="F13" s="62">
        <f t="shared" ref="F13" si="2">F12</f>
        <v>8.5540000000000005E-2</v>
      </c>
      <c r="G13" s="63">
        <f t="shared" si="0"/>
        <v>2.2550000000000001E-2</v>
      </c>
      <c r="H13" s="64">
        <f t="shared" si="1"/>
        <v>8.5540000000000005E-2</v>
      </c>
      <c r="I13" s="65"/>
      <c r="J13" s="66"/>
      <c r="K13" s="67"/>
      <c r="L13" s="67"/>
    </row>
    <row r="14" spans="2:16" ht="15.75" x14ac:dyDescent="0.25">
      <c r="B14" s="51">
        <v>3</v>
      </c>
      <c r="C14" s="60" t="s">
        <v>57</v>
      </c>
      <c r="D14" s="68">
        <v>511</v>
      </c>
      <c r="E14" s="62">
        <f>+E12</f>
        <v>-6.2990000000000004E-2</v>
      </c>
      <c r="F14" s="62">
        <f>+F12</f>
        <v>8.5540000000000005E-2</v>
      </c>
      <c r="G14" s="63">
        <f t="shared" si="0"/>
        <v>2.2550000000000001E-2</v>
      </c>
      <c r="H14" s="64">
        <f t="shared" si="1"/>
        <v>8.5540000000000005E-2</v>
      </c>
      <c r="I14" s="65"/>
      <c r="J14" s="66"/>
      <c r="K14" s="67"/>
      <c r="L14" s="67"/>
    </row>
    <row r="15" spans="2:16" ht="15.75" x14ac:dyDescent="0.25">
      <c r="B15" s="51">
        <v>4</v>
      </c>
      <c r="C15" s="60" t="s">
        <v>58</v>
      </c>
      <c r="D15" s="68">
        <v>505</v>
      </c>
      <c r="E15" s="62">
        <f>+E12</f>
        <v>-6.2990000000000004E-2</v>
      </c>
      <c r="F15" s="62">
        <f>+F12</f>
        <v>8.5540000000000005E-2</v>
      </c>
      <c r="G15" s="63">
        <f t="shared" si="0"/>
        <v>2.2550000000000001E-2</v>
      </c>
      <c r="H15" s="64">
        <f t="shared" si="1"/>
        <v>8.5540000000000005E-2</v>
      </c>
      <c r="I15" s="65"/>
      <c r="J15" s="66"/>
      <c r="K15" s="67"/>
      <c r="L15" s="67"/>
    </row>
    <row r="16" spans="2:16" ht="15.75" x14ac:dyDescent="0.25">
      <c r="B16" s="51">
        <v>5</v>
      </c>
      <c r="C16" s="60" t="s">
        <v>59</v>
      </c>
      <c r="D16" s="68">
        <v>570</v>
      </c>
      <c r="E16" s="62">
        <f>+E12</f>
        <v>-6.2990000000000004E-2</v>
      </c>
      <c r="F16" s="62">
        <f>'CPA Summary of Def. Accts.'!I15</f>
        <v>8.5540000000000005E-2</v>
      </c>
      <c r="G16" s="63">
        <f t="shared" si="0"/>
        <v>2.2550000000000001E-2</v>
      </c>
      <c r="H16" s="64">
        <f t="shared" si="1"/>
        <v>8.5540000000000005E-2</v>
      </c>
      <c r="I16" s="65"/>
      <c r="J16" s="66"/>
      <c r="K16" s="67"/>
      <c r="L16" s="67"/>
    </row>
    <row r="17" spans="2:23" ht="15.75" x14ac:dyDescent="0.25">
      <c r="B17" s="69"/>
      <c r="C17" s="70"/>
      <c r="D17" s="71"/>
      <c r="E17" s="71"/>
      <c r="F17" s="71"/>
      <c r="G17" s="72"/>
      <c r="H17" s="71"/>
      <c r="I17" s="73"/>
      <c r="J17" s="66"/>
      <c r="K17" s="67"/>
      <c r="L17" s="67"/>
    </row>
    <row r="18" spans="2:23" ht="15.75" x14ac:dyDescent="0.25">
      <c r="B18" s="74"/>
      <c r="C18" s="60"/>
      <c r="D18" s="40"/>
      <c r="E18" s="40"/>
      <c r="F18" s="40"/>
      <c r="G18" s="40"/>
      <c r="H18" s="73"/>
      <c r="I18" s="73"/>
      <c r="J18" s="66"/>
      <c r="K18" s="66"/>
      <c r="L18" s="66"/>
    </row>
    <row r="19" spans="2:23" ht="15.75" x14ac:dyDescent="0.25">
      <c r="C19" s="75"/>
      <c r="D19" s="40"/>
      <c r="E19" s="40"/>
      <c r="F19" s="40"/>
      <c r="G19" s="40"/>
      <c r="H19" s="76"/>
      <c r="I19" s="40"/>
      <c r="R19" s="67"/>
      <c r="S19" s="67"/>
      <c r="T19" s="67"/>
      <c r="U19" s="67"/>
      <c r="V19" s="67"/>
      <c r="W19" s="67"/>
    </row>
    <row r="20" spans="2:23" ht="15.75" x14ac:dyDescent="0.25">
      <c r="D20" s="40"/>
      <c r="E20" s="40"/>
      <c r="F20" s="40"/>
      <c r="G20" s="42"/>
      <c r="H20" s="76"/>
      <c r="I20" s="40"/>
      <c r="R20" s="67"/>
      <c r="S20" s="67"/>
      <c r="T20" s="67"/>
      <c r="U20" s="67"/>
      <c r="V20" s="67"/>
    </row>
    <row r="21" spans="2:23" ht="15.75" x14ac:dyDescent="0.25">
      <c r="B21" s="40"/>
      <c r="C21" s="75"/>
      <c r="D21" s="40"/>
      <c r="E21" s="40"/>
      <c r="F21" s="40"/>
      <c r="G21" s="42"/>
      <c r="H21" s="76"/>
      <c r="I21" s="40"/>
      <c r="R21" s="67"/>
      <c r="S21" s="67"/>
      <c r="T21" s="67"/>
      <c r="U21" s="67"/>
      <c r="V21" s="67"/>
    </row>
    <row r="22" spans="2:23" ht="15.75" x14ac:dyDescent="0.25">
      <c r="B22" s="40"/>
      <c r="C22" s="60"/>
      <c r="D22" s="40"/>
      <c r="E22" s="40"/>
      <c r="F22" s="40"/>
      <c r="G22" s="42"/>
      <c r="H22" s="76"/>
      <c r="I22" s="40"/>
    </row>
    <row r="23" spans="2:23" ht="15.75" x14ac:dyDescent="0.25">
      <c r="B23" s="40"/>
      <c r="C23" s="60"/>
      <c r="D23" s="40"/>
      <c r="E23" s="40"/>
      <c r="F23" s="40"/>
      <c r="G23" s="42"/>
      <c r="H23" s="77"/>
      <c r="I23" s="77"/>
      <c r="J23" s="78"/>
    </row>
    <row r="24" spans="2:23" x14ac:dyDescent="0.25">
      <c r="G24" s="79"/>
      <c r="L24" s="78"/>
    </row>
    <row r="25" spans="2:23" x14ac:dyDescent="0.25">
      <c r="G25" s="80"/>
      <c r="L25" s="78"/>
    </row>
    <row r="26" spans="2:23" x14ac:dyDescent="0.25">
      <c r="L26" s="78"/>
    </row>
    <row r="27" spans="2:23" x14ac:dyDescent="0.25">
      <c r="L27" s="78"/>
    </row>
  </sheetData>
  <mergeCells count="4">
    <mergeCell ref="D4:G4"/>
    <mergeCell ref="C5:H5"/>
    <mergeCell ref="D6:G6"/>
    <mergeCell ref="D7:G7"/>
  </mergeCells>
  <printOptions horizontalCentered="1"/>
  <pageMargins left="0.2" right="0.2" top="1" bottom="0.17" header="0.35" footer="0.5"/>
  <pageSetup orientation="landscape" r:id="rId1"/>
  <headerFooter scaleWithDoc="0"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17C8D-4466-4213-8FB8-13E1084594A7}">
  <sheetPr>
    <pageSetUpPr fitToPage="1"/>
  </sheetPr>
  <dimension ref="A2:Q18"/>
  <sheetViews>
    <sheetView tabSelected="1" zoomScale="145" zoomScaleNormal="145" workbookViewId="0">
      <selection activeCell="H18" sqref="A7:H18"/>
    </sheetView>
  </sheetViews>
  <sheetFormatPr defaultRowHeight="15.75" x14ac:dyDescent="0.25"/>
  <cols>
    <col min="1" max="1" width="5.5" style="74" bestFit="1" customWidth="1"/>
    <col min="2" max="2" width="9.33203125" style="81"/>
    <col min="3" max="3" width="19.5" style="81" customWidth="1"/>
    <col min="4" max="4" width="13.5" style="81" customWidth="1"/>
    <col min="5" max="5" width="12" style="81" bestFit="1" customWidth="1"/>
    <col min="6" max="6" width="18.5" style="81" bestFit="1" customWidth="1"/>
    <col min="7" max="7" width="1.33203125" style="81" customWidth="1"/>
    <col min="8" max="8" width="17" style="81" bestFit="1" customWidth="1"/>
    <col min="9" max="10" width="1.33203125" style="81" customWidth="1"/>
    <col min="11" max="11" width="15.33203125" style="124" customWidth="1"/>
    <col min="12" max="12" width="24.1640625" style="81" bestFit="1" customWidth="1"/>
    <col min="13" max="13" width="12.83203125" style="81" bestFit="1" customWidth="1"/>
    <col min="14" max="250" width="9.33203125" style="81"/>
    <col min="251" max="251" width="5" style="81" customWidth="1"/>
    <col min="252" max="252" width="9.33203125" style="81"/>
    <col min="253" max="253" width="21.6640625" style="81" customWidth="1"/>
    <col min="254" max="254" width="13.5" style="81" customWidth="1"/>
    <col min="255" max="255" width="10.5" style="81" customWidth="1"/>
    <col min="256" max="256" width="15.1640625" style="81" customWidth="1"/>
    <col min="257" max="257" width="3.6640625" style="81" customWidth="1"/>
    <col min="258" max="258" width="13.1640625" style="81" customWidth="1"/>
    <col min="259" max="259" width="3.83203125" style="81" customWidth="1"/>
    <col min="260" max="260" width="15" style="81" customWidth="1"/>
    <col min="261" max="261" width="3.6640625" style="81" customWidth="1"/>
    <col min="262" max="263" width="13" style="81" customWidth="1"/>
    <col min="264" max="264" width="0" style="81" hidden="1" customWidth="1"/>
    <col min="265" max="266" width="9.33203125" style="81"/>
    <col min="267" max="267" width="15.83203125" style="81" customWidth="1"/>
    <col min="268" max="506" width="9.33203125" style="81"/>
    <col min="507" max="507" width="5" style="81" customWidth="1"/>
    <col min="508" max="508" width="9.33203125" style="81"/>
    <col min="509" max="509" width="21.6640625" style="81" customWidth="1"/>
    <col min="510" max="510" width="13.5" style="81" customWidth="1"/>
    <col min="511" max="511" width="10.5" style="81" customWidth="1"/>
    <col min="512" max="512" width="15.1640625" style="81" customWidth="1"/>
    <col min="513" max="513" width="3.6640625" style="81" customWidth="1"/>
    <col min="514" max="514" width="13.1640625" style="81" customWidth="1"/>
    <col min="515" max="515" width="3.83203125" style="81" customWidth="1"/>
    <col min="516" max="516" width="15" style="81" customWidth="1"/>
    <col min="517" max="517" width="3.6640625" style="81" customWidth="1"/>
    <col min="518" max="519" width="13" style="81" customWidth="1"/>
    <col min="520" max="520" width="0" style="81" hidden="1" customWidth="1"/>
    <col min="521" max="522" width="9.33203125" style="81"/>
    <col min="523" max="523" width="15.83203125" style="81" customWidth="1"/>
    <col min="524" max="762" width="9.33203125" style="81"/>
    <col min="763" max="763" width="5" style="81" customWidth="1"/>
    <col min="764" max="764" width="9.33203125" style="81"/>
    <col min="765" max="765" width="21.6640625" style="81" customWidth="1"/>
    <col min="766" max="766" width="13.5" style="81" customWidth="1"/>
    <col min="767" max="767" width="10.5" style="81" customWidth="1"/>
    <col min="768" max="768" width="15.1640625" style="81" customWidth="1"/>
    <col min="769" max="769" width="3.6640625" style="81" customWidth="1"/>
    <col min="770" max="770" width="13.1640625" style="81" customWidth="1"/>
    <col min="771" max="771" width="3.83203125" style="81" customWidth="1"/>
    <col min="772" max="772" width="15" style="81" customWidth="1"/>
    <col min="773" max="773" width="3.6640625" style="81" customWidth="1"/>
    <col min="774" max="775" width="13" style="81" customWidth="1"/>
    <col min="776" max="776" width="0" style="81" hidden="1" customWidth="1"/>
    <col min="777" max="778" width="9.33203125" style="81"/>
    <col min="779" max="779" width="15.83203125" style="81" customWidth="1"/>
    <col min="780" max="1018" width="9.33203125" style="81"/>
    <col min="1019" max="1019" width="5" style="81" customWidth="1"/>
    <col min="1020" max="1020" width="9.33203125" style="81"/>
    <col min="1021" max="1021" width="21.6640625" style="81" customWidth="1"/>
    <col min="1022" max="1022" width="13.5" style="81" customWidth="1"/>
    <col min="1023" max="1023" width="10.5" style="81" customWidth="1"/>
    <col min="1024" max="1024" width="15.1640625" style="81" customWidth="1"/>
    <col min="1025" max="1025" width="3.6640625" style="81" customWidth="1"/>
    <col min="1026" max="1026" width="13.1640625" style="81" customWidth="1"/>
    <col min="1027" max="1027" width="3.83203125" style="81" customWidth="1"/>
    <col min="1028" max="1028" width="15" style="81" customWidth="1"/>
    <col min="1029" max="1029" width="3.6640625" style="81" customWidth="1"/>
    <col min="1030" max="1031" width="13" style="81" customWidth="1"/>
    <col min="1032" max="1032" width="0" style="81" hidden="1" customWidth="1"/>
    <col min="1033" max="1034" width="9.33203125" style="81"/>
    <col min="1035" max="1035" width="15.83203125" style="81" customWidth="1"/>
    <col min="1036" max="1274" width="9.33203125" style="81"/>
    <col min="1275" max="1275" width="5" style="81" customWidth="1"/>
    <col min="1276" max="1276" width="9.33203125" style="81"/>
    <col min="1277" max="1277" width="21.6640625" style="81" customWidth="1"/>
    <col min="1278" max="1278" width="13.5" style="81" customWidth="1"/>
    <col min="1279" max="1279" width="10.5" style="81" customWidth="1"/>
    <col min="1280" max="1280" width="15.1640625" style="81" customWidth="1"/>
    <col min="1281" max="1281" width="3.6640625" style="81" customWidth="1"/>
    <col min="1282" max="1282" width="13.1640625" style="81" customWidth="1"/>
    <col min="1283" max="1283" width="3.83203125" style="81" customWidth="1"/>
    <col min="1284" max="1284" width="15" style="81" customWidth="1"/>
    <col min="1285" max="1285" width="3.6640625" style="81" customWidth="1"/>
    <col min="1286" max="1287" width="13" style="81" customWidth="1"/>
    <col min="1288" max="1288" width="0" style="81" hidden="1" customWidth="1"/>
    <col min="1289" max="1290" width="9.33203125" style="81"/>
    <col min="1291" max="1291" width="15.83203125" style="81" customWidth="1"/>
    <col min="1292" max="1530" width="9.33203125" style="81"/>
    <col min="1531" max="1531" width="5" style="81" customWidth="1"/>
    <col min="1532" max="1532" width="9.33203125" style="81"/>
    <col min="1533" max="1533" width="21.6640625" style="81" customWidth="1"/>
    <col min="1534" max="1534" width="13.5" style="81" customWidth="1"/>
    <col min="1535" max="1535" width="10.5" style="81" customWidth="1"/>
    <col min="1536" max="1536" width="15.1640625" style="81" customWidth="1"/>
    <col min="1537" max="1537" width="3.6640625" style="81" customWidth="1"/>
    <col min="1538" max="1538" width="13.1640625" style="81" customWidth="1"/>
    <col min="1539" max="1539" width="3.83203125" style="81" customWidth="1"/>
    <col min="1540" max="1540" width="15" style="81" customWidth="1"/>
    <col min="1541" max="1541" width="3.6640625" style="81" customWidth="1"/>
    <col min="1542" max="1543" width="13" style="81" customWidth="1"/>
    <col min="1544" max="1544" width="0" style="81" hidden="1" customWidth="1"/>
    <col min="1545" max="1546" width="9.33203125" style="81"/>
    <col min="1547" max="1547" width="15.83203125" style="81" customWidth="1"/>
    <col min="1548" max="1786" width="9.33203125" style="81"/>
    <col min="1787" max="1787" width="5" style="81" customWidth="1"/>
    <col min="1788" max="1788" width="9.33203125" style="81"/>
    <col min="1789" max="1789" width="21.6640625" style="81" customWidth="1"/>
    <col min="1790" max="1790" width="13.5" style="81" customWidth="1"/>
    <col min="1791" max="1791" width="10.5" style="81" customWidth="1"/>
    <col min="1792" max="1792" width="15.1640625" style="81" customWidth="1"/>
    <col min="1793" max="1793" width="3.6640625" style="81" customWidth="1"/>
    <col min="1794" max="1794" width="13.1640625" style="81" customWidth="1"/>
    <col min="1795" max="1795" width="3.83203125" style="81" customWidth="1"/>
    <col min="1796" max="1796" width="15" style="81" customWidth="1"/>
    <col min="1797" max="1797" width="3.6640625" style="81" customWidth="1"/>
    <col min="1798" max="1799" width="13" style="81" customWidth="1"/>
    <col min="1800" max="1800" width="0" style="81" hidden="1" customWidth="1"/>
    <col min="1801" max="1802" width="9.33203125" style="81"/>
    <col min="1803" max="1803" width="15.83203125" style="81" customWidth="1"/>
    <col min="1804" max="2042" width="9.33203125" style="81"/>
    <col min="2043" max="2043" width="5" style="81" customWidth="1"/>
    <col min="2044" max="2044" width="9.33203125" style="81"/>
    <col min="2045" max="2045" width="21.6640625" style="81" customWidth="1"/>
    <col min="2046" max="2046" width="13.5" style="81" customWidth="1"/>
    <col min="2047" max="2047" width="10.5" style="81" customWidth="1"/>
    <col min="2048" max="2048" width="15.1640625" style="81" customWidth="1"/>
    <col min="2049" max="2049" width="3.6640625" style="81" customWidth="1"/>
    <col min="2050" max="2050" width="13.1640625" style="81" customWidth="1"/>
    <col min="2051" max="2051" width="3.83203125" style="81" customWidth="1"/>
    <col min="2052" max="2052" width="15" style="81" customWidth="1"/>
    <col min="2053" max="2053" width="3.6640625" style="81" customWidth="1"/>
    <col min="2054" max="2055" width="13" style="81" customWidth="1"/>
    <col min="2056" max="2056" width="0" style="81" hidden="1" customWidth="1"/>
    <col min="2057" max="2058" width="9.33203125" style="81"/>
    <col min="2059" max="2059" width="15.83203125" style="81" customWidth="1"/>
    <col min="2060" max="2298" width="9.33203125" style="81"/>
    <col min="2299" max="2299" width="5" style="81" customWidth="1"/>
    <col min="2300" max="2300" width="9.33203125" style="81"/>
    <col min="2301" max="2301" width="21.6640625" style="81" customWidth="1"/>
    <col min="2302" max="2302" width="13.5" style="81" customWidth="1"/>
    <col min="2303" max="2303" width="10.5" style="81" customWidth="1"/>
    <col min="2304" max="2304" width="15.1640625" style="81" customWidth="1"/>
    <col min="2305" max="2305" width="3.6640625" style="81" customWidth="1"/>
    <col min="2306" max="2306" width="13.1640625" style="81" customWidth="1"/>
    <col min="2307" max="2307" width="3.83203125" style="81" customWidth="1"/>
    <col min="2308" max="2308" width="15" style="81" customWidth="1"/>
    <col min="2309" max="2309" width="3.6640625" style="81" customWidth="1"/>
    <col min="2310" max="2311" width="13" style="81" customWidth="1"/>
    <col min="2312" max="2312" width="0" style="81" hidden="1" customWidth="1"/>
    <col min="2313" max="2314" width="9.33203125" style="81"/>
    <col min="2315" max="2315" width="15.83203125" style="81" customWidth="1"/>
    <col min="2316" max="2554" width="9.33203125" style="81"/>
    <col min="2555" max="2555" width="5" style="81" customWidth="1"/>
    <col min="2556" max="2556" width="9.33203125" style="81"/>
    <col min="2557" max="2557" width="21.6640625" style="81" customWidth="1"/>
    <col min="2558" max="2558" width="13.5" style="81" customWidth="1"/>
    <col min="2559" max="2559" width="10.5" style="81" customWidth="1"/>
    <col min="2560" max="2560" width="15.1640625" style="81" customWidth="1"/>
    <col min="2561" max="2561" width="3.6640625" style="81" customWidth="1"/>
    <col min="2562" max="2562" width="13.1640625" style="81" customWidth="1"/>
    <col min="2563" max="2563" width="3.83203125" style="81" customWidth="1"/>
    <col min="2564" max="2564" width="15" style="81" customWidth="1"/>
    <col min="2565" max="2565" width="3.6640625" style="81" customWidth="1"/>
    <col min="2566" max="2567" width="13" style="81" customWidth="1"/>
    <col min="2568" max="2568" width="0" style="81" hidden="1" customWidth="1"/>
    <col min="2569" max="2570" width="9.33203125" style="81"/>
    <col min="2571" max="2571" width="15.83203125" style="81" customWidth="1"/>
    <col min="2572" max="2810" width="9.33203125" style="81"/>
    <col min="2811" max="2811" width="5" style="81" customWidth="1"/>
    <col min="2812" max="2812" width="9.33203125" style="81"/>
    <col min="2813" max="2813" width="21.6640625" style="81" customWidth="1"/>
    <col min="2814" max="2814" width="13.5" style="81" customWidth="1"/>
    <col min="2815" max="2815" width="10.5" style="81" customWidth="1"/>
    <col min="2816" max="2816" width="15.1640625" style="81" customWidth="1"/>
    <col min="2817" max="2817" width="3.6640625" style="81" customWidth="1"/>
    <col min="2818" max="2818" width="13.1640625" style="81" customWidth="1"/>
    <col min="2819" max="2819" width="3.83203125" style="81" customWidth="1"/>
    <col min="2820" max="2820" width="15" style="81" customWidth="1"/>
    <col min="2821" max="2821" width="3.6640625" style="81" customWidth="1"/>
    <col min="2822" max="2823" width="13" style="81" customWidth="1"/>
    <col min="2824" max="2824" width="0" style="81" hidden="1" customWidth="1"/>
    <col min="2825" max="2826" width="9.33203125" style="81"/>
    <col min="2827" max="2827" width="15.83203125" style="81" customWidth="1"/>
    <col min="2828" max="3066" width="9.33203125" style="81"/>
    <col min="3067" max="3067" width="5" style="81" customWidth="1"/>
    <col min="3068" max="3068" width="9.33203125" style="81"/>
    <col min="3069" max="3069" width="21.6640625" style="81" customWidth="1"/>
    <col min="3070" max="3070" width="13.5" style="81" customWidth="1"/>
    <col min="3071" max="3071" width="10.5" style="81" customWidth="1"/>
    <col min="3072" max="3072" width="15.1640625" style="81" customWidth="1"/>
    <col min="3073" max="3073" width="3.6640625" style="81" customWidth="1"/>
    <col min="3074" max="3074" width="13.1640625" style="81" customWidth="1"/>
    <col min="3075" max="3075" width="3.83203125" style="81" customWidth="1"/>
    <col min="3076" max="3076" width="15" style="81" customWidth="1"/>
    <col min="3077" max="3077" width="3.6640625" style="81" customWidth="1"/>
    <col min="3078" max="3079" width="13" style="81" customWidth="1"/>
    <col min="3080" max="3080" width="0" style="81" hidden="1" customWidth="1"/>
    <col min="3081" max="3082" width="9.33203125" style="81"/>
    <col min="3083" max="3083" width="15.83203125" style="81" customWidth="1"/>
    <col min="3084" max="3322" width="9.33203125" style="81"/>
    <col min="3323" max="3323" width="5" style="81" customWidth="1"/>
    <col min="3324" max="3324" width="9.33203125" style="81"/>
    <col min="3325" max="3325" width="21.6640625" style="81" customWidth="1"/>
    <col min="3326" max="3326" width="13.5" style="81" customWidth="1"/>
    <col min="3327" max="3327" width="10.5" style="81" customWidth="1"/>
    <col min="3328" max="3328" width="15.1640625" style="81" customWidth="1"/>
    <col min="3329" max="3329" width="3.6640625" style="81" customWidth="1"/>
    <col min="3330" max="3330" width="13.1640625" style="81" customWidth="1"/>
    <col min="3331" max="3331" width="3.83203125" style="81" customWidth="1"/>
    <col min="3332" max="3332" width="15" style="81" customWidth="1"/>
    <col min="3333" max="3333" width="3.6640625" style="81" customWidth="1"/>
    <col min="3334" max="3335" width="13" style="81" customWidth="1"/>
    <col min="3336" max="3336" width="0" style="81" hidden="1" customWidth="1"/>
    <col min="3337" max="3338" width="9.33203125" style="81"/>
    <col min="3339" max="3339" width="15.83203125" style="81" customWidth="1"/>
    <col min="3340" max="3578" width="9.33203125" style="81"/>
    <col min="3579" max="3579" width="5" style="81" customWidth="1"/>
    <col min="3580" max="3580" width="9.33203125" style="81"/>
    <col min="3581" max="3581" width="21.6640625" style="81" customWidth="1"/>
    <col min="3582" max="3582" width="13.5" style="81" customWidth="1"/>
    <col min="3583" max="3583" width="10.5" style="81" customWidth="1"/>
    <col min="3584" max="3584" width="15.1640625" style="81" customWidth="1"/>
    <col min="3585" max="3585" width="3.6640625" style="81" customWidth="1"/>
    <col min="3586" max="3586" width="13.1640625" style="81" customWidth="1"/>
    <col min="3587" max="3587" width="3.83203125" style="81" customWidth="1"/>
    <col min="3588" max="3588" width="15" style="81" customWidth="1"/>
    <col min="3589" max="3589" width="3.6640625" style="81" customWidth="1"/>
    <col min="3590" max="3591" width="13" style="81" customWidth="1"/>
    <col min="3592" max="3592" width="0" style="81" hidden="1" customWidth="1"/>
    <col min="3593" max="3594" width="9.33203125" style="81"/>
    <col min="3595" max="3595" width="15.83203125" style="81" customWidth="1"/>
    <col min="3596" max="3834" width="9.33203125" style="81"/>
    <col min="3835" max="3835" width="5" style="81" customWidth="1"/>
    <col min="3836" max="3836" width="9.33203125" style="81"/>
    <col min="3837" max="3837" width="21.6640625" style="81" customWidth="1"/>
    <col min="3838" max="3838" width="13.5" style="81" customWidth="1"/>
    <col min="3839" max="3839" width="10.5" style="81" customWidth="1"/>
    <col min="3840" max="3840" width="15.1640625" style="81" customWidth="1"/>
    <col min="3841" max="3841" width="3.6640625" style="81" customWidth="1"/>
    <col min="3842" max="3842" width="13.1640625" style="81" customWidth="1"/>
    <col min="3843" max="3843" width="3.83203125" style="81" customWidth="1"/>
    <col min="3844" max="3844" width="15" style="81" customWidth="1"/>
    <col min="3845" max="3845" width="3.6640625" style="81" customWidth="1"/>
    <col min="3846" max="3847" width="13" style="81" customWidth="1"/>
    <col min="3848" max="3848" width="0" style="81" hidden="1" customWidth="1"/>
    <col min="3849" max="3850" width="9.33203125" style="81"/>
    <col min="3851" max="3851" width="15.83203125" style="81" customWidth="1"/>
    <col min="3852" max="4090" width="9.33203125" style="81"/>
    <col min="4091" max="4091" width="5" style="81" customWidth="1"/>
    <col min="4092" max="4092" width="9.33203125" style="81"/>
    <col min="4093" max="4093" width="21.6640625" style="81" customWidth="1"/>
    <col min="4094" max="4094" width="13.5" style="81" customWidth="1"/>
    <col min="4095" max="4095" width="10.5" style="81" customWidth="1"/>
    <col min="4096" max="4096" width="15.1640625" style="81" customWidth="1"/>
    <col min="4097" max="4097" width="3.6640625" style="81" customWidth="1"/>
    <col min="4098" max="4098" width="13.1640625" style="81" customWidth="1"/>
    <col min="4099" max="4099" width="3.83203125" style="81" customWidth="1"/>
    <col min="4100" max="4100" width="15" style="81" customWidth="1"/>
    <col min="4101" max="4101" width="3.6640625" style="81" customWidth="1"/>
    <col min="4102" max="4103" width="13" style="81" customWidth="1"/>
    <col min="4104" max="4104" width="0" style="81" hidden="1" customWidth="1"/>
    <col min="4105" max="4106" width="9.33203125" style="81"/>
    <col min="4107" max="4107" width="15.83203125" style="81" customWidth="1"/>
    <col min="4108" max="4346" width="9.33203125" style="81"/>
    <col min="4347" max="4347" width="5" style="81" customWidth="1"/>
    <col min="4348" max="4348" width="9.33203125" style="81"/>
    <col min="4349" max="4349" width="21.6640625" style="81" customWidth="1"/>
    <col min="4350" max="4350" width="13.5" style="81" customWidth="1"/>
    <col min="4351" max="4351" width="10.5" style="81" customWidth="1"/>
    <col min="4352" max="4352" width="15.1640625" style="81" customWidth="1"/>
    <col min="4353" max="4353" width="3.6640625" style="81" customWidth="1"/>
    <col min="4354" max="4354" width="13.1640625" style="81" customWidth="1"/>
    <col min="4355" max="4355" width="3.83203125" style="81" customWidth="1"/>
    <col min="4356" max="4356" width="15" style="81" customWidth="1"/>
    <col min="4357" max="4357" width="3.6640625" style="81" customWidth="1"/>
    <col min="4358" max="4359" width="13" style="81" customWidth="1"/>
    <col min="4360" max="4360" width="0" style="81" hidden="1" customWidth="1"/>
    <col min="4361" max="4362" width="9.33203125" style="81"/>
    <col min="4363" max="4363" width="15.83203125" style="81" customWidth="1"/>
    <col min="4364" max="4602" width="9.33203125" style="81"/>
    <col min="4603" max="4603" width="5" style="81" customWidth="1"/>
    <col min="4604" max="4604" width="9.33203125" style="81"/>
    <col min="4605" max="4605" width="21.6640625" style="81" customWidth="1"/>
    <col min="4606" max="4606" width="13.5" style="81" customWidth="1"/>
    <col min="4607" max="4607" width="10.5" style="81" customWidth="1"/>
    <col min="4608" max="4608" width="15.1640625" style="81" customWidth="1"/>
    <col min="4609" max="4609" width="3.6640625" style="81" customWidth="1"/>
    <col min="4610" max="4610" width="13.1640625" style="81" customWidth="1"/>
    <col min="4611" max="4611" width="3.83203125" style="81" customWidth="1"/>
    <col min="4612" max="4612" width="15" style="81" customWidth="1"/>
    <col min="4613" max="4613" width="3.6640625" style="81" customWidth="1"/>
    <col min="4614" max="4615" width="13" style="81" customWidth="1"/>
    <col min="4616" max="4616" width="0" style="81" hidden="1" customWidth="1"/>
    <col min="4617" max="4618" width="9.33203125" style="81"/>
    <col min="4619" max="4619" width="15.83203125" style="81" customWidth="1"/>
    <col min="4620" max="4858" width="9.33203125" style="81"/>
    <col min="4859" max="4859" width="5" style="81" customWidth="1"/>
    <col min="4860" max="4860" width="9.33203125" style="81"/>
    <col min="4861" max="4861" width="21.6640625" style="81" customWidth="1"/>
    <col min="4862" max="4862" width="13.5" style="81" customWidth="1"/>
    <col min="4863" max="4863" width="10.5" style="81" customWidth="1"/>
    <col min="4864" max="4864" width="15.1640625" style="81" customWidth="1"/>
    <col min="4865" max="4865" width="3.6640625" style="81" customWidth="1"/>
    <col min="4866" max="4866" width="13.1640625" style="81" customWidth="1"/>
    <col min="4867" max="4867" width="3.83203125" style="81" customWidth="1"/>
    <col min="4868" max="4868" width="15" style="81" customWidth="1"/>
    <col min="4869" max="4869" width="3.6640625" style="81" customWidth="1"/>
    <col min="4870" max="4871" width="13" style="81" customWidth="1"/>
    <col min="4872" max="4872" width="0" style="81" hidden="1" customWidth="1"/>
    <col min="4873" max="4874" width="9.33203125" style="81"/>
    <col min="4875" max="4875" width="15.83203125" style="81" customWidth="1"/>
    <col min="4876" max="5114" width="9.33203125" style="81"/>
    <col min="5115" max="5115" width="5" style="81" customWidth="1"/>
    <col min="5116" max="5116" width="9.33203125" style="81"/>
    <col min="5117" max="5117" width="21.6640625" style="81" customWidth="1"/>
    <col min="5118" max="5118" width="13.5" style="81" customWidth="1"/>
    <col min="5119" max="5119" width="10.5" style="81" customWidth="1"/>
    <col min="5120" max="5120" width="15.1640625" style="81" customWidth="1"/>
    <col min="5121" max="5121" width="3.6640625" style="81" customWidth="1"/>
    <col min="5122" max="5122" width="13.1640625" style="81" customWidth="1"/>
    <col min="5123" max="5123" width="3.83203125" style="81" customWidth="1"/>
    <col min="5124" max="5124" width="15" style="81" customWidth="1"/>
    <col min="5125" max="5125" width="3.6640625" style="81" customWidth="1"/>
    <col min="5126" max="5127" width="13" style="81" customWidth="1"/>
    <col min="5128" max="5128" width="0" style="81" hidden="1" customWidth="1"/>
    <col min="5129" max="5130" width="9.33203125" style="81"/>
    <col min="5131" max="5131" width="15.83203125" style="81" customWidth="1"/>
    <col min="5132" max="5370" width="9.33203125" style="81"/>
    <col min="5371" max="5371" width="5" style="81" customWidth="1"/>
    <col min="5372" max="5372" width="9.33203125" style="81"/>
    <col min="5373" max="5373" width="21.6640625" style="81" customWidth="1"/>
    <col min="5374" max="5374" width="13.5" style="81" customWidth="1"/>
    <col min="5375" max="5375" width="10.5" style="81" customWidth="1"/>
    <col min="5376" max="5376" width="15.1640625" style="81" customWidth="1"/>
    <col min="5377" max="5377" width="3.6640625" style="81" customWidth="1"/>
    <col min="5378" max="5378" width="13.1640625" style="81" customWidth="1"/>
    <col min="5379" max="5379" width="3.83203125" style="81" customWidth="1"/>
    <col min="5380" max="5380" width="15" style="81" customWidth="1"/>
    <col min="5381" max="5381" width="3.6640625" style="81" customWidth="1"/>
    <col min="5382" max="5383" width="13" style="81" customWidth="1"/>
    <col min="5384" max="5384" width="0" style="81" hidden="1" customWidth="1"/>
    <col min="5385" max="5386" width="9.33203125" style="81"/>
    <col min="5387" max="5387" width="15.83203125" style="81" customWidth="1"/>
    <col min="5388" max="5626" width="9.33203125" style="81"/>
    <col min="5627" max="5627" width="5" style="81" customWidth="1"/>
    <col min="5628" max="5628" width="9.33203125" style="81"/>
    <col min="5629" max="5629" width="21.6640625" style="81" customWidth="1"/>
    <col min="5630" max="5630" width="13.5" style="81" customWidth="1"/>
    <col min="5631" max="5631" width="10.5" style="81" customWidth="1"/>
    <col min="5632" max="5632" width="15.1640625" style="81" customWidth="1"/>
    <col min="5633" max="5633" width="3.6640625" style="81" customWidth="1"/>
    <col min="5634" max="5634" width="13.1640625" style="81" customWidth="1"/>
    <col min="5635" max="5635" width="3.83203125" style="81" customWidth="1"/>
    <col min="5636" max="5636" width="15" style="81" customWidth="1"/>
    <col min="5637" max="5637" width="3.6640625" style="81" customWidth="1"/>
    <col min="5638" max="5639" width="13" style="81" customWidth="1"/>
    <col min="5640" max="5640" width="0" style="81" hidden="1" customWidth="1"/>
    <col min="5641" max="5642" width="9.33203125" style="81"/>
    <col min="5643" max="5643" width="15.83203125" style="81" customWidth="1"/>
    <col min="5644" max="5882" width="9.33203125" style="81"/>
    <col min="5883" max="5883" width="5" style="81" customWidth="1"/>
    <col min="5884" max="5884" width="9.33203125" style="81"/>
    <col min="5885" max="5885" width="21.6640625" style="81" customWidth="1"/>
    <col min="5886" max="5886" width="13.5" style="81" customWidth="1"/>
    <col min="5887" max="5887" width="10.5" style="81" customWidth="1"/>
    <col min="5888" max="5888" width="15.1640625" style="81" customWidth="1"/>
    <col min="5889" max="5889" width="3.6640625" style="81" customWidth="1"/>
    <col min="5890" max="5890" width="13.1640625" style="81" customWidth="1"/>
    <col min="5891" max="5891" width="3.83203125" style="81" customWidth="1"/>
    <col min="5892" max="5892" width="15" style="81" customWidth="1"/>
    <col min="5893" max="5893" width="3.6640625" style="81" customWidth="1"/>
    <col min="5894" max="5895" width="13" style="81" customWidth="1"/>
    <col min="5896" max="5896" width="0" style="81" hidden="1" customWidth="1"/>
    <col min="5897" max="5898" width="9.33203125" style="81"/>
    <col min="5899" max="5899" width="15.83203125" style="81" customWidth="1"/>
    <col min="5900" max="6138" width="9.33203125" style="81"/>
    <col min="6139" max="6139" width="5" style="81" customWidth="1"/>
    <col min="6140" max="6140" width="9.33203125" style="81"/>
    <col min="6141" max="6141" width="21.6640625" style="81" customWidth="1"/>
    <col min="6142" max="6142" width="13.5" style="81" customWidth="1"/>
    <col min="6143" max="6143" width="10.5" style="81" customWidth="1"/>
    <col min="6144" max="6144" width="15.1640625" style="81" customWidth="1"/>
    <col min="6145" max="6145" width="3.6640625" style="81" customWidth="1"/>
    <col min="6146" max="6146" width="13.1640625" style="81" customWidth="1"/>
    <col min="6147" max="6147" width="3.83203125" style="81" customWidth="1"/>
    <col min="6148" max="6148" width="15" style="81" customWidth="1"/>
    <col min="6149" max="6149" width="3.6640625" style="81" customWidth="1"/>
    <col min="6150" max="6151" width="13" style="81" customWidth="1"/>
    <col min="6152" max="6152" width="0" style="81" hidden="1" customWidth="1"/>
    <col min="6153" max="6154" width="9.33203125" style="81"/>
    <col min="6155" max="6155" width="15.83203125" style="81" customWidth="1"/>
    <col min="6156" max="6394" width="9.33203125" style="81"/>
    <col min="6395" max="6395" width="5" style="81" customWidth="1"/>
    <col min="6396" max="6396" width="9.33203125" style="81"/>
    <col min="6397" max="6397" width="21.6640625" style="81" customWidth="1"/>
    <col min="6398" max="6398" width="13.5" style="81" customWidth="1"/>
    <col min="6399" max="6399" width="10.5" style="81" customWidth="1"/>
    <col min="6400" max="6400" width="15.1640625" style="81" customWidth="1"/>
    <col min="6401" max="6401" width="3.6640625" style="81" customWidth="1"/>
    <col min="6402" max="6402" width="13.1640625" style="81" customWidth="1"/>
    <col min="6403" max="6403" width="3.83203125" style="81" customWidth="1"/>
    <col min="6404" max="6404" width="15" style="81" customWidth="1"/>
    <col min="6405" max="6405" width="3.6640625" style="81" customWidth="1"/>
    <col min="6406" max="6407" width="13" style="81" customWidth="1"/>
    <col min="6408" max="6408" width="0" style="81" hidden="1" customWidth="1"/>
    <col min="6409" max="6410" width="9.33203125" style="81"/>
    <col min="6411" max="6411" width="15.83203125" style="81" customWidth="1"/>
    <col min="6412" max="6650" width="9.33203125" style="81"/>
    <col min="6651" max="6651" width="5" style="81" customWidth="1"/>
    <col min="6652" max="6652" width="9.33203125" style="81"/>
    <col min="6653" max="6653" width="21.6640625" style="81" customWidth="1"/>
    <col min="6654" max="6654" width="13.5" style="81" customWidth="1"/>
    <col min="6655" max="6655" width="10.5" style="81" customWidth="1"/>
    <col min="6656" max="6656" width="15.1640625" style="81" customWidth="1"/>
    <col min="6657" max="6657" width="3.6640625" style="81" customWidth="1"/>
    <col min="6658" max="6658" width="13.1640625" style="81" customWidth="1"/>
    <col min="6659" max="6659" width="3.83203125" style="81" customWidth="1"/>
    <col min="6660" max="6660" width="15" style="81" customWidth="1"/>
    <col min="6661" max="6661" width="3.6640625" style="81" customWidth="1"/>
    <col min="6662" max="6663" width="13" style="81" customWidth="1"/>
    <col min="6664" max="6664" width="0" style="81" hidden="1" customWidth="1"/>
    <col min="6665" max="6666" width="9.33203125" style="81"/>
    <col min="6667" max="6667" width="15.83203125" style="81" customWidth="1"/>
    <col min="6668" max="6906" width="9.33203125" style="81"/>
    <col min="6907" max="6907" width="5" style="81" customWidth="1"/>
    <col min="6908" max="6908" width="9.33203125" style="81"/>
    <col min="6909" max="6909" width="21.6640625" style="81" customWidth="1"/>
    <col min="6910" max="6910" width="13.5" style="81" customWidth="1"/>
    <col min="6911" max="6911" width="10.5" style="81" customWidth="1"/>
    <col min="6912" max="6912" width="15.1640625" style="81" customWidth="1"/>
    <col min="6913" max="6913" width="3.6640625" style="81" customWidth="1"/>
    <col min="6914" max="6914" width="13.1640625" style="81" customWidth="1"/>
    <col min="6915" max="6915" width="3.83203125" style="81" customWidth="1"/>
    <col min="6916" max="6916" width="15" style="81" customWidth="1"/>
    <col min="6917" max="6917" width="3.6640625" style="81" customWidth="1"/>
    <col min="6918" max="6919" width="13" style="81" customWidth="1"/>
    <col min="6920" max="6920" width="0" style="81" hidden="1" customWidth="1"/>
    <col min="6921" max="6922" width="9.33203125" style="81"/>
    <col min="6923" max="6923" width="15.83203125" style="81" customWidth="1"/>
    <col min="6924" max="7162" width="9.33203125" style="81"/>
    <col min="7163" max="7163" width="5" style="81" customWidth="1"/>
    <col min="7164" max="7164" width="9.33203125" style="81"/>
    <col min="7165" max="7165" width="21.6640625" style="81" customWidth="1"/>
    <col min="7166" max="7166" width="13.5" style="81" customWidth="1"/>
    <col min="7167" max="7167" width="10.5" style="81" customWidth="1"/>
    <col min="7168" max="7168" width="15.1640625" style="81" customWidth="1"/>
    <col min="7169" max="7169" width="3.6640625" style="81" customWidth="1"/>
    <col min="7170" max="7170" width="13.1640625" style="81" customWidth="1"/>
    <col min="7171" max="7171" width="3.83203125" style="81" customWidth="1"/>
    <col min="7172" max="7172" width="15" style="81" customWidth="1"/>
    <col min="7173" max="7173" width="3.6640625" style="81" customWidth="1"/>
    <col min="7174" max="7175" width="13" style="81" customWidth="1"/>
    <col min="7176" max="7176" width="0" style="81" hidden="1" customWidth="1"/>
    <col min="7177" max="7178" width="9.33203125" style="81"/>
    <col min="7179" max="7179" width="15.83203125" style="81" customWidth="1"/>
    <col min="7180" max="7418" width="9.33203125" style="81"/>
    <col min="7419" max="7419" width="5" style="81" customWidth="1"/>
    <col min="7420" max="7420" width="9.33203125" style="81"/>
    <col min="7421" max="7421" width="21.6640625" style="81" customWidth="1"/>
    <col min="7422" max="7422" width="13.5" style="81" customWidth="1"/>
    <col min="7423" max="7423" width="10.5" style="81" customWidth="1"/>
    <col min="7424" max="7424" width="15.1640625" style="81" customWidth="1"/>
    <col min="7425" max="7425" width="3.6640625" style="81" customWidth="1"/>
    <col min="7426" max="7426" width="13.1640625" style="81" customWidth="1"/>
    <col min="7427" max="7427" width="3.83203125" style="81" customWidth="1"/>
    <col min="7428" max="7428" width="15" style="81" customWidth="1"/>
    <col min="7429" max="7429" width="3.6640625" style="81" customWidth="1"/>
    <col min="7430" max="7431" width="13" style="81" customWidth="1"/>
    <col min="7432" max="7432" width="0" style="81" hidden="1" customWidth="1"/>
    <col min="7433" max="7434" width="9.33203125" style="81"/>
    <col min="7435" max="7435" width="15.83203125" style="81" customWidth="1"/>
    <col min="7436" max="7674" width="9.33203125" style="81"/>
    <col min="7675" max="7675" width="5" style="81" customWidth="1"/>
    <col min="7676" max="7676" width="9.33203125" style="81"/>
    <col min="7677" max="7677" width="21.6640625" style="81" customWidth="1"/>
    <col min="7678" max="7678" width="13.5" style="81" customWidth="1"/>
    <col min="7679" max="7679" width="10.5" style="81" customWidth="1"/>
    <col min="7680" max="7680" width="15.1640625" style="81" customWidth="1"/>
    <col min="7681" max="7681" width="3.6640625" style="81" customWidth="1"/>
    <col min="7682" max="7682" width="13.1640625" style="81" customWidth="1"/>
    <col min="7683" max="7683" width="3.83203125" style="81" customWidth="1"/>
    <col min="7684" max="7684" width="15" style="81" customWidth="1"/>
    <col min="7685" max="7685" width="3.6640625" style="81" customWidth="1"/>
    <col min="7686" max="7687" width="13" style="81" customWidth="1"/>
    <col min="7688" max="7688" width="0" style="81" hidden="1" customWidth="1"/>
    <col min="7689" max="7690" width="9.33203125" style="81"/>
    <col min="7691" max="7691" width="15.83203125" style="81" customWidth="1"/>
    <col min="7692" max="7930" width="9.33203125" style="81"/>
    <col min="7931" max="7931" width="5" style="81" customWidth="1"/>
    <col min="7932" max="7932" width="9.33203125" style="81"/>
    <col min="7933" max="7933" width="21.6640625" style="81" customWidth="1"/>
    <col min="7934" max="7934" width="13.5" style="81" customWidth="1"/>
    <col min="7935" max="7935" width="10.5" style="81" customWidth="1"/>
    <col min="7936" max="7936" width="15.1640625" style="81" customWidth="1"/>
    <col min="7937" max="7937" width="3.6640625" style="81" customWidth="1"/>
    <col min="7938" max="7938" width="13.1640625" style="81" customWidth="1"/>
    <col min="7939" max="7939" width="3.83203125" style="81" customWidth="1"/>
    <col min="7940" max="7940" width="15" style="81" customWidth="1"/>
    <col min="7941" max="7941" width="3.6640625" style="81" customWidth="1"/>
    <col min="7942" max="7943" width="13" style="81" customWidth="1"/>
    <col min="7944" max="7944" width="0" style="81" hidden="1" customWidth="1"/>
    <col min="7945" max="7946" width="9.33203125" style="81"/>
    <col min="7947" max="7947" width="15.83203125" style="81" customWidth="1"/>
    <col min="7948" max="8186" width="9.33203125" style="81"/>
    <col min="8187" max="8187" width="5" style="81" customWidth="1"/>
    <col min="8188" max="8188" width="9.33203125" style="81"/>
    <col min="8189" max="8189" width="21.6640625" style="81" customWidth="1"/>
    <col min="8190" max="8190" width="13.5" style="81" customWidth="1"/>
    <col min="8191" max="8191" width="10.5" style="81" customWidth="1"/>
    <col min="8192" max="8192" width="15.1640625" style="81" customWidth="1"/>
    <col min="8193" max="8193" width="3.6640625" style="81" customWidth="1"/>
    <col min="8194" max="8194" width="13.1640625" style="81" customWidth="1"/>
    <col min="8195" max="8195" width="3.83203125" style="81" customWidth="1"/>
    <col min="8196" max="8196" width="15" style="81" customWidth="1"/>
    <col min="8197" max="8197" width="3.6640625" style="81" customWidth="1"/>
    <col min="8198" max="8199" width="13" style="81" customWidth="1"/>
    <col min="8200" max="8200" width="0" style="81" hidden="1" customWidth="1"/>
    <col min="8201" max="8202" width="9.33203125" style="81"/>
    <col min="8203" max="8203" width="15.83203125" style="81" customWidth="1"/>
    <col min="8204" max="8442" width="9.33203125" style="81"/>
    <col min="8443" max="8443" width="5" style="81" customWidth="1"/>
    <col min="8444" max="8444" width="9.33203125" style="81"/>
    <col min="8445" max="8445" width="21.6640625" style="81" customWidth="1"/>
    <col min="8446" max="8446" width="13.5" style="81" customWidth="1"/>
    <col min="8447" max="8447" width="10.5" style="81" customWidth="1"/>
    <col min="8448" max="8448" width="15.1640625" style="81" customWidth="1"/>
    <col min="8449" max="8449" width="3.6640625" style="81" customWidth="1"/>
    <col min="8450" max="8450" width="13.1640625" style="81" customWidth="1"/>
    <col min="8451" max="8451" width="3.83203125" style="81" customWidth="1"/>
    <col min="8452" max="8452" width="15" style="81" customWidth="1"/>
    <col min="8453" max="8453" width="3.6640625" style="81" customWidth="1"/>
    <col min="8454" max="8455" width="13" style="81" customWidth="1"/>
    <col min="8456" max="8456" width="0" style="81" hidden="1" customWidth="1"/>
    <col min="8457" max="8458" width="9.33203125" style="81"/>
    <col min="8459" max="8459" width="15.83203125" style="81" customWidth="1"/>
    <col min="8460" max="8698" width="9.33203125" style="81"/>
    <col min="8699" max="8699" width="5" style="81" customWidth="1"/>
    <col min="8700" max="8700" width="9.33203125" style="81"/>
    <col min="8701" max="8701" width="21.6640625" style="81" customWidth="1"/>
    <col min="8702" max="8702" width="13.5" style="81" customWidth="1"/>
    <col min="8703" max="8703" width="10.5" style="81" customWidth="1"/>
    <col min="8704" max="8704" width="15.1640625" style="81" customWidth="1"/>
    <col min="8705" max="8705" width="3.6640625" style="81" customWidth="1"/>
    <col min="8706" max="8706" width="13.1640625" style="81" customWidth="1"/>
    <col min="8707" max="8707" width="3.83203125" style="81" customWidth="1"/>
    <col min="8708" max="8708" width="15" style="81" customWidth="1"/>
    <col min="8709" max="8709" width="3.6640625" style="81" customWidth="1"/>
    <col min="8710" max="8711" width="13" style="81" customWidth="1"/>
    <col min="8712" max="8712" width="0" style="81" hidden="1" customWidth="1"/>
    <col min="8713" max="8714" width="9.33203125" style="81"/>
    <col min="8715" max="8715" width="15.83203125" style="81" customWidth="1"/>
    <col min="8716" max="8954" width="9.33203125" style="81"/>
    <col min="8955" max="8955" width="5" style="81" customWidth="1"/>
    <col min="8956" max="8956" width="9.33203125" style="81"/>
    <col min="8957" max="8957" width="21.6640625" style="81" customWidth="1"/>
    <col min="8958" max="8958" width="13.5" style="81" customWidth="1"/>
    <col min="8959" max="8959" width="10.5" style="81" customWidth="1"/>
    <col min="8960" max="8960" width="15.1640625" style="81" customWidth="1"/>
    <col min="8961" max="8961" width="3.6640625" style="81" customWidth="1"/>
    <col min="8962" max="8962" width="13.1640625" style="81" customWidth="1"/>
    <col min="8963" max="8963" width="3.83203125" style="81" customWidth="1"/>
    <col min="8964" max="8964" width="15" style="81" customWidth="1"/>
    <col min="8965" max="8965" width="3.6640625" style="81" customWidth="1"/>
    <col min="8966" max="8967" width="13" style="81" customWidth="1"/>
    <col min="8968" max="8968" width="0" style="81" hidden="1" customWidth="1"/>
    <col min="8969" max="8970" width="9.33203125" style="81"/>
    <col min="8971" max="8971" width="15.83203125" style="81" customWidth="1"/>
    <col min="8972" max="9210" width="9.33203125" style="81"/>
    <col min="9211" max="9211" width="5" style="81" customWidth="1"/>
    <col min="9212" max="9212" width="9.33203125" style="81"/>
    <col min="9213" max="9213" width="21.6640625" style="81" customWidth="1"/>
    <col min="9214" max="9214" width="13.5" style="81" customWidth="1"/>
    <col min="9215" max="9215" width="10.5" style="81" customWidth="1"/>
    <col min="9216" max="9216" width="15.1640625" style="81" customWidth="1"/>
    <col min="9217" max="9217" width="3.6640625" style="81" customWidth="1"/>
    <col min="9218" max="9218" width="13.1640625" style="81" customWidth="1"/>
    <col min="9219" max="9219" width="3.83203125" style="81" customWidth="1"/>
    <col min="9220" max="9220" width="15" style="81" customWidth="1"/>
    <col min="9221" max="9221" width="3.6640625" style="81" customWidth="1"/>
    <col min="9222" max="9223" width="13" style="81" customWidth="1"/>
    <col min="9224" max="9224" width="0" style="81" hidden="1" customWidth="1"/>
    <col min="9225" max="9226" width="9.33203125" style="81"/>
    <col min="9227" max="9227" width="15.83203125" style="81" customWidth="1"/>
    <col min="9228" max="9466" width="9.33203125" style="81"/>
    <col min="9467" max="9467" width="5" style="81" customWidth="1"/>
    <col min="9468" max="9468" width="9.33203125" style="81"/>
    <col min="9469" max="9469" width="21.6640625" style="81" customWidth="1"/>
    <col min="9470" max="9470" width="13.5" style="81" customWidth="1"/>
    <col min="9471" max="9471" width="10.5" style="81" customWidth="1"/>
    <col min="9472" max="9472" width="15.1640625" style="81" customWidth="1"/>
    <col min="9473" max="9473" width="3.6640625" style="81" customWidth="1"/>
    <col min="9474" max="9474" width="13.1640625" style="81" customWidth="1"/>
    <col min="9475" max="9475" width="3.83203125" style="81" customWidth="1"/>
    <col min="9476" max="9476" width="15" style="81" customWidth="1"/>
    <col min="9477" max="9477" width="3.6640625" style="81" customWidth="1"/>
    <col min="9478" max="9479" width="13" style="81" customWidth="1"/>
    <col min="9480" max="9480" width="0" style="81" hidden="1" customWidth="1"/>
    <col min="9481" max="9482" width="9.33203125" style="81"/>
    <col min="9483" max="9483" width="15.83203125" style="81" customWidth="1"/>
    <col min="9484" max="9722" width="9.33203125" style="81"/>
    <col min="9723" max="9723" width="5" style="81" customWidth="1"/>
    <col min="9724" max="9724" width="9.33203125" style="81"/>
    <col min="9725" max="9725" width="21.6640625" style="81" customWidth="1"/>
    <col min="9726" max="9726" width="13.5" style="81" customWidth="1"/>
    <col min="9727" max="9727" width="10.5" style="81" customWidth="1"/>
    <col min="9728" max="9728" width="15.1640625" style="81" customWidth="1"/>
    <col min="9729" max="9729" width="3.6640625" style="81" customWidth="1"/>
    <col min="9730" max="9730" width="13.1640625" style="81" customWidth="1"/>
    <col min="9731" max="9731" width="3.83203125" style="81" customWidth="1"/>
    <col min="9732" max="9732" width="15" style="81" customWidth="1"/>
    <col min="9733" max="9733" width="3.6640625" style="81" customWidth="1"/>
    <col min="9734" max="9735" width="13" style="81" customWidth="1"/>
    <col min="9736" max="9736" width="0" style="81" hidden="1" customWidth="1"/>
    <col min="9737" max="9738" width="9.33203125" style="81"/>
    <col min="9739" max="9739" width="15.83203125" style="81" customWidth="1"/>
    <col min="9740" max="9978" width="9.33203125" style="81"/>
    <col min="9979" max="9979" width="5" style="81" customWidth="1"/>
    <col min="9980" max="9980" width="9.33203125" style="81"/>
    <col min="9981" max="9981" width="21.6640625" style="81" customWidth="1"/>
    <col min="9982" max="9982" width="13.5" style="81" customWidth="1"/>
    <col min="9983" max="9983" width="10.5" style="81" customWidth="1"/>
    <col min="9984" max="9984" width="15.1640625" style="81" customWidth="1"/>
    <col min="9985" max="9985" width="3.6640625" style="81" customWidth="1"/>
    <col min="9986" max="9986" width="13.1640625" style="81" customWidth="1"/>
    <col min="9987" max="9987" width="3.83203125" style="81" customWidth="1"/>
    <col min="9988" max="9988" width="15" style="81" customWidth="1"/>
    <col min="9989" max="9989" width="3.6640625" style="81" customWidth="1"/>
    <col min="9990" max="9991" width="13" style="81" customWidth="1"/>
    <col min="9992" max="9992" width="0" style="81" hidden="1" customWidth="1"/>
    <col min="9993" max="9994" width="9.33203125" style="81"/>
    <col min="9995" max="9995" width="15.83203125" style="81" customWidth="1"/>
    <col min="9996" max="10234" width="9.33203125" style="81"/>
    <col min="10235" max="10235" width="5" style="81" customWidth="1"/>
    <col min="10236" max="10236" width="9.33203125" style="81"/>
    <col min="10237" max="10237" width="21.6640625" style="81" customWidth="1"/>
    <col min="10238" max="10238" width="13.5" style="81" customWidth="1"/>
    <col min="10239" max="10239" width="10.5" style="81" customWidth="1"/>
    <col min="10240" max="10240" width="15.1640625" style="81" customWidth="1"/>
    <col min="10241" max="10241" width="3.6640625" style="81" customWidth="1"/>
    <col min="10242" max="10242" width="13.1640625" style="81" customWidth="1"/>
    <col min="10243" max="10243" width="3.83203125" style="81" customWidth="1"/>
    <col min="10244" max="10244" width="15" style="81" customWidth="1"/>
    <col min="10245" max="10245" width="3.6640625" style="81" customWidth="1"/>
    <col min="10246" max="10247" width="13" style="81" customWidth="1"/>
    <col min="10248" max="10248" width="0" style="81" hidden="1" customWidth="1"/>
    <col min="10249" max="10250" width="9.33203125" style="81"/>
    <col min="10251" max="10251" width="15.83203125" style="81" customWidth="1"/>
    <col min="10252" max="10490" width="9.33203125" style="81"/>
    <col min="10491" max="10491" width="5" style="81" customWidth="1"/>
    <col min="10492" max="10492" width="9.33203125" style="81"/>
    <col min="10493" max="10493" width="21.6640625" style="81" customWidth="1"/>
    <col min="10494" max="10494" width="13.5" style="81" customWidth="1"/>
    <col min="10495" max="10495" width="10.5" style="81" customWidth="1"/>
    <col min="10496" max="10496" width="15.1640625" style="81" customWidth="1"/>
    <col min="10497" max="10497" width="3.6640625" style="81" customWidth="1"/>
    <col min="10498" max="10498" width="13.1640625" style="81" customWidth="1"/>
    <col min="10499" max="10499" width="3.83203125" style="81" customWidth="1"/>
    <col min="10500" max="10500" width="15" style="81" customWidth="1"/>
    <col min="10501" max="10501" width="3.6640625" style="81" customWidth="1"/>
    <col min="10502" max="10503" width="13" style="81" customWidth="1"/>
    <col min="10504" max="10504" width="0" style="81" hidden="1" customWidth="1"/>
    <col min="10505" max="10506" width="9.33203125" style="81"/>
    <col min="10507" max="10507" width="15.83203125" style="81" customWidth="1"/>
    <col min="10508" max="10746" width="9.33203125" style="81"/>
    <col min="10747" max="10747" width="5" style="81" customWidth="1"/>
    <col min="10748" max="10748" width="9.33203125" style="81"/>
    <col min="10749" max="10749" width="21.6640625" style="81" customWidth="1"/>
    <col min="10750" max="10750" width="13.5" style="81" customWidth="1"/>
    <col min="10751" max="10751" width="10.5" style="81" customWidth="1"/>
    <col min="10752" max="10752" width="15.1640625" style="81" customWidth="1"/>
    <col min="10753" max="10753" width="3.6640625" style="81" customWidth="1"/>
    <col min="10754" max="10754" width="13.1640625" style="81" customWidth="1"/>
    <col min="10755" max="10755" width="3.83203125" style="81" customWidth="1"/>
    <col min="10756" max="10756" width="15" style="81" customWidth="1"/>
    <col min="10757" max="10757" width="3.6640625" style="81" customWidth="1"/>
    <col min="10758" max="10759" width="13" style="81" customWidth="1"/>
    <col min="10760" max="10760" width="0" style="81" hidden="1" customWidth="1"/>
    <col min="10761" max="10762" width="9.33203125" style="81"/>
    <col min="10763" max="10763" width="15.83203125" style="81" customWidth="1"/>
    <col min="10764" max="11002" width="9.33203125" style="81"/>
    <col min="11003" max="11003" width="5" style="81" customWidth="1"/>
    <col min="11004" max="11004" width="9.33203125" style="81"/>
    <col min="11005" max="11005" width="21.6640625" style="81" customWidth="1"/>
    <col min="11006" max="11006" width="13.5" style="81" customWidth="1"/>
    <col min="11007" max="11007" width="10.5" style="81" customWidth="1"/>
    <col min="11008" max="11008" width="15.1640625" style="81" customWidth="1"/>
    <col min="11009" max="11009" width="3.6640625" style="81" customWidth="1"/>
    <col min="11010" max="11010" width="13.1640625" style="81" customWidth="1"/>
    <col min="11011" max="11011" width="3.83203125" style="81" customWidth="1"/>
    <col min="11012" max="11012" width="15" style="81" customWidth="1"/>
    <col min="11013" max="11013" width="3.6640625" style="81" customWidth="1"/>
    <col min="11014" max="11015" width="13" style="81" customWidth="1"/>
    <col min="11016" max="11016" width="0" style="81" hidden="1" customWidth="1"/>
    <col min="11017" max="11018" width="9.33203125" style="81"/>
    <col min="11019" max="11019" width="15.83203125" style="81" customWidth="1"/>
    <col min="11020" max="11258" width="9.33203125" style="81"/>
    <col min="11259" max="11259" width="5" style="81" customWidth="1"/>
    <col min="11260" max="11260" width="9.33203125" style="81"/>
    <col min="11261" max="11261" width="21.6640625" style="81" customWidth="1"/>
    <col min="11262" max="11262" width="13.5" style="81" customWidth="1"/>
    <col min="11263" max="11263" width="10.5" style="81" customWidth="1"/>
    <col min="11264" max="11264" width="15.1640625" style="81" customWidth="1"/>
    <col min="11265" max="11265" width="3.6640625" style="81" customWidth="1"/>
    <col min="11266" max="11266" width="13.1640625" style="81" customWidth="1"/>
    <col min="11267" max="11267" width="3.83203125" style="81" customWidth="1"/>
    <col min="11268" max="11268" width="15" style="81" customWidth="1"/>
    <col min="11269" max="11269" width="3.6640625" style="81" customWidth="1"/>
    <col min="11270" max="11271" width="13" style="81" customWidth="1"/>
    <col min="11272" max="11272" width="0" style="81" hidden="1" customWidth="1"/>
    <col min="11273" max="11274" width="9.33203125" style="81"/>
    <col min="11275" max="11275" width="15.83203125" style="81" customWidth="1"/>
    <col min="11276" max="11514" width="9.33203125" style="81"/>
    <col min="11515" max="11515" width="5" style="81" customWidth="1"/>
    <col min="11516" max="11516" width="9.33203125" style="81"/>
    <col min="11517" max="11517" width="21.6640625" style="81" customWidth="1"/>
    <col min="11518" max="11518" width="13.5" style="81" customWidth="1"/>
    <col min="11519" max="11519" width="10.5" style="81" customWidth="1"/>
    <col min="11520" max="11520" width="15.1640625" style="81" customWidth="1"/>
    <col min="11521" max="11521" width="3.6640625" style="81" customWidth="1"/>
    <col min="11522" max="11522" width="13.1640625" style="81" customWidth="1"/>
    <col min="11523" max="11523" width="3.83203125" style="81" customWidth="1"/>
    <col min="11524" max="11524" width="15" style="81" customWidth="1"/>
    <col min="11525" max="11525" width="3.6640625" style="81" customWidth="1"/>
    <col min="11526" max="11527" width="13" style="81" customWidth="1"/>
    <col min="11528" max="11528" width="0" style="81" hidden="1" customWidth="1"/>
    <col min="11529" max="11530" width="9.33203125" style="81"/>
    <col min="11531" max="11531" width="15.83203125" style="81" customWidth="1"/>
    <col min="11532" max="11770" width="9.33203125" style="81"/>
    <col min="11771" max="11771" width="5" style="81" customWidth="1"/>
    <col min="11772" max="11772" width="9.33203125" style="81"/>
    <col min="11773" max="11773" width="21.6640625" style="81" customWidth="1"/>
    <col min="11774" max="11774" width="13.5" style="81" customWidth="1"/>
    <col min="11775" max="11775" width="10.5" style="81" customWidth="1"/>
    <col min="11776" max="11776" width="15.1640625" style="81" customWidth="1"/>
    <col min="11777" max="11777" width="3.6640625" style="81" customWidth="1"/>
    <col min="11778" max="11778" width="13.1640625" style="81" customWidth="1"/>
    <col min="11779" max="11779" width="3.83203125" style="81" customWidth="1"/>
    <col min="11780" max="11780" width="15" style="81" customWidth="1"/>
    <col min="11781" max="11781" width="3.6640625" style="81" customWidth="1"/>
    <col min="11782" max="11783" width="13" style="81" customWidth="1"/>
    <col min="11784" max="11784" width="0" style="81" hidden="1" customWidth="1"/>
    <col min="11785" max="11786" width="9.33203125" style="81"/>
    <col min="11787" max="11787" width="15.83203125" style="81" customWidth="1"/>
    <col min="11788" max="12026" width="9.33203125" style="81"/>
    <col min="12027" max="12027" width="5" style="81" customWidth="1"/>
    <col min="12028" max="12028" width="9.33203125" style="81"/>
    <col min="12029" max="12029" width="21.6640625" style="81" customWidth="1"/>
    <col min="12030" max="12030" width="13.5" style="81" customWidth="1"/>
    <col min="12031" max="12031" width="10.5" style="81" customWidth="1"/>
    <col min="12032" max="12032" width="15.1640625" style="81" customWidth="1"/>
    <col min="12033" max="12033" width="3.6640625" style="81" customWidth="1"/>
    <col min="12034" max="12034" width="13.1640625" style="81" customWidth="1"/>
    <col min="12035" max="12035" width="3.83203125" style="81" customWidth="1"/>
    <col min="12036" max="12036" width="15" style="81" customWidth="1"/>
    <col min="12037" max="12037" width="3.6640625" style="81" customWidth="1"/>
    <col min="12038" max="12039" width="13" style="81" customWidth="1"/>
    <col min="12040" max="12040" width="0" style="81" hidden="1" customWidth="1"/>
    <col min="12041" max="12042" width="9.33203125" style="81"/>
    <col min="12043" max="12043" width="15.83203125" style="81" customWidth="1"/>
    <col min="12044" max="12282" width="9.33203125" style="81"/>
    <col min="12283" max="12283" width="5" style="81" customWidth="1"/>
    <col min="12284" max="12284" width="9.33203125" style="81"/>
    <col min="12285" max="12285" width="21.6640625" style="81" customWidth="1"/>
    <col min="12286" max="12286" width="13.5" style="81" customWidth="1"/>
    <col min="12287" max="12287" width="10.5" style="81" customWidth="1"/>
    <col min="12288" max="12288" width="15.1640625" style="81" customWidth="1"/>
    <col min="12289" max="12289" width="3.6640625" style="81" customWidth="1"/>
    <col min="12290" max="12290" width="13.1640625" style="81" customWidth="1"/>
    <col min="12291" max="12291" width="3.83203125" style="81" customWidth="1"/>
    <col min="12292" max="12292" width="15" style="81" customWidth="1"/>
    <col min="12293" max="12293" width="3.6640625" style="81" customWidth="1"/>
    <col min="12294" max="12295" width="13" style="81" customWidth="1"/>
    <col min="12296" max="12296" width="0" style="81" hidden="1" customWidth="1"/>
    <col min="12297" max="12298" width="9.33203125" style="81"/>
    <col min="12299" max="12299" width="15.83203125" style="81" customWidth="1"/>
    <col min="12300" max="12538" width="9.33203125" style="81"/>
    <col min="12539" max="12539" width="5" style="81" customWidth="1"/>
    <col min="12540" max="12540" width="9.33203125" style="81"/>
    <col min="12541" max="12541" width="21.6640625" style="81" customWidth="1"/>
    <col min="12542" max="12542" width="13.5" style="81" customWidth="1"/>
    <col min="12543" max="12543" width="10.5" style="81" customWidth="1"/>
    <col min="12544" max="12544" width="15.1640625" style="81" customWidth="1"/>
    <col min="12545" max="12545" width="3.6640625" style="81" customWidth="1"/>
    <col min="12546" max="12546" width="13.1640625" style="81" customWidth="1"/>
    <col min="12547" max="12547" width="3.83203125" style="81" customWidth="1"/>
    <col min="12548" max="12548" width="15" style="81" customWidth="1"/>
    <col min="12549" max="12549" width="3.6640625" style="81" customWidth="1"/>
    <col min="12550" max="12551" width="13" style="81" customWidth="1"/>
    <col min="12552" max="12552" width="0" style="81" hidden="1" customWidth="1"/>
    <col min="12553" max="12554" width="9.33203125" style="81"/>
    <col min="12555" max="12555" width="15.83203125" style="81" customWidth="1"/>
    <col min="12556" max="12794" width="9.33203125" style="81"/>
    <col min="12795" max="12795" width="5" style="81" customWidth="1"/>
    <col min="12796" max="12796" width="9.33203125" style="81"/>
    <col min="12797" max="12797" width="21.6640625" style="81" customWidth="1"/>
    <col min="12798" max="12798" width="13.5" style="81" customWidth="1"/>
    <col min="12799" max="12799" width="10.5" style="81" customWidth="1"/>
    <col min="12800" max="12800" width="15.1640625" style="81" customWidth="1"/>
    <col min="12801" max="12801" width="3.6640625" style="81" customWidth="1"/>
    <col min="12802" max="12802" width="13.1640625" style="81" customWidth="1"/>
    <col min="12803" max="12803" width="3.83203125" style="81" customWidth="1"/>
    <col min="12804" max="12804" width="15" style="81" customWidth="1"/>
    <col min="12805" max="12805" width="3.6640625" style="81" customWidth="1"/>
    <col min="12806" max="12807" width="13" style="81" customWidth="1"/>
    <col min="12808" max="12808" width="0" style="81" hidden="1" customWidth="1"/>
    <col min="12809" max="12810" width="9.33203125" style="81"/>
    <col min="12811" max="12811" width="15.83203125" style="81" customWidth="1"/>
    <col min="12812" max="13050" width="9.33203125" style="81"/>
    <col min="13051" max="13051" width="5" style="81" customWidth="1"/>
    <col min="13052" max="13052" width="9.33203125" style="81"/>
    <col min="13053" max="13053" width="21.6640625" style="81" customWidth="1"/>
    <col min="13054" max="13054" width="13.5" style="81" customWidth="1"/>
    <col min="13055" max="13055" width="10.5" style="81" customWidth="1"/>
    <col min="13056" max="13056" width="15.1640625" style="81" customWidth="1"/>
    <col min="13057" max="13057" width="3.6640625" style="81" customWidth="1"/>
    <col min="13058" max="13058" width="13.1640625" style="81" customWidth="1"/>
    <col min="13059" max="13059" width="3.83203125" style="81" customWidth="1"/>
    <col min="13060" max="13060" width="15" style="81" customWidth="1"/>
    <col min="13061" max="13061" width="3.6640625" style="81" customWidth="1"/>
    <col min="13062" max="13063" width="13" style="81" customWidth="1"/>
    <col min="13064" max="13064" width="0" style="81" hidden="1" customWidth="1"/>
    <col min="13065" max="13066" width="9.33203125" style="81"/>
    <col min="13067" max="13067" width="15.83203125" style="81" customWidth="1"/>
    <col min="13068" max="13306" width="9.33203125" style="81"/>
    <col min="13307" max="13307" width="5" style="81" customWidth="1"/>
    <col min="13308" max="13308" width="9.33203125" style="81"/>
    <col min="13309" max="13309" width="21.6640625" style="81" customWidth="1"/>
    <col min="13310" max="13310" width="13.5" style="81" customWidth="1"/>
    <col min="13311" max="13311" width="10.5" style="81" customWidth="1"/>
    <col min="13312" max="13312" width="15.1640625" style="81" customWidth="1"/>
    <col min="13313" max="13313" width="3.6640625" style="81" customWidth="1"/>
    <col min="13314" max="13314" width="13.1640625" style="81" customWidth="1"/>
    <col min="13315" max="13315" width="3.83203125" style="81" customWidth="1"/>
    <col min="13316" max="13316" width="15" style="81" customWidth="1"/>
    <col min="13317" max="13317" width="3.6640625" style="81" customWidth="1"/>
    <col min="13318" max="13319" width="13" style="81" customWidth="1"/>
    <col min="13320" max="13320" width="0" style="81" hidden="1" customWidth="1"/>
    <col min="13321" max="13322" width="9.33203125" style="81"/>
    <col min="13323" max="13323" width="15.83203125" style="81" customWidth="1"/>
    <col min="13324" max="13562" width="9.33203125" style="81"/>
    <col min="13563" max="13563" width="5" style="81" customWidth="1"/>
    <col min="13564" max="13564" width="9.33203125" style="81"/>
    <col min="13565" max="13565" width="21.6640625" style="81" customWidth="1"/>
    <col min="13566" max="13566" width="13.5" style="81" customWidth="1"/>
    <col min="13567" max="13567" width="10.5" style="81" customWidth="1"/>
    <col min="13568" max="13568" width="15.1640625" style="81" customWidth="1"/>
    <col min="13569" max="13569" width="3.6640625" style="81" customWidth="1"/>
    <col min="13570" max="13570" width="13.1640625" style="81" customWidth="1"/>
    <col min="13571" max="13571" width="3.83203125" style="81" customWidth="1"/>
    <col min="13572" max="13572" width="15" style="81" customWidth="1"/>
    <col min="13573" max="13573" width="3.6640625" style="81" customWidth="1"/>
    <col min="13574" max="13575" width="13" style="81" customWidth="1"/>
    <col min="13576" max="13576" width="0" style="81" hidden="1" customWidth="1"/>
    <col min="13577" max="13578" width="9.33203125" style="81"/>
    <col min="13579" max="13579" width="15.83203125" style="81" customWidth="1"/>
    <col min="13580" max="13818" width="9.33203125" style="81"/>
    <col min="13819" max="13819" width="5" style="81" customWidth="1"/>
    <col min="13820" max="13820" width="9.33203125" style="81"/>
    <col min="13821" max="13821" width="21.6640625" style="81" customWidth="1"/>
    <col min="13822" max="13822" width="13.5" style="81" customWidth="1"/>
    <col min="13823" max="13823" width="10.5" style="81" customWidth="1"/>
    <col min="13824" max="13824" width="15.1640625" style="81" customWidth="1"/>
    <col min="13825" max="13825" width="3.6640625" style="81" customWidth="1"/>
    <col min="13826" max="13826" width="13.1640625" style="81" customWidth="1"/>
    <col min="13827" max="13827" width="3.83203125" style="81" customWidth="1"/>
    <col min="13828" max="13828" width="15" style="81" customWidth="1"/>
    <col min="13829" max="13829" width="3.6640625" style="81" customWidth="1"/>
    <col min="13830" max="13831" width="13" style="81" customWidth="1"/>
    <col min="13832" max="13832" width="0" style="81" hidden="1" customWidth="1"/>
    <col min="13833" max="13834" width="9.33203125" style="81"/>
    <col min="13835" max="13835" width="15.83203125" style="81" customWidth="1"/>
    <col min="13836" max="14074" width="9.33203125" style="81"/>
    <col min="14075" max="14075" width="5" style="81" customWidth="1"/>
    <col min="14076" max="14076" width="9.33203125" style="81"/>
    <col min="14077" max="14077" width="21.6640625" style="81" customWidth="1"/>
    <col min="14078" max="14078" width="13.5" style="81" customWidth="1"/>
    <col min="14079" max="14079" width="10.5" style="81" customWidth="1"/>
    <col min="14080" max="14080" width="15.1640625" style="81" customWidth="1"/>
    <col min="14081" max="14081" width="3.6640625" style="81" customWidth="1"/>
    <col min="14082" max="14082" width="13.1640625" style="81" customWidth="1"/>
    <col min="14083" max="14083" width="3.83203125" style="81" customWidth="1"/>
    <col min="14084" max="14084" width="15" style="81" customWidth="1"/>
    <col min="14085" max="14085" width="3.6640625" style="81" customWidth="1"/>
    <col min="14086" max="14087" width="13" style="81" customWidth="1"/>
    <col min="14088" max="14088" width="0" style="81" hidden="1" customWidth="1"/>
    <col min="14089" max="14090" width="9.33203125" style="81"/>
    <col min="14091" max="14091" width="15.83203125" style="81" customWidth="1"/>
    <col min="14092" max="14330" width="9.33203125" style="81"/>
    <col min="14331" max="14331" width="5" style="81" customWidth="1"/>
    <col min="14332" max="14332" width="9.33203125" style="81"/>
    <col min="14333" max="14333" width="21.6640625" style="81" customWidth="1"/>
    <col min="14334" max="14334" width="13.5" style="81" customWidth="1"/>
    <col min="14335" max="14335" width="10.5" style="81" customWidth="1"/>
    <col min="14336" max="14336" width="15.1640625" style="81" customWidth="1"/>
    <col min="14337" max="14337" width="3.6640625" style="81" customWidth="1"/>
    <col min="14338" max="14338" width="13.1640625" style="81" customWidth="1"/>
    <col min="14339" max="14339" width="3.83203125" style="81" customWidth="1"/>
    <col min="14340" max="14340" width="15" style="81" customWidth="1"/>
    <col min="14341" max="14341" width="3.6640625" style="81" customWidth="1"/>
    <col min="14342" max="14343" width="13" style="81" customWidth="1"/>
    <col min="14344" max="14344" width="0" style="81" hidden="1" customWidth="1"/>
    <col min="14345" max="14346" width="9.33203125" style="81"/>
    <col min="14347" max="14347" width="15.83203125" style="81" customWidth="1"/>
    <col min="14348" max="14586" width="9.33203125" style="81"/>
    <col min="14587" max="14587" width="5" style="81" customWidth="1"/>
    <col min="14588" max="14588" width="9.33203125" style="81"/>
    <col min="14589" max="14589" width="21.6640625" style="81" customWidth="1"/>
    <col min="14590" max="14590" width="13.5" style="81" customWidth="1"/>
    <col min="14591" max="14591" width="10.5" style="81" customWidth="1"/>
    <col min="14592" max="14592" width="15.1640625" style="81" customWidth="1"/>
    <col min="14593" max="14593" width="3.6640625" style="81" customWidth="1"/>
    <col min="14594" max="14594" width="13.1640625" style="81" customWidth="1"/>
    <col min="14595" max="14595" width="3.83203125" style="81" customWidth="1"/>
    <col min="14596" max="14596" width="15" style="81" customWidth="1"/>
    <col min="14597" max="14597" width="3.6640625" style="81" customWidth="1"/>
    <col min="14598" max="14599" width="13" style="81" customWidth="1"/>
    <col min="14600" max="14600" width="0" style="81" hidden="1" customWidth="1"/>
    <col min="14601" max="14602" width="9.33203125" style="81"/>
    <col min="14603" max="14603" width="15.83203125" style="81" customWidth="1"/>
    <col min="14604" max="14842" width="9.33203125" style="81"/>
    <col min="14843" max="14843" width="5" style="81" customWidth="1"/>
    <col min="14844" max="14844" width="9.33203125" style="81"/>
    <col min="14845" max="14845" width="21.6640625" style="81" customWidth="1"/>
    <col min="14846" max="14846" width="13.5" style="81" customWidth="1"/>
    <col min="14847" max="14847" width="10.5" style="81" customWidth="1"/>
    <col min="14848" max="14848" width="15.1640625" style="81" customWidth="1"/>
    <col min="14849" max="14849" width="3.6640625" style="81" customWidth="1"/>
    <col min="14850" max="14850" width="13.1640625" style="81" customWidth="1"/>
    <col min="14851" max="14851" width="3.83203125" style="81" customWidth="1"/>
    <col min="14852" max="14852" width="15" style="81" customWidth="1"/>
    <col min="14853" max="14853" width="3.6640625" style="81" customWidth="1"/>
    <col min="14854" max="14855" width="13" style="81" customWidth="1"/>
    <col min="14856" max="14856" width="0" style="81" hidden="1" customWidth="1"/>
    <col min="14857" max="14858" width="9.33203125" style="81"/>
    <col min="14859" max="14859" width="15.83203125" style="81" customWidth="1"/>
    <col min="14860" max="15098" width="9.33203125" style="81"/>
    <col min="15099" max="15099" width="5" style="81" customWidth="1"/>
    <col min="15100" max="15100" width="9.33203125" style="81"/>
    <col min="15101" max="15101" width="21.6640625" style="81" customWidth="1"/>
    <col min="15102" max="15102" width="13.5" style="81" customWidth="1"/>
    <col min="15103" max="15103" width="10.5" style="81" customWidth="1"/>
    <col min="15104" max="15104" width="15.1640625" style="81" customWidth="1"/>
    <col min="15105" max="15105" width="3.6640625" style="81" customWidth="1"/>
    <col min="15106" max="15106" width="13.1640625" style="81" customWidth="1"/>
    <col min="15107" max="15107" width="3.83203125" style="81" customWidth="1"/>
    <col min="15108" max="15108" width="15" style="81" customWidth="1"/>
    <col min="15109" max="15109" width="3.6640625" style="81" customWidth="1"/>
    <col min="15110" max="15111" width="13" style="81" customWidth="1"/>
    <col min="15112" max="15112" width="0" style="81" hidden="1" customWidth="1"/>
    <col min="15113" max="15114" width="9.33203125" style="81"/>
    <col min="15115" max="15115" width="15.83203125" style="81" customWidth="1"/>
    <col min="15116" max="15354" width="9.33203125" style="81"/>
    <col min="15355" max="15355" width="5" style="81" customWidth="1"/>
    <col min="15356" max="15356" width="9.33203125" style="81"/>
    <col min="15357" max="15357" width="21.6640625" style="81" customWidth="1"/>
    <col min="15358" max="15358" width="13.5" style="81" customWidth="1"/>
    <col min="15359" max="15359" width="10.5" style="81" customWidth="1"/>
    <col min="15360" max="15360" width="15.1640625" style="81" customWidth="1"/>
    <col min="15361" max="15361" width="3.6640625" style="81" customWidth="1"/>
    <col min="15362" max="15362" width="13.1640625" style="81" customWidth="1"/>
    <col min="15363" max="15363" width="3.83203125" style="81" customWidth="1"/>
    <col min="15364" max="15364" width="15" style="81" customWidth="1"/>
    <col min="15365" max="15365" width="3.6640625" style="81" customWidth="1"/>
    <col min="15366" max="15367" width="13" style="81" customWidth="1"/>
    <col min="15368" max="15368" width="0" style="81" hidden="1" customWidth="1"/>
    <col min="15369" max="15370" width="9.33203125" style="81"/>
    <col min="15371" max="15371" width="15.83203125" style="81" customWidth="1"/>
    <col min="15372" max="15610" width="9.33203125" style="81"/>
    <col min="15611" max="15611" width="5" style="81" customWidth="1"/>
    <col min="15612" max="15612" width="9.33203125" style="81"/>
    <col min="15613" max="15613" width="21.6640625" style="81" customWidth="1"/>
    <col min="15614" max="15614" width="13.5" style="81" customWidth="1"/>
    <col min="15615" max="15615" width="10.5" style="81" customWidth="1"/>
    <col min="15616" max="15616" width="15.1640625" style="81" customWidth="1"/>
    <col min="15617" max="15617" width="3.6640625" style="81" customWidth="1"/>
    <col min="15618" max="15618" width="13.1640625" style="81" customWidth="1"/>
    <col min="15619" max="15619" width="3.83203125" style="81" customWidth="1"/>
    <col min="15620" max="15620" width="15" style="81" customWidth="1"/>
    <col min="15621" max="15621" width="3.6640625" style="81" customWidth="1"/>
    <col min="15622" max="15623" width="13" style="81" customWidth="1"/>
    <col min="15624" max="15624" width="0" style="81" hidden="1" customWidth="1"/>
    <col min="15625" max="15626" width="9.33203125" style="81"/>
    <col min="15627" max="15627" width="15.83203125" style="81" customWidth="1"/>
    <col min="15628" max="15866" width="9.33203125" style="81"/>
    <col min="15867" max="15867" width="5" style="81" customWidth="1"/>
    <col min="15868" max="15868" width="9.33203125" style="81"/>
    <col min="15869" max="15869" width="21.6640625" style="81" customWidth="1"/>
    <col min="15870" max="15870" width="13.5" style="81" customWidth="1"/>
    <col min="15871" max="15871" width="10.5" style="81" customWidth="1"/>
    <col min="15872" max="15872" width="15.1640625" style="81" customWidth="1"/>
    <col min="15873" max="15873" width="3.6640625" style="81" customWidth="1"/>
    <col min="15874" max="15874" width="13.1640625" style="81" customWidth="1"/>
    <col min="15875" max="15875" width="3.83203125" style="81" customWidth="1"/>
    <col min="15876" max="15876" width="15" style="81" customWidth="1"/>
    <col min="15877" max="15877" width="3.6640625" style="81" customWidth="1"/>
    <col min="15878" max="15879" width="13" style="81" customWidth="1"/>
    <col min="15880" max="15880" width="0" style="81" hidden="1" customWidth="1"/>
    <col min="15881" max="15882" width="9.33203125" style="81"/>
    <col min="15883" max="15883" width="15.83203125" style="81" customWidth="1"/>
    <col min="15884" max="16122" width="9.33203125" style="81"/>
    <col min="16123" max="16123" width="5" style="81" customWidth="1"/>
    <col min="16124" max="16124" width="9.33203125" style="81"/>
    <col min="16125" max="16125" width="21.6640625" style="81" customWidth="1"/>
    <col min="16126" max="16126" width="13.5" style="81" customWidth="1"/>
    <col min="16127" max="16127" width="10.5" style="81" customWidth="1"/>
    <col min="16128" max="16128" width="15.1640625" style="81" customWidth="1"/>
    <col min="16129" max="16129" width="3.6640625" style="81" customWidth="1"/>
    <col min="16130" max="16130" width="13.1640625" style="81" customWidth="1"/>
    <col min="16131" max="16131" width="3.83203125" style="81" customWidth="1"/>
    <col min="16132" max="16132" width="15" style="81" customWidth="1"/>
    <col min="16133" max="16133" width="3.6640625" style="81" customWidth="1"/>
    <col min="16134" max="16135" width="13" style="81" customWidth="1"/>
    <col min="16136" max="16136" width="0" style="81" hidden="1" customWidth="1"/>
    <col min="16137" max="16138" width="9.33203125" style="81"/>
    <col min="16139" max="16139" width="15.83203125" style="81" customWidth="1"/>
    <col min="16140" max="16384" width="9.33203125" style="81"/>
  </cols>
  <sheetData>
    <row r="2" spans="1:17" x14ac:dyDescent="0.25">
      <c r="A2" s="81"/>
      <c r="B2" s="82"/>
      <c r="C2" s="305" t="s">
        <v>9</v>
      </c>
      <c r="D2" s="305"/>
      <c r="E2" s="305"/>
      <c r="F2" s="305"/>
      <c r="G2" s="305"/>
      <c r="H2" s="305"/>
      <c r="I2" s="305"/>
      <c r="J2" s="305"/>
      <c r="K2" s="305"/>
      <c r="L2" s="5" t="str">
        <f>+'CPA Proposed Rate 596'!H1</f>
        <v>CNGC Advice W25-09-02</v>
      </c>
    </row>
    <row r="3" spans="1:17" x14ac:dyDescent="0.25">
      <c r="A3" s="81"/>
      <c r="B3" s="82"/>
      <c r="C3" s="314" t="s">
        <v>60</v>
      </c>
      <c r="D3" s="314"/>
      <c r="E3" s="314"/>
      <c r="F3" s="314"/>
      <c r="G3" s="314"/>
      <c r="H3" s="314"/>
      <c r="I3" s="314"/>
      <c r="J3" s="314"/>
      <c r="K3" s="314"/>
      <c r="L3" s="7" t="s">
        <v>12</v>
      </c>
    </row>
    <row r="4" spans="1:17" x14ac:dyDescent="0.25">
      <c r="A4" s="81"/>
      <c r="B4" s="82"/>
      <c r="C4" s="314" t="s">
        <v>61</v>
      </c>
      <c r="D4" s="314"/>
      <c r="E4" s="314"/>
      <c r="F4" s="314"/>
      <c r="G4" s="314"/>
      <c r="H4" s="314"/>
      <c r="I4" s="314"/>
      <c r="J4" s="314"/>
      <c r="K4" s="314"/>
      <c r="L4" s="7" t="s">
        <v>62</v>
      </c>
    </row>
    <row r="5" spans="1:17" x14ac:dyDescent="0.25">
      <c r="A5" s="81"/>
      <c r="B5" s="82"/>
      <c r="C5" s="305" t="s">
        <v>13</v>
      </c>
      <c r="D5" s="305"/>
      <c r="E5" s="305"/>
      <c r="F5" s="305"/>
      <c r="G5" s="305"/>
      <c r="H5" s="305"/>
      <c r="I5" s="305"/>
      <c r="J5" s="305"/>
      <c r="K5" s="305"/>
      <c r="L5" s="82" t="s">
        <v>63</v>
      </c>
    </row>
    <row r="7" spans="1:17" x14ac:dyDescent="0.25">
      <c r="A7" s="44"/>
      <c r="B7" s="83"/>
      <c r="C7" s="84"/>
      <c r="D7" s="84"/>
      <c r="E7" s="85"/>
      <c r="F7" s="44"/>
      <c r="G7" s="86"/>
      <c r="H7" s="44"/>
      <c r="K7" s="87" t="s">
        <v>64</v>
      </c>
      <c r="L7" s="84"/>
      <c r="M7" s="88"/>
    </row>
    <row r="8" spans="1:17" x14ac:dyDescent="0.25">
      <c r="A8" s="51" t="s">
        <v>46</v>
      </c>
      <c r="C8" s="89"/>
      <c r="D8" s="90" t="s">
        <v>65</v>
      </c>
      <c r="E8" s="74" t="s">
        <v>66</v>
      </c>
      <c r="F8" s="51" t="s">
        <v>67</v>
      </c>
      <c r="G8" s="86"/>
      <c r="H8" s="51" t="s">
        <v>68</v>
      </c>
      <c r="K8" s="91" t="s">
        <v>69</v>
      </c>
      <c r="L8" s="92" t="s">
        <v>70</v>
      </c>
      <c r="M8" s="51" t="s">
        <v>71</v>
      </c>
    </row>
    <row r="9" spans="1:17" x14ac:dyDescent="0.25">
      <c r="A9" s="51" t="s">
        <v>52</v>
      </c>
      <c r="B9" s="82" t="s">
        <v>3</v>
      </c>
      <c r="C9" s="92"/>
      <c r="D9" s="90" t="s">
        <v>72</v>
      </c>
      <c r="E9" s="74" t="s">
        <v>73</v>
      </c>
      <c r="F9" s="51" t="s">
        <v>74</v>
      </c>
      <c r="G9" s="86"/>
      <c r="H9" s="51" t="s">
        <v>75</v>
      </c>
      <c r="K9" s="91" t="s">
        <v>76</v>
      </c>
      <c r="L9" s="92" t="s">
        <v>76</v>
      </c>
      <c r="M9" s="51" t="s">
        <v>76</v>
      </c>
    </row>
    <row r="10" spans="1:17" s="74" customFormat="1" x14ac:dyDescent="0.25">
      <c r="A10" s="51"/>
      <c r="B10" s="315" t="s">
        <v>28</v>
      </c>
      <c r="C10" s="316"/>
      <c r="D10" s="90" t="s">
        <v>29</v>
      </c>
      <c r="E10" s="74" t="s">
        <v>30</v>
      </c>
      <c r="F10" s="69" t="s">
        <v>31</v>
      </c>
      <c r="G10" s="90"/>
      <c r="H10" s="69" t="s">
        <v>77</v>
      </c>
      <c r="K10" s="93" t="s">
        <v>53</v>
      </c>
      <c r="L10" s="90" t="s">
        <v>78</v>
      </c>
      <c r="M10" s="69" t="s">
        <v>79</v>
      </c>
    </row>
    <row r="11" spans="1:17" x14ac:dyDescent="0.25">
      <c r="A11" s="94"/>
      <c r="B11" s="95" t="s">
        <v>80</v>
      </c>
      <c r="C11" s="96"/>
      <c r="D11" s="96"/>
      <c r="E11" s="96"/>
      <c r="F11" s="96"/>
      <c r="H11" s="97"/>
      <c r="K11" s="98"/>
      <c r="L11" s="96"/>
    </row>
    <row r="12" spans="1:17" x14ac:dyDescent="0.25">
      <c r="A12" s="51">
        <v>1</v>
      </c>
      <c r="B12" s="99"/>
      <c r="C12" s="86"/>
      <c r="D12" s="90"/>
      <c r="E12" s="100"/>
      <c r="F12" s="101"/>
      <c r="G12" s="86"/>
      <c r="H12" s="102"/>
      <c r="K12" s="103"/>
      <c r="L12" s="104"/>
      <c r="M12" s="105"/>
      <c r="Q12" s="99"/>
    </row>
    <row r="13" spans="1:17" x14ac:dyDescent="0.25">
      <c r="A13" s="51">
        <v>2</v>
      </c>
      <c r="B13" s="99" t="s">
        <v>81</v>
      </c>
      <c r="C13" s="106"/>
      <c r="D13" s="90" t="s">
        <v>82</v>
      </c>
      <c r="E13" s="100">
        <f>+'Bills-Therms-Revs'!F12</f>
        <v>205693</v>
      </c>
      <c r="F13" s="101">
        <f>+'Test Period Volumes'!C35</f>
        <v>136078781.9038859</v>
      </c>
      <c r="G13" s="107"/>
      <c r="H13" s="101">
        <f>+'Bills-Therms-Revs'!I16</f>
        <v>224624298.71000004</v>
      </c>
      <c r="J13" s="108"/>
      <c r="K13" s="109">
        <f>+'CPA Proposed Rate 596'!G12</f>
        <v>2.2550000000000001E-2</v>
      </c>
      <c r="L13" s="104">
        <f>F13*K13</f>
        <v>3068576.5319326273</v>
      </c>
      <c r="M13" s="110">
        <f>+L13/H13</f>
        <v>1.366092871321235E-2</v>
      </c>
      <c r="Q13" s="99"/>
    </row>
    <row r="14" spans="1:17" x14ac:dyDescent="0.25">
      <c r="A14" s="51">
        <v>3</v>
      </c>
      <c r="B14" s="99" t="s">
        <v>83</v>
      </c>
      <c r="C14" s="86"/>
      <c r="D14" s="90" t="s">
        <v>84</v>
      </c>
      <c r="E14" s="100">
        <f>+'Bills-Therms-Revs'!F18</f>
        <v>27641</v>
      </c>
      <c r="F14" s="101">
        <f>+'Test Period Volumes'!D35</f>
        <v>101534123.9154546</v>
      </c>
      <c r="G14" s="86"/>
      <c r="H14" s="101">
        <f>+'Bills-Therms-Revs'!I18+'Bills-Therms-Revs'!I21+'Bills-Therms-Revs'!I22</f>
        <v>151910453.71000001</v>
      </c>
      <c r="K14" s="109">
        <f>+'CPA Proposed Rate 596'!G13</f>
        <v>2.2550000000000001E-2</v>
      </c>
      <c r="L14" s="104">
        <f>ROUND(F14*K14,0)</f>
        <v>2289594</v>
      </c>
      <c r="M14" s="110">
        <f t="shared" ref="M14:M18" si="0">+L14/H14</f>
        <v>1.5071997641260944E-2</v>
      </c>
      <c r="Q14" s="99"/>
    </row>
    <row r="15" spans="1:17" x14ac:dyDescent="0.25">
      <c r="A15" s="51">
        <v>4</v>
      </c>
      <c r="B15" s="99" t="s">
        <v>85</v>
      </c>
      <c r="C15" s="106"/>
      <c r="D15" s="90" t="s">
        <v>86</v>
      </c>
      <c r="E15" s="100">
        <f>+'Bills-Therms-Revs'!F28</f>
        <v>492</v>
      </c>
      <c r="F15" s="101">
        <f>+'Test Period Volumes'!E35</f>
        <v>13499435.874798907</v>
      </c>
      <c r="G15" s="86"/>
      <c r="H15" s="101">
        <f>+'Bills-Therms-Revs'!I28+'Bills-Therms-Revs'!I30+'Bills-Therms-Revs'!I31</f>
        <v>18945092.050000001</v>
      </c>
      <c r="K15" s="109">
        <f>+'CPA Proposed Rate 596'!G15</f>
        <v>2.2550000000000001E-2</v>
      </c>
      <c r="L15" s="104">
        <f t="shared" ref="L15:L17" si="1">F15*K15</f>
        <v>304412.27897671534</v>
      </c>
      <c r="M15" s="110">
        <f t="shared" si="0"/>
        <v>1.606813406729873E-2</v>
      </c>
      <c r="Q15" s="99"/>
    </row>
    <row r="16" spans="1:17" x14ac:dyDescent="0.25">
      <c r="A16" s="51">
        <v>5</v>
      </c>
      <c r="B16" s="99" t="s">
        <v>87</v>
      </c>
      <c r="C16" s="86"/>
      <c r="D16" s="90" t="s">
        <v>88</v>
      </c>
      <c r="E16" s="100">
        <f>+'Bills-Therms-Revs'!F19+'Bills-Therms-Revs'!F29</f>
        <v>100</v>
      </c>
      <c r="F16" s="101">
        <f>+'Test Period Volumes'!F35</f>
        <v>18549690.759514704</v>
      </c>
      <c r="G16" s="107"/>
      <c r="H16" s="101">
        <f>+'Bills-Therms-Revs'!I19+'Bills-Therms-Revs'!I29+'Bills-Therms-Revs'!I23+'Bills-Therms-Revs'!I24</f>
        <v>23355052.09</v>
      </c>
      <c r="I16" s="108"/>
      <c r="J16" s="108"/>
      <c r="K16" s="109">
        <f>+'CPA Proposed Rate 596'!G14</f>
        <v>2.2550000000000001E-2</v>
      </c>
      <c r="L16" s="104">
        <f t="shared" si="1"/>
        <v>418295.52662705659</v>
      </c>
      <c r="M16" s="110">
        <f t="shared" si="0"/>
        <v>1.7910280183282459E-2</v>
      </c>
    </row>
    <row r="17" spans="1:17" x14ac:dyDescent="0.25">
      <c r="A17" s="51">
        <v>6</v>
      </c>
      <c r="B17" s="99" t="s">
        <v>89</v>
      </c>
      <c r="C17" s="86"/>
      <c r="D17" s="90" t="s">
        <v>90</v>
      </c>
      <c r="E17" s="100">
        <f>+'Bills-Therms-Revs'!F34</f>
        <v>6</v>
      </c>
      <c r="F17" s="101">
        <f>+'Test Period Volumes'!G35</f>
        <v>996484.54634588922</v>
      </c>
      <c r="G17" s="107"/>
      <c r="H17" s="111">
        <f>+'Bills-Therms-Revs'!I39</f>
        <v>1138252.9099999999</v>
      </c>
      <c r="J17" s="108"/>
      <c r="K17" s="112">
        <f>+'CPA Proposed Rate 596'!G16</f>
        <v>2.2550000000000001E-2</v>
      </c>
      <c r="L17" s="104">
        <f t="shared" si="1"/>
        <v>22470.726520099801</v>
      </c>
      <c r="M17" s="113">
        <f t="shared" si="0"/>
        <v>1.9741418029934843E-2</v>
      </c>
      <c r="Q17" s="99"/>
    </row>
    <row r="18" spans="1:17" s="123" customFormat="1" x14ac:dyDescent="0.25">
      <c r="A18" s="69">
        <v>7</v>
      </c>
      <c r="B18" s="95" t="s">
        <v>91</v>
      </c>
      <c r="C18" s="114"/>
      <c r="D18" s="115"/>
      <c r="E18" s="116">
        <f>SUM(E12:E17)</f>
        <v>233932</v>
      </c>
      <c r="F18" s="117">
        <f>SUM(F12:F17)</f>
        <v>270658517</v>
      </c>
      <c r="G18" s="118"/>
      <c r="H18" s="117">
        <f>SUM(H12:H17)</f>
        <v>419973149.47000009</v>
      </c>
      <c r="I18" s="119"/>
      <c r="J18" s="119"/>
      <c r="K18" s="120"/>
      <c r="L18" s="121">
        <f>SUM(L12:L17)</f>
        <v>6103349.0640564989</v>
      </c>
      <c r="M18" s="122">
        <f t="shared" si="0"/>
        <v>1.4532712559740629E-2</v>
      </c>
    </row>
  </sheetData>
  <mergeCells count="5">
    <mergeCell ref="C2:K2"/>
    <mergeCell ref="C3:K3"/>
    <mergeCell ref="C4:K4"/>
    <mergeCell ref="C5:K5"/>
    <mergeCell ref="B10:C10"/>
  </mergeCells>
  <printOptions horizontalCentered="1"/>
  <pageMargins left="0.2" right="0.2" top="1" bottom="0.17" header="0.35" footer="0.5"/>
  <pageSetup orientation="landscape" r:id="rId1"/>
  <headerFooter scaleWithDoc="0"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B82CA-665A-4248-BBE6-72396422F969}">
  <sheetPr>
    <pageSetUpPr fitToPage="1"/>
  </sheetPr>
  <dimension ref="A1:N37"/>
  <sheetViews>
    <sheetView topLeftCell="D5" workbookViewId="0">
      <selection activeCell="C11" sqref="C11"/>
    </sheetView>
  </sheetViews>
  <sheetFormatPr defaultColWidth="12" defaultRowHeight="15.75" x14ac:dyDescent="0.25"/>
  <cols>
    <col min="1" max="1" width="7" style="125" customWidth="1"/>
    <col min="2" max="2" width="2.33203125" style="125" customWidth="1"/>
    <col min="3" max="3" width="40.33203125" style="125" bestFit="1" customWidth="1"/>
    <col min="4" max="4" width="13.83203125" style="125" bestFit="1" customWidth="1"/>
    <col min="5" max="5" width="16.83203125" style="125" bestFit="1" customWidth="1"/>
    <col min="6" max="6" width="18" style="125" bestFit="1" customWidth="1"/>
    <col min="7" max="7" width="17.33203125" style="125" bestFit="1" customWidth="1"/>
    <col min="8" max="8" width="17.6640625" style="125" bestFit="1" customWidth="1"/>
    <col min="9" max="9" width="17.1640625" style="125" customWidth="1"/>
    <col min="10" max="10" width="15.6640625" style="125" bestFit="1" customWidth="1"/>
    <col min="11" max="11" width="21.5" style="125" bestFit="1" customWidth="1"/>
    <col min="12" max="12" width="17.1640625" style="125" customWidth="1"/>
    <col min="13" max="13" width="4.1640625" style="125" customWidth="1"/>
    <col min="14" max="255" width="12" style="125"/>
    <col min="256" max="256" width="7" style="125" customWidth="1"/>
    <col min="257" max="257" width="2.33203125" style="125" customWidth="1"/>
    <col min="258" max="259" width="12" style="125"/>
    <col min="260" max="260" width="6.5" style="125" customWidth="1"/>
    <col min="261" max="261" width="5.1640625" style="125" customWidth="1"/>
    <col min="262" max="262" width="12" style="125"/>
    <col min="263" max="263" width="5.1640625" style="125" customWidth="1"/>
    <col min="264" max="264" width="17.1640625" style="125" customWidth="1"/>
    <col min="265" max="265" width="4.5" style="125" customWidth="1"/>
    <col min="266" max="266" width="16.1640625" style="125" customWidth="1"/>
    <col min="267" max="267" width="4.83203125" style="125" customWidth="1"/>
    <col min="268" max="268" width="17.1640625" style="125" customWidth="1"/>
    <col min="269" max="269" width="4.1640625" style="125" customWidth="1"/>
    <col min="270" max="511" width="12" style="125"/>
    <col min="512" max="512" width="7" style="125" customWidth="1"/>
    <col min="513" max="513" width="2.33203125" style="125" customWidth="1"/>
    <col min="514" max="515" width="12" style="125"/>
    <col min="516" max="516" width="6.5" style="125" customWidth="1"/>
    <col min="517" max="517" width="5.1640625" style="125" customWidth="1"/>
    <col min="518" max="518" width="12" style="125"/>
    <col min="519" max="519" width="5.1640625" style="125" customWidth="1"/>
    <col min="520" max="520" width="17.1640625" style="125" customWidth="1"/>
    <col min="521" max="521" width="4.5" style="125" customWidth="1"/>
    <col min="522" max="522" width="16.1640625" style="125" customWidth="1"/>
    <col min="523" max="523" width="4.83203125" style="125" customWidth="1"/>
    <col min="524" max="524" width="17.1640625" style="125" customWidth="1"/>
    <col min="525" max="525" width="4.1640625" style="125" customWidth="1"/>
    <col min="526" max="767" width="12" style="125"/>
    <col min="768" max="768" width="7" style="125" customWidth="1"/>
    <col min="769" max="769" width="2.33203125" style="125" customWidth="1"/>
    <col min="770" max="771" width="12" style="125"/>
    <col min="772" max="772" width="6.5" style="125" customWidth="1"/>
    <col min="773" max="773" width="5.1640625" style="125" customWidth="1"/>
    <col min="774" max="774" width="12" style="125"/>
    <col min="775" max="775" width="5.1640625" style="125" customWidth="1"/>
    <col min="776" max="776" width="17.1640625" style="125" customWidth="1"/>
    <col min="777" max="777" width="4.5" style="125" customWidth="1"/>
    <col min="778" max="778" width="16.1640625" style="125" customWidth="1"/>
    <col min="779" max="779" width="4.83203125" style="125" customWidth="1"/>
    <col min="780" max="780" width="17.1640625" style="125" customWidth="1"/>
    <col min="781" max="781" width="4.1640625" style="125" customWidth="1"/>
    <col min="782" max="1023" width="12" style="125"/>
    <col min="1024" max="1024" width="7" style="125" customWidth="1"/>
    <col min="1025" max="1025" width="2.33203125" style="125" customWidth="1"/>
    <col min="1026" max="1027" width="12" style="125"/>
    <col min="1028" max="1028" width="6.5" style="125" customWidth="1"/>
    <col min="1029" max="1029" width="5.1640625" style="125" customWidth="1"/>
    <col min="1030" max="1030" width="12" style="125"/>
    <col min="1031" max="1031" width="5.1640625" style="125" customWidth="1"/>
    <col min="1032" max="1032" width="17.1640625" style="125" customWidth="1"/>
    <col min="1033" max="1033" width="4.5" style="125" customWidth="1"/>
    <col min="1034" max="1034" width="16.1640625" style="125" customWidth="1"/>
    <col min="1035" max="1035" width="4.83203125" style="125" customWidth="1"/>
    <col min="1036" max="1036" width="17.1640625" style="125" customWidth="1"/>
    <col min="1037" max="1037" width="4.1640625" style="125" customWidth="1"/>
    <col min="1038" max="1279" width="12" style="125"/>
    <col min="1280" max="1280" width="7" style="125" customWidth="1"/>
    <col min="1281" max="1281" width="2.33203125" style="125" customWidth="1"/>
    <col min="1282" max="1283" width="12" style="125"/>
    <col min="1284" max="1284" width="6.5" style="125" customWidth="1"/>
    <col min="1285" max="1285" width="5.1640625" style="125" customWidth="1"/>
    <col min="1286" max="1286" width="12" style="125"/>
    <col min="1287" max="1287" width="5.1640625" style="125" customWidth="1"/>
    <col min="1288" max="1288" width="17.1640625" style="125" customWidth="1"/>
    <col min="1289" max="1289" width="4.5" style="125" customWidth="1"/>
    <col min="1290" max="1290" width="16.1640625" style="125" customWidth="1"/>
    <col min="1291" max="1291" width="4.83203125" style="125" customWidth="1"/>
    <col min="1292" max="1292" width="17.1640625" style="125" customWidth="1"/>
    <col min="1293" max="1293" width="4.1640625" style="125" customWidth="1"/>
    <col min="1294" max="1535" width="12" style="125"/>
    <col min="1536" max="1536" width="7" style="125" customWidth="1"/>
    <col min="1537" max="1537" width="2.33203125" style="125" customWidth="1"/>
    <col min="1538" max="1539" width="12" style="125"/>
    <col min="1540" max="1540" width="6.5" style="125" customWidth="1"/>
    <col min="1541" max="1541" width="5.1640625" style="125" customWidth="1"/>
    <col min="1542" max="1542" width="12" style="125"/>
    <col min="1543" max="1543" width="5.1640625" style="125" customWidth="1"/>
    <col min="1544" max="1544" width="17.1640625" style="125" customWidth="1"/>
    <col min="1545" max="1545" width="4.5" style="125" customWidth="1"/>
    <col min="1546" max="1546" width="16.1640625" style="125" customWidth="1"/>
    <col min="1547" max="1547" width="4.83203125" style="125" customWidth="1"/>
    <col min="1548" max="1548" width="17.1640625" style="125" customWidth="1"/>
    <col min="1549" max="1549" width="4.1640625" style="125" customWidth="1"/>
    <col min="1550" max="1791" width="12" style="125"/>
    <col min="1792" max="1792" width="7" style="125" customWidth="1"/>
    <col min="1793" max="1793" width="2.33203125" style="125" customWidth="1"/>
    <col min="1794" max="1795" width="12" style="125"/>
    <col min="1796" max="1796" width="6.5" style="125" customWidth="1"/>
    <col min="1797" max="1797" width="5.1640625" style="125" customWidth="1"/>
    <col min="1798" max="1798" width="12" style="125"/>
    <col min="1799" max="1799" width="5.1640625" style="125" customWidth="1"/>
    <col min="1800" max="1800" width="17.1640625" style="125" customWidth="1"/>
    <col min="1801" max="1801" width="4.5" style="125" customWidth="1"/>
    <col min="1802" max="1802" width="16.1640625" style="125" customWidth="1"/>
    <col min="1803" max="1803" width="4.83203125" style="125" customWidth="1"/>
    <col min="1804" max="1804" width="17.1640625" style="125" customWidth="1"/>
    <col min="1805" max="1805" width="4.1640625" style="125" customWidth="1"/>
    <col min="1806" max="2047" width="12" style="125"/>
    <col min="2048" max="2048" width="7" style="125" customWidth="1"/>
    <col min="2049" max="2049" width="2.33203125" style="125" customWidth="1"/>
    <col min="2050" max="2051" width="12" style="125"/>
    <col min="2052" max="2052" width="6.5" style="125" customWidth="1"/>
    <col min="2053" max="2053" width="5.1640625" style="125" customWidth="1"/>
    <col min="2054" max="2054" width="12" style="125"/>
    <col min="2055" max="2055" width="5.1640625" style="125" customWidth="1"/>
    <col min="2056" max="2056" width="17.1640625" style="125" customWidth="1"/>
    <col min="2057" max="2057" width="4.5" style="125" customWidth="1"/>
    <col min="2058" max="2058" width="16.1640625" style="125" customWidth="1"/>
    <col min="2059" max="2059" width="4.83203125" style="125" customWidth="1"/>
    <col min="2060" max="2060" width="17.1640625" style="125" customWidth="1"/>
    <col min="2061" max="2061" width="4.1640625" style="125" customWidth="1"/>
    <col min="2062" max="2303" width="12" style="125"/>
    <col min="2304" max="2304" width="7" style="125" customWidth="1"/>
    <col min="2305" max="2305" width="2.33203125" style="125" customWidth="1"/>
    <col min="2306" max="2307" width="12" style="125"/>
    <col min="2308" max="2308" width="6.5" style="125" customWidth="1"/>
    <col min="2309" max="2309" width="5.1640625" style="125" customWidth="1"/>
    <col min="2310" max="2310" width="12" style="125"/>
    <col min="2311" max="2311" width="5.1640625" style="125" customWidth="1"/>
    <col min="2312" max="2312" width="17.1640625" style="125" customWidth="1"/>
    <col min="2313" max="2313" width="4.5" style="125" customWidth="1"/>
    <col min="2314" max="2314" width="16.1640625" style="125" customWidth="1"/>
    <col min="2315" max="2315" width="4.83203125" style="125" customWidth="1"/>
    <col min="2316" max="2316" width="17.1640625" style="125" customWidth="1"/>
    <col min="2317" max="2317" width="4.1640625" style="125" customWidth="1"/>
    <col min="2318" max="2559" width="12" style="125"/>
    <col min="2560" max="2560" width="7" style="125" customWidth="1"/>
    <col min="2561" max="2561" width="2.33203125" style="125" customWidth="1"/>
    <col min="2562" max="2563" width="12" style="125"/>
    <col min="2564" max="2564" width="6.5" style="125" customWidth="1"/>
    <col min="2565" max="2565" width="5.1640625" style="125" customWidth="1"/>
    <col min="2566" max="2566" width="12" style="125"/>
    <col min="2567" max="2567" width="5.1640625" style="125" customWidth="1"/>
    <col min="2568" max="2568" width="17.1640625" style="125" customWidth="1"/>
    <col min="2569" max="2569" width="4.5" style="125" customWidth="1"/>
    <col min="2570" max="2570" width="16.1640625" style="125" customWidth="1"/>
    <col min="2571" max="2571" width="4.83203125" style="125" customWidth="1"/>
    <col min="2572" max="2572" width="17.1640625" style="125" customWidth="1"/>
    <col min="2573" max="2573" width="4.1640625" style="125" customWidth="1"/>
    <col min="2574" max="2815" width="12" style="125"/>
    <col min="2816" max="2816" width="7" style="125" customWidth="1"/>
    <col min="2817" max="2817" width="2.33203125" style="125" customWidth="1"/>
    <col min="2818" max="2819" width="12" style="125"/>
    <col min="2820" max="2820" width="6.5" style="125" customWidth="1"/>
    <col min="2821" max="2821" width="5.1640625" style="125" customWidth="1"/>
    <col min="2822" max="2822" width="12" style="125"/>
    <col min="2823" max="2823" width="5.1640625" style="125" customWidth="1"/>
    <col min="2824" max="2824" width="17.1640625" style="125" customWidth="1"/>
    <col min="2825" max="2825" width="4.5" style="125" customWidth="1"/>
    <col min="2826" max="2826" width="16.1640625" style="125" customWidth="1"/>
    <col min="2827" max="2827" width="4.83203125" style="125" customWidth="1"/>
    <col min="2828" max="2828" width="17.1640625" style="125" customWidth="1"/>
    <col min="2829" max="2829" width="4.1640625" style="125" customWidth="1"/>
    <col min="2830" max="3071" width="12" style="125"/>
    <col min="3072" max="3072" width="7" style="125" customWidth="1"/>
    <col min="3073" max="3073" width="2.33203125" style="125" customWidth="1"/>
    <col min="3074" max="3075" width="12" style="125"/>
    <col min="3076" max="3076" width="6.5" style="125" customWidth="1"/>
    <col min="3077" max="3077" width="5.1640625" style="125" customWidth="1"/>
    <col min="3078" max="3078" width="12" style="125"/>
    <col min="3079" max="3079" width="5.1640625" style="125" customWidth="1"/>
    <col min="3080" max="3080" width="17.1640625" style="125" customWidth="1"/>
    <col min="3081" max="3081" width="4.5" style="125" customWidth="1"/>
    <col min="3082" max="3082" width="16.1640625" style="125" customWidth="1"/>
    <col min="3083" max="3083" width="4.83203125" style="125" customWidth="1"/>
    <col min="3084" max="3084" width="17.1640625" style="125" customWidth="1"/>
    <col min="3085" max="3085" width="4.1640625" style="125" customWidth="1"/>
    <col min="3086" max="3327" width="12" style="125"/>
    <col min="3328" max="3328" width="7" style="125" customWidth="1"/>
    <col min="3329" max="3329" width="2.33203125" style="125" customWidth="1"/>
    <col min="3330" max="3331" width="12" style="125"/>
    <col min="3332" max="3332" width="6.5" style="125" customWidth="1"/>
    <col min="3333" max="3333" width="5.1640625" style="125" customWidth="1"/>
    <col min="3334" max="3334" width="12" style="125"/>
    <col min="3335" max="3335" width="5.1640625" style="125" customWidth="1"/>
    <col min="3336" max="3336" width="17.1640625" style="125" customWidth="1"/>
    <col min="3337" max="3337" width="4.5" style="125" customWidth="1"/>
    <col min="3338" max="3338" width="16.1640625" style="125" customWidth="1"/>
    <col min="3339" max="3339" width="4.83203125" style="125" customWidth="1"/>
    <col min="3340" max="3340" width="17.1640625" style="125" customWidth="1"/>
    <col min="3341" max="3341" width="4.1640625" style="125" customWidth="1"/>
    <col min="3342" max="3583" width="12" style="125"/>
    <col min="3584" max="3584" width="7" style="125" customWidth="1"/>
    <col min="3585" max="3585" width="2.33203125" style="125" customWidth="1"/>
    <col min="3586" max="3587" width="12" style="125"/>
    <col min="3588" max="3588" width="6.5" style="125" customWidth="1"/>
    <col min="3589" max="3589" width="5.1640625" style="125" customWidth="1"/>
    <col min="3590" max="3590" width="12" style="125"/>
    <col min="3591" max="3591" width="5.1640625" style="125" customWidth="1"/>
    <col min="3592" max="3592" width="17.1640625" style="125" customWidth="1"/>
    <col min="3593" max="3593" width="4.5" style="125" customWidth="1"/>
    <col min="3594" max="3594" width="16.1640625" style="125" customWidth="1"/>
    <col min="3595" max="3595" width="4.83203125" style="125" customWidth="1"/>
    <col min="3596" max="3596" width="17.1640625" style="125" customWidth="1"/>
    <col min="3597" max="3597" width="4.1640625" style="125" customWidth="1"/>
    <col min="3598" max="3839" width="12" style="125"/>
    <col min="3840" max="3840" width="7" style="125" customWidth="1"/>
    <col min="3841" max="3841" width="2.33203125" style="125" customWidth="1"/>
    <col min="3842" max="3843" width="12" style="125"/>
    <col min="3844" max="3844" width="6.5" style="125" customWidth="1"/>
    <col min="3845" max="3845" width="5.1640625" style="125" customWidth="1"/>
    <col min="3846" max="3846" width="12" style="125"/>
    <col min="3847" max="3847" width="5.1640625" style="125" customWidth="1"/>
    <col min="3848" max="3848" width="17.1640625" style="125" customWidth="1"/>
    <col min="3849" max="3849" width="4.5" style="125" customWidth="1"/>
    <col min="3850" max="3850" width="16.1640625" style="125" customWidth="1"/>
    <col min="3851" max="3851" width="4.83203125" style="125" customWidth="1"/>
    <col min="3852" max="3852" width="17.1640625" style="125" customWidth="1"/>
    <col min="3853" max="3853" width="4.1640625" style="125" customWidth="1"/>
    <col min="3854" max="4095" width="12" style="125"/>
    <col min="4096" max="4096" width="7" style="125" customWidth="1"/>
    <col min="4097" max="4097" width="2.33203125" style="125" customWidth="1"/>
    <col min="4098" max="4099" width="12" style="125"/>
    <col min="4100" max="4100" width="6.5" style="125" customWidth="1"/>
    <col min="4101" max="4101" width="5.1640625" style="125" customWidth="1"/>
    <col min="4102" max="4102" width="12" style="125"/>
    <col min="4103" max="4103" width="5.1640625" style="125" customWidth="1"/>
    <col min="4104" max="4104" width="17.1640625" style="125" customWidth="1"/>
    <col min="4105" max="4105" width="4.5" style="125" customWidth="1"/>
    <col min="4106" max="4106" width="16.1640625" style="125" customWidth="1"/>
    <col min="4107" max="4107" width="4.83203125" style="125" customWidth="1"/>
    <col min="4108" max="4108" width="17.1640625" style="125" customWidth="1"/>
    <col min="4109" max="4109" width="4.1640625" style="125" customWidth="1"/>
    <col min="4110" max="4351" width="12" style="125"/>
    <col min="4352" max="4352" width="7" style="125" customWidth="1"/>
    <col min="4353" max="4353" width="2.33203125" style="125" customWidth="1"/>
    <col min="4354" max="4355" width="12" style="125"/>
    <col min="4356" max="4356" width="6.5" style="125" customWidth="1"/>
    <col min="4357" max="4357" width="5.1640625" style="125" customWidth="1"/>
    <col min="4358" max="4358" width="12" style="125"/>
    <col min="4359" max="4359" width="5.1640625" style="125" customWidth="1"/>
    <col min="4360" max="4360" width="17.1640625" style="125" customWidth="1"/>
    <col min="4361" max="4361" width="4.5" style="125" customWidth="1"/>
    <col min="4362" max="4362" width="16.1640625" style="125" customWidth="1"/>
    <col min="4363" max="4363" width="4.83203125" style="125" customWidth="1"/>
    <col min="4364" max="4364" width="17.1640625" style="125" customWidth="1"/>
    <col min="4365" max="4365" width="4.1640625" style="125" customWidth="1"/>
    <col min="4366" max="4607" width="12" style="125"/>
    <col min="4608" max="4608" width="7" style="125" customWidth="1"/>
    <col min="4609" max="4609" width="2.33203125" style="125" customWidth="1"/>
    <col min="4610" max="4611" width="12" style="125"/>
    <col min="4612" max="4612" width="6.5" style="125" customWidth="1"/>
    <col min="4613" max="4613" width="5.1640625" style="125" customWidth="1"/>
    <col min="4614" max="4614" width="12" style="125"/>
    <col min="4615" max="4615" width="5.1640625" style="125" customWidth="1"/>
    <col min="4616" max="4616" width="17.1640625" style="125" customWidth="1"/>
    <col min="4617" max="4617" width="4.5" style="125" customWidth="1"/>
    <col min="4618" max="4618" width="16.1640625" style="125" customWidth="1"/>
    <col min="4619" max="4619" width="4.83203125" style="125" customWidth="1"/>
    <col min="4620" max="4620" width="17.1640625" style="125" customWidth="1"/>
    <col min="4621" max="4621" width="4.1640625" style="125" customWidth="1"/>
    <col min="4622" max="4863" width="12" style="125"/>
    <col min="4864" max="4864" width="7" style="125" customWidth="1"/>
    <col min="4865" max="4865" width="2.33203125" style="125" customWidth="1"/>
    <col min="4866" max="4867" width="12" style="125"/>
    <col min="4868" max="4868" width="6.5" style="125" customWidth="1"/>
    <col min="4869" max="4869" width="5.1640625" style="125" customWidth="1"/>
    <col min="4870" max="4870" width="12" style="125"/>
    <col min="4871" max="4871" width="5.1640625" style="125" customWidth="1"/>
    <col min="4872" max="4872" width="17.1640625" style="125" customWidth="1"/>
    <col min="4873" max="4873" width="4.5" style="125" customWidth="1"/>
    <col min="4874" max="4874" width="16.1640625" style="125" customWidth="1"/>
    <col min="4875" max="4875" width="4.83203125" style="125" customWidth="1"/>
    <col min="4876" max="4876" width="17.1640625" style="125" customWidth="1"/>
    <col min="4877" max="4877" width="4.1640625" style="125" customWidth="1"/>
    <col min="4878" max="5119" width="12" style="125"/>
    <col min="5120" max="5120" width="7" style="125" customWidth="1"/>
    <col min="5121" max="5121" width="2.33203125" style="125" customWidth="1"/>
    <col min="5122" max="5123" width="12" style="125"/>
    <col min="5124" max="5124" width="6.5" style="125" customWidth="1"/>
    <col min="5125" max="5125" width="5.1640625" style="125" customWidth="1"/>
    <col min="5126" max="5126" width="12" style="125"/>
    <col min="5127" max="5127" width="5.1640625" style="125" customWidth="1"/>
    <col min="5128" max="5128" width="17.1640625" style="125" customWidth="1"/>
    <col min="5129" max="5129" width="4.5" style="125" customWidth="1"/>
    <col min="5130" max="5130" width="16.1640625" style="125" customWidth="1"/>
    <col min="5131" max="5131" width="4.83203125" style="125" customWidth="1"/>
    <col min="5132" max="5132" width="17.1640625" style="125" customWidth="1"/>
    <col min="5133" max="5133" width="4.1640625" style="125" customWidth="1"/>
    <col min="5134" max="5375" width="12" style="125"/>
    <col min="5376" max="5376" width="7" style="125" customWidth="1"/>
    <col min="5377" max="5377" width="2.33203125" style="125" customWidth="1"/>
    <col min="5378" max="5379" width="12" style="125"/>
    <col min="5380" max="5380" width="6.5" style="125" customWidth="1"/>
    <col min="5381" max="5381" width="5.1640625" style="125" customWidth="1"/>
    <col min="5382" max="5382" width="12" style="125"/>
    <col min="5383" max="5383" width="5.1640625" style="125" customWidth="1"/>
    <col min="5384" max="5384" width="17.1640625" style="125" customWidth="1"/>
    <col min="5385" max="5385" width="4.5" style="125" customWidth="1"/>
    <col min="5386" max="5386" width="16.1640625" style="125" customWidth="1"/>
    <col min="5387" max="5387" width="4.83203125" style="125" customWidth="1"/>
    <col min="5388" max="5388" width="17.1640625" style="125" customWidth="1"/>
    <col min="5389" max="5389" width="4.1640625" style="125" customWidth="1"/>
    <col min="5390" max="5631" width="12" style="125"/>
    <col min="5632" max="5632" width="7" style="125" customWidth="1"/>
    <col min="5633" max="5633" width="2.33203125" style="125" customWidth="1"/>
    <col min="5634" max="5635" width="12" style="125"/>
    <col min="5636" max="5636" width="6.5" style="125" customWidth="1"/>
    <col min="5637" max="5637" width="5.1640625" style="125" customWidth="1"/>
    <col min="5638" max="5638" width="12" style="125"/>
    <col min="5639" max="5639" width="5.1640625" style="125" customWidth="1"/>
    <col min="5640" max="5640" width="17.1640625" style="125" customWidth="1"/>
    <col min="5641" max="5641" width="4.5" style="125" customWidth="1"/>
    <col min="5642" max="5642" width="16.1640625" style="125" customWidth="1"/>
    <col min="5643" max="5643" width="4.83203125" style="125" customWidth="1"/>
    <col min="5644" max="5644" width="17.1640625" style="125" customWidth="1"/>
    <col min="5645" max="5645" width="4.1640625" style="125" customWidth="1"/>
    <col min="5646" max="5887" width="12" style="125"/>
    <col min="5888" max="5888" width="7" style="125" customWidth="1"/>
    <col min="5889" max="5889" width="2.33203125" style="125" customWidth="1"/>
    <col min="5890" max="5891" width="12" style="125"/>
    <col min="5892" max="5892" width="6.5" style="125" customWidth="1"/>
    <col min="5893" max="5893" width="5.1640625" style="125" customWidth="1"/>
    <col min="5894" max="5894" width="12" style="125"/>
    <col min="5895" max="5895" width="5.1640625" style="125" customWidth="1"/>
    <col min="5896" max="5896" width="17.1640625" style="125" customWidth="1"/>
    <col min="5897" max="5897" width="4.5" style="125" customWidth="1"/>
    <col min="5898" max="5898" width="16.1640625" style="125" customWidth="1"/>
    <col min="5899" max="5899" width="4.83203125" style="125" customWidth="1"/>
    <col min="5900" max="5900" width="17.1640625" style="125" customWidth="1"/>
    <col min="5901" max="5901" width="4.1640625" style="125" customWidth="1"/>
    <col min="5902" max="6143" width="12" style="125"/>
    <col min="6144" max="6144" width="7" style="125" customWidth="1"/>
    <col min="6145" max="6145" width="2.33203125" style="125" customWidth="1"/>
    <col min="6146" max="6147" width="12" style="125"/>
    <col min="6148" max="6148" width="6.5" style="125" customWidth="1"/>
    <col min="6149" max="6149" width="5.1640625" style="125" customWidth="1"/>
    <col min="6150" max="6150" width="12" style="125"/>
    <col min="6151" max="6151" width="5.1640625" style="125" customWidth="1"/>
    <col min="6152" max="6152" width="17.1640625" style="125" customWidth="1"/>
    <col min="6153" max="6153" width="4.5" style="125" customWidth="1"/>
    <col min="6154" max="6154" width="16.1640625" style="125" customWidth="1"/>
    <col min="6155" max="6155" width="4.83203125" style="125" customWidth="1"/>
    <col min="6156" max="6156" width="17.1640625" style="125" customWidth="1"/>
    <col min="6157" max="6157" width="4.1640625" style="125" customWidth="1"/>
    <col min="6158" max="6399" width="12" style="125"/>
    <col min="6400" max="6400" width="7" style="125" customWidth="1"/>
    <col min="6401" max="6401" width="2.33203125" style="125" customWidth="1"/>
    <col min="6402" max="6403" width="12" style="125"/>
    <col min="6404" max="6404" width="6.5" style="125" customWidth="1"/>
    <col min="6405" max="6405" width="5.1640625" style="125" customWidth="1"/>
    <col min="6406" max="6406" width="12" style="125"/>
    <col min="6407" max="6407" width="5.1640625" style="125" customWidth="1"/>
    <col min="6408" max="6408" width="17.1640625" style="125" customWidth="1"/>
    <col min="6409" max="6409" width="4.5" style="125" customWidth="1"/>
    <col min="6410" max="6410" width="16.1640625" style="125" customWidth="1"/>
    <col min="6411" max="6411" width="4.83203125" style="125" customWidth="1"/>
    <col min="6412" max="6412" width="17.1640625" style="125" customWidth="1"/>
    <col min="6413" max="6413" width="4.1640625" style="125" customWidth="1"/>
    <col min="6414" max="6655" width="12" style="125"/>
    <col min="6656" max="6656" width="7" style="125" customWidth="1"/>
    <col min="6657" max="6657" width="2.33203125" style="125" customWidth="1"/>
    <col min="6658" max="6659" width="12" style="125"/>
    <col min="6660" max="6660" width="6.5" style="125" customWidth="1"/>
    <col min="6661" max="6661" width="5.1640625" style="125" customWidth="1"/>
    <col min="6662" max="6662" width="12" style="125"/>
    <col min="6663" max="6663" width="5.1640625" style="125" customWidth="1"/>
    <col min="6664" max="6664" width="17.1640625" style="125" customWidth="1"/>
    <col min="6665" max="6665" width="4.5" style="125" customWidth="1"/>
    <col min="6666" max="6666" width="16.1640625" style="125" customWidth="1"/>
    <col min="6667" max="6667" width="4.83203125" style="125" customWidth="1"/>
    <col min="6668" max="6668" width="17.1640625" style="125" customWidth="1"/>
    <col min="6669" max="6669" width="4.1640625" style="125" customWidth="1"/>
    <col min="6670" max="6911" width="12" style="125"/>
    <col min="6912" max="6912" width="7" style="125" customWidth="1"/>
    <col min="6913" max="6913" width="2.33203125" style="125" customWidth="1"/>
    <col min="6914" max="6915" width="12" style="125"/>
    <col min="6916" max="6916" width="6.5" style="125" customWidth="1"/>
    <col min="6917" max="6917" width="5.1640625" style="125" customWidth="1"/>
    <col min="6918" max="6918" width="12" style="125"/>
    <col min="6919" max="6919" width="5.1640625" style="125" customWidth="1"/>
    <col min="6920" max="6920" width="17.1640625" style="125" customWidth="1"/>
    <col min="6921" max="6921" width="4.5" style="125" customWidth="1"/>
    <col min="6922" max="6922" width="16.1640625" style="125" customWidth="1"/>
    <col min="6923" max="6923" width="4.83203125" style="125" customWidth="1"/>
    <col min="6924" max="6924" width="17.1640625" style="125" customWidth="1"/>
    <col min="6925" max="6925" width="4.1640625" style="125" customWidth="1"/>
    <col min="6926" max="7167" width="12" style="125"/>
    <col min="7168" max="7168" width="7" style="125" customWidth="1"/>
    <col min="7169" max="7169" width="2.33203125" style="125" customWidth="1"/>
    <col min="7170" max="7171" width="12" style="125"/>
    <col min="7172" max="7172" width="6.5" style="125" customWidth="1"/>
    <col min="7173" max="7173" width="5.1640625" style="125" customWidth="1"/>
    <col min="7174" max="7174" width="12" style="125"/>
    <col min="7175" max="7175" width="5.1640625" style="125" customWidth="1"/>
    <col min="7176" max="7176" width="17.1640625" style="125" customWidth="1"/>
    <col min="7177" max="7177" width="4.5" style="125" customWidth="1"/>
    <col min="7178" max="7178" width="16.1640625" style="125" customWidth="1"/>
    <col min="7179" max="7179" width="4.83203125" style="125" customWidth="1"/>
    <col min="7180" max="7180" width="17.1640625" style="125" customWidth="1"/>
    <col min="7181" max="7181" width="4.1640625" style="125" customWidth="1"/>
    <col min="7182" max="7423" width="12" style="125"/>
    <col min="7424" max="7424" width="7" style="125" customWidth="1"/>
    <col min="7425" max="7425" width="2.33203125" style="125" customWidth="1"/>
    <col min="7426" max="7427" width="12" style="125"/>
    <col min="7428" max="7428" width="6.5" style="125" customWidth="1"/>
    <col min="7429" max="7429" width="5.1640625" style="125" customWidth="1"/>
    <col min="7430" max="7430" width="12" style="125"/>
    <col min="7431" max="7431" width="5.1640625" style="125" customWidth="1"/>
    <col min="7432" max="7432" width="17.1640625" style="125" customWidth="1"/>
    <col min="7433" max="7433" width="4.5" style="125" customWidth="1"/>
    <col min="7434" max="7434" width="16.1640625" style="125" customWidth="1"/>
    <col min="7435" max="7435" width="4.83203125" style="125" customWidth="1"/>
    <col min="7436" max="7436" width="17.1640625" style="125" customWidth="1"/>
    <col min="7437" max="7437" width="4.1640625" style="125" customWidth="1"/>
    <col min="7438" max="7679" width="12" style="125"/>
    <col min="7680" max="7680" width="7" style="125" customWidth="1"/>
    <col min="7681" max="7681" width="2.33203125" style="125" customWidth="1"/>
    <col min="7682" max="7683" width="12" style="125"/>
    <col min="7684" max="7684" width="6.5" style="125" customWidth="1"/>
    <col min="7685" max="7685" width="5.1640625" style="125" customWidth="1"/>
    <col min="7686" max="7686" width="12" style="125"/>
    <col min="7687" max="7687" width="5.1640625" style="125" customWidth="1"/>
    <col min="7688" max="7688" width="17.1640625" style="125" customWidth="1"/>
    <col min="7689" max="7689" width="4.5" style="125" customWidth="1"/>
    <col min="7690" max="7690" width="16.1640625" style="125" customWidth="1"/>
    <col min="7691" max="7691" width="4.83203125" style="125" customWidth="1"/>
    <col min="7692" max="7692" width="17.1640625" style="125" customWidth="1"/>
    <col min="7693" max="7693" width="4.1640625" style="125" customWidth="1"/>
    <col min="7694" max="7935" width="12" style="125"/>
    <col min="7936" max="7936" width="7" style="125" customWidth="1"/>
    <col min="7937" max="7937" width="2.33203125" style="125" customWidth="1"/>
    <col min="7938" max="7939" width="12" style="125"/>
    <col min="7940" max="7940" width="6.5" style="125" customWidth="1"/>
    <col min="7941" max="7941" width="5.1640625" style="125" customWidth="1"/>
    <col min="7942" max="7942" width="12" style="125"/>
    <col min="7943" max="7943" width="5.1640625" style="125" customWidth="1"/>
    <col min="7944" max="7944" width="17.1640625" style="125" customWidth="1"/>
    <col min="7945" max="7945" width="4.5" style="125" customWidth="1"/>
    <col min="7946" max="7946" width="16.1640625" style="125" customWidth="1"/>
    <col min="7947" max="7947" width="4.83203125" style="125" customWidth="1"/>
    <col min="7948" max="7948" width="17.1640625" style="125" customWidth="1"/>
    <col min="7949" max="7949" width="4.1640625" style="125" customWidth="1"/>
    <col min="7950" max="8191" width="12" style="125"/>
    <col min="8192" max="8192" width="7" style="125" customWidth="1"/>
    <col min="8193" max="8193" width="2.33203125" style="125" customWidth="1"/>
    <col min="8194" max="8195" width="12" style="125"/>
    <col min="8196" max="8196" width="6.5" style="125" customWidth="1"/>
    <col min="8197" max="8197" width="5.1640625" style="125" customWidth="1"/>
    <col min="8198" max="8198" width="12" style="125"/>
    <col min="8199" max="8199" width="5.1640625" style="125" customWidth="1"/>
    <col min="8200" max="8200" width="17.1640625" style="125" customWidth="1"/>
    <col min="8201" max="8201" width="4.5" style="125" customWidth="1"/>
    <col min="8202" max="8202" width="16.1640625" style="125" customWidth="1"/>
    <col min="8203" max="8203" width="4.83203125" style="125" customWidth="1"/>
    <col min="8204" max="8204" width="17.1640625" style="125" customWidth="1"/>
    <col min="8205" max="8205" width="4.1640625" style="125" customWidth="1"/>
    <col min="8206" max="8447" width="12" style="125"/>
    <col min="8448" max="8448" width="7" style="125" customWidth="1"/>
    <col min="8449" max="8449" width="2.33203125" style="125" customWidth="1"/>
    <col min="8450" max="8451" width="12" style="125"/>
    <col min="8452" max="8452" width="6.5" style="125" customWidth="1"/>
    <col min="8453" max="8453" width="5.1640625" style="125" customWidth="1"/>
    <col min="8454" max="8454" width="12" style="125"/>
    <col min="8455" max="8455" width="5.1640625" style="125" customWidth="1"/>
    <col min="8456" max="8456" width="17.1640625" style="125" customWidth="1"/>
    <col min="8457" max="8457" width="4.5" style="125" customWidth="1"/>
    <col min="8458" max="8458" width="16.1640625" style="125" customWidth="1"/>
    <col min="8459" max="8459" width="4.83203125" style="125" customWidth="1"/>
    <col min="8460" max="8460" width="17.1640625" style="125" customWidth="1"/>
    <col min="8461" max="8461" width="4.1640625" style="125" customWidth="1"/>
    <col min="8462" max="8703" width="12" style="125"/>
    <col min="8704" max="8704" width="7" style="125" customWidth="1"/>
    <col min="8705" max="8705" width="2.33203125" style="125" customWidth="1"/>
    <col min="8706" max="8707" width="12" style="125"/>
    <col min="8708" max="8708" width="6.5" style="125" customWidth="1"/>
    <col min="8709" max="8709" width="5.1640625" style="125" customWidth="1"/>
    <col min="8710" max="8710" width="12" style="125"/>
    <col min="8711" max="8711" width="5.1640625" style="125" customWidth="1"/>
    <col min="8712" max="8712" width="17.1640625" style="125" customWidth="1"/>
    <col min="8713" max="8713" width="4.5" style="125" customWidth="1"/>
    <col min="8714" max="8714" width="16.1640625" style="125" customWidth="1"/>
    <col min="8715" max="8715" width="4.83203125" style="125" customWidth="1"/>
    <col min="8716" max="8716" width="17.1640625" style="125" customWidth="1"/>
    <col min="8717" max="8717" width="4.1640625" style="125" customWidth="1"/>
    <col min="8718" max="8959" width="12" style="125"/>
    <col min="8960" max="8960" width="7" style="125" customWidth="1"/>
    <col min="8961" max="8961" width="2.33203125" style="125" customWidth="1"/>
    <col min="8962" max="8963" width="12" style="125"/>
    <col min="8964" max="8964" width="6.5" style="125" customWidth="1"/>
    <col min="8965" max="8965" width="5.1640625" style="125" customWidth="1"/>
    <col min="8966" max="8966" width="12" style="125"/>
    <col min="8967" max="8967" width="5.1640625" style="125" customWidth="1"/>
    <col min="8968" max="8968" width="17.1640625" style="125" customWidth="1"/>
    <col min="8969" max="8969" width="4.5" style="125" customWidth="1"/>
    <col min="8970" max="8970" width="16.1640625" style="125" customWidth="1"/>
    <col min="8971" max="8971" width="4.83203125" style="125" customWidth="1"/>
    <col min="8972" max="8972" width="17.1640625" style="125" customWidth="1"/>
    <col min="8973" max="8973" width="4.1640625" style="125" customWidth="1"/>
    <col min="8974" max="9215" width="12" style="125"/>
    <col min="9216" max="9216" width="7" style="125" customWidth="1"/>
    <col min="9217" max="9217" width="2.33203125" style="125" customWidth="1"/>
    <col min="9218" max="9219" width="12" style="125"/>
    <col min="9220" max="9220" width="6.5" style="125" customWidth="1"/>
    <col min="9221" max="9221" width="5.1640625" style="125" customWidth="1"/>
    <col min="9222" max="9222" width="12" style="125"/>
    <col min="9223" max="9223" width="5.1640625" style="125" customWidth="1"/>
    <col min="9224" max="9224" width="17.1640625" style="125" customWidth="1"/>
    <col min="9225" max="9225" width="4.5" style="125" customWidth="1"/>
    <col min="9226" max="9226" width="16.1640625" style="125" customWidth="1"/>
    <col min="9227" max="9227" width="4.83203125" style="125" customWidth="1"/>
    <col min="9228" max="9228" width="17.1640625" style="125" customWidth="1"/>
    <col min="9229" max="9229" width="4.1640625" style="125" customWidth="1"/>
    <col min="9230" max="9471" width="12" style="125"/>
    <col min="9472" max="9472" width="7" style="125" customWidth="1"/>
    <col min="9473" max="9473" width="2.33203125" style="125" customWidth="1"/>
    <col min="9474" max="9475" width="12" style="125"/>
    <col min="9476" max="9476" width="6.5" style="125" customWidth="1"/>
    <col min="9477" max="9477" width="5.1640625" style="125" customWidth="1"/>
    <col min="9478" max="9478" width="12" style="125"/>
    <col min="9479" max="9479" width="5.1640625" style="125" customWidth="1"/>
    <col min="9480" max="9480" width="17.1640625" style="125" customWidth="1"/>
    <col min="9481" max="9481" width="4.5" style="125" customWidth="1"/>
    <col min="9482" max="9482" width="16.1640625" style="125" customWidth="1"/>
    <col min="9483" max="9483" width="4.83203125" style="125" customWidth="1"/>
    <col min="9484" max="9484" width="17.1640625" style="125" customWidth="1"/>
    <col min="9485" max="9485" width="4.1640625" style="125" customWidth="1"/>
    <col min="9486" max="9727" width="12" style="125"/>
    <col min="9728" max="9728" width="7" style="125" customWidth="1"/>
    <col min="9729" max="9729" width="2.33203125" style="125" customWidth="1"/>
    <col min="9730" max="9731" width="12" style="125"/>
    <col min="9732" max="9732" width="6.5" style="125" customWidth="1"/>
    <col min="9733" max="9733" width="5.1640625" style="125" customWidth="1"/>
    <col min="9734" max="9734" width="12" style="125"/>
    <col min="9735" max="9735" width="5.1640625" style="125" customWidth="1"/>
    <col min="9736" max="9736" width="17.1640625" style="125" customWidth="1"/>
    <col min="9737" max="9737" width="4.5" style="125" customWidth="1"/>
    <col min="9738" max="9738" width="16.1640625" style="125" customWidth="1"/>
    <col min="9739" max="9739" width="4.83203125" style="125" customWidth="1"/>
    <col min="9740" max="9740" width="17.1640625" style="125" customWidth="1"/>
    <col min="9741" max="9741" width="4.1640625" style="125" customWidth="1"/>
    <col min="9742" max="9983" width="12" style="125"/>
    <col min="9984" max="9984" width="7" style="125" customWidth="1"/>
    <col min="9985" max="9985" width="2.33203125" style="125" customWidth="1"/>
    <col min="9986" max="9987" width="12" style="125"/>
    <col min="9988" max="9988" width="6.5" style="125" customWidth="1"/>
    <col min="9989" max="9989" width="5.1640625" style="125" customWidth="1"/>
    <col min="9990" max="9990" width="12" style="125"/>
    <col min="9991" max="9991" width="5.1640625" style="125" customWidth="1"/>
    <col min="9992" max="9992" width="17.1640625" style="125" customWidth="1"/>
    <col min="9993" max="9993" width="4.5" style="125" customWidth="1"/>
    <col min="9994" max="9994" width="16.1640625" style="125" customWidth="1"/>
    <col min="9995" max="9995" width="4.83203125" style="125" customWidth="1"/>
    <col min="9996" max="9996" width="17.1640625" style="125" customWidth="1"/>
    <col min="9997" max="9997" width="4.1640625" style="125" customWidth="1"/>
    <col min="9998" max="10239" width="12" style="125"/>
    <col min="10240" max="10240" width="7" style="125" customWidth="1"/>
    <col min="10241" max="10241" width="2.33203125" style="125" customWidth="1"/>
    <col min="10242" max="10243" width="12" style="125"/>
    <col min="10244" max="10244" width="6.5" style="125" customWidth="1"/>
    <col min="10245" max="10245" width="5.1640625" style="125" customWidth="1"/>
    <col min="10246" max="10246" width="12" style="125"/>
    <col min="10247" max="10247" width="5.1640625" style="125" customWidth="1"/>
    <col min="10248" max="10248" width="17.1640625" style="125" customWidth="1"/>
    <col min="10249" max="10249" width="4.5" style="125" customWidth="1"/>
    <col min="10250" max="10250" width="16.1640625" style="125" customWidth="1"/>
    <col min="10251" max="10251" width="4.83203125" style="125" customWidth="1"/>
    <col min="10252" max="10252" width="17.1640625" style="125" customWidth="1"/>
    <col min="10253" max="10253" width="4.1640625" style="125" customWidth="1"/>
    <col min="10254" max="10495" width="12" style="125"/>
    <col min="10496" max="10496" width="7" style="125" customWidth="1"/>
    <col min="10497" max="10497" width="2.33203125" style="125" customWidth="1"/>
    <col min="10498" max="10499" width="12" style="125"/>
    <col min="10500" max="10500" width="6.5" style="125" customWidth="1"/>
    <col min="10501" max="10501" width="5.1640625" style="125" customWidth="1"/>
    <col min="10502" max="10502" width="12" style="125"/>
    <col min="10503" max="10503" width="5.1640625" style="125" customWidth="1"/>
    <col min="10504" max="10504" width="17.1640625" style="125" customWidth="1"/>
    <col min="10505" max="10505" width="4.5" style="125" customWidth="1"/>
    <col min="10506" max="10506" width="16.1640625" style="125" customWidth="1"/>
    <col min="10507" max="10507" width="4.83203125" style="125" customWidth="1"/>
    <col min="10508" max="10508" width="17.1640625" style="125" customWidth="1"/>
    <col min="10509" max="10509" width="4.1640625" style="125" customWidth="1"/>
    <col min="10510" max="10751" width="12" style="125"/>
    <col min="10752" max="10752" width="7" style="125" customWidth="1"/>
    <col min="10753" max="10753" width="2.33203125" style="125" customWidth="1"/>
    <col min="10754" max="10755" width="12" style="125"/>
    <col min="10756" max="10756" width="6.5" style="125" customWidth="1"/>
    <col min="10757" max="10757" width="5.1640625" style="125" customWidth="1"/>
    <col min="10758" max="10758" width="12" style="125"/>
    <col min="10759" max="10759" width="5.1640625" style="125" customWidth="1"/>
    <col min="10760" max="10760" width="17.1640625" style="125" customWidth="1"/>
    <col min="10761" max="10761" width="4.5" style="125" customWidth="1"/>
    <col min="10762" max="10762" width="16.1640625" style="125" customWidth="1"/>
    <col min="10763" max="10763" width="4.83203125" style="125" customWidth="1"/>
    <col min="10764" max="10764" width="17.1640625" style="125" customWidth="1"/>
    <col min="10765" max="10765" width="4.1640625" style="125" customWidth="1"/>
    <col min="10766" max="11007" width="12" style="125"/>
    <col min="11008" max="11008" width="7" style="125" customWidth="1"/>
    <col min="11009" max="11009" width="2.33203125" style="125" customWidth="1"/>
    <col min="11010" max="11011" width="12" style="125"/>
    <col min="11012" max="11012" width="6.5" style="125" customWidth="1"/>
    <col min="11013" max="11013" width="5.1640625" style="125" customWidth="1"/>
    <col min="11014" max="11014" width="12" style="125"/>
    <col min="11015" max="11015" width="5.1640625" style="125" customWidth="1"/>
    <col min="11016" max="11016" width="17.1640625" style="125" customWidth="1"/>
    <col min="11017" max="11017" width="4.5" style="125" customWidth="1"/>
    <col min="11018" max="11018" width="16.1640625" style="125" customWidth="1"/>
    <col min="11019" max="11019" width="4.83203125" style="125" customWidth="1"/>
    <col min="11020" max="11020" width="17.1640625" style="125" customWidth="1"/>
    <col min="11021" max="11021" width="4.1640625" style="125" customWidth="1"/>
    <col min="11022" max="11263" width="12" style="125"/>
    <col min="11264" max="11264" width="7" style="125" customWidth="1"/>
    <col min="11265" max="11265" width="2.33203125" style="125" customWidth="1"/>
    <col min="11266" max="11267" width="12" style="125"/>
    <col min="11268" max="11268" width="6.5" style="125" customWidth="1"/>
    <col min="11269" max="11269" width="5.1640625" style="125" customWidth="1"/>
    <col min="11270" max="11270" width="12" style="125"/>
    <col min="11271" max="11271" width="5.1640625" style="125" customWidth="1"/>
    <col min="11272" max="11272" width="17.1640625" style="125" customWidth="1"/>
    <col min="11273" max="11273" width="4.5" style="125" customWidth="1"/>
    <col min="11274" max="11274" width="16.1640625" style="125" customWidth="1"/>
    <col min="11275" max="11275" width="4.83203125" style="125" customWidth="1"/>
    <col min="11276" max="11276" width="17.1640625" style="125" customWidth="1"/>
    <col min="11277" max="11277" width="4.1640625" style="125" customWidth="1"/>
    <col min="11278" max="11519" width="12" style="125"/>
    <col min="11520" max="11520" width="7" style="125" customWidth="1"/>
    <col min="11521" max="11521" width="2.33203125" style="125" customWidth="1"/>
    <col min="11522" max="11523" width="12" style="125"/>
    <col min="11524" max="11524" width="6.5" style="125" customWidth="1"/>
    <col min="11525" max="11525" width="5.1640625" style="125" customWidth="1"/>
    <col min="11526" max="11526" width="12" style="125"/>
    <col min="11527" max="11527" width="5.1640625" style="125" customWidth="1"/>
    <col min="11528" max="11528" width="17.1640625" style="125" customWidth="1"/>
    <col min="11529" max="11529" width="4.5" style="125" customWidth="1"/>
    <col min="11530" max="11530" width="16.1640625" style="125" customWidth="1"/>
    <col min="11531" max="11531" width="4.83203125" style="125" customWidth="1"/>
    <col min="11532" max="11532" width="17.1640625" style="125" customWidth="1"/>
    <col min="11533" max="11533" width="4.1640625" style="125" customWidth="1"/>
    <col min="11534" max="11775" width="12" style="125"/>
    <col min="11776" max="11776" width="7" style="125" customWidth="1"/>
    <col min="11777" max="11777" width="2.33203125" style="125" customWidth="1"/>
    <col min="11778" max="11779" width="12" style="125"/>
    <col min="11780" max="11780" width="6.5" style="125" customWidth="1"/>
    <col min="11781" max="11781" width="5.1640625" style="125" customWidth="1"/>
    <col min="11782" max="11782" width="12" style="125"/>
    <col min="11783" max="11783" width="5.1640625" style="125" customWidth="1"/>
    <col min="11784" max="11784" width="17.1640625" style="125" customWidth="1"/>
    <col min="11785" max="11785" width="4.5" style="125" customWidth="1"/>
    <col min="11786" max="11786" width="16.1640625" style="125" customWidth="1"/>
    <col min="11787" max="11787" width="4.83203125" style="125" customWidth="1"/>
    <col min="11788" max="11788" width="17.1640625" style="125" customWidth="1"/>
    <col min="11789" max="11789" width="4.1640625" style="125" customWidth="1"/>
    <col min="11790" max="12031" width="12" style="125"/>
    <col min="12032" max="12032" width="7" style="125" customWidth="1"/>
    <col min="12033" max="12033" width="2.33203125" style="125" customWidth="1"/>
    <col min="12034" max="12035" width="12" style="125"/>
    <col min="12036" max="12036" width="6.5" style="125" customWidth="1"/>
    <col min="12037" max="12037" width="5.1640625" style="125" customWidth="1"/>
    <col min="12038" max="12038" width="12" style="125"/>
    <col min="12039" max="12039" width="5.1640625" style="125" customWidth="1"/>
    <col min="12040" max="12040" width="17.1640625" style="125" customWidth="1"/>
    <col min="12041" max="12041" width="4.5" style="125" customWidth="1"/>
    <col min="12042" max="12042" width="16.1640625" style="125" customWidth="1"/>
    <col min="12043" max="12043" width="4.83203125" style="125" customWidth="1"/>
    <col min="12044" max="12044" width="17.1640625" style="125" customWidth="1"/>
    <col min="12045" max="12045" width="4.1640625" style="125" customWidth="1"/>
    <col min="12046" max="12287" width="12" style="125"/>
    <col min="12288" max="12288" width="7" style="125" customWidth="1"/>
    <col min="12289" max="12289" width="2.33203125" style="125" customWidth="1"/>
    <col min="12290" max="12291" width="12" style="125"/>
    <col min="12292" max="12292" width="6.5" style="125" customWidth="1"/>
    <col min="12293" max="12293" width="5.1640625" style="125" customWidth="1"/>
    <col min="12294" max="12294" width="12" style="125"/>
    <col min="12295" max="12295" width="5.1640625" style="125" customWidth="1"/>
    <col min="12296" max="12296" width="17.1640625" style="125" customWidth="1"/>
    <col min="12297" max="12297" width="4.5" style="125" customWidth="1"/>
    <col min="12298" max="12298" width="16.1640625" style="125" customWidth="1"/>
    <col min="12299" max="12299" width="4.83203125" style="125" customWidth="1"/>
    <col min="12300" max="12300" width="17.1640625" style="125" customWidth="1"/>
    <col min="12301" max="12301" width="4.1640625" style="125" customWidth="1"/>
    <col min="12302" max="12543" width="12" style="125"/>
    <col min="12544" max="12544" width="7" style="125" customWidth="1"/>
    <col min="12545" max="12545" width="2.33203125" style="125" customWidth="1"/>
    <col min="12546" max="12547" width="12" style="125"/>
    <col min="12548" max="12548" width="6.5" style="125" customWidth="1"/>
    <col min="12549" max="12549" width="5.1640625" style="125" customWidth="1"/>
    <col min="12550" max="12550" width="12" style="125"/>
    <col min="12551" max="12551" width="5.1640625" style="125" customWidth="1"/>
    <col min="12552" max="12552" width="17.1640625" style="125" customWidth="1"/>
    <col min="12553" max="12553" width="4.5" style="125" customWidth="1"/>
    <col min="12554" max="12554" width="16.1640625" style="125" customWidth="1"/>
    <col min="12555" max="12555" width="4.83203125" style="125" customWidth="1"/>
    <col min="12556" max="12556" width="17.1640625" style="125" customWidth="1"/>
    <col min="12557" max="12557" width="4.1640625" style="125" customWidth="1"/>
    <col min="12558" max="12799" width="12" style="125"/>
    <col min="12800" max="12800" width="7" style="125" customWidth="1"/>
    <col min="12801" max="12801" width="2.33203125" style="125" customWidth="1"/>
    <col min="12802" max="12803" width="12" style="125"/>
    <col min="12804" max="12804" width="6.5" style="125" customWidth="1"/>
    <col min="12805" max="12805" width="5.1640625" style="125" customWidth="1"/>
    <col min="12806" max="12806" width="12" style="125"/>
    <col min="12807" max="12807" width="5.1640625" style="125" customWidth="1"/>
    <col min="12808" max="12808" width="17.1640625" style="125" customWidth="1"/>
    <col min="12809" max="12809" width="4.5" style="125" customWidth="1"/>
    <col min="12810" max="12810" width="16.1640625" style="125" customWidth="1"/>
    <col min="12811" max="12811" width="4.83203125" style="125" customWidth="1"/>
    <col min="12812" max="12812" width="17.1640625" style="125" customWidth="1"/>
    <col min="12813" max="12813" width="4.1640625" style="125" customWidth="1"/>
    <col min="12814" max="13055" width="12" style="125"/>
    <col min="13056" max="13056" width="7" style="125" customWidth="1"/>
    <col min="13057" max="13057" width="2.33203125" style="125" customWidth="1"/>
    <col min="13058" max="13059" width="12" style="125"/>
    <col min="13060" max="13060" width="6.5" style="125" customWidth="1"/>
    <col min="13061" max="13061" width="5.1640625" style="125" customWidth="1"/>
    <col min="13062" max="13062" width="12" style="125"/>
    <col min="13063" max="13063" width="5.1640625" style="125" customWidth="1"/>
    <col min="13064" max="13064" width="17.1640625" style="125" customWidth="1"/>
    <col min="13065" max="13065" width="4.5" style="125" customWidth="1"/>
    <col min="13066" max="13066" width="16.1640625" style="125" customWidth="1"/>
    <col min="13067" max="13067" width="4.83203125" style="125" customWidth="1"/>
    <col min="13068" max="13068" width="17.1640625" style="125" customWidth="1"/>
    <col min="13069" max="13069" width="4.1640625" style="125" customWidth="1"/>
    <col min="13070" max="13311" width="12" style="125"/>
    <col min="13312" max="13312" width="7" style="125" customWidth="1"/>
    <col min="13313" max="13313" width="2.33203125" style="125" customWidth="1"/>
    <col min="13314" max="13315" width="12" style="125"/>
    <col min="13316" max="13316" width="6.5" style="125" customWidth="1"/>
    <col min="13317" max="13317" width="5.1640625" style="125" customWidth="1"/>
    <col min="13318" max="13318" width="12" style="125"/>
    <col min="13319" max="13319" width="5.1640625" style="125" customWidth="1"/>
    <col min="13320" max="13320" width="17.1640625" style="125" customWidth="1"/>
    <col min="13321" max="13321" width="4.5" style="125" customWidth="1"/>
    <col min="13322" max="13322" width="16.1640625" style="125" customWidth="1"/>
    <col min="13323" max="13323" width="4.83203125" style="125" customWidth="1"/>
    <col min="13324" max="13324" width="17.1640625" style="125" customWidth="1"/>
    <col min="13325" max="13325" width="4.1640625" style="125" customWidth="1"/>
    <col min="13326" max="13567" width="12" style="125"/>
    <col min="13568" max="13568" width="7" style="125" customWidth="1"/>
    <col min="13569" max="13569" width="2.33203125" style="125" customWidth="1"/>
    <col min="13570" max="13571" width="12" style="125"/>
    <col min="13572" max="13572" width="6.5" style="125" customWidth="1"/>
    <col min="13573" max="13573" width="5.1640625" style="125" customWidth="1"/>
    <col min="13574" max="13574" width="12" style="125"/>
    <col min="13575" max="13575" width="5.1640625" style="125" customWidth="1"/>
    <col min="13576" max="13576" width="17.1640625" style="125" customWidth="1"/>
    <col min="13577" max="13577" width="4.5" style="125" customWidth="1"/>
    <col min="13578" max="13578" width="16.1640625" style="125" customWidth="1"/>
    <col min="13579" max="13579" width="4.83203125" style="125" customWidth="1"/>
    <col min="13580" max="13580" width="17.1640625" style="125" customWidth="1"/>
    <col min="13581" max="13581" width="4.1640625" style="125" customWidth="1"/>
    <col min="13582" max="13823" width="12" style="125"/>
    <col min="13824" max="13824" width="7" style="125" customWidth="1"/>
    <col min="13825" max="13825" width="2.33203125" style="125" customWidth="1"/>
    <col min="13826" max="13827" width="12" style="125"/>
    <col min="13828" max="13828" width="6.5" style="125" customWidth="1"/>
    <col min="13829" max="13829" width="5.1640625" style="125" customWidth="1"/>
    <col min="13830" max="13830" width="12" style="125"/>
    <col min="13831" max="13831" width="5.1640625" style="125" customWidth="1"/>
    <col min="13832" max="13832" width="17.1640625" style="125" customWidth="1"/>
    <col min="13833" max="13833" width="4.5" style="125" customWidth="1"/>
    <col min="13834" max="13834" width="16.1640625" style="125" customWidth="1"/>
    <col min="13835" max="13835" width="4.83203125" style="125" customWidth="1"/>
    <col min="13836" max="13836" width="17.1640625" style="125" customWidth="1"/>
    <col min="13837" max="13837" width="4.1640625" style="125" customWidth="1"/>
    <col min="13838" max="14079" width="12" style="125"/>
    <col min="14080" max="14080" width="7" style="125" customWidth="1"/>
    <col min="14081" max="14081" width="2.33203125" style="125" customWidth="1"/>
    <col min="14082" max="14083" width="12" style="125"/>
    <col min="14084" max="14084" width="6.5" style="125" customWidth="1"/>
    <col min="14085" max="14085" width="5.1640625" style="125" customWidth="1"/>
    <col min="14086" max="14086" width="12" style="125"/>
    <col min="14087" max="14087" width="5.1640625" style="125" customWidth="1"/>
    <col min="14088" max="14088" width="17.1640625" style="125" customWidth="1"/>
    <col min="14089" max="14089" width="4.5" style="125" customWidth="1"/>
    <col min="14090" max="14090" width="16.1640625" style="125" customWidth="1"/>
    <col min="14091" max="14091" width="4.83203125" style="125" customWidth="1"/>
    <col min="14092" max="14092" width="17.1640625" style="125" customWidth="1"/>
    <col min="14093" max="14093" width="4.1640625" style="125" customWidth="1"/>
    <col min="14094" max="14335" width="12" style="125"/>
    <col min="14336" max="14336" width="7" style="125" customWidth="1"/>
    <col min="14337" max="14337" width="2.33203125" style="125" customWidth="1"/>
    <col min="14338" max="14339" width="12" style="125"/>
    <col min="14340" max="14340" width="6.5" style="125" customWidth="1"/>
    <col min="14341" max="14341" width="5.1640625" style="125" customWidth="1"/>
    <col min="14342" max="14342" width="12" style="125"/>
    <col min="14343" max="14343" width="5.1640625" style="125" customWidth="1"/>
    <col min="14344" max="14344" width="17.1640625" style="125" customWidth="1"/>
    <col min="14345" max="14345" width="4.5" style="125" customWidth="1"/>
    <col min="14346" max="14346" width="16.1640625" style="125" customWidth="1"/>
    <col min="14347" max="14347" width="4.83203125" style="125" customWidth="1"/>
    <col min="14348" max="14348" width="17.1640625" style="125" customWidth="1"/>
    <col min="14349" max="14349" width="4.1640625" style="125" customWidth="1"/>
    <col min="14350" max="14591" width="12" style="125"/>
    <col min="14592" max="14592" width="7" style="125" customWidth="1"/>
    <col min="14593" max="14593" width="2.33203125" style="125" customWidth="1"/>
    <col min="14594" max="14595" width="12" style="125"/>
    <col min="14596" max="14596" width="6.5" style="125" customWidth="1"/>
    <col min="14597" max="14597" width="5.1640625" style="125" customWidth="1"/>
    <col min="14598" max="14598" width="12" style="125"/>
    <col min="14599" max="14599" width="5.1640625" style="125" customWidth="1"/>
    <col min="14600" max="14600" width="17.1640625" style="125" customWidth="1"/>
    <col min="14601" max="14601" width="4.5" style="125" customWidth="1"/>
    <col min="14602" max="14602" width="16.1640625" style="125" customWidth="1"/>
    <col min="14603" max="14603" width="4.83203125" style="125" customWidth="1"/>
    <col min="14604" max="14604" width="17.1640625" style="125" customWidth="1"/>
    <col min="14605" max="14605" width="4.1640625" style="125" customWidth="1"/>
    <col min="14606" max="14847" width="12" style="125"/>
    <col min="14848" max="14848" width="7" style="125" customWidth="1"/>
    <col min="14849" max="14849" width="2.33203125" style="125" customWidth="1"/>
    <col min="14850" max="14851" width="12" style="125"/>
    <col min="14852" max="14852" width="6.5" style="125" customWidth="1"/>
    <col min="14853" max="14853" width="5.1640625" style="125" customWidth="1"/>
    <col min="14854" max="14854" width="12" style="125"/>
    <col min="14855" max="14855" width="5.1640625" style="125" customWidth="1"/>
    <col min="14856" max="14856" width="17.1640625" style="125" customWidth="1"/>
    <col min="14857" max="14857" width="4.5" style="125" customWidth="1"/>
    <col min="14858" max="14858" width="16.1640625" style="125" customWidth="1"/>
    <col min="14859" max="14859" width="4.83203125" style="125" customWidth="1"/>
    <col min="14860" max="14860" width="17.1640625" style="125" customWidth="1"/>
    <col min="14861" max="14861" width="4.1640625" style="125" customWidth="1"/>
    <col min="14862" max="15103" width="12" style="125"/>
    <col min="15104" max="15104" width="7" style="125" customWidth="1"/>
    <col min="15105" max="15105" width="2.33203125" style="125" customWidth="1"/>
    <col min="15106" max="15107" width="12" style="125"/>
    <col min="15108" max="15108" width="6.5" style="125" customWidth="1"/>
    <col min="15109" max="15109" width="5.1640625" style="125" customWidth="1"/>
    <col min="15110" max="15110" width="12" style="125"/>
    <col min="15111" max="15111" width="5.1640625" style="125" customWidth="1"/>
    <col min="15112" max="15112" width="17.1640625" style="125" customWidth="1"/>
    <col min="15113" max="15113" width="4.5" style="125" customWidth="1"/>
    <col min="15114" max="15114" width="16.1640625" style="125" customWidth="1"/>
    <col min="15115" max="15115" width="4.83203125" style="125" customWidth="1"/>
    <col min="15116" max="15116" width="17.1640625" style="125" customWidth="1"/>
    <col min="15117" max="15117" width="4.1640625" style="125" customWidth="1"/>
    <col min="15118" max="15359" width="12" style="125"/>
    <col min="15360" max="15360" width="7" style="125" customWidth="1"/>
    <col min="15361" max="15361" width="2.33203125" style="125" customWidth="1"/>
    <col min="15362" max="15363" width="12" style="125"/>
    <col min="15364" max="15364" width="6.5" style="125" customWidth="1"/>
    <col min="15365" max="15365" width="5.1640625" style="125" customWidth="1"/>
    <col min="15366" max="15366" width="12" style="125"/>
    <col min="15367" max="15367" width="5.1640625" style="125" customWidth="1"/>
    <col min="15368" max="15368" width="17.1640625" style="125" customWidth="1"/>
    <col min="15369" max="15369" width="4.5" style="125" customWidth="1"/>
    <col min="15370" max="15370" width="16.1640625" style="125" customWidth="1"/>
    <col min="15371" max="15371" width="4.83203125" style="125" customWidth="1"/>
    <col min="15372" max="15372" width="17.1640625" style="125" customWidth="1"/>
    <col min="15373" max="15373" width="4.1640625" style="125" customWidth="1"/>
    <col min="15374" max="15615" width="12" style="125"/>
    <col min="15616" max="15616" width="7" style="125" customWidth="1"/>
    <col min="15617" max="15617" width="2.33203125" style="125" customWidth="1"/>
    <col min="15618" max="15619" width="12" style="125"/>
    <col min="15620" max="15620" width="6.5" style="125" customWidth="1"/>
    <col min="15621" max="15621" width="5.1640625" style="125" customWidth="1"/>
    <col min="15622" max="15622" width="12" style="125"/>
    <col min="15623" max="15623" width="5.1640625" style="125" customWidth="1"/>
    <col min="15624" max="15624" width="17.1640625" style="125" customWidth="1"/>
    <col min="15625" max="15625" width="4.5" style="125" customWidth="1"/>
    <col min="15626" max="15626" width="16.1640625" style="125" customWidth="1"/>
    <col min="15627" max="15627" width="4.83203125" style="125" customWidth="1"/>
    <col min="15628" max="15628" width="17.1640625" style="125" customWidth="1"/>
    <col min="15629" max="15629" width="4.1640625" style="125" customWidth="1"/>
    <col min="15630" max="15871" width="12" style="125"/>
    <col min="15872" max="15872" width="7" style="125" customWidth="1"/>
    <col min="15873" max="15873" width="2.33203125" style="125" customWidth="1"/>
    <col min="15874" max="15875" width="12" style="125"/>
    <col min="15876" max="15876" width="6.5" style="125" customWidth="1"/>
    <col min="15877" max="15877" width="5.1640625" style="125" customWidth="1"/>
    <col min="15878" max="15878" width="12" style="125"/>
    <col min="15879" max="15879" width="5.1640625" style="125" customWidth="1"/>
    <col min="15880" max="15880" width="17.1640625" style="125" customWidth="1"/>
    <col min="15881" max="15881" width="4.5" style="125" customWidth="1"/>
    <col min="15882" max="15882" width="16.1640625" style="125" customWidth="1"/>
    <col min="15883" max="15883" width="4.83203125" style="125" customWidth="1"/>
    <col min="15884" max="15884" width="17.1640625" style="125" customWidth="1"/>
    <col min="15885" max="15885" width="4.1640625" style="125" customWidth="1"/>
    <col min="15886" max="16127" width="12" style="125"/>
    <col min="16128" max="16128" width="7" style="125" customWidth="1"/>
    <col min="16129" max="16129" width="2.33203125" style="125" customWidth="1"/>
    <col min="16130" max="16131" width="12" style="125"/>
    <col min="16132" max="16132" width="6.5" style="125" customWidth="1"/>
    <col min="16133" max="16133" width="5.1640625" style="125" customWidth="1"/>
    <col min="16134" max="16134" width="12" style="125"/>
    <col min="16135" max="16135" width="5.1640625" style="125" customWidth="1"/>
    <col min="16136" max="16136" width="17.1640625" style="125" customWidth="1"/>
    <col min="16137" max="16137" width="4.5" style="125" customWidth="1"/>
    <col min="16138" max="16138" width="16.1640625" style="125" customWidth="1"/>
    <col min="16139" max="16139" width="4.83203125" style="125" customWidth="1"/>
    <col min="16140" max="16140" width="17.1640625" style="125" customWidth="1"/>
    <col min="16141" max="16141" width="4.1640625" style="125" customWidth="1"/>
    <col min="16142" max="16384" width="12" style="125"/>
  </cols>
  <sheetData>
    <row r="1" spans="1:14" x14ac:dyDescent="0.25">
      <c r="J1" s="81" t="str">
        <f>+'CPA Amount of Change'!L2</f>
        <v>CNGC Advice W25-09-02</v>
      </c>
    </row>
    <row r="2" spans="1:14" x14ac:dyDescent="0.25">
      <c r="J2" s="99" t="s">
        <v>12</v>
      </c>
    </row>
    <row r="3" spans="1:14" x14ac:dyDescent="0.25">
      <c r="J3" s="99" t="s">
        <v>92</v>
      </c>
    </row>
    <row r="4" spans="1:14" x14ac:dyDescent="0.25">
      <c r="M4" s="126"/>
    </row>
    <row r="5" spans="1:14" x14ac:dyDescent="0.25">
      <c r="C5" s="127" t="s">
        <v>9</v>
      </c>
      <c r="D5" s="127"/>
      <c r="E5" s="128"/>
      <c r="F5" s="128"/>
      <c r="G5" s="128"/>
      <c r="H5" s="128"/>
      <c r="I5" s="128"/>
      <c r="J5" s="128"/>
      <c r="K5" s="128"/>
      <c r="L5" s="128"/>
      <c r="M5" s="126"/>
    </row>
    <row r="6" spans="1:14" x14ac:dyDescent="0.25">
      <c r="C6" s="313" t="s">
        <v>93</v>
      </c>
      <c r="D6" s="313"/>
      <c r="E6" s="313"/>
      <c r="F6" s="313"/>
      <c r="G6" s="313"/>
      <c r="H6" s="313"/>
      <c r="I6" s="313"/>
      <c r="J6" s="313"/>
      <c r="K6" s="313"/>
      <c r="L6" s="313"/>
      <c r="M6" s="129"/>
    </row>
    <row r="7" spans="1:14" hidden="1" x14ac:dyDescent="0.25">
      <c r="C7" s="127" t="s">
        <v>94</v>
      </c>
      <c r="D7" s="127"/>
      <c r="E7" s="128"/>
      <c r="F7" s="128"/>
      <c r="G7" s="128"/>
      <c r="H7" s="128"/>
      <c r="I7" s="128"/>
      <c r="J7" s="128"/>
      <c r="K7" s="128"/>
      <c r="L7" s="128"/>
      <c r="M7" s="126"/>
    </row>
    <row r="8" spans="1:14" x14ac:dyDescent="0.25">
      <c r="C8" s="127" t="s">
        <v>13</v>
      </c>
      <c r="D8" s="127"/>
      <c r="E8" s="128"/>
      <c r="F8" s="128"/>
      <c r="G8" s="128"/>
      <c r="H8" s="128"/>
      <c r="I8" s="128"/>
      <c r="J8" s="128"/>
      <c r="K8" s="128"/>
      <c r="L8" s="128"/>
    </row>
    <row r="9" spans="1:14" x14ac:dyDescent="0.25">
      <c r="D9" s="125" t="str">
        <f>+'[28]Combined PGA TTA Avg Bill'!D6</f>
        <v>UG-240008</v>
      </c>
      <c r="I9" s="130" t="s">
        <v>95</v>
      </c>
      <c r="K9" s="131" t="s">
        <v>95</v>
      </c>
    </row>
    <row r="10" spans="1:14" x14ac:dyDescent="0.25">
      <c r="D10" s="130" t="s">
        <v>96</v>
      </c>
      <c r="F10" s="130" t="s">
        <v>97</v>
      </c>
      <c r="G10" s="130" t="s">
        <v>97</v>
      </c>
      <c r="H10" s="130" t="s">
        <v>95</v>
      </c>
      <c r="I10" s="132">
        <f>+H11</f>
        <v>45962</v>
      </c>
      <c r="K10" s="133">
        <f>+H11</f>
        <v>45962</v>
      </c>
    </row>
    <row r="11" spans="1:14" x14ac:dyDescent="0.25">
      <c r="A11" s="134" t="s">
        <v>46</v>
      </c>
      <c r="D11" s="130" t="s">
        <v>98</v>
      </c>
      <c r="E11" s="130" t="s">
        <v>99</v>
      </c>
      <c r="F11" s="132">
        <v>45809</v>
      </c>
      <c r="G11" s="132">
        <f>+F11</f>
        <v>45809</v>
      </c>
      <c r="H11" s="132">
        <v>45962</v>
      </c>
      <c r="I11" s="130" t="s">
        <v>100</v>
      </c>
      <c r="J11" s="130" t="s">
        <v>101</v>
      </c>
      <c r="K11" s="135" t="s">
        <v>102</v>
      </c>
      <c r="L11" s="130"/>
      <c r="N11" s="128"/>
    </row>
    <row r="12" spans="1:14" x14ac:dyDescent="0.25">
      <c r="A12" s="134" t="s">
        <v>52</v>
      </c>
      <c r="C12" s="136" t="s">
        <v>103</v>
      </c>
      <c r="D12" s="136" t="s">
        <v>104</v>
      </c>
      <c r="E12" s="136" t="s">
        <v>105</v>
      </c>
      <c r="F12" s="136" t="s">
        <v>106</v>
      </c>
      <c r="G12" s="136" t="s">
        <v>107</v>
      </c>
      <c r="H12" s="136" t="s">
        <v>102</v>
      </c>
      <c r="I12" s="136" t="s">
        <v>107</v>
      </c>
      <c r="J12" s="136" t="s">
        <v>108</v>
      </c>
      <c r="K12" s="137" t="s">
        <v>109</v>
      </c>
      <c r="L12" s="130"/>
      <c r="N12" s="128"/>
    </row>
    <row r="13" spans="1:14" x14ac:dyDescent="0.25">
      <c r="A13" s="134"/>
      <c r="C13" s="130"/>
      <c r="D13" s="130"/>
      <c r="E13" s="130"/>
      <c r="F13" s="130"/>
      <c r="G13" s="130" t="s">
        <v>110</v>
      </c>
      <c r="H13" s="130"/>
      <c r="I13" s="130" t="s">
        <v>111</v>
      </c>
      <c r="K13" s="138"/>
      <c r="L13" s="130"/>
      <c r="N13" s="128"/>
    </row>
    <row r="14" spans="1:14" x14ac:dyDescent="0.25">
      <c r="C14" s="130" t="s">
        <v>28</v>
      </c>
      <c r="D14" s="130" t="s">
        <v>29</v>
      </c>
      <c r="E14" s="130" t="s">
        <v>30</v>
      </c>
      <c r="F14" s="130" t="s">
        <v>31</v>
      </c>
      <c r="G14" s="130" t="s">
        <v>32</v>
      </c>
      <c r="H14" s="130" t="s">
        <v>53</v>
      </c>
      <c r="I14" s="130" t="s">
        <v>78</v>
      </c>
      <c r="J14" s="130" t="s">
        <v>79</v>
      </c>
      <c r="K14" s="139" t="s">
        <v>36</v>
      </c>
    </row>
    <row r="15" spans="1:14" x14ac:dyDescent="0.25">
      <c r="K15" s="139"/>
    </row>
    <row r="16" spans="1:14" x14ac:dyDescent="0.25">
      <c r="A16" s="125">
        <v>1</v>
      </c>
      <c r="C16" s="125" t="s">
        <v>112</v>
      </c>
      <c r="D16" s="140">
        <f>+'[28]Effects of PGA Avg. Bill'!D16</f>
        <v>53</v>
      </c>
      <c r="E16" s="141">
        <f>+'[28]Effects of PGA Avg. Bill'!E16</f>
        <v>5.5</v>
      </c>
      <c r="F16" s="142">
        <f>+'[28]Effects of PGA Avg. Bill'!F16</f>
        <v>1.85869</v>
      </c>
      <c r="G16" s="143">
        <f>+E16+(D16*F16)</f>
        <v>104.01057</v>
      </c>
      <c r="H16" s="142">
        <f>+F16+'CPA Amount of Change'!K13</f>
        <v>1.88124</v>
      </c>
      <c r="I16" s="144">
        <f>E16+(D16*H16)</f>
        <v>105.20572</v>
      </c>
      <c r="J16" s="141">
        <f>+I16-G16</f>
        <v>1.1951499999999982</v>
      </c>
      <c r="K16" s="145">
        <f>+J16/G16</f>
        <v>1.1490659074361366E-2</v>
      </c>
      <c r="L16" s="143"/>
      <c r="N16" s="146"/>
    </row>
    <row r="17" spans="1:14" x14ac:dyDescent="0.25">
      <c r="D17" s="140"/>
      <c r="E17" s="147"/>
      <c r="F17" s="142"/>
      <c r="G17" s="143"/>
      <c r="H17" s="142"/>
      <c r="I17" s="144"/>
      <c r="J17" s="141"/>
      <c r="K17" s="145"/>
    </row>
    <row r="18" spans="1:14" x14ac:dyDescent="0.25">
      <c r="A18" s="125">
        <v>2</v>
      </c>
      <c r="C18" s="125" t="s">
        <v>113</v>
      </c>
      <c r="D18" s="140">
        <f>+'[28]Effects of PGA Avg. Bill'!D18</f>
        <v>277</v>
      </c>
      <c r="E18" s="147">
        <f>+'[28]Effects of PGA Avg. Bill'!E18</f>
        <v>20</v>
      </c>
      <c r="F18" s="142">
        <f>+'[28]Effects of PGA Avg. Bill'!F18</f>
        <v>1.72176</v>
      </c>
      <c r="G18" s="143">
        <f>+E18+(D18*F18)</f>
        <v>496.92752000000002</v>
      </c>
      <c r="H18" s="142">
        <f>+F18+'CPA Amount of Change'!K14</f>
        <v>1.74431</v>
      </c>
      <c r="I18" s="144">
        <f>E18+(D18*H18)</f>
        <v>503.17387000000002</v>
      </c>
      <c r="J18" s="141">
        <f t="shared" ref="J18:J30" si="0">+I18-G18</f>
        <v>6.2463500000000067</v>
      </c>
      <c r="K18" s="145">
        <f t="shared" ref="K18:K35" si="1">+J18/G18</f>
        <v>1.2569941789498811E-2</v>
      </c>
      <c r="L18" s="143"/>
      <c r="N18" s="146"/>
    </row>
    <row r="19" spans="1:14" x14ac:dyDescent="0.25">
      <c r="D19" s="140"/>
      <c r="E19" s="147"/>
      <c r="F19" s="142"/>
      <c r="G19" s="143"/>
      <c r="H19" s="142"/>
      <c r="J19" s="141"/>
      <c r="K19" s="145"/>
    </row>
    <row r="20" spans="1:14" x14ac:dyDescent="0.25">
      <c r="A20" s="125">
        <v>3</v>
      </c>
      <c r="C20" s="125" t="s">
        <v>114</v>
      </c>
      <c r="D20" s="140"/>
      <c r="E20" s="147">
        <f>+'[28]Effects of PGA Avg. Bill'!E20</f>
        <v>100</v>
      </c>
      <c r="F20" s="142"/>
      <c r="G20" s="143"/>
      <c r="H20" s="142"/>
      <c r="J20" s="141"/>
      <c r="K20" s="145"/>
      <c r="L20" s="148"/>
      <c r="N20" s="146"/>
    </row>
    <row r="21" spans="1:14" x14ac:dyDescent="0.25">
      <c r="A21" s="125">
        <v>4</v>
      </c>
      <c r="C21" s="125" t="s">
        <v>115</v>
      </c>
      <c r="D21" s="140"/>
      <c r="E21" s="147"/>
      <c r="F21" s="142">
        <f>+'[28]Effects of PGA Avg. Bill'!F21</f>
        <v>1.629397762537012</v>
      </c>
      <c r="G21" s="143">
        <f>+E20+(500*F21)</f>
        <v>914.69888126850594</v>
      </c>
      <c r="H21" s="142">
        <f>+F21+'CPA Amount of Change'!K15</f>
        <v>1.651947762537012</v>
      </c>
      <c r="I21" s="143">
        <f>+E20+(500*H21)</f>
        <v>925.97388126850603</v>
      </c>
      <c r="J21" s="141"/>
      <c r="K21" s="145"/>
      <c r="L21" s="148"/>
      <c r="N21" s="146"/>
    </row>
    <row r="22" spans="1:14" x14ac:dyDescent="0.25">
      <c r="A22" s="125">
        <v>5</v>
      </c>
      <c r="C22" s="125" t="s">
        <v>116</v>
      </c>
      <c r="D22" s="140"/>
      <c r="E22" s="147"/>
      <c r="F22" s="142">
        <f>+'[28]Effects of PGA Avg. Bill'!F22</f>
        <v>1.584527762537012</v>
      </c>
      <c r="G22" s="143">
        <f>+(D24-500)*F22</f>
        <v>2456.0180319323686</v>
      </c>
      <c r="H22" s="142">
        <f>+F22+'CPA Amount of Change'!K15</f>
        <v>1.6070777625370121</v>
      </c>
      <c r="I22" s="143">
        <f>+(D24-500)*H22</f>
        <v>2490.9705319323689</v>
      </c>
      <c r="J22" s="141"/>
      <c r="K22" s="145"/>
      <c r="L22" s="148"/>
      <c r="N22" s="146"/>
    </row>
    <row r="23" spans="1:14" x14ac:dyDescent="0.25">
      <c r="A23" s="125">
        <v>6</v>
      </c>
      <c r="C23" s="125" t="s">
        <v>117</v>
      </c>
      <c r="D23" s="140"/>
      <c r="E23" s="147"/>
      <c r="F23" s="142">
        <f>+'[28]Effects of PGA Avg. Bill'!F23</f>
        <v>1.577747762537012</v>
      </c>
      <c r="G23" s="143"/>
      <c r="H23" s="142">
        <f>+F23+'CPA Amount of Change'!K15</f>
        <v>1.6002977625370121</v>
      </c>
      <c r="J23" s="141"/>
      <c r="K23" s="145"/>
      <c r="L23" s="148"/>
    </row>
    <row r="24" spans="1:14" x14ac:dyDescent="0.25">
      <c r="A24" s="125">
        <v>7</v>
      </c>
      <c r="C24" s="134" t="s">
        <v>118</v>
      </c>
      <c r="D24" s="149">
        <f>+'[28]Effects of PGA Avg. Bill'!D24</f>
        <v>2050</v>
      </c>
      <c r="E24" s="147"/>
      <c r="F24" s="142"/>
      <c r="G24" s="143">
        <f>+SUM((G21:G23))</f>
        <v>3370.7169132008744</v>
      </c>
      <c r="H24" s="143"/>
      <c r="I24" s="143">
        <f>+SUM(I21:I23)</f>
        <v>3416.9444132008748</v>
      </c>
      <c r="J24" s="141">
        <f t="shared" si="0"/>
        <v>46.227500000000418</v>
      </c>
      <c r="K24" s="145">
        <f t="shared" si="1"/>
        <v>1.3714441523984941E-2</v>
      </c>
      <c r="L24" s="148"/>
      <c r="N24" s="146"/>
    </row>
    <row r="25" spans="1:14" x14ac:dyDescent="0.25">
      <c r="C25" s="126"/>
      <c r="D25" s="140"/>
      <c r="E25" s="147"/>
      <c r="F25" s="142"/>
      <c r="G25" s="143"/>
      <c r="H25" s="142"/>
      <c r="J25" s="141"/>
      <c r="K25" s="145"/>
      <c r="L25" s="148"/>
      <c r="N25" s="146"/>
    </row>
    <row r="26" spans="1:14" x14ac:dyDescent="0.25">
      <c r="A26" s="125">
        <v>8</v>
      </c>
      <c r="C26" s="125" t="s">
        <v>119</v>
      </c>
      <c r="D26" s="140"/>
      <c r="E26" s="147">
        <f>+'[28]Effects of PGA Avg. Bill'!E26</f>
        <v>250</v>
      </c>
      <c r="F26" s="142"/>
      <c r="G26" s="143"/>
      <c r="H26" s="142"/>
      <c r="J26" s="141"/>
      <c r="K26" s="145"/>
      <c r="L26" s="148"/>
      <c r="N26" s="146"/>
    </row>
    <row r="27" spans="1:14" x14ac:dyDescent="0.25">
      <c r="A27" s="125">
        <v>9</v>
      </c>
      <c r="C27" s="125" t="s">
        <v>120</v>
      </c>
      <c r="D27" s="140"/>
      <c r="E27" s="147"/>
      <c r="F27" s="142">
        <f>+'[28]Effects of PGA Avg. Bill'!F27</f>
        <v>1.6145977625370118</v>
      </c>
      <c r="G27" s="143">
        <f>+E26+(+F27*D30)</f>
        <v>22931.86936811994</v>
      </c>
      <c r="H27" s="142">
        <f>+F27+'CPA Amount of Change'!K16</f>
        <v>1.6371477625370119</v>
      </c>
      <c r="I27" s="143">
        <f>+E26+(+H27*D30)</f>
        <v>23248.651768119944</v>
      </c>
      <c r="J27" s="141"/>
      <c r="K27" s="145"/>
    </row>
    <row r="28" spans="1:14" x14ac:dyDescent="0.25">
      <c r="A28" s="125">
        <v>10</v>
      </c>
      <c r="B28" s="126"/>
      <c r="C28" s="125" t="s">
        <v>121</v>
      </c>
      <c r="D28" s="140"/>
      <c r="E28" s="147"/>
      <c r="F28" s="142">
        <f>+'[28]Effects of PGA Avg. Bill'!F28</f>
        <v>1.5694477625370118</v>
      </c>
      <c r="G28" s="143"/>
      <c r="H28" s="142">
        <f>+F28+'CPA Amount of Change'!K16</f>
        <v>1.5919977625370119</v>
      </c>
      <c r="I28" s="143"/>
      <c r="J28" s="141"/>
      <c r="K28" s="145"/>
    </row>
    <row r="29" spans="1:14" x14ac:dyDescent="0.25">
      <c r="A29" s="125">
        <v>11</v>
      </c>
      <c r="B29" s="126"/>
      <c r="C29" s="125" t="s">
        <v>122</v>
      </c>
      <c r="D29" s="140"/>
      <c r="E29" s="147"/>
      <c r="F29" s="142">
        <f>+'[28]Effects of PGA Avg. Bill'!F29</f>
        <v>1.4577877625370119</v>
      </c>
      <c r="G29" s="143"/>
      <c r="H29" s="142">
        <f>+F29+'CPA Amount of Change'!K16</f>
        <v>1.480337762537012</v>
      </c>
      <c r="I29" s="143"/>
      <c r="J29" s="141"/>
      <c r="K29" s="145"/>
    </row>
    <row r="30" spans="1:14" x14ac:dyDescent="0.25">
      <c r="A30" s="125">
        <v>12</v>
      </c>
      <c r="B30" s="126"/>
      <c r="C30" s="134" t="s">
        <v>123</v>
      </c>
      <c r="D30" s="149">
        <f>+'[28]Effects of PGA Avg. Bill'!D30</f>
        <v>14048</v>
      </c>
      <c r="E30" s="147"/>
      <c r="F30" s="142"/>
      <c r="G30" s="143">
        <f>+SUM(G27:G29)</f>
        <v>22931.86936811994</v>
      </c>
      <c r="H30" s="143"/>
      <c r="I30" s="143">
        <f>+SUM(I27:I29)</f>
        <v>23248.651768119944</v>
      </c>
      <c r="J30" s="141">
        <f t="shared" si="0"/>
        <v>316.78240000000369</v>
      </c>
      <c r="K30" s="145">
        <f t="shared" si="1"/>
        <v>1.3814067877100199E-2</v>
      </c>
    </row>
    <row r="31" spans="1:14" x14ac:dyDescent="0.25">
      <c r="D31" s="149"/>
      <c r="E31" s="147"/>
      <c r="F31" s="142"/>
      <c r="G31" s="143"/>
      <c r="H31" s="142"/>
      <c r="J31" s="141"/>
      <c r="K31" s="145"/>
    </row>
    <row r="32" spans="1:14" x14ac:dyDescent="0.25">
      <c r="A32" s="125">
        <v>13</v>
      </c>
      <c r="C32" s="125" t="s">
        <v>124</v>
      </c>
      <c r="D32" s="149"/>
      <c r="E32" s="147">
        <f>+'[28]Effects of PGA Avg. Bill'!E32</f>
        <v>300</v>
      </c>
      <c r="F32" s="142"/>
      <c r="G32" s="143"/>
      <c r="H32" s="142"/>
      <c r="J32" s="141"/>
      <c r="K32" s="145"/>
    </row>
    <row r="33" spans="1:14" x14ac:dyDescent="0.25">
      <c r="A33" s="125">
        <v>14</v>
      </c>
      <c r="C33" s="125" t="s">
        <v>125</v>
      </c>
      <c r="D33" s="149"/>
      <c r="F33" s="142">
        <f>+'[28]Effects of PGA Avg. Bill'!F33</f>
        <v>1.4733000000000001</v>
      </c>
      <c r="G33" s="143">
        <f>+E32+(D35*F33)</f>
        <v>37089.774300000005</v>
      </c>
      <c r="H33" s="142">
        <f>+F33+'CPA Amount of Change'!K17</f>
        <v>1.4958500000000001</v>
      </c>
      <c r="I33" s="143">
        <f>+E32+(D35*H33)</f>
        <v>37652.870350000005</v>
      </c>
      <c r="J33" s="141"/>
      <c r="K33" s="145"/>
    </row>
    <row r="34" spans="1:14" x14ac:dyDescent="0.25">
      <c r="A34" s="125">
        <v>15</v>
      </c>
      <c r="C34" s="125" t="s">
        <v>126</v>
      </c>
      <c r="D34" s="149"/>
      <c r="F34" s="142">
        <f>+'[28]Effects of PGA Avg. Bill'!F34</f>
        <v>1.3978299999999999</v>
      </c>
      <c r="G34" s="143"/>
      <c r="H34" s="142">
        <f>+F34+'CPA Amount of Change'!K17</f>
        <v>1.42038</v>
      </c>
      <c r="J34" s="141"/>
      <c r="K34" s="145"/>
    </row>
    <row r="35" spans="1:14" x14ac:dyDescent="0.25">
      <c r="A35" s="125">
        <v>16</v>
      </c>
      <c r="C35" s="134" t="s">
        <v>127</v>
      </c>
      <c r="D35" s="149">
        <f>+'[28]Effects of PGA Avg. Bill'!D35</f>
        <v>24971</v>
      </c>
      <c r="G35" s="150">
        <f>+G33+G34</f>
        <v>37089.774300000005</v>
      </c>
      <c r="H35" s="143"/>
      <c r="I35" s="143">
        <f>+I33+I34</f>
        <v>37652.870350000005</v>
      </c>
      <c r="J35" s="141">
        <f>+I35-G35</f>
        <v>563.0960500000001</v>
      </c>
      <c r="K35" s="151">
        <f t="shared" si="1"/>
        <v>1.5181975642272917E-2</v>
      </c>
    </row>
    <row r="37" spans="1:14" x14ac:dyDescent="0.25">
      <c r="N37" s="146"/>
    </row>
  </sheetData>
  <mergeCells count="1">
    <mergeCell ref="C6:L6"/>
  </mergeCells>
  <printOptions horizontalCentered="1"/>
  <pageMargins left="0.2" right="0.2" top="1" bottom="0.17" header="0.35" footer="0.5"/>
  <pageSetup scale="90" orientation="landscape" r:id="rId1"/>
  <headerFooter scaleWithDoc="0" alignWithMargins="0">
    <oddFooter>&amp;LTab Name: &amp;A</oddFooter>
  </headerFooter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26A31-5C68-4040-BF64-05643381DFBC}">
  <dimension ref="A1"/>
  <sheetViews>
    <sheetView workbookViewId="0">
      <selection activeCell="F12" sqref="F12"/>
    </sheetView>
  </sheetViews>
  <sheetFormatPr defaultRowHeight="10.5" x14ac:dyDescent="0.1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0B6D5-1BEE-49D3-AE4E-D2566B823401}">
  <sheetPr>
    <pageSetUpPr fitToPage="1"/>
  </sheetPr>
  <dimension ref="A1:I14"/>
  <sheetViews>
    <sheetView workbookViewId="0">
      <selection activeCell="D7" sqref="D7"/>
    </sheetView>
  </sheetViews>
  <sheetFormatPr defaultColWidth="9.33203125" defaultRowHeight="15" x14ac:dyDescent="0.25"/>
  <cols>
    <col min="1" max="1" width="24.33203125" style="152" bestFit="1" customWidth="1"/>
    <col min="2" max="2" width="16" style="152" bestFit="1" customWidth="1"/>
    <col min="3" max="3" width="66.1640625" style="152" bestFit="1" customWidth="1"/>
    <col min="4" max="4" width="24.33203125" style="152" bestFit="1" customWidth="1"/>
    <col min="5" max="5" width="14.1640625" style="152" customWidth="1"/>
    <col min="6" max="6" width="8.6640625" style="152" bestFit="1" customWidth="1"/>
    <col min="7" max="9" width="10.6640625" style="152" customWidth="1"/>
    <col min="10" max="11" width="9.33203125" style="152"/>
    <col min="12" max="13" width="18" style="152" bestFit="1" customWidth="1"/>
    <col min="14" max="16384" width="9.33203125" style="152"/>
  </cols>
  <sheetData>
    <row r="1" spans="1:9" x14ac:dyDescent="0.25">
      <c r="C1" s="317" t="s">
        <v>9</v>
      </c>
      <c r="D1" s="317"/>
      <c r="E1" s="317"/>
      <c r="F1" s="317"/>
      <c r="G1" s="317"/>
      <c r="H1" s="317"/>
    </row>
    <row r="2" spans="1:9" x14ac:dyDescent="0.25">
      <c r="C2" s="317" t="s">
        <v>134</v>
      </c>
      <c r="D2" s="317"/>
      <c r="E2" s="317"/>
      <c r="F2" s="317"/>
      <c r="G2" s="317"/>
      <c r="H2" s="317"/>
    </row>
    <row r="3" spans="1:9" x14ac:dyDescent="0.25">
      <c r="C3" s="317" t="s">
        <v>13</v>
      </c>
      <c r="D3" s="317"/>
      <c r="E3" s="317"/>
      <c r="F3" s="317"/>
      <c r="G3" s="317"/>
      <c r="H3" s="317"/>
    </row>
    <row r="4" spans="1:9" x14ac:dyDescent="0.25">
      <c r="A4" s="153"/>
      <c r="B4" s="154"/>
      <c r="C4" s="155"/>
    </row>
    <row r="5" spans="1:9" x14ac:dyDescent="0.25">
      <c r="A5" s="318"/>
      <c r="B5" s="318"/>
      <c r="C5" s="318"/>
    </row>
    <row r="6" spans="1:9" ht="30" x14ac:dyDescent="0.25">
      <c r="A6" s="156" t="s">
        <v>135</v>
      </c>
      <c r="B6" s="156" t="s">
        <v>136</v>
      </c>
      <c r="C6" s="156" t="s">
        <v>69</v>
      </c>
      <c r="D6" s="157" t="s">
        <v>212</v>
      </c>
      <c r="E6" s="156" t="s">
        <v>137</v>
      </c>
      <c r="F6" s="156" t="s">
        <v>138</v>
      </c>
      <c r="G6" s="156" t="s">
        <v>133</v>
      </c>
      <c r="H6" s="156" t="s">
        <v>131</v>
      </c>
      <c r="I6" s="156" t="s">
        <v>139</v>
      </c>
    </row>
    <row r="7" spans="1:9" x14ac:dyDescent="0.25">
      <c r="A7" s="152" t="s">
        <v>143</v>
      </c>
      <c r="B7" s="152" t="s">
        <v>144</v>
      </c>
      <c r="C7" s="152" t="s">
        <v>145</v>
      </c>
      <c r="D7" s="159">
        <v>1057615.22</v>
      </c>
      <c r="E7" s="152" t="s">
        <v>41</v>
      </c>
      <c r="G7" s="158" t="s">
        <v>140</v>
      </c>
      <c r="H7" s="158" t="s">
        <v>140</v>
      </c>
      <c r="I7" s="158" t="s">
        <v>141</v>
      </c>
    </row>
    <row r="8" spans="1:9" x14ac:dyDescent="0.25">
      <c r="A8" s="152" t="s">
        <v>146</v>
      </c>
      <c r="B8" s="152" t="s">
        <v>144</v>
      </c>
      <c r="C8" s="152" t="s">
        <v>147</v>
      </c>
      <c r="D8" s="159">
        <v>1442562.13</v>
      </c>
      <c r="E8" s="152" t="s">
        <v>41</v>
      </c>
      <c r="G8" s="158" t="s">
        <v>140</v>
      </c>
      <c r="H8" s="158" t="s">
        <v>140</v>
      </c>
      <c r="I8" s="158" t="s">
        <v>141</v>
      </c>
    </row>
    <row r="9" spans="1:9" x14ac:dyDescent="0.25">
      <c r="A9" s="152" t="s">
        <v>148</v>
      </c>
      <c r="B9" s="152" t="s">
        <v>144</v>
      </c>
      <c r="C9" s="152" t="s">
        <v>149</v>
      </c>
      <c r="D9" s="159">
        <v>3347168.12</v>
      </c>
      <c r="E9" s="152" t="s">
        <v>41</v>
      </c>
      <c r="G9" s="158" t="s">
        <v>140</v>
      </c>
      <c r="H9" s="158" t="s">
        <v>140</v>
      </c>
      <c r="I9" s="158" t="s">
        <v>141</v>
      </c>
    </row>
    <row r="10" spans="1:9" x14ac:dyDescent="0.25">
      <c r="A10" s="152" t="s">
        <v>150</v>
      </c>
      <c r="B10" s="152" t="s">
        <v>144</v>
      </c>
      <c r="C10" s="152" t="s">
        <v>151</v>
      </c>
      <c r="D10" s="159">
        <v>12772965.35</v>
      </c>
      <c r="E10" s="152" t="s">
        <v>41</v>
      </c>
      <c r="G10" s="158" t="s">
        <v>140</v>
      </c>
      <c r="H10" s="158" t="s">
        <v>140</v>
      </c>
      <c r="I10" s="158" t="s">
        <v>141</v>
      </c>
    </row>
    <row r="11" spans="1:9" x14ac:dyDescent="0.25">
      <c r="A11" s="152" t="s">
        <v>152</v>
      </c>
      <c r="B11" s="152" t="s">
        <v>144</v>
      </c>
      <c r="C11" s="152" t="s">
        <v>153</v>
      </c>
      <c r="D11" s="159">
        <v>4430428</v>
      </c>
      <c r="E11" s="152" t="s">
        <v>41</v>
      </c>
      <c r="G11" s="158" t="s">
        <v>140</v>
      </c>
      <c r="H11" s="158" t="s">
        <v>141</v>
      </c>
      <c r="I11" s="158" t="s">
        <v>140</v>
      </c>
    </row>
    <row r="12" spans="1:9" x14ac:dyDescent="0.25">
      <c r="A12" s="164"/>
      <c r="B12" s="164"/>
      <c r="D12" s="159"/>
    </row>
    <row r="13" spans="1:9" x14ac:dyDescent="0.25">
      <c r="A13" s="156" t="s">
        <v>142</v>
      </c>
      <c r="B13" s="156"/>
      <c r="C13" s="156"/>
      <c r="D13" s="161"/>
      <c r="E13" s="156"/>
    </row>
    <row r="14" spans="1:9" x14ac:dyDescent="0.25">
      <c r="A14" s="152" t="s">
        <v>144</v>
      </c>
      <c r="C14" s="152" t="s">
        <v>154</v>
      </c>
      <c r="D14" s="159">
        <f>SUM(D7:D11)</f>
        <v>23050738.82</v>
      </c>
      <c r="G14" s="158"/>
      <c r="H14" s="158"/>
      <c r="I14" s="158"/>
    </row>
  </sheetData>
  <mergeCells count="4">
    <mergeCell ref="C1:H1"/>
    <mergeCell ref="C2:H2"/>
    <mergeCell ref="C3:H3"/>
    <mergeCell ref="A5:C5"/>
  </mergeCells>
  <printOptions horizontalCentered="1"/>
  <pageMargins left="0.25" right="0.25" top="1" bottom="1" header="0.5" footer="0.5"/>
  <pageSetup scale="93" orientation="landscape" r:id="rId1"/>
  <headerFooter alignWithMargins="0">
    <oddFooter>&amp;L
&amp;A&amp;R&amp;P/&amp;N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5E9DA-CDA3-472A-94CB-F56B7466A687}">
  <sheetPr>
    <pageSetUpPr fitToPage="1"/>
  </sheetPr>
  <dimension ref="A1:G18"/>
  <sheetViews>
    <sheetView workbookViewId="0">
      <selection activeCell="A6" sqref="A6:XFD14"/>
    </sheetView>
  </sheetViews>
  <sheetFormatPr defaultColWidth="9.33203125" defaultRowHeight="15" x14ac:dyDescent="0.25"/>
  <cols>
    <col min="1" max="1" width="28.6640625" style="152" bestFit="1" customWidth="1"/>
    <col min="2" max="2" width="66.1640625" style="152" bestFit="1" customWidth="1"/>
    <col min="3" max="3" width="18.1640625" style="152" customWidth="1"/>
    <col min="4" max="5" width="15.83203125" style="152" bestFit="1" customWidth="1"/>
    <col min="6" max="6" width="1.6640625" style="152" customWidth="1"/>
    <col min="7" max="7" width="16.83203125" style="152" customWidth="1"/>
    <col min="8" max="8" width="17.6640625" style="152" bestFit="1" customWidth="1"/>
    <col min="9" max="16384" width="9.33203125" style="152"/>
  </cols>
  <sheetData>
    <row r="1" spans="1:7" x14ac:dyDescent="0.25">
      <c r="B1" s="317" t="s">
        <v>9</v>
      </c>
      <c r="C1" s="317"/>
      <c r="D1" s="317"/>
      <c r="E1" s="317"/>
      <c r="F1" s="165"/>
      <c r="G1" s="165"/>
    </row>
    <row r="2" spans="1:7" x14ac:dyDescent="0.25">
      <c r="B2" s="317" t="s">
        <v>155</v>
      </c>
      <c r="C2" s="317"/>
      <c r="D2" s="317"/>
      <c r="E2" s="317"/>
      <c r="F2" s="165"/>
      <c r="G2" s="165"/>
    </row>
    <row r="3" spans="1:7" x14ac:dyDescent="0.25">
      <c r="B3" s="317" t="s">
        <v>13</v>
      </c>
      <c r="C3" s="317"/>
      <c r="D3" s="317"/>
      <c r="E3" s="317"/>
      <c r="F3" s="165"/>
      <c r="G3" s="165"/>
    </row>
    <row r="6" spans="1:7" x14ac:dyDescent="0.25">
      <c r="A6" s="166"/>
      <c r="C6" s="178"/>
      <c r="D6" s="178"/>
      <c r="E6" s="178"/>
      <c r="F6" s="178"/>
      <c r="G6" s="178"/>
    </row>
    <row r="7" spans="1:7" x14ac:dyDescent="0.25">
      <c r="A7" s="154" t="s">
        <v>156</v>
      </c>
      <c r="C7" s="78"/>
      <c r="D7" s="78"/>
      <c r="E7" s="78"/>
      <c r="F7" s="78"/>
      <c r="G7" s="78"/>
    </row>
    <row r="8" spans="1:7" x14ac:dyDescent="0.25">
      <c r="A8" s="169" t="s">
        <v>158</v>
      </c>
      <c r="C8" s="179">
        <v>45900</v>
      </c>
      <c r="D8" s="179">
        <v>45930</v>
      </c>
      <c r="E8" s="179">
        <v>45961</v>
      </c>
      <c r="F8" s="167">
        <f>+[29]EstimatedBalances!F19</f>
        <v>0</v>
      </c>
      <c r="G8" s="168" t="s">
        <v>157</v>
      </c>
    </row>
    <row r="9" spans="1:7" x14ac:dyDescent="0.25">
      <c r="A9" s="169" t="s">
        <v>160</v>
      </c>
      <c r="B9" s="155" t="s">
        <v>69</v>
      </c>
      <c r="C9" s="180">
        <v>7.4999999999999997E-2</v>
      </c>
      <c r="D9" s="180">
        <v>7.4999999999999997E-2</v>
      </c>
      <c r="E9" s="180">
        <v>7.4999999999999997E-2</v>
      </c>
      <c r="F9" s="170">
        <v>3.2500000000000001E-2</v>
      </c>
      <c r="G9" s="155" t="s">
        <v>159</v>
      </c>
    </row>
    <row r="10" spans="1:7" x14ac:dyDescent="0.25">
      <c r="A10" s="173" t="s">
        <v>161</v>
      </c>
      <c r="B10" s="174" t="s">
        <v>3</v>
      </c>
      <c r="C10" s="171">
        <f>ROUND(C9/365*31,6)</f>
        <v>6.3699999999999998E-3</v>
      </c>
      <c r="D10" s="171">
        <f>ROUND(D9/365*30,6)</f>
        <v>6.1640000000000002E-3</v>
      </c>
      <c r="E10" s="171">
        <f>ROUND(E9/365*31,6)</f>
        <v>6.3699999999999998E-3</v>
      </c>
      <c r="F10" s="171">
        <f>ROUND(F9/365*31,6)</f>
        <v>2.7599999999999999E-3</v>
      </c>
      <c r="G10" s="172">
        <v>45961</v>
      </c>
    </row>
    <row r="11" spans="1:7" x14ac:dyDescent="0.25">
      <c r="A11" s="152" t="str">
        <f>+'Balances at 7-31-2025'!A7</f>
        <v>47WA.1823.47020430</v>
      </c>
      <c r="B11" s="152" t="str">
        <f>+'Balances at 7-31-2025'!C7</f>
        <v xml:space="preserve">Commercial Conservation Program </v>
      </c>
      <c r="C11" s="176">
        <f>ROUND('Balances at 7-31-2025'!D7*C$10,2)</f>
        <v>6737.01</v>
      </c>
      <c r="D11" s="176">
        <f>ROUND(EstimatedBalances!D11*D$10,2)</f>
        <v>6560.67</v>
      </c>
      <c r="E11" s="176">
        <f>ROUND(EstimatedBalances!E11*E$10,2)</f>
        <v>6821.72</v>
      </c>
      <c r="F11" s="176" t="e">
        <f>ROUND([29]EstimatedBalances!E23*#REF!,2)</f>
        <v>#REF!</v>
      </c>
      <c r="G11" s="181">
        <f>+C11+D11+E11</f>
        <v>20119.400000000001</v>
      </c>
    </row>
    <row r="12" spans="1:7" x14ac:dyDescent="0.25">
      <c r="A12" s="152" t="str">
        <f>+'Balances at 7-31-2025'!A8</f>
        <v>47WA.1823.47020431</v>
      </c>
      <c r="B12" s="152" t="str">
        <f>+'Balances at 7-31-2025'!C8</f>
        <v>Low Income Weatherization Program</v>
      </c>
      <c r="C12" s="176">
        <f>ROUND('Balances at 7-31-2025'!D8*C$10,2)</f>
        <v>9189.1200000000008</v>
      </c>
      <c r="D12" s="176">
        <f>ROUND(EstimatedBalances!D12*D$10,2)</f>
        <v>8948.59</v>
      </c>
      <c r="E12" s="176">
        <f>ROUND(EstimatedBalances!E12*E$10,2)</f>
        <v>9304.66</v>
      </c>
      <c r="F12" s="176" t="e">
        <f>ROUND([29]EstimatedBalances!E24*#REF!,2)</f>
        <v>#REF!</v>
      </c>
      <c r="G12" s="181">
        <f t="shared" ref="G12:G15" si="0">+C12+D12+E12</f>
        <v>27442.37</v>
      </c>
    </row>
    <row r="13" spans="1:7" x14ac:dyDescent="0.25">
      <c r="A13" s="152" t="str">
        <f>+'Balances at 7-31-2025'!A9</f>
        <v>47WA.1823.47020444</v>
      </c>
      <c r="B13" s="152" t="str">
        <f>+'Balances at 7-31-2025'!C9</f>
        <v>Washington Conservation Administration &amp; Program Delivery Fees</v>
      </c>
      <c r="C13" s="176">
        <f>ROUND('Balances at 7-31-2025'!D9*C$10,2)</f>
        <v>21321.46</v>
      </c>
      <c r="D13" s="176">
        <f>ROUND(EstimatedBalances!D13*D$10,2)</f>
        <v>20763.37</v>
      </c>
      <c r="E13" s="176">
        <f>ROUND(EstimatedBalances!E13*E$10,2)</f>
        <v>21589.54</v>
      </c>
      <c r="F13" s="176" t="e">
        <f>ROUND([29]EstimatedBalances!E25*#REF!,2)</f>
        <v>#REF!</v>
      </c>
      <c r="G13" s="181">
        <f t="shared" si="0"/>
        <v>63674.37</v>
      </c>
    </row>
    <row r="14" spans="1:7" x14ac:dyDescent="0.25">
      <c r="A14" s="152" t="str">
        <f>+'Balances at 7-31-2025'!A10</f>
        <v>47WA.1823.47020449</v>
      </c>
      <c r="B14" s="152" t="str">
        <f>+'Balances at 7-31-2025'!C10</f>
        <v xml:space="preserve">Washington Residential Conservation Program </v>
      </c>
      <c r="C14" s="176">
        <f>ROUND('Balances at 7-31-2025'!D10*C$10,2)</f>
        <v>81363.789999999994</v>
      </c>
      <c r="D14" s="176">
        <f>ROUND(EstimatedBalances!D14*D$10,2)</f>
        <v>79234.080000000002</v>
      </c>
      <c r="E14" s="176">
        <f>ROUND(EstimatedBalances!E14*E$10,2)</f>
        <v>82386.8</v>
      </c>
      <c r="F14" s="176" t="e">
        <f>ROUND([29]EstimatedBalances!E26*#REF!,2)</f>
        <v>#REF!</v>
      </c>
      <c r="G14" s="181">
        <f t="shared" si="0"/>
        <v>242984.66999999998</v>
      </c>
    </row>
    <row r="15" spans="1:7" x14ac:dyDescent="0.25">
      <c r="A15" s="152" t="str">
        <f>+'Balances at 7-31-2025'!A11</f>
        <v>47WA.1823.47020478</v>
      </c>
      <c r="B15" s="152" t="str">
        <f>+'Balances at 7-31-2025'!C11</f>
        <v>Consolidated Technical Adjustments - Conservation</v>
      </c>
      <c r="C15" s="176">
        <f>ROUND('Balances at 7-31-2025'!D11*C$10,2)</f>
        <v>28221.83</v>
      </c>
      <c r="D15" s="176">
        <f>ROUND(EstimatedBalances!D15*D$10,2)</f>
        <v>25008.77</v>
      </c>
      <c r="E15" s="176">
        <f>ROUND(EstimatedBalances!E15*E$10,2)</f>
        <v>22591.29</v>
      </c>
      <c r="F15" s="176" t="e">
        <f>ROUND([29]EstimatedBalances!E27*#REF!,2)</f>
        <v>#REF!</v>
      </c>
      <c r="G15" s="181">
        <f t="shared" si="0"/>
        <v>75821.890000000014</v>
      </c>
    </row>
    <row r="16" spans="1:7" x14ac:dyDescent="0.25">
      <c r="C16" s="181"/>
      <c r="D16" s="181"/>
      <c r="E16" s="181"/>
      <c r="F16" s="181"/>
      <c r="G16" s="181"/>
    </row>
    <row r="17" spans="1:7" ht="15.75" thickBot="1" x14ac:dyDescent="0.3">
      <c r="A17" s="166" t="s">
        <v>157</v>
      </c>
      <c r="B17" s="152" t="str">
        <f>+'Balances at 7-31-2025'!C14</f>
        <v>Consolidation of accounts related to core conservation.</v>
      </c>
      <c r="C17" s="177">
        <f>SUM(C11:C16)</f>
        <v>146833.21</v>
      </c>
      <c r="D17" s="177">
        <f>SUM(D11:D16)</f>
        <v>140515.47999999998</v>
      </c>
      <c r="E17" s="177">
        <f t="shared" ref="E17:F17" si="1">SUM(E11:E16)</f>
        <v>142694.01</v>
      </c>
      <c r="F17" s="177" t="e">
        <f t="shared" si="1"/>
        <v>#REF!</v>
      </c>
      <c r="G17" s="177">
        <f>SUM(G11:G16)</f>
        <v>430042.7</v>
      </c>
    </row>
    <row r="18" spans="1:7" ht="15.75" thickTop="1" x14ac:dyDescent="0.25"/>
  </sheetData>
  <mergeCells count="3">
    <mergeCell ref="B1:E1"/>
    <mergeCell ref="B2:E2"/>
    <mergeCell ref="B3:E3"/>
  </mergeCells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ECB63-C6D6-4625-B820-4C7912157A06}">
  <sheetPr>
    <pageSetUpPr fitToPage="1"/>
  </sheetPr>
  <dimension ref="A1:I20"/>
  <sheetViews>
    <sheetView workbookViewId="0">
      <selection activeCell="A10" sqref="A10:XFD19"/>
    </sheetView>
  </sheetViews>
  <sheetFormatPr defaultColWidth="9.33203125" defaultRowHeight="15" x14ac:dyDescent="0.25"/>
  <cols>
    <col min="1" max="1" width="24.6640625" style="152" customWidth="1"/>
    <col min="2" max="2" width="11.1640625" style="152" bestFit="1" customWidth="1"/>
    <col min="3" max="3" width="15.1640625" style="152" customWidth="1"/>
    <col min="4" max="6" width="17.6640625" style="152" bestFit="1" customWidth="1"/>
    <col min="7" max="7" width="2.83203125" style="152" customWidth="1"/>
    <col min="8" max="8" width="20" style="152" customWidth="1"/>
    <col min="9" max="9" width="12.6640625" style="152" customWidth="1"/>
    <col min="10" max="10" width="11.83203125" style="152" bestFit="1" customWidth="1"/>
    <col min="11" max="16384" width="9.33203125" style="152"/>
  </cols>
  <sheetData>
    <row r="1" spans="1:9" x14ac:dyDescent="0.25">
      <c r="B1" s="317" t="s">
        <v>9</v>
      </c>
      <c r="C1" s="317"/>
      <c r="D1" s="317"/>
      <c r="E1" s="317"/>
      <c r="G1" s="182"/>
      <c r="H1" s="183"/>
      <c r="I1" s="183"/>
    </row>
    <row r="2" spans="1:9" x14ac:dyDescent="0.25">
      <c r="A2" s="319" t="s">
        <v>162</v>
      </c>
      <c r="B2" s="319"/>
      <c r="C2" s="319"/>
      <c r="D2" s="319"/>
      <c r="E2" s="319"/>
      <c r="F2" s="319"/>
      <c r="H2" s="184"/>
      <c r="I2" s="185"/>
    </row>
    <row r="3" spans="1:9" x14ac:dyDescent="0.25">
      <c r="B3" s="317" t="s">
        <v>13</v>
      </c>
      <c r="C3" s="317"/>
      <c r="D3" s="317"/>
      <c r="E3" s="317"/>
      <c r="I3" s="185"/>
    </row>
    <row r="4" spans="1:9" x14ac:dyDescent="0.25">
      <c r="D4" s="168" t="s">
        <v>163</v>
      </c>
      <c r="E4" s="168" t="s">
        <v>163</v>
      </c>
      <c r="F4" s="168" t="s">
        <v>163</v>
      </c>
      <c r="G4" s="186"/>
      <c r="I4" s="185"/>
    </row>
    <row r="5" spans="1:9" x14ac:dyDescent="0.25">
      <c r="D5" s="187">
        <v>45900</v>
      </c>
      <c r="E5" s="187">
        <v>45930</v>
      </c>
      <c r="F5" s="187">
        <v>45961</v>
      </c>
      <c r="G5" s="186"/>
      <c r="H5" s="184"/>
      <c r="I5" s="185"/>
    </row>
    <row r="6" spans="1:9" x14ac:dyDescent="0.25">
      <c r="A6" s="175" t="s">
        <v>164</v>
      </c>
      <c r="D6" s="184">
        <f>+'Test Period Volumes'!C19+'Test Period Volumes'!D19+'Test Period Volumes'!E19+'Test Period Volumes'!F19</f>
        <v>6623569.4037582306</v>
      </c>
      <c r="E6" s="184">
        <f>+'Test Period Volumes'!C20+'Test Period Volumes'!D20+'Test Period Volumes'!E20+'Test Period Volumes'!F20</f>
        <v>8850047.6166909318</v>
      </c>
      <c r="F6" s="184">
        <f>+'Test Period Volumes'!C21+'Test Period Volumes'!D21+'Test Period Volumes'!E21+'Test Period Volumes'!F21</f>
        <v>19232144.591177274</v>
      </c>
      <c r="G6" s="184"/>
      <c r="H6" s="184"/>
    </row>
    <row r="7" spans="1:9" x14ac:dyDescent="0.25">
      <c r="A7" s="175" t="s">
        <v>165</v>
      </c>
      <c r="D7" s="184">
        <f>+'Test Period Volumes'!I19</f>
        <v>6668100</v>
      </c>
      <c r="E7" s="184">
        <f>+'Test Period Volumes'!I20</f>
        <v>8899100</v>
      </c>
      <c r="F7" s="184">
        <f>+'Test Period Volumes'!I21</f>
        <v>19308800</v>
      </c>
      <c r="G7" s="184"/>
      <c r="H7" s="184"/>
    </row>
    <row r="8" spans="1:9" x14ac:dyDescent="0.25">
      <c r="A8" s="175" t="s">
        <v>166</v>
      </c>
      <c r="D8" s="184">
        <f>+'Test Period Volumes'!H19+'Test Period Volumes'!I19</f>
        <v>79564272</v>
      </c>
      <c r="E8" s="184">
        <f>+'Test Period Volumes'!H20+'Test Period Volumes'!I20</f>
        <v>82211811</v>
      </c>
      <c r="F8" s="184">
        <f>+'Test Period Volumes'!H21+'Test Period Volumes'!I21</f>
        <v>88316311</v>
      </c>
      <c r="G8" s="184"/>
      <c r="H8" s="184"/>
      <c r="I8" s="188"/>
    </row>
    <row r="9" spans="1:9" x14ac:dyDescent="0.25">
      <c r="C9" s="189"/>
    </row>
    <row r="11" spans="1:9" x14ac:dyDescent="0.25">
      <c r="C11" s="190">
        <v>45597</v>
      </c>
      <c r="D11" s="168" t="s">
        <v>163</v>
      </c>
      <c r="E11" s="168" t="s">
        <v>163</v>
      </c>
      <c r="F11" s="168" t="s">
        <v>163</v>
      </c>
      <c r="H11" s="191" t="s">
        <v>163</v>
      </c>
    </row>
    <row r="12" spans="1:9" x14ac:dyDescent="0.25">
      <c r="C12" s="192" t="s">
        <v>167</v>
      </c>
      <c r="D12" s="187">
        <v>45900</v>
      </c>
      <c r="E12" s="187">
        <v>45930</v>
      </c>
      <c r="F12" s="187">
        <v>45961</v>
      </c>
      <c r="H12" s="191" t="s">
        <v>168</v>
      </c>
    </row>
    <row r="13" spans="1:9" x14ac:dyDescent="0.25">
      <c r="C13" s="193" t="s">
        <v>170</v>
      </c>
      <c r="D13" s="194" t="s">
        <v>132</v>
      </c>
      <c r="E13" s="194" t="s">
        <v>132</v>
      </c>
      <c r="F13" s="194" t="s">
        <v>132</v>
      </c>
      <c r="H13" s="195">
        <v>45961</v>
      </c>
    </row>
    <row r="14" spans="1:9" x14ac:dyDescent="0.25">
      <c r="A14" s="152" t="str">
        <f>+'Balances at 7-31-2025'!A7</f>
        <v>47WA.1823.47020430</v>
      </c>
      <c r="B14" s="152" t="s">
        <v>41</v>
      </c>
      <c r="C14" s="196"/>
      <c r="D14" s="197">
        <f>+$C14*D$7</f>
        <v>0</v>
      </c>
      <c r="E14" s="197">
        <f t="shared" ref="E14:F18" si="0">+$C14*E$7</f>
        <v>0</v>
      </c>
      <c r="F14" s="197">
        <f t="shared" si="0"/>
        <v>0</v>
      </c>
      <c r="H14" s="197">
        <f>SUM(D14:F14)</f>
        <v>0</v>
      </c>
    </row>
    <row r="15" spans="1:9" x14ac:dyDescent="0.25">
      <c r="A15" s="152" t="str">
        <f>+'Balances at 7-31-2025'!A8</f>
        <v>47WA.1823.47020431</v>
      </c>
      <c r="B15" s="152" t="s">
        <v>41</v>
      </c>
      <c r="C15" s="196"/>
      <c r="D15" s="197">
        <f>+$C15*D$7</f>
        <v>0</v>
      </c>
      <c r="E15" s="197">
        <f t="shared" si="0"/>
        <v>0</v>
      </c>
      <c r="F15" s="197">
        <f t="shared" si="0"/>
        <v>0</v>
      </c>
      <c r="H15" s="197">
        <f>SUM(D15:F15)</f>
        <v>0</v>
      </c>
    </row>
    <row r="16" spans="1:9" x14ac:dyDescent="0.25">
      <c r="A16" s="152" t="str">
        <f>+'Balances at 7-31-2025'!A9</f>
        <v>47WA.1823.47020444</v>
      </c>
      <c r="B16" s="152" t="s">
        <v>41</v>
      </c>
      <c r="C16" s="196"/>
      <c r="D16" s="197">
        <f>+$C16*D$7</f>
        <v>0</v>
      </c>
      <c r="E16" s="197">
        <f t="shared" si="0"/>
        <v>0</v>
      </c>
      <c r="F16" s="197">
        <f t="shared" si="0"/>
        <v>0</v>
      </c>
      <c r="H16" s="197">
        <f>SUM(D16:F16)</f>
        <v>0</v>
      </c>
    </row>
    <row r="17" spans="1:8" x14ac:dyDescent="0.25">
      <c r="A17" s="152" t="str">
        <f>+'Balances at 7-31-2025'!A10</f>
        <v>47WA.1823.47020449</v>
      </c>
      <c r="B17" s="152" t="s">
        <v>41</v>
      </c>
      <c r="C17" s="196"/>
      <c r="D17" s="197">
        <f>+$C17*D$7</f>
        <v>0</v>
      </c>
      <c r="E17" s="197">
        <f t="shared" si="0"/>
        <v>0</v>
      </c>
      <c r="F17" s="197">
        <f t="shared" si="0"/>
        <v>0</v>
      </c>
      <c r="H17" s="197">
        <f>SUM(D17:F17)</f>
        <v>0</v>
      </c>
    </row>
    <row r="18" spans="1:8" x14ac:dyDescent="0.25">
      <c r="A18" s="152" t="str">
        <f>+'Balances at 7-31-2025'!A11</f>
        <v>47WA.1823.47020478</v>
      </c>
      <c r="B18" s="152" t="s">
        <v>41</v>
      </c>
      <c r="C18" s="196">
        <v>-6.0199999999999997E-2</v>
      </c>
      <c r="D18" s="176">
        <f>+$C18*D$7</f>
        <v>-401419.62</v>
      </c>
      <c r="E18" s="176">
        <f t="shared" si="0"/>
        <v>-535725.81999999995</v>
      </c>
      <c r="F18" s="176">
        <f t="shared" si="0"/>
        <v>-1162389.76</v>
      </c>
      <c r="G18" s="181"/>
      <c r="H18" s="176">
        <f>SUM(D18:F18)</f>
        <v>-2099535.2000000002</v>
      </c>
    </row>
    <row r="19" spans="1:8" ht="15.75" thickBot="1" x14ac:dyDescent="0.3">
      <c r="A19" s="166" t="s">
        <v>171</v>
      </c>
      <c r="C19" s="166"/>
      <c r="D19" s="198">
        <f>SUM(D14:D18)</f>
        <v>-401419.62</v>
      </c>
      <c r="E19" s="198">
        <f>SUM(E14:E18)</f>
        <v>-535725.81999999995</v>
      </c>
      <c r="F19" s="198">
        <f>SUM(F14:F18)</f>
        <v>-1162389.76</v>
      </c>
      <c r="G19" s="181"/>
      <c r="H19" s="198">
        <f>SUM(H14:H18)</f>
        <v>-2099535.2000000002</v>
      </c>
    </row>
    <row r="20" spans="1:8" ht="15.75" thickTop="1" x14ac:dyDescent="0.25"/>
  </sheetData>
  <mergeCells count="3">
    <mergeCell ref="B1:E1"/>
    <mergeCell ref="A2:F2"/>
    <mergeCell ref="B3:E3"/>
  </mergeCells>
  <printOptions horizontalCentered="1"/>
  <pageMargins left="0.25" right="0.25" top="1" bottom="1" header="0.5" footer="0.5"/>
  <pageSetup orientation="landscape" r:id="rId1"/>
  <headerFooter alignWithMargins="0">
    <oddFooter>&amp;L
&amp;A&amp;R&amp;P/&amp;N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54732-B9DC-487B-8E38-5EE241DE68E1}">
  <sheetPr>
    <pageSetUpPr fitToPage="1"/>
  </sheetPr>
  <dimension ref="A1:H18"/>
  <sheetViews>
    <sheetView workbookViewId="0">
      <selection activeCell="A5" sqref="A5:XFD14"/>
    </sheetView>
  </sheetViews>
  <sheetFormatPr defaultColWidth="9.33203125" defaultRowHeight="15" x14ac:dyDescent="0.25"/>
  <cols>
    <col min="1" max="1" width="23.33203125" style="152" customWidth="1"/>
    <col min="2" max="2" width="66.1640625" style="152" bestFit="1" customWidth="1"/>
    <col min="3" max="6" width="20.6640625" style="152" bestFit="1" customWidth="1"/>
    <col min="7" max="7" width="2.6640625" style="152" customWidth="1"/>
    <col min="8" max="8" width="18.6640625" style="152" customWidth="1"/>
    <col min="9" max="16384" width="9.33203125" style="152"/>
  </cols>
  <sheetData>
    <row r="1" spans="1:8" x14ac:dyDescent="0.25">
      <c r="B1" s="317" t="s">
        <v>9</v>
      </c>
      <c r="C1" s="317"/>
      <c r="D1" s="317"/>
      <c r="E1" s="317"/>
      <c r="F1" s="317"/>
    </row>
    <row r="2" spans="1:8" x14ac:dyDescent="0.25">
      <c r="B2" s="320" t="s">
        <v>172</v>
      </c>
      <c r="C2" s="320"/>
      <c r="D2" s="320"/>
      <c r="E2" s="320"/>
      <c r="F2" s="320"/>
    </row>
    <row r="3" spans="1:8" x14ac:dyDescent="0.25">
      <c r="B3" s="317" t="s">
        <v>13</v>
      </c>
      <c r="C3" s="317"/>
      <c r="D3" s="317"/>
      <c r="E3" s="317"/>
      <c r="F3" s="317"/>
    </row>
    <row r="5" spans="1:8" x14ac:dyDescent="0.25">
      <c r="A5" s="189"/>
      <c r="B5" s="175"/>
      <c r="C5" s="204"/>
      <c r="D5" s="202"/>
      <c r="E5" s="202"/>
      <c r="F5" s="202"/>
      <c r="G5" s="202"/>
      <c r="H5" s="202"/>
    </row>
    <row r="7" spans="1:8" x14ac:dyDescent="0.25">
      <c r="C7" s="199">
        <v>45869</v>
      </c>
      <c r="D7" s="199">
        <v>45900</v>
      </c>
      <c r="E7" s="199">
        <v>45930</v>
      </c>
      <c r="F7" s="199">
        <v>45961</v>
      </c>
      <c r="G7" s="187"/>
      <c r="H7" s="200" t="s">
        <v>173</v>
      </c>
    </row>
    <row r="8" spans="1:8" x14ac:dyDescent="0.25">
      <c r="A8" s="154" t="s">
        <v>169</v>
      </c>
      <c r="B8" s="155" t="s">
        <v>69</v>
      </c>
      <c r="C8" s="192" t="s">
        <v>174</v>
      </c>
      <c r="D8" s="192" t="s">
        <v>174</v>
      </c>
      <c r="E8" s="192" t="s">
        <v>174</v>
      </c>
      <c r="F8" s="192" t="s">
        <v>174</v>
      </c>
      <c r="G8" s="192"/>
      <c r="H8" s="192" t="s">
        <v>175</v>
      </c>
    </row>
    <row r="9" spans="1:8" x14ac:dyDescent="0.25">
      <c r="A9" s="201" t="s">
        <v>177</v>
      </c>
      <c r="C9" s="192" t="s">
        <v>176</v>
      </c>
      <c r="D9" s="192" t="s">
        <v>176</v>
      </c>
      <c r="E9" s="192" t="s">
        <v>176</v>
      </c>
      <c r="F9" s="192" t="s">
        <v>176</v>
      </c>
      <c r="G9" s="192"/>
      <c r="H9" s="199">
        <v>45961</v>
      </c>
    </row>
    <row r="10" spans="1:8" x14ac:dyDescent="0.25">
      <c r="C10" s="201" t="s">
        <v>177</v>
      </c>
      <c r="D10" s="201" t="s">
        <v>177</v>
      </c>
      <c r="E10" s="201" t="s">
        <v>177</v>
      </c>
      <c r="F10" s="201"/>
      <c r="G10" s="201"/>
      <c r="H10" s="201"/>
    </row>
    <row r="11" spans="1:8" x14ac:dyDescent="0.25">
      <c r="A11" s="152" t="str">
        <f>+'Balances at 7-31-2025'!A7</f>
        <v>47WA.1823.47020430</v>
      </c>
      <c r="B11" s="152" t="str">
        <f>+'Balances at 7-31-2025'!C7</f>
        <v xml:space="preserve">Commercial Conservation Program </v>
      </c>
      <c r="C11" s="159">
        <f>+'Balances at 7-31-2025'!D7</f>
        <v>1057615.22</v>
      </c>
      <c r="D11" s="159">
        <f>+C11+'Int calc thru 10-31-2025'!C11+'Amort Calc thru 10-31-2025'!D14</f>
        <v>1064352.23</v>
      </c>
      <c r="E11" s="159">
        <f>+D11+'Int calc thru 10-31-2025'!D11+'Amort Calc thru 10-31-2025'!E14</f>
        <v>1070912.8999999999</v>
      </c>
      <c r="F11" s="159">
        <f>+E11+'Int calc thru 10-31-2025'!E11+'Amort Calc thru 10-31-2025'!F14</f>
        <v>1077734.6199999999</v>
      </c>
      <c r="G11" s="205"/>
      <c r="H11" s="159">
        <f>+F11-C11</f>
        <v>20119.399999999907</v>
      </c>
    </row>
    <row r="12" spans="1:8" x14ac:dyDescent="0.25">
      <c r="A12" s="152" t="str">
        <f>+'Balances at 7-31-2025'!A8</f>
        <v>47WA.1823.47020431</v>
      </c>
      <c r="B12" s="152" t="str">
        <f>+'Balances at 7-31-2025'!C8</f>
        <v>Low Income Weatherization Program</v>
      </c>
      <c r="C12" s="159">
        <f>+'Balances at 7-31-2025'!D8</f>
        <v>1442562.13</v>
      </c>
      <c r="D12" s="159">
        <f>+C12+'Int calc thru 10-31-2025'!C12+'Amort Calc thru 10-31-2025'!D15</f>
        <v>1451751.25</v>
      </c>
      <c r="E12" s="159">
        <f>+D12+'Int calc thru 10-31-2025'!D12+'Amort Calc thru 10-31-2025'!E15</f>
        <v>1460699.84</v>
      </c>
      <c r="F12" s="159">
        <f>+E12+'Int calc thru 10-31-2025'!E12+'Amort Calc thru 10-31-2025'!F15</f>
        <v>1470004.5</v>
      </c>
      <c r="G12" s="205"/>
      <c r="H12" s="159">
        <f>+F12-C12</f>
        <v>27442.370000000112</v>
      </c>
    </row>
    <row r="13" spans="1:8" x14ac:dyDescent="0.25">
      <c r="A13" s="152" t="str">
        <f>+'Balances at 7-31-2025'!A9</f>
        <v>47WA.1823.47020444</v>
      </c>
      <c r="B13" s="152" t="str">
        <f>+'Balances at 7-31-2025'!C9</f>
        <v>Washington Conservation Administration &amp; Program Delivery Fees</v>
      </c>
      <c r="C13" s="159">
        <f>+'Balances at 7-31-2025'!D9</f>
        <v>3347168.12</v>
      </c>
      <c r="D13" s="159">
        <f>+C13+'Int calc thru 10-31-2025'!C13+'Amort Calc thru 10-31-2025'!D16</f>
        <v>3368489.58</v>
      </c>
      <c r="E13" s="159">
        <f>+D13+'Int calc thru 10-31-2025'!D13+'Amort Calc thru 10-31-2025'!E16</f>
        <v>3389252.95</v>
      </c>
      <c r="F13" s="159">
        <f>+E13+'Int calc thru 10-31-2025'!E13+'Amort Calc thru 10-31-2025'!F16</f>
        <v>3410842.49</v>
      </c>
      <c r="G13" s="205"/>
      <c r="H13" s="159">
        <f>+F13-C13</f>
        <v>63674.370000000112</v>
      </c>
    </row>
    <row r="14" spans="1:8" x14ac:dyDescent="0.25">
      <c r="A14" s="152" t="str">
        <f>+'Balances at 7-31-2025'!A10</f>
        <v>47WA.1823.47020449</v>
      </c>
      <c r="B14" s="152" t="str">
        <f>+'Balances at 7-31-2025'!C10</f>
        <v xml:space="preserve">Washington Residential Conservation Program </v>
      </c>
      <c r="C14" s="159">
        <f>+'Balances at 7-31-2025'!D10</f>
        <v>12772965.35</v>
      </c>
      <c r="D14" s="159">
        <f>+C14+'Int calc thru 10-31-2025'!C14+'Amort Calc thru 10-31-2025'!D17</f>
        <v>12854329.139999999</v>
      </c>
      <c r="E14" s="159">
        <f>+D14+'Int calc thru 10-31-2025'!D14+'Amort Calc thru 10-31-2025'!E17</f>
        <v>12933563.219999999</v>
      </c>
      <c r="F14" s="159">
        <f>+E14+'Int calc thru 10-31-2025'!E14+'Amort Calc thru 10-31-2025'!F17</f>
        <v>13015950.02</v>
      </c>
      <c r="G14" s="205"/>
      <c r="H14" s="159">
        <f>+F14-C14</f>
        <v>242984.66999999993</v>
      </c>
    </row>
    <row r="15" spans="1:8" x14ac:dyDescent="0.25">
      <c r="A15" s="152" t="str">
        <f>+'Balances at 7-31-2025'!A11</f>
        <v>47WA.1823.47020478</v>
      </c>
      <c r="B15" s="152" t="str">
        <f>+'Balances at 7-31-2025'!C11</f>
        <v>Consolidated Technical Adjustments - Conservation</v>
      </c>
      <c r="C15" s="159">
        <f>+'Balances at 7-31-2025'!D11</f>
        <v>4430428</v>
      </c>
      <c r="D15" s="159">
        <f>+C15+'Int calc thru 10-31-2025'!C15+'Amort Calc thru 10-31-2025'!D18</f>
        <v>4057230.21</v>
      </c>
      <c r="E15" s="159">
        <f>+D15+'Int calc thru 10-31-2025'!D15+'Amort Calc thru 10-31-2025'!E18</f>
        <v>3546513.16</v>
      </c>
      <c r="F15" s="159">
        <f>+E15+'Int calc thru 10-31-2025'!E15+'Amort Calc thru 10-31-2025'!F18</f>
        <v>2406714.6900000004</v>
      </c>
      <c r="G15" s="206"/>
      <c r="H15" s="159">
        <f>+F15-C15</f>
        <v>-2023713.3099999996</v>
      </c>
    </row>
    <row r="16" spans="1:8" ht="15.75" thickBot="1" x14ac:dyDescent="0.3">
      <c r="A16" s="192" t="s">
        <v>178</v>
      </c>
      <c r="C16" s="203">
        <f>SUM(C11:C15)</f>
        <v>23050738.82</v>
      </c>
      <c r="D16" s="203">
        <f t="shared" ref="D16" si="0">SUM(D11:D15)</f>
        <v>22796152.41</v>
      </c>
      <c r="E16" s="203">
        <f>SUM(E11:E15)</f>
        <v>22400942.07</v>
      </c>
      <c r="F16" s="203">
        <f>SUM(F11:F15)</f>
        <v>21381246.32</v>
      </c>
      <c r="G16" s="207"/>
      <c r="H16" s="203">
        <f>SUM(H11:H15)</f>
        <v>-1669492.4999999995</v>
      </c>
    </row>
    <row r="17" spans="3:8" ht="15.75" thickTop="1" x14ac:dyDescent="0.25"/>
    <row r="18" spans="3:8" x14ac:dyDescent="0.25">
      <c r="C18" s="208"/>
      <c r="D18" s="208"/>
      <c r="E18" s="208"/>
      <c r="F18" s="208"/>
      <c r="G18" s="208"/>
      <c r="H18" s="209"/>
    </row>
  </sheetData>
  <mergeCells count="3">
    <mergeCell ref="B1:F1"/>
    <mergeCell ref="B2:F2"/>
    <mergeCell ref="B3:F3"/>
  </mergeCells>
  <printOptions horizontalCentered="1"/>
  <pageMargins left="0.25" right="0.25" top="1" bottom="1" header="0.5" footer="0.5"/>
  <pageSetup scale="87" orientation="landscape" r:id="rId1"/>
  <headerFooter alignWithMargins="0">
    <oddFooter>&amp;L
&amp;A&amp;R&amp;P/&amp;N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690CC-4927-4ABC-A69C-22A08519E100}">
  <dimension ref="A1:T27"/>
  <sheetViews>
    <sheetView workbookViewId="0"/>
  </sheetViews>
  <sheetFormatPr defaultColWidth="9.33203125" defaultRowHeight="15" x14ac:dyDescent="0.25"/>
  <cols>
    <col min="1" max="1" width="23.83203125" style="152" customWidth="1"/>
    <col min="2" max="2" width="74.83203125" style="152" bestFit="1" customWidth="1"/>
    <col min="3" max="3" width="9.33203125" style="152" bestFit="1" customWidth="1"/>
    <col min="4" max="4" width="5.83203125" style="158" customWidth="1"/>
    <col min="5" max="5" width="16.1640625" style="152" bestFit="1" customWidth="1"/>
    <col min="6" max="6" width="21.6640625" style="152" bestFit="1" customWidth="1"/>
    <col min="7" max="7" width="22" style="152" customWidth="1"/>
    <col min="8" max="8" width="24" style="152" bestFit="1" customWidth="1"/>
    <col min="9" max="9" width="17.6640625" style="152" bestFit="1" customWidth="1"/>
    <col min="10" max="12" width="16" style="152" bestFit="1" customWidth="1"/>
    <col min="13" max="18" width="15.6640625" style="152" bestFit="1" customWidth="1"/>
    <col min="19" max="19" width="17.6640625" style="152" bestFit="1" customWidth="1"/>
    <col min="20" max="20" width="16.6640625" style="152" bestFit="1" customWidth="1"/>
    <col min="21" max="22" width="15.6640625" style="152" bestFit="1" customWidth="1"/>
    <col min="23" max="30" width="14.5" style="152" bestFit="1" customWidth="1"/>
    <col min="31" max="31" width="15.33203125" style="152" bestFit="1" customWidth="1"/>
    <col min="32" max="32" width="14.5" style="152" bestFit="1" customWidth="1"/>
    <col min="33" max="16384" width="9.33203125" style="152"/>
  </cols>
  <sheetData>
    <row r="1" spans="1:20" x14ac:dyDescent="0.25">
      <c r="G1" s="317" t="s">
        <v>9</v>
      </c>
      <c r="H1" s="317"/>
      <c r="I1" s="317"/>
      <c r="J1" s="317"/>
      <c r="K1" s="317"/>
    </row>
    <row r="2" spans="1:20" x14ac:dyDescent="0.25">
      <c r="G2" s="210" t="s">
        <v>179</v>
      </c>
      <c r="H2" s="210"/>
      <c r="I2" s="210"/>
      <c r="J2" s="210"/>
      <c r="K2" s="210"/>
      <c r="L2" s="210"/>
    </row>
    <row r="3" spans="1:20" x14ac:dyDescent="0.25">
      <c r="G3" s="317" t="s">
        <v>13</v>
      </c>
      <c r="H3" s="317"/>
      <c r="I3" s="317"/>
      <c r="J3" s="317"/>
      <c r="K3" s="317"/>
    </row>
    <row r="5" spans="1:20" x14ac:dyDescent="0.25">
      <c r="B5" s="166"/>
    </row>
    <row r="6" spans="1:20" x14ac:dyDescent="0.25">
      <c r="B6" s="166" t="s">
        <v>180</v>
      </c>
      <c r="G6" s="321" t="s">
        <v>181</v>
      </c>
      <c r="H6" s="321"/>
      <c r="I6" s="321"/>
    </row>
    <row r="7" spans="1:20" x14ac:dyDescent="0.25">
      <c r="F7" s="160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2"/>
    </row>
    <row r="8" spans="1:20" ht="15.75" thickBot="1" x14ac:dyDescent="0.3">
      <c r="A8" s="223"/>
      <c r="B8" s="223"/>
      <c r="C8" s="223"/>
      <c r="D8" s="224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</row>
    <row r="9" spans="1:20" ht="44.25" customHeight="1" thickBot="1" x14ac:dyDescent="0.3">
      <c r="B9" s="155" t="s">
        <v>188</v>
      </c>
      <c r="C9" s="211"/>
      <c r="D9" s="212"/>
      <c r="E9" s="225" t="s">
        <v>182</v>
      </c>
      <c r="F9" s="213" t="s">
        <v>183</v>
      </c>
      <c r="G9" s="214">
        <v>45962</v>
      </c>
      <c r="H9" s="214">
        <v>45992</v>
      </c>
      <c r="I9" s="214">
        <v>46023</v>
      </c>
      <c r="J9" s="214">
        <v>46054</v>
      </c>
      <c r="K9" s="214">
        <v>46082</v>
      </c>
      <c r="L9" s="214">
        <v>46113</v>
      </c>
      <c r="M9" s="214">
        <v>46143</v>
      </c>
      <c r="N9" s="214">
        <v>46174</v>
      </c>
      <c r="O9" s="214">
        <v>46204</v>
      </c>
      <c r="P9" s="214">
        <v>46235</v>
      </c>
      <c r="Q9" s="214">
        <v>46266</v>
      </c>
      <c r="R9" s="214">
        <v>46296</v>
      </c>
      <c r="S9" s="213" t="s">
        <v>184</v>
      </c>
      <c r="T9" s="215" t="s">
        <v>185</v>
      </c>
    </row>
    <row r="10" spans="1:20" x14ac:dyDescent="0.25">
      <c r="A10" s="152" t="str">
        <f>+'Balances at 7-31-2025'!A7</f>
        <v>47WA.1823.47020430</v>
      </c>
      <c r="B10" s="152" t="str">
        <f>+'Balances at 7-31-2025'!C7</f>
        <v xml:space="preserve">Commercial Conservation Program </v>
      </c>
      <c r="C10" s="152" t="s">
        <v>41</v>
      </c>
      <c r="D10" s="158">
        <v>7</v>
      </c>
      <c r="E10" s="67">
        <v>-3.9818980460903097E-3</v>
      </c>
      <c r="F10" s="159">
        <f>+EstimatedBalances!F11</f>
        <v>1077734.6199999999</v>
      </c>
      <c r="G10" s="159">
        <f>+$E10*'Test Period Volumes'!I22</f>
        <v>-132289.40421584452</v>
      </c>
      <c r="H10" s="159">
        <f>+$E10*'Test Period Volumes'!I23</f>
        <v>-175877.7170594435</v>
      </c>
      <c r="I10" s="159">
        <f>+$E10*'Test Period Volumes'!I24</f>
        <v>-176482.49968037783</v>
      </c>
      <c r="J10" s="159">
        <f>+$E10*'Test Period Volumes'!$I25</f>
        <v>-140620.33130787467</v>
      </c>
      <c r="K10" s="159">
        <f>+$E10*'Test Period Volumes'!$I26</f>
        <v>-123980.77575287249</v>
      </c>
      <c r="L10" s="159">
        <f>+$E10*'Test Period Volumes'!$I27</f>
        <v>-79238.17835797873</v>
      </c>
      <c r="M10" s="159">
        <f>+$E10*'Test Period Volumes'!$I28</f>
        <v>-46037.510639482331</v>
      </c>
      <c r="N10" s="159">
        <f>+$E10*'Test Period Volumes'!$I29</f>
        <v>-33455.907383250786</v>
      </c>
      <c r="O10" s="159">
        <f>+$E10*'Test Period Volumes'!$I30</f>
        <v>-32102.460237384686</v>
      </c>
      <c r="P10" s="159">
        <f>+$E10*'Test Period Volumes'!$I31</f>
        <v>-26796.58109096935</v>
      </c>
      <c r="Q10" s="159">
        <f>+$E10*'Test Period Volumes'!$I32</f>
        <v>-35249.752453014466</v>
      </c>
      <c r="R10" s="159">
        <f>+$E10*'Test Period Volumes'!$I33</f>
        <v>-75603.501821507496</v>
      </c>
      <c r="S10" s="159">
        <f>SUM(G10:R10)</f>
        <v>-1077734.6200000008</v>
      </c>
      <c r="T10" s="78">
        <f>+S10+F10</f>
        <v>0</v>
      </c>
    </row>
    <row r="11" spans="1:20" s="166" customFormat="1" x14ac:dyDescent="0.25">
      <c r="A11" s="152" t="str">
        <f>+'Balances at 7-31-2025'!A8</f>
        <v>47WA.1823.47020431</v>
      </c>
      <c r="B11" s="152" t="str">
        <f>+'Balances at 7-31-2025'!C8</f>
        <v>Low Income Weatherization Program</v>
      </c>
      <c r="C11" s="152" t="s">
        <v>41</v>
      </c>
      <c r="D11" s="158">
        <v>7</v>
      </c>
      <c r="E11" s="67">
        <v>-5.4312146401068202E-3</v>
      </c>
      <c r="F11" s="159">
        <f>+EstimatedBalances!F12</f>
        <v>1470004.5</v>
      </c>
      <c r="G11" s="159">
        <f>+$E11*'Test Period Volumes'!I22</f>
        <v>-180439.61462387684</v>
      </c>
      <c r="H11" s="159">
        <f>+$E11*'Test Period Volumes'!I23</f>
        <v>-239893.04113391906</v>
      </c>
      <c r="I11" s="159">
        <f>+$E11*'Test Period Volumes'!I24</f>
        <v>-240717.95030710241</v>
      </c>
      <c r="J11" s="159">
        <f>+$E11*'Test Period Volumes'!$I25</f>
        <v>-191802.80189390836</v>
      </c>
      <c r="K11" s="159">
        <f>+$E11*'Test Period Volumes'!$I26</f>
        <v>-169106.84215582997</v>
      </c>
      <c r="L11" s="159">
        <f>+$E11*'Test Period Volumes'!$I27</f>
        <v>-108078.99885226968</v>
      </c>
      <c r="M11" s="159">
        <f>+$E11*'Test Period Volumes'!$I28</f>
        <v>-62794.074304523019</v>
      </c>
      <c r="N11" s="159">
        <f>+$E11*'Test Period Volumes'!$I29</f>
        <v>-45633.065406177506</v>
      </c>
      <c r="O11" s="159">
        <f>+$E11*'Test Period Volumes'!$I30</f>
        <v>-43786.995550005195</v>
      </c>
      <c r="P11" s="159">
        <f>+$E11*'Test Period Volumes'!$I31</f>
        <v>-36549.902042062859</v>
      </c>
      <c r="Q11" s="159">
        <f>+$E11*'Test Period Volumes'!$I32</f>
        <v>-48079.827601545629</v>
      </c>
      <c r="R11" s="159">
        <f>+$E11*'Test Period Volumes'!$I33</f>
        <v>-103121.38612878017</v>
      </c>
      <c r="S11" s="159">
        <f>SUM(G11:R11)</f>
        <v>-1470004.5000000009</v>
      </c>
      <c r="T11" s="78">
        <f>+S11+F11</f>
        <v>0</v>
      </c>
    </row>
    <row r="12" spans="1:20" x14ac:dyDescent="0.25">
      <c r="A12" s="152" t="str">
        <f>+'Balances at 7-31-2025'!A9</f>
        <v>47WA.1823.47020444</v>
      </c>
      <c r="B12" s="152" t="str">
        <f>+'Balances at 7-31-2025'!C9</f>
        <v>Washington Conservation Administration &amp; Program Delivery Fees</v>
      </c>
      <c r="C12" s="152" t="s">
        <v>41</v>
      </c>
      <c r="D12" s="158">
        <v>7</v>
      </c>
      <c r="E12" s="67">
        <v>-1.2602014256953903E-2</v>
      </c>
      <c r="F12" s="159">
        <f>+EstimatedBalances!F13</f>
        <v>3410842.49</v>
      </c>
      <c r="G12" s="159">
        <f>+$E12*'Test Period Volumes'!I22</f>
        <v>-418672.93905450241</v>
      </c>
      <c r="H12" s="159">
        <f>+$E12*'Test Period Volumes'!I23</f>
        <v>-556622.36255391641</v>
      </c>
      <c r="I12" s="159">
        <f>+$E12*'Test Period Volumes'!I24</f>
        <v>-558536.39428530529</v>
      </c>
      <c r="J12" s="159">
        <f>+$E12*'Test Period Volumes'!$I25</f>
        <v>-445038.87328290136</v>
      </c>
      <c r="K12" s="159">
        <f>+$E12*'Test Period Volumes'!$I26</f>
        <v>-392377.57610594243</v>
      </c>
      <c r="L12" s="159">
        <f>+$E12*'Test Period Volumes'!$I27</f>
        <v>-250775.04290767989</v>
      </c>
      <c r="M12" s="159">
        <f>+$E12*'Test Period Volumes'!$I28</f>
        <v>-145700.70823462395</v>
      </c>
      <c r="N12" s="159">
        <f>+$E12*'Test Period Volumes'!$I29</f>
        <v>-105882.12378692669</v>
      </c>
      <c r="O12" s="159">
        <f>+$E12*'Test Period Volumes'!$I30</f>
        <v>-101598.69914098806</v>
      </c>
      <c r="P12" s="159">
        <f>+$E12*'Test Period Volumes'!$I31</f>
        <v>-84806.515143596989</v>
      </c>
      <c r="Q12" s="159">
        <f>+$E12*'Test Period Volumes'!$I32</f>
        <v>-111559.33120968442</v>
      </c>
      <c r="R12" s="159">
        <f>+$E12*'Test Period Volumes'!$I33</f>
        <v>-239271.92429393236</v>
      </c>
      <c r="S12" s="159">
        <f>SUM(G12:R12)</f>
        <v>-3410842.49</v>
      </c>
      <c r="T12" s="78">
        <f>+S12+F12</f>
        <v>0</v>
      </c>
    </row>
    <row r="13" spans="1:20" x14ac:dyDescent="0.25">
      <c r="A13" s="152" t="str">
        <f>+'Balances at 7-31-2025'!A10</f>
        <v>47WA.1823.47020449</v>
      </c>
      <c r="B13" s="152" t="str">
        <f>+'Balances at 7-31-2025'!C10</f>
        <v xml:space="preserve">Washington Residential Conservation Program </v>
      </c>
      <c r="C13" s="152" t="s">
        <v>41</v>
      </c>
      <c r="D13" s="158">
        <v>7</v>
      </c>
      <c r="E13" s="67">
        <v>-4.8089933264505405E-2</v>
      </c>
      <c r="F13" s="159">
        <f>+EstimatedBalances!F14</f>
        <v>13015950.02</v>
      </c>
      <c r="G13" s="159">
        <f>+$E13*'Test Period Volumes'!I22</f>
        <v>-1597677.4258666837</v>
      </c>
      <c r="H13" s="159">
        <f>+$E13*'Test Period Volumes'!I23</f>
        <v>-2124099.5068687843</v>
      </c>
      <c r="I13" s="159">
        <f>+$E13*'Test Period Volumes'!I24</f>
        <v>-2131403.5502027972</v>
      </c>
      <c r="J13" s="159">
        <f>+$E13*'Test Period Volumes'!$I25</f>
        <v>-1698291.1842426818</v>
      </c>
      <c r="K13" s="159">
        <f>+$E13*'Test Period Volumes'!$I26</f>
        <v>-1497332.9711169668</v>
      </c>
      <c r="L13" s="159">
        <f>+$E13*'Test Period Volumes'!$I27</f>
        <v>-956970.43599035172</v>
      </c>
      <c r="M13" s="159">
        <f>+$E13*'Test Period Volumes'!$I28</f>
        <v>-556001.38142423215</v>
      </c>
      <c r="N13" s="159">
        <f>+$E13*'Test Period Volumes'!$I29</f>
        <v>-404051.61928837444</v>
      </c>
      <c r="O13" s="159">
        <f>+$E13*'Test Period Volumes'!$I30</f>
        <v>-387705.85097176902</v>
      </c>
      <c r="P13" s="159">
        <f>+$E13*'Test Period Volumes'!$I31</f>
        <v>-323626.01489681558</v>
      </c>
      <c r="Q13" s="159">
        <f>+$E13*'Test Period Volumes'!$I32</f>
        <v>-425716.13422403409</v>
      </c>
      <c r="R13" s="159">
        <f>+$E13*'Test Period Volumes'!$I33</f>
        <v>-913073.94490651123</v>
      </c>
      <c r="S13" s="159">
        <f>SUM(G13:R13)</f>
        <v>-13015950.020000001</v>
      </c>
      <c r="T13" s="78">
        <f>+S13+F13</f>
        <v>0</v>
      </c>
    </row>
    <row r="14" spans="1:20" x14ac:dyDescent="0.25">
      <c r="A14" s="152" t="str">
        <f>+'Balances at 7-31-2025'!A11</f>
        <v>47WA.1823.47020478</v>
      </c>
      <c r="B14" s="152" t="str">
        <f>+'Balances at 7-31-2025'!C11</f>
        <v>Consolidated Technical Adjustments - Conservation</v>
      </c>
      <c r="C14" s="152" t="s">
        <v>41</v>
      </c>
      <c r="D14" s="158">
        <v>7</v>
      </c>
      <c r="E14" s="67">
        <v>-8.892070778618805E-3</v>
      </c>
      <c r="F14" s="159">
        <f>+EstimatedBalances!F15</f>
        <v>2406714.6900000004</v>
      </c>
      <c r="G14" s="159">
        <f>+$E14*'Test Period Volumes'!I22</f>
        <v>-295418.59985681897</v>
      </c>
      <c r="H14" s="159">
        <f>+$E14*'Test Period Volumes'!I23</f>
        <v>-392756.69300725084</v>
      </c>
      <c r="I14" s="159">
        <f>+$E14*'Test Period Volumes'!I24</f>
        <v>-394107.24739331979</v>
      </c>
      <c r="J14" s="159">
        <f>+$E14*'Test Period Volumes'!$I25</f>
        <v>-314022.59033984522</v>
      </c>
      <c r="K14" s="159">
        <f>+$E14*'Test Period Volumes'!$I26</f>
        <v>-276864.404970153</v>
      </c>
      <c r="L14" s="159">
        <f>+$E14*'Test Period Volumes'!$I27</f>
        <v>-176948.65166620279</v>
      </c>
      <c r="M14" s="159">
        <f>+$E14*'Test Period Volumes'!$I28</f>
        <v>-102807.45472115703</v>
      </c>
      <c r="N14" s="159">
        <f>+$E14*'Test Period Volumes'!$I29</f>
        <v>-74711.178681955207</v>
      </c>
      <c r="O14" s="159">
        <f>+$E14*'Test Period Volumes'!$I30</f>
        <v>-71688.763824302674</v>
      </c>
      <c r="P14" s="159">
        <f>+$E14*'Test Period Volumes'!$I31</f>
        <v>-59840.079511793112</v>
      </c>
      <c r="Q14" s="159">
        <f>+$E14*'Test Period Volumes'!$I32</f>
        <v>-78717.056567722975</v>
      </c>
      <c r="R14" s="159">
        <f>+$E14*'Test Period Volumes'!$I33</f>
        <v>-168831.96945947953</v>
      </c>
      <c r="S14" s="159">
        <f>SUM(G14:R14)</f>
        <v>-2406714.6900000013</v>
      </c>
      <c r="T14" s="78">
        <f>+S14+F14</f>
        <v>0</v>
      </c>
    </row>
    <row r="15" spans="1:20" x14ac:dyDescent="0.25">
      <c r="D15" s="152"/>
      <c r="F15" s="159"/>
      <c r="G15" s="159">
        <f>+SUM(G10:G14)+F16</f>
        <v>18756748.336382274</v>
      </c>
      <c r="H15" s="159">
        <f>+SUM(H10:H14)+G15</f>
        <v>15267499.01575896</v>
      </c>
      <c r="I15" s="159">
        <f t="shared" ref="I15:R15" si="0">+SUM(I10:I14)+H15</f>
        <v>11766251.373890057</v>
      </c>
      <c r="J15" s="159">
        <f t="shared" si="0"/>
        <v>8976475.592822846</v>
      </c>
      <c r="K15" s="159">
        <f t="shared" si="0"/>
        <v>6516813.022721081</v>
      </c>
      <c r="L15" s="159">
        <f t="shared" si="0"/>
        <v>4944801.7149465978</v>
      </c>
      <c r="M15" s="159">
        <f t="shared" si="0"/>
        <v>4031460.5856225793</v>
      </c>
      <c r="N15" s="159">
        <f t="shared" si="0"/>
        <v>3367726.691075895</v>
      </c>
      <c r="O15" s="159">
        <f t="shared" si="0"/>
        <v>2730843.9213514454</v>
      </c>
      <c r="P15" s="159">
        <f t="shared" si="0"/>
        <v>2199224.8286662074</v>
      </c>
      <c r="Q15" s="159">
        <f t="shared" si="0"/>
        <v>1499902.7266102058</v>
      </c>
      <c r="R15" s="159">
        <f t="shared" si="0"/>
        <v>-4.8894435167312622E-9</v>
      </c>
      <c r="S15" s="159"/>
      <c r="T15" s="78"/>
    </row>
    <row r="16" spans="1:20" x14ac:dyDescent="0.25">
      <c r="A16" s="175"/>
      <c r="B16" s="166" t="s">
        <v>154</v>
      </c>
      <c r="D16" s="152"/>
      <c r="E16" s="216">
        <f t="shared" ref="E16:T16" si="1">SUM(E10:E14)</f>
        <v>-7.8997130986275255E-2</v>
      </c>
      <c r="F16" s="217">
        <f t="shared" si="1"/>
        <v>21381246.32</v>
      </c>
      <c r="G16" s="217">
        <f t="shared" si="1"/>
        <v>-2624497.9836177267</v>
      </c>
      <c r="H16" s="217">
        <f t="shared" si="1"/>
        <v>-3489249.320623314</v>
      </c>
      <c r="I16" s="217">
        <f t="shared" si="1"/>
        <v>-3501247.6418689028</v>
      </c>
      <c r="J16" s="217">
        <f t="shared" si="1"/>
        <v>-2789775.7810672112</v>
      </c>
      <c r="K16" s="217">
        <f t="shared" si="1"/>
        <v>-2459662.570101765</v>
      </c>
      <c r="L16" s="217">
        <f t="shared" si="1"/>
        <v>-1572011.307774483</v>
      </c>
      <c r="M16" s="217">
        <f t="shared" si="1"/>
        <v>-913341.12932401849</v>
      </c>
      <c r="N16" s="217">
        <f t="shared" si="1"/>
        <v>-663733.89454668458</v>
      </c>
      <c r="O16" s="217">
        <f t="shared" si="1"/>
        <v>-636882.76972444961</v>
      </c>
      <c r="P16" s="217">
        <f t="shared" si="1"/>
        <v>-531619.09268523788</v>
      </c>
      <c r="Q16" s="217">
        <f t="shared" si="1"/>
        <v>-699322.10205600155</v>
      </c>
      <c r="R16" s="217">
        <f t="shared" si="1"/>
        <v>-1499902.7266102107</v>
      </c>
      <c r="S16" s="217">
        <f>SUM(S10:S14)</f>
        <v>-21381246.320000004</v>
      </c>
      <c r="T16" s="78">
        <f t="shared" si="1"/>
        <v>0</v>
      </c>
    </row>
    <row r="17" spans="1:19" x14ac:dyDescent="0.25">
      <c r="D17" s="152"/>
    </row>
    <row r="18" spans="1:19" x14ac:dyDescent="0.25">
      <c r="A18" s="166" t="s">
        <v>186</v>
      </c>
      <c r="D18" s="152"/>
    </row>
    <row r="19" spans="1:19" x14ac:dyDescent="0.25">
      <c r="A19" s="218" t="s">
        <v>187</v>
      </c>
      <c r="B19" s="226"/>
      <c r="C19" s="219">
        <v>7.4999999999999997E-2</v>
      </c>
      <c r="D19" s="152"/>
      <c r="G19" s="220">
        <f>$C19*DAY(DATE(YEAR(G9),MONTH(G9)+1,DAY(1))-1)/365</f>
        <v>6.1643835616438354E-3</v>
      </c>
      <c r="H19" s="220">
        <f t="shared" ref="H19:R19" si="2">$C19*DAY(DATE(YEAR(H9),MONTH(H9)+1,DAY(1))-1)/365</f>
        <v>6.3698630136986298E-3</v>
      </c>
      <c r="I19" s="220">
        <f t="shared" si="2"/>
        <v>6.3698630136986298E-3</v>
      </c>
      <c r="J19" s="220">
        <f t="shared" si="2"/>
        <v>5.7534246575342467E-3</v>
      </c>
      <c r="K19" s="220">
        <f t="shared" si="2"/>
        <v>6.3698630136986298E-3</v>
      </c>
      <c r="L19" s="220">
        <f t="shared" si="2"/>
        <v>6.1643835616438354E-3</v>
      </c>
      <c r="M19" s="220">
        <f t="shared" si="2"/>
        <v>6.3698630136986298E-3</v>
      </c>
      <c r="N19" s="220">
        <f t="shared" si="2"/>
        <v>6.1643835616438354E-3</v>
      </c>
      <c r="O19" s="220">
        <f t="shared" si="2"/>
        <v>6.3698630136986298E-3</v>
      </c>
      <c r="P19" s="220">
        <f t="shared" si="2"/>
        <v>6.3698630136986298E-3</v>
      </c>
      <c r="Q19" s="220">
        <f t="shared" si="2"/>
        <v>6.1643835616438354E-3</v>
      </c>
      <c r="R19" s="220">
        <f t="shared" si="2"/>
        <v>6.3698630136986298E-3</v>
      </c>
      <c r="S19" s="168" t="s">
        <v>157</v>
      </c>
    </row>
    <row r="20" spans="1:19" x14ac:dyDescent="0.25">
      <c r="A20" s="152" t="str">
        <f t="shared" ref="A20:B24" si="3">+A10</f>
        <v>47WA.1823.47020430</v>
      </c>
      <c r="B20" s="152" t="str">
        <f t="shared" si="3"/>
        <v xml:space="preserve">Commercial Conservation Program </v>
      </c>
      <c r="C20" s="152">
        <v>7</v>
      </c>
      <c r="D20" s="152"/>
      <c r="G20" s="159">
        <f>+G$19*(SUM(F10:$F10))</f>
        <v>6643.5695753424652</v>
      </c>
      <c r="H20" s="159">
        <f>+H$19*(SUM($F10:G10))</f>
        <v>6022.3565115018109</v>
      </c>
      <c r="I20" s="159">
        <f>+I$19*(SUM($F10:H10))</f>
        <v>4902.0395466711097</v>
      </c>
      <c r="J20" s="159">
        <f>+J$19*(SUM($F10:I10))</f>
        <v>3412.2698575153468</v>
      </c>
      <c r="K20" s="159">
        <f>+K$19*(SUM($F10:J10))</f>
        <v>2882.1379520199125</v>
      </c>
      <c r="L20" s="159">
        <f>+L$19*(SUM($F10:K10))</f>
        <v>2024.9007040084127</v>
      </c>
      <c r="M20" s="159">
        <f>+M$19*(SUM($F10:L10))</f>
        <v>1587.6610525466824</v>
      </c>
      <c r="N20" s="159">
        <f>+N$19*(SUM($F10:M10))</f>
        <v>1252.6533060788581</v>
      </c>
      <c r="O20" s="159">
        <f>+O$19*(SUM($F10:N10))</f>
        <v>1081.2988692511908</v>
      </c>
      <c r="P20" s="159">
        <f>+P$19*(SUM($F10:O10))</f>
        <v>876.81059513634318</v>
      </c>
      <c r="Q20" s="159">
        <f>+Q$19*(SUM($F10:P10))</f>
        <v>683.34197840458194</v>
      </c>
      <c r="R20" s="159">
        <f>+R$19*(SUM($F10:Q10))</f>
        <v>481.583949958912</v>
      </c>
      <c r="S20" s="159">
        <f>SUM(G20:R20)</f>
        <v>31850.623898435628</v>
      </c>
    </row>
    <row r="21" spans="1:19" x14ac:dyDescent="0.25">
      <c r="A21" s="152" t="str">
        <f t="shared" si="3"/>
        <v>47WA.1823.47020431</v>
      </c>
      <c r="B21" s="152" t="str">
        <f t="shared" si="3"/>
        <v>Low Income Weatherization Program</v>
      </c>
      <c r="C21" s="152">
        <v>7</v>
      </c>
      <c r="D21" s="152"/>
      <c r="G21" s="159">
        <f>+G$19*(SUM(F11:$F11))</f>
        <v>9061.6715753424651</v>
      </c>
      <c r="H21" s="159">
        <f>+H$19*(SUM($F11:G11))</f>
        <v>8214.3516671218804</v>
      </c>
      <c r="I21" s="159">
        <f>+I$19*(SUM($F11:H11))</f>
        <v>6686.2658571592456</v>
      </c>
      <c r="J21" s="159">
        <f>+J$19*(SUM($F11:I11))</f>
        <v>4654.2552801745587</v>
      </c>
      <c r="K21" s="159">
        <f>+K$19*(SUM($F11:J11))</f>
        <v>3931.1679150569175</v>
      </c>
      <c r="L21" s="159">
        <f>+L$19*(SUM($F11:K11))</f>
        <v>2761.9166088823777</v>
      </c>
      <c r="M21" s="159">
        <f>+M$19*(SUM($F11:L11))</f>
        <v>2165.5320784984742</v>
      </c>
      <c r="N21" s="159">
        <f>+N$19*(SUM($F11:M11))</f>
        <v>1708.5894455870805</v>
      </c>
      <c r="O21" s="159">
        <f>+O$19*(SUM($F11:N11))</f>
        <v>1474.8660515741492</v>
      </c>
      <c r="P21" s="159">
        <f>+P$19*(SUM($F11:O11))</f>
        <v>1195.9488881391844</v>
      </c>
      <c r="Q21" s="159">
        <f>+Q$19*(SUM($F11:P11))</f>
        <v>932.0622764198132</v>
      </c>
      <c r="R21" s="159">
        <f>+R$19*(SUM($F11:Q11))</f>
        <v>656.86910342304816</v>
      </c>
      <c r="S21" s="159">
        <f>SUM(G21:R21)</f>
        <v>43443.496747379206</v>
      </c>
    </row>
    <row r="22" spans="1:19" x14ac:dyDescent="0.25">
      <c r="A22" s="152" t="str">
        <f t="shared" si="3"/>
        <v>47WA.1823.47020444</v>
      </c>
      <c r="B22" s="152" t="str">
        <f t="shared" si="3"/>
        <v>Washington Conservation Administration &amp; Program Delivery Fees</v>
      </c>
      <c r="C22" s="152">
        <v>7</v>
      </c>
      <c r="D22" s="152"/>
      <c r="G22" s="159">
        <f>+G$19*(SUM(F12:$F12))</f>
        <v>21025.741376712329</v>
      </c>
      <c r="H22" s="159">
        <f>+H$19*(SUM($F12:G12))</f>
        <v>19059.710153282966</v>
      </c>
      <c r="I22" s="159">
        <f>+I$19*(SUM($F12:H12))</f>
        <v>15514.101953453224</v>
      </c>
      <c r="J22" s="159">
        <f>+J$19*(SUM($F12:I12))</f>
        <v>10799.240185268987</v>
      </c>
      <c r="K22" s="159">
        <f>+K$19*(SUM($F12:J12))</f>
        <v>9121.4649751077977</v>
      </c>
      <c r="L22" s="159">
        <f>+L$19*(SUM($F12:K12))</f>
        <v>6408.4582893540346</v>
      </c>
      <c r="M22" s="159">
        <f>+M$19*(SUM($F12:L12))</f>
        <v>5024.6708950895181</v>
      </c>
      <c r="N22" s="159">
        <f>+N$19*(SUM($F12:M12))</f>
        <v>3964.4296864220241</v>
      </c>
      <c r="O22" s="159">
        <f>+O$19*(SUM($F12:N12))</f>
        <v>3422.1227185138869</v>
      </c>
      <c r="P22" s="159">
        <f>+P$19*(SUM($F12:O12))</f>
        <v>2774.9529226158124</v>
      </c>
      <c r="Q22" s="159">
        <f>+Q$19*(SUM($F12:P12))</f>
        <v>2162.6584243373622</v>
      </c>
      <c r="R22" s="159">
        <f>+R$19*(SUM($F12:Q12))</f>
        <v>1524.1293807764171</v>
      </c>
      <c r="S22" s="159">
        <f>SUM(G22:R22)</f>
        <v>100801.68096093435</v>
      </c>
    </row>
    <row r="23" spans="1:19" x14ac:dyDescent="0.25">
      <c r="A23" s="152" t="str">
        <f t="shared" si="3"/>
        <v>47WA.1823.47020449</v>
      </c>
      <c r="B23" s="152" t="str">
        <f t="shared" si="3"/>
        <v xml:space="preserve">Washington Residential Conservation Program </v>
      </c>
      <c r="C23" s="152">
        <v>7</v>
      </c>
      <c r="D23" s="152"/>
      <c r="G23" s="159">
        <f>+G$19*(SUM(F13:$F13))</f>
        <v>80235.308342465753</v>
      </c>
      <c r="H23" s="159">
        <f>+H$19*(SUM($F13:G13))</f>
        <v>72732.832277698515</v>
      </c>
      <c r="I23" s="159">
        <f>+I$19*(SUM($F13:H13))</f>
        <v>59202.609391479542</v>
      </c>
      <c r="J23" s="159">
        <f>+J$19*(SUM($F13:I13))</f>
        <v>41210.454870766138</v>
      </c>
      <c r="K23" s="159">
        <f>+K$19*(SUM($F13:J13))</f>
        <v>34807.97854877889</v>
      </c>
      <c r="L23" s="159">
        <f>+L$19*(SUM($F13:K13))</f>
        <v>24455.005777615592</v>
      </c>
      <c r="M23" s="159">
        <f>+M$19*(SUM($F13:L13))</f>
        <v>19174.402051451452</v>
      </c>
      <c r="N23" s="159">
        <f>+N$19*(SUM($F13:M13))</f>
        <v>15128.467177114735</v>
      </c>
      <c r="O23" s="159">
        <f>+O$19*(SUM($F13:N13))</f>
        <v>13058.995951021836</v>
      </c>
      <c r="P23" s="159">
        <f>+P$19*(SUM($F13:O13))</f>
        <v>10589.362790722211</v>
      </c>
      <c r="Q23" s="159">
        <f>+Q$19*(SUM($F13:P13))</f>
        <v>8252.8155562841639</v>
      </c>
      <c r="R23" s="159">
        <f>+R$19*(SUM($F13:Q13))</f>
        <v>5816.1559504318666</v>
      </c>
      <c r="S23" s="159">
        <f>SUM(G23:R23)</f>
        <v>384664.38868583075</v>
      </c>
    </row>
    <row r="24" spans="1:19" x14ac:dyDescent="0.25">
      <c r="A24" s="152" t="str">
        <f t="shared" si="3"/>
        <v>47WA.1823.47020478</v>
      </c>
      <c r="B24" s="152" t="str">
        <f t="shared" si="3"/>
        <v>Consolidated Technical Adjustments - Conservation</v>
      </c>
      <c r="C24" s="152">
        <v>7</v>
      </c>
      <c r="D24" s="152"/>
      <c r="G24" s="159">
        <f>+G$19*(SUM(F14:$F14))</f>
        <v>14835.912472602742</v>
      </c>
      <c r="H24" s="159">
        <f>+H$19*(SUM($F14:G14))</f>
        <v>13448.666875569579</v>
      </c>
      <c r="I24" s="159">
        <f>+I$19*(SUM($F14:H14))</f>
        <v>10946.860543400106</v>
      </c>
      <c r="J24" s="159">
        <f>+J$19*(SUM($F14:I14))</f>
        <v>7620.020587560226</v>
      </c>
      <c r="K24" s="159">
        <f>+K$19*(SUM($F14:J14))</f>
        <v>6436.1704811272048</v>
      </c>
      <c r="L24" s="159">
        <f>+L$19*(SUM($F14:K14))</f>
        <v>4521.8536917078845</v>
      </c>
      <c r="M24" s="159">
        <f>+M$19*(SUM($F14:L14))</f>
        <v>3545.4434765257602</v>
      </c>
      <c r="N24" s="159">
        <f>+N$19*(SUM($F14:M14))</f>
        <v>2797.3297482241601</v>
      </c>
      <c r="O24" s="159">
        <f>+O$19*(SUM($F14:N14))</f>
        <v>2414.6740993689491</v>
      </c>
      <c r="P24" s="159">
        <f>+P$19*(SUM($F14:O14))</f>
        <v>1958.0264941867474</v>
      </c>
      <c r="Q24" s="159">
        <f>+Q$19*(SUM($F14:P14))</f>
        <v>1525.9871467430239</v>
      </c>
      <c r="R24" s="159">
        <f>+R$19*(SUM($F14:Q14))</f>
        <v>1075.4365177898298</v>
      </c>
      <c r="S24" s="159">
        <f>SUM(G24:R24)</f>
        <v>71126.382134806219</v>
      </c>
    </row>
    <row r="25" spans="1:19" x14ac:dyDescent="0.25">
      <c r="D25" s="152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</row>
    <row r="26" spans="1:19" s="166" customFormat="1" x14ac:dyDescent="0.25">
      <c r="B26" s="166" t="s">
        <v>154</v>
      </c>
      <c r="G26" s="217">
        <f t="shared" ref="G26:S26" si="4">SUM(G20:G24)</f>
        <v>131802.20334246574</v>
      </c>
      <c r="H26" s="217">
        <f t="shared" si="4"/>
        <v>119477.91748517475</v>
      </c>
      <c r="I26" s="217">
        <f t="shared" si="4"/>
        <v>97251.877292163234</v>
      </c>
      <c r="J26" s="217">
        <f t="shared" si="4"/>
        <v>67696.240781285247</v>
      </c>
      <c r="K26" s="217">
        <f t="shared" si="4"/>
        <v>57178.919872090722</v>
      </c>
      <c r="L26" s="217">
        <f t="shared" si="4"/>
        <v>40172.1350715683</v>
      </c>
      <c r="M26" s="217">
        <f t="shared" si="4"/>
        <v>31497.709554111887</v>
      </c>
      <c r="N26" s="217">
        <f t="shared" si="4"/>
        <v>24851.469363426859</v>
      </c>
      <c r="O26" s="217">
        <f t="shared" si="4"/>
        <v>21451.95768973001</v>
      </c>
      <c r="P26" s="217">
        <f t="shared" si="4"/>
        <v>17395.101690800297</v>
      </c>
      <c r="Q26" s="217">
        <f t="shared" si="4"/>
        <v>13556.865382188946</v>
      </c>
      <c r="R26" s="217">
        <f t="shared" si="4"/>
        <v>9554.174902380073</v>
      </c>
      <c r="S26" s="217">
        <f t="shared" si="4"/>
        <v>631886.57242738619</v>
      </c>
    </row>
    <row r="27" spans="1:19" x14ac:dyDescent="0.25">
      <c r="G27" s="222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181"/>
    </row>
  </sheetData>
  <mergeCells count="3">
    <mergeCell ref="G1:K1"/>
    <mergeCell ref="G3:K3"/>
    <mergeCell ref="G6:I6"/>
  </mergeCells>
  <printOptions horizontalCentered="1"/>
  <pageMargins left="0.25" right="0.25" top="1" bottom="1" header="0.5" footer="0.5"/>
  <pageSetup scale="39" orientation="landscape" r:id="rId1"/>
  <headerFooter scaleWithDoc="0" alignWithMargins="0">
    <oddFooter>&amp;L
&amp;A&amp;R&amp;P/&amp;N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61222-FF5B-4E2A-8260-AE1AB354B73F}">
  <sheetPr>
    <pageSetUpPr fitToPage="1"/>
  </sheetPr>
  <dimension ref="A1:K37"/>
  <sheetViews>
    <sheetView topLeftCell="A4" workbookViewId="0">
      <selection activeCell="F12" sqref="F12"/>
    </sheetView>
  </sheetViews>
  <sheetFormatPr defaultColWidth="9.33203125" defaultRowHeight="15" x14ac:dyDescent="0.25"/>
  <cols>
    <col min="1" max="1" width="12.5" style="152" bestFit="1" customWidth="1"/>
    <col min="2" max="2" width="9.33203125" style="152"/>
    <col min="3" max="3" width="18.5" style="152" bestFit="1" customWidth="1"/>
    <col min="4" max="4" width="17" style="152" customWidth="1"/>
    <col min="5" max="5" width="19" style="152" customWidth="1"/>
    <col min="6" max="6" width="14.6640625" style="152" customWidth="1"/>
    <col min="7" max="7" width="12.33203125" style="152" bestFit="1" customWidth="1"/>
    <col min="8" max="8" width="17.1640625" style="152" customWidth="1"/>
    <col min="9" max="9" width="16.6640625" style="152" customWidth="1"/>
    <col min="10" max="11" width="16.6640625" style="152" bestFit="1" customWidth="1"/>
    <col min="12" max="14" width="9.33203125" style="152"/>
    <col min="15" max="15" width="12.5" style="152" bestFit="1" customWidth="1"/>
    <col min="16" max="16384" width="9.33203125" style="152"/>
  </cols>
  <sheetData>
    <row r="1" spans="1:11" x14ac:dyDescent="0.25">
      <c r="B1" s="317" t="s">
        <v>9</v>
      </c>
      <c r="C1" s="317"/>
      <c r="D1" s="317"/>
      <c r="E1" s="317"/>
      <c r="F1" s="317"/>
      <c r="G1" s="317"/>
      <c r="H1" s="317"/>
      <c r="I1" s="317"/>
    </row>
    <row r="2" spans="1:11" x14ac:dyDescent="0.25">
      <c r="B2" s="322" t="s">
        <v>189</v>
      </c>
      <c r="C2" s="322"/>
      <c r="D2" s="322"/>
      <c r="E2" s="322"/>
      <c r="F2" s="322"/>
      <c r="G2" s="322"/>
      <c r="H2" s="322"/>
      <c r="I2" s="322"/>
    </row>
    <row r="3" spans="1:11" x14ac:dyDescent="0.25">
      <c r="B3" s="317" t="s">
        <v>13</v>
      </c>
      <c r="C3" s="317"/>
      <c r="D3" s="317"/>
      <c r="E3" s="317"/>
      <c r="F3" s="317"/>
      <c r="G3" s="317"/>
      <c r="H3" s="317"/>
      <c r="I3" s="317"/>
    </row>
    <row r="5" spans="1:11" x14ac:dyDescent="0.25">
      <c r="B5" s="193"/>
      <c r="C5" s="192">
        <v>503</v>
      </c>
      <c r="D5" s="192">
        <v>504</v>
      </c>
      <c r="E5" s="168">
        <v>505</v>
      </c>
      <c r="F5" s="168">
        <v>511</v>
      </c>
      <c r="G5" s="168">
        <v>570</v>
      </c>
      <c r="H5" s="194">
        <v>663</v>
      </c>
      <c r="I5" s="194" t="s">
        <v>91</v>
      </c>
    </row>
    <row r="6" spans="1:11" x14ac:dyDescent="0.25">
      <c r="A6" s="227" t="s">
        <v>190</v>
      </c>
      <c r="B6" s="228">
        <v>45505</v>
      </c>
      <c r="C6" s="229">
        <v>2190528</v>
      </c>
      <c r="D6" s="229">
        <v>2284568</v>
      </c>
      <c r="E6" s="229">
        <v>488223</v>
      </c>
      <c r="F6" s="229">
        <v>629231</v>
      </c>
      <c r="G6" s="229">
        <v>37599</v>
      </c>
      <c r="H6" s="230">
        <v>72896172</v>
      </c>
      <c r="I6" s="231">
        <f t="shared" ref="I6:I17" si="0">+C6+D6+E6+F6+G6</f>
        <v>5630149</v>
      </c>
      <c r="J6" s="160"/>
      <c r="K6" s="163"/>
    </row>
    <row r="7" spans="1:11" x14ac:dyDescent="0.25">
      <c r="A7" s="227" t="s">
        <v>190</v>
      </c>
      <c r="B7" s="228">
        <v>45536</v>
      </c>
      <c r="C7" s="232">
        <v>3325582</v>
      </c>
      <c r="D7" s="232">
        <v>3071393</v>
      </c>
      <c r="E7" s="232">
        <v>542767</v>
      </c>
      <c r="F7" s="232">
        <v>696188</v>
      </c>
      <c r="G7" s="232">
        <v>42323</v>
      </c>
      <c r="H7" s="230">
        <v>73312711</v>
      </c>
      <c r="I7" s="231">
        <f t="shared" si="0"/>
        <v>7678253</v>
      </c>
      <c r="J7" s="160"/>
      <c r="K7" s="163"/>
    </row>
    <row r="8" spans="1:11" x14ac:dyDescent="0.25">
      <c r="A8" s="227" t="s">
        <v>190</v>
      </c>
      <c r="B8" s="228">
        <v>45566</v>
      </c>
      <c r="C8" s="229">
        <v>7995441</v>
      </c>
      <c r="D8" s="229">
        <v>6244926</v>
      </c>
      <c r="E8" s="229">
        <v>970935</v>
      </c>
      <c r="F8" s="229">
        <v>1274990</v>
      </c>
      <c r="G8" s="229">
        <v>65711</v>
      </c>
      <c r="H8" s="230">
        <v>69007511</v>
      </c>
      <c r="I8" s="231">
        <f t="shared" si="0"/>
        <v>16552003</v>
      </c>
      <c r="J8" s="160"/>
      <c r="K8" s="163"/>
    </row>
    <row r="9" spans="1:11" x14ac:dyDescent="0.25">
      <c r="A9" s="227" t="s">
        <v>190</v>
      </c>
      <c r="B9" s="228">
        <v>45597</v>
      </c>
      <c r="C9" s="232">
        <v>16254947</v>
      </c>
      <c r="D9" s="232">
        <v>10817184</v>
      </c>
      <c r="E9" s="232">
        <v>925502</v>
      </c>
      <c r="F9" s="232">
        <v>1724881</v>
      </c>
      <c r="G9" s="232">
        <v>84258</v>
      </c>
      <c r="H9" s="230">
        <v>73471824</v>
      </c>
      <c r="I9" s="231">
        <f t="shared" si="0"/>
        <v>29806772</v>
      </c>
      <c r="J9" s="160"/>
      <c r="K9" s="163"/>
    </row>
    <row r="10" spans="1:11" x14ac:dyDescent="0.25">
      <c r="A10" s="227" t="s">
        <v>190</v>
      </c>
      <c r="B10" s="228">
        <v>45627</v>
      </c>
      <c r="C10" s="229">
        <v>19822792</v>
      </c>
      <c r="D10" s="229">
        <v>13465299</v>
      </c>
      <c r="E10" s="229">
        <v>1453441</v>
      </c>
      <c r="F10" s="229">
        <v>1909352</v>
      </c>
      <c r="G10" s="229">
        <v>97597</v>
      </c>
      <c r="H10" s="230">
        <v>85998792</v>
      </c>
      <c r="I10" s="231">
        <f t="shared" si="0"/>
        <v>36748481</v>
      </c>
      <c r="J10" s="160"/>
      <c r="K10" s="163"/>
    </row>
    <row r="11" spans="1:11" x14ac:dyDescent="0.25">
      <c r="A11" s="227" t="s">
        <v>190</v>
      </c>
      <c r="B11" s="228">
        <v>45658</v>
      </c>
      <c r="C11" s="229">
        <v>21506499</v>
      </c>
      <c r="D11" s="229">
        <v>15700720</v>
      </c>
      <c r="E11" s="229">
        <v>1614044</v>
      </c>
      <c r="F11" s="232">
        <v>2293820</v>
      </c>
      <c r="G11" s="232">
        <v>108155</v>
      </c>
      <c r="H11" s="230">
        <v>79699932</v>
      </c>
      <c r="I11" s="231">
        <f t="shared" si="0"/>
        <v>41223238</v>
      </c>
      <c r="J11" s="160"/>
      <c r="K11" s="163"/>
    </row>
    <row r="12" spans="1:11" x14ac:dyDescent="0.25">
      <c r="A12" s="227" t="s">
        <v>190</v>
      </c>
      <c r="B12" s="228">
        <v>45689</v>
      </c>
      <c r="C12" s="233">
        <v>19768832</v>
      </c>
      <c r="D12" s="233">
        <v>13965699</v>
      </c>
      <c r="E12" s="233">
        <v>1560337</v>
      </c>
      <c r="F12" s="229">
        <v>2179106</v>
      </c>
      <c r="G12" s="229">
        <v>97023</v>
      </c>
      <c r="H12" s="230">
        <v>74519864</v>
      </c>
      <c r="I12" s="231">
        <f t="shared" si="0"/>
        <v>37570997</v>
      </c>
      <c r="J12" s="160"/>
      <c r="K12" s="163"/>
    </row>
    <row r="13" spans="1:11" x14ac:dyDescent="0.25">
      <c r="A13" s="227" t="s">
        <v>190</v>
      </c>
      <c r="B13" s="228">
        <v>45717</v>
      </c>
      <c r="C13" s="232">
        <v>12178361</v>
      </c>
      <c r="D13" s="232">
        <v>9593527</v>
      </c>
      <c r="E13" s="232">
        <v>1324284</v>
      </c>
      <c r="F13" s="232">
        <v>1627678</v>
      </c>
      <c r="G13" s="232">
        <v>87987</v>
      </c>
      <c r="H13" s="230">
        <v>72925555</v>
      </c>
      <c r="I13" s="231">
        <f t="shared" si="0"/>
        <v>24811837</v>
      </c>
      <c r="J13" s="160"/>
      <c r="K13" s="163"/>
    </row>
    <row r="14" spans="1:11" x14ac:dyDescent="0.25">
      <c r="A14" s="227" t="s">
        <v>190</v>
      </c>
      <c r="B14" s="228">
        <v>45748</v>
      </c>
      <c r="C14" s="229">
        <v>7412939</v>
      </c>
      <c r="D14" s="229">
        <v>5251256</v>
      </c>
      <c r="E14" s="229">
        <v>992434</v>
      </c>
      <c r="F14" s="229">
        <v>1072628</v>
      </c>
      <c r="G14" s="229">
        <v>75494</v>
      </c>
      <c r="H14" s="230">
        <v>54861023</v>
      </c>
      <c r="I14" s="231">
        <f t="shared" si="0"/>
        <v>14804751</v>
      </c>
      <c r="J14" s="160"/>
      <c r="K14" s="163"/>
    </row>
    <row r="15" spans="1:11" x14ac:dyDescent="0.25">
      <c r="A15" s="227" t="s">
        <v>190</v>
      </c>
      <c r="B15" s="228">
        <v>45778</v>
      </c>
      <c r="C15" s="232">
        <v>4600991</v>
      </c>
      <c r="D15" s="232">
        <v>3966562</v>
      </c>
      <c r="E15" s="232">
        <v>705427</v>
      </c>
      <c r="F15" s="232">
        <v>992592</v>
      </c>
      <c r="G15" s="232">
        <v>65608</v>
      </c>
      <c r="H15" s="230">
        <v>48615735</v>
      </c>
      <c r="I15" s="231">
        <f t="shared" si="0"/>
        <v>10331180</v>
      </c>
      <c r="J15" s="160"/>
      <c r="K15" s="163"/>
    </row>
    <row r="16" spans="1:11" x14ac:dyDescent="0.25">
      <c r="A16" s="227" t="s">
        <v>190</v>
      </c>
      <c r="B16" s="228">
        <v>45809</v>
      </c>
      <c r="C16" s="229">
        <v>2305200</v>
      </c>
      <c r="D16" s="229">
        <v>2330111</v>
      </c>
      <c r="E16" s="229">
        <v>560326</v>
      </c>
      <c r="F16" s="229">
        <v>895547</v>
      </c>
      <c r="G16" s="229">
        <v>49751</v>
      </c>
      <c r="H16" s="230">
        <v>63958512</v>
      </c>
      <c r="I16" s="231">
        <f t="shared" si="0"/>
        <v>6140935</v>
      </c>
      <c r="J16" s="160"/>
      <c r="K16" s="163"/>
    </row>
    <row r="17" spans="1:11" x14ac:dyDescent="0.25">
      <c r="A17" s="227" t="s">
        <v>190</v>
      </c>
      <c r="B17" s="228">
        <v>45839</v>
      </c>
      <c r="C17" s="234">
        <v>2509853</v>
      </c>
      <c r="D17" s="235">
        <v>2408293</v>
      </c>
      <c r="E17" s="235">
        <v>496199</v>
      </c>
      <c r="F17" s="234">
        <v>755153</v>
      </c>
      <c r="G17" s="234">
        <v>42604</v>
      </c>
      <c r="H17" s="230">
        <v>63910544</v>
      </c>
      <c r="I17" s="231">
        <f t="shared" si="0"/>
        <v>6212102</v>
      </c>
      <c r="J17" s="160"/>
      <c r="K17" s="163"/>
    </row>
    <row r="18" spans="1:11" x14ac:dyDescent="0.25">
      <c r="A18" s="227"/>
      <c r="B18" s="236"/>
      <c r="C18" s="237"/>
      <c r="D18" s="238"/>
      <c r="E18" s="238"/>
      <c r="F18" s="238"/>
      <c r="G18" s="238"/>
      <c r="H18" s="238"/>
      <c r="I18" s="239"/>
    </row>
    <row r="19" spans="1:11" x14ac:dyDescent="0.25">
      <c r="A19" s="227" t="s">
        <v>67</v>
      </c>
      <c r="B19" s="240">
        <v>45870</v>
      </c>
      <c r="C19" s="160">
        <f t="shared" ref="C19:C30" si="1">(+C6/I6)*I19</f>
        <v>2594364.6885366621</v>
      </c>
      <c r="D19" s="160">
        <f t="shared" ref="D19:D30" si="2">(+D6/I6)*I19</f>
        <v>2705741.5142654306</v>
      </c>
      <c r="E19" s="160">
        <f t="shared" ref="E19:E30" si="3">(+E6/I6)*I19</f>
        <v>578229.77443403366</v>
      </c>
      <c r="F19" s="160">
        <f t="shared" ref="F19:F30" si="4">(+F6/I6)*I19</f>
        <v>745233.42652210442</v>
      </c>
      <c r="G19" s="160">
        <f t="shared" ref="G19:G30" si="5">(+G6/I6)*I19</f>
        <v>44530.59624176909</v>
      </c>
      <c r="H19" s="160">
        <f t="shared" ref="H19:H30" si="6">+H6</f>
        <v>72896172</v>
      </c>
      <c r="I19" s="241">
        <v>6668100</v>
      </c>
    </row>
    <row r="20" spans="1:11" x14ac:dyDescent="0.25">
      <c r="A20" s="227" t="s">
        <v>67</v>
      </c>
      <c r="B20" s="240">
        <v>45901</v>
      </c>
      <c r="C20" s="160">
        <f t="shared" si="1"/>
        <v>3854351.6052675005</v>
      </c>
      <c r="D20" s="160">
        <f t="shared" si="2"/>
        <v>3559746.3962570652</v>
      </c>
      <c r="E20" s="160">
        <f t="shared" si="3"/>
        <v>629067.29039795906</v>
      </c>
      <c r="F20" s="160">
        <f t="shared" si="4"/>
        <v>806882.3247684075</v>
      </c>
      <c r="G20" s="160">
        <f t="shared" si="5"/>
        <v>49052.383309067831</v>
      </c>
      <c r="H20" s="160">
        <f t="shared" si="6"/>
        <v>73312711</v>
      </c>
      <c r="I20" s="241">
        <v>8899100</v>
      </c>
    </row>
    <row r="21" spans="1:11" x14ac:dyDescent="0.25">
      <c r="A21" s="227" t="s">
        <v>67</v>
      </c>
      <c r="B21" s="240">
        <v>45931</v>
      </c>
      <c r="C21" s="160">
        <f t="shared" si="1"/>
        <v>9327111.1164491698</v>
      </c>
      <c r="D21" s="160">
        <f t="shared" si="2"/>
        <v>7285041.4024695382</v>
      </c>
      <c r="E21" s="160">
        <f t="shared" si="3"/>
        <v>1132647.7966443093</v>
      </c>
      <c r="F21" s="160">
        <f t="shared" si="4"/>
        <v>1487344.2756142565</v>
      </c>
      <c r="G21" s="160">
        <f t="shared" si="5"/>
        <v>76655.408822726778</v>
      </c>
      <c r="H21" s="160">
        <f t="shared" si="6"/>
        <v>69007511</v>
      </c>
      <c r="I21" s="241">
        <v>19308800</v>
      </c>
    </row>
    <row r="22" spans="1:11" x14ac:dyDescent="0.25">
      <c r="A22" s="227" t="s">
        <v>67</v>
      </c>
      <c r="B22" s="240">
        <v>45962</v>
      </c>
      <c r="C22" s="160">
        <f t="shared" si="1"/>
        <v>18117803.152146097</v>
      </c>
      <c r="D22" s="160">
        <f t="shared" si="2"/>
        <v>12056859.390101016</v>
      </c>
      <c r="E22" s="160">
        <f t="shared" si="3"/>
        <v>1031566.7625934134</v>
      </c>
      <c r="F22" s="160">
        <f t="shared" si="4"/>
        <v>1922556.5250306204</v>
      </c>
      <c r="G22" s="160">
        <f t="shared" si="5"/>
        <v>93914.170128855272</v>
      </c>
      <c r="H22" s="160">
        <f t="shared" si="6"/>
        <v>73471824</v>
      </c>
      <c r="I22" s="241">
        <v>33222700</v>
      </c>
    </row>
    <row r="23" spans="1:11" x14ac:dyDescent="0.25">
      <c r="A23" s="227" t="s">
        <v>67</v>
      </c>
      <c r="B23" s="240">
        <v>45992</v>
      </c>
      <c r="C23" s="160">
        <f t="shared" si="1"/>
        <v>23825724.488396242</v>
      </c>
      <c r="D23" s="160">
        <f t="shared" si="2"/>
        <v>16184425.691793438</v>
      </c>
      <c r="E23" s="160">
        <f t="shared" si="3"/>
        <v>1746942.8537684863</v>
      </c>
      <c r="F23" s="160">
        <f t="shared" si="4"/>
        <v>2294918.632217315</v>
      </c>
      <c r="G23" s="160">
        <f t="shared" si="5"/>
        <v>117305.33382451917</v>
      </c>
      <c r="H23" s="160">
        <f t="shared" si="6"/>
        <v>85998792</v>
      </c>
      <c r="I23" s="241">
        <v>44169317</v>
      </c>
    </row>
    <row r="24" spans="1:11" x14ac:dyDescent="0.25">
      <c r="A24" s="227" t="s">
        <v>67</v>
      </c>
      <c r="B24" s="240">
        <v>46023</v>
      </c>
      <c r="C24" s="160">
        <f t="shared" si="1"/>
        <v>23122731.006205771</v>
      </c>
      <c r="D24" s="160">
        <f t="shared" si="2"/>
        <v>16880642.691483866</v>
      </c>
      <c r="E24" s="160">
        <f t="shared" si="3"/>
        <v>1735340.8029907793</v>
      </c>
      <c r="F24" s="160">
        <f t="shared" si="4"/>
        <v>2466202.5574992434</v>
      </c>
      <c r="G24" s="160">
        <f t="shared" si="5"/>
        <v>116282.94182033929</v>
      </c>
      <c r="H24" s="160">
        <f t="shared" si="6"/>
        <v>79699932</v>
      </c>
      <c r="I24" s="241">
        <v>44321200</v>
      </c>
    </row>
    <row r="25" spans="1:11" x14ac:dyDescent="0.25">
      <c r="A25" s="227" t="s">
        <v>67</v>
      </c>
      <c r="B25" s="240">
        <v>46054</v>
      </c>
      <c r="C25" s="160">
        <f t="shared" si="1"/>
        <v>18581735.406084646</v>
      </c>
      <c r="D25" s="160">
        <f t="shared" si="2"/>
        <v>13127074.152839223</v>
      </c>
      <c r="E25" s="160">
        <f t="shared" si="3"/>
        <v>1466640.4812547294</v>
      </c>
      <c r="F25" s="160">
        <f t="shared" si="4"/>
        <v>2048253.0841382782</v>
      </c>
      <c r="G25" s="160">
        <f t="shared" si="5"/>
        <v>91196.875683123348</v>
      </c>
      <c r="H25" s="160">
        <f t="shared" si="6"/>
        <v>74519864</v>
      </c>
      <c r="I25" s="241">
        <v>35314900</v>
      </c>
    </row>
    <row r="26" spans="1:11" x14ac:dyDescent="0.25">
      <c r="A26" s="227" t="s">
        <v>67</v>
      </c>
      <c r="B26" s="240">
        <v>46082</v>
      </c>
      <c r="C26" s="160">
        <f t="shared" si="1"/>
        <v>15282490.608498678</v>
      </c>
      <c r="D26" s="160">
        <f t="shared" si="2"/>
        <v>12038810.992700782</v>
      </c>
      <c r="E26" s="160">
        <f t="shared" si="3"/>
        <v>1661829.3539652063</v>
      </c>
      <c r="F26" s="160">
        <f t="shared" si="4"/>
        <v>2042555.131077155</v>
      </c>
      <c r="G26" s="160">
        <f t="shared" si="5"/>
        <v>110413.91375817922</v>
      </c>
      <c r="H26" s="160">
        <f t="shared" si="6"/>
        <v>72925555</v>
      </c>
      <c r="I26" s="241">
        <v>31136100</v>
      </c>
    </row>
    <row r="27" spans="1:11" x14ac:dyDescent="0.25">
      <c r="A27" s="227" t="s">
        <v>67</v>
      </c>
      <c r="B27" s="240">
        <v>46113</v>
      </c>
      <c r="C27" s="160">
        <f t="shared" si="1"/>
        <v>9963998.7814992648</v>
      </c>
      <c r="D27" s="160">
        <f t="shared" si="2"/>
        <v>7058402.6639556456</v>
      </c>
      <c r="E27" s="160">
        <f t="shared" si="3"/>
        <v>1333966.3481270303</v>
      </c>
      <c r="F27" s="160">
        <f t="shared" si="4"/>
        <v>1441757.9970645909</v>
      </c>
      <c r="G27" s="160">
        <f t="shared" si="5"/>
        <v>101474.20935347039</v>
      </c>
      <c r="H27" s="160">
        <f t="shared" si="6"/>
        <v>54861023</v>
      </c>
      <c r="I27" s="241">
        <v>19899600</v>
      </c>
    </row>
    <row r="28" spans="1:11" x14ac:dyDescent="0.25">
      <c r="A28" s="227" t="s">
        <v>67</v>
      </c>
      <c r="B28" s="240">
        <v>46143</v>
      </c>
      <c r="C28" s="160">
        <f t="shared" si="1"/>
        <v>5149003.080451604</v>
      </c>
      <c r="D28" s="160">
        <f t="shared" si="2"/>
        <v>4439008.8910850454</v>
      </c>
      <c r="E28" s="160">
        <f t="shared" si="3"/>
        <v>789448.57662919431</v>
      </c>
      <c r="F28" s="160">
        <f t="shared" si="4"/>
        <v>1110817.0534633992</v>
      </c>
      <c r="G28" s="160">
        <f t="shared" si="5"/>
        <v>73422.398370757262</v>
      </c>
      <c r="H28" s="160">
        <f t="shared" si="6"/>
        <v>48615735</v>
      </c>
      <c r="I28" s="241">
        <v>11561700</v>
      </c>
    </row>
    <row r="29" spans="1:11" x14ac:dyDescent="0.25">
      <c r="A29" s="227" t="s">
        <v>67</v>
      </c>
      <c r="B29" s="240">
        <v>46174</v>
      </c>
      <c r="C29" s="160">
        <f t="shared" si="1"/>
        <v>3153964.4044432971</v>
      </c>
      <c r="D29" s="160">
        <f t="shared" si="2"/>
        <v>3188047.5240333923</v>
      </c>
      <c r="E29" s="160">
        <f t="shared" si="3"/>
        <v>766635.54523863213</v>
      </c>
      <c r="F29" s="160">
        <f t="shared" si="4"/>
        <v>1225283.4289892337</v>
      </c>
      <c r="G29" s="160">
        <f t="shared" si="5"/>
        <v>68069.097295444415</v>
      </c>
      <c r="H29" s="160">
        <f t="shared" si="6"/>
        <v>63958512</v>
      </c>
      <c r="I29" s="241">
        <v>8402000</v>
      </c>
    </row>
    <row r="30" spans="1:11" x14ac:dyDescent="0.25">
      <c r="A30" s="227" t="s">
        <v>67</v>
      </c>
      <c r="B30" s="240">
        <v>46204</v>
      </c>
      <c r="C30" s="160">
        <f t="shared" si="1"/>
        <v>3257300.9701547073</v>
      </c>
      <c r="D30" s="160">
        <f t="shared" si="2"/>
        <v>3125495.8458988597</v>
      </c>
      <c r="E30" s="160">
        <f t="shared" si="3"/>
        <v>643969.7799392218</v>
      </c>
      <c r="F30" s="160">
        <f t="shared" si="4"/>
        <v>980041.69946018269</v>
      </c>
      <c r="G30" s="160">
        <f t="shared" si="5"/>
        <v>55291.704547027723</v>
      </c>
      <c r="H30" s="160">
        <f t="shared" si="6"/>
        <v>63910544</v>
      </c>
      <c r="I30" s="241">
        <v>8062100</v>
      </c>
    </row>
    <row r="31" spans="1:11" x14ac:dyDescent="0.25">
      <c r="A31" s="227" t="s">
        <v>67</v>
      </c>
      <c r="B31" s="240">
        <v>46235</v>
      </c>
      <c r="C31" s="160">
        <f>(+C19/I19)*I31</f>
        <v>2618292.5582964146</v>
      </c>
      <c r="D31" s="160">
        <f>(+D19/I19)*I31</f>
        <v>2730696.614388003</v>
      </c>
      <c r="E31" s="160">
        <f>(+E19/I19)*I31</f>
        <v>583562.79750322772</v>
      </c>
      <c r="F31" s="160">
        <f>(+F19/I19)*I31</f>
        <v>752106.72712214175</v>
      </c>
      <c r="G31" s="160">
        <f>(+G19/I19)*I31</f>
        <v>44941.302690212993</v>
      </c>
      <c r="H31" s="160">
        <f>+H19</f>
        <v>72896172</v>
      </c>
      <c r="I31" s="241">
        <v>6729600</v>
      </c>
    </row>
    <row r="32" spans="1:11" x14ac:dyDescent="0.25">
      <c r="A32" s="227" t="s">
        <v>67</v>
      </c>
      <c r="B32" s="240">
        <v>46266</v>
      </c>
      <c r="C32" s="160">
        <f>(+C20/I20)*I32</f>
        <v>3834168.3524885154</v>
      </c>
      <c r="D32" s="160">
        <f>(+D20/I20)*I32</f>
        <v>3541105.8391147051</v>
      </c>
      <c r="E32" s="160">
        <f>(+E20/I20)*I32</f>
        <v>625773.1892267681</v>
      </c>
      <c r="F32" s="160">
        <f>(+F20/I20)*I32</f>
        <v>802657.09791016253</v>
      </c>
      <c r="G32" s="160">
        <f>(+G20/I20)*I32</f>
        <v>48795.521259849083</v>
      </c>
      <c r="H32" s="160">
        <f>+H20</f>
        <v>73312711</v>
      </c>
      <c r="I32" s="241">
        <v>8852500</v>
      </c>
    </row>
    <row r="33" spans="1:9" x14ac:dyDescent="0.25">
      <c r="A33" s="227" t="s">
        <v>67</v>
      </c>
      <c r="B33" s="240">
        <v>46296</v>
      </c>
      <c r="C33" s="160">
        <f>(+C21/I21)*I33</f>
        <v>9171569.0952206813</v>
      </c>
      <c r="D33" s="160">
        <f>(+D21/I21)*I33</f>
        <v>7163553.6180606056</v>
      </c>
      <c r="E33" s="160">
        <f>(+E21/I21)*I33</f>
        <v>1113759.3835622189</v>
      </c>
      <c r="F33" s="160">
        <f>(+F21/I21)*I33</f>
        <v>1462540.8255423829</v>
      </c>
      <c r="G33" s="160">
        <f>(+G21/I21)*I33</f>
        <v>75377.077614111127</v>
      </c>
      <c r="H33" s="160">
        <f>+H21</f>
        <v>69007511</v>
      </c>
      <c r="I33" s="241">
        <v>18986800</v>
      </c>
    </row>
    <row r="35" spans="1:9" x14ac:dyDescent="0.25">
      <c r="A35" s="227" t="s">
        <v>191</v>
      </c>
      <c r="B35" s="240" t="s">
        <v>192</v>
      </c>
      <c r="C35" s="160">
        <f t="shared" ref="C35:I35" si="7">SUM(C22:C33)</f>
        <v>136078781.9038859</v>
      </c>
      <c r="D35" s="160">
        <f t="shared" si="7"/>
        <v>101534123.9154546</v>
      </c>
      <c r="E35" s="160">
        <f t="shared" si="7"/>
        <v>13499435.874798907</v>
      </c>
      <c r="F35" s="160">
        <f t="shared" si="7"/>
        <v>18549690.759514704</v>
      </c>
      <c r="G35" s="160">
        <f t="shared" si="7"/>
        <v>996484.54634588922</v>
      </c>
      <c r="H35" s="160">
        <f t="shared" si="7"/>
        <v>833178175</v>
      </c>
      <c r="I35" s="160">
        <f t="shared" si="7"/>
        <v>270658517</v>
      </c>
    </row>
    <row r="36" spans="1:9" x14ac:dyDescent="0.25">
      <c r="C36" s="242">
        <v>1</v>
      </c>
      <c r="D36" s="242">
        <v>2</v>
      </c>
      <c r="E36" s="242">
        <v>3</v>
      </c>
      <c r="F36" s="242">
        <v>4</v>
      </c>
      <c r="G36" s="242">
        <v>5</v>
      </c>
      <c r="H36" s="242">
        <v>6</v>
      </c>
      <c r="I36" s="243">
        <v>7</v>
      </c>
    </row>
    <row r="37" spans="1:9" x14ac:dyDescent="0.25">
      <c r="B37" s="240"/>
      <c r="C37" s="205"/>
      <c r="D37" s="205"/>
      <c r="E37" s="205"/>
      <c r="F37" s="205"/>
      <c r="G37" s="205"/>
      <c r="H37" s="205"/>
      <c r="I37" s="205"/>
    </row>
  </sheetData>
  <mergeCells count="3">
    <mergeCell ref="B1:I1"/>
    <mergeCell ref="B2:I2"/>
    <mergeCell ref="B3:I3"/>
  </mergeCells>
  <printOptions horizontalCentered="1"/>
  <pageMargins left="0.25" right="0.25" top="1" bottom="1" header="0.5" footer="0.5"/>
  <pageSetup scale="89" orientation="landscape" r:id="rId1"/>
  <headerFooter alignWithMargins="0">
    <oddFooter>&amp;L
&amp;A&amp;R&amp;P/&amp;N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BB72B-D128-4E21-BA32-45DED521BBD1}">
  <dimension ref="A1:L49"/>
  <sheetViews>
    <sheetView workbookViewId="0">
      <selection activeCell="F12" sqref="F12"/>
    </sheetView>
  </sheetViews>
  <sheetFormatPr defaultColWidth="12" defaultRowHeight="15" x14ac:dyDescent="0.25"/>
  <cols>
    <col min="1" max="1" width="1.6640625" style="246" customWidth="1"/>
    <col min="2" max="2" width="5.83203125" style="245" customWidth="1"/>
    <col min="3" max="3" width="15.5" style="246" customWidth="1"/>
    <col min="4" max="4" width="20" style="246" customWidth="1"/>
    <col min="5" max="5" width="10.6640625" style="245" bestFit="1" customWidth="1"/>
    <col min="6" max="6" width="16" style="246" bestFit="1" customWidth="1"/>
    <col min="7" max="7" width="16.5" style="246" customWidth="1"/>
    <col min="8" max="8" width="2.33203125" style="246" customWidth="1"/>
    <col min="9" max="9" width="19.1640625" style="246" bestFit="1" customWidth="1"/>
    <col min="10" max="10" width="2.33203125" style="246" customWidth="1"/>
    <col min="11" max="12" width="15" style="246" bestFit="1" customWidth="1"/>
    <col min="13" max="13" width="5.6640625" style="246" customWidth="1"/>
    <col min="14" max="16384" width="12" style="246"/>
  </cols>
  <sheetData>
    <row r="1" spans="1:12" ht="18" customHeight="1" x14ac:dyDescent="0.25">
      <c r="A1" s="244"/>
      <c r="C1" s="317" t="s">
        <v>9</v>
      </c>
      <c r="D1" s="317"/>
      <c r="E1" s="317"/>
      <c r="F1" s="317"/>
      <c r="G1" s="317"/>
      <c r="H1" s="317"/>
      <c r="I1" s="317"/>
      <c r="J1" s="317"/>
    </row>
    <row r="2" spans="1:12" x14ac:dyDescent="0.25">
      <c r="C2" s="323" t="s">
        <v>193</v>
      </c>
      <c r="D2" s="324"/>
      <c r="E2" s="324"/>
      <c r="F2" s="324"/>
      <c r="G2" s="324"/>
      <c r="H2" s="324"/>
      <c r="I2" s="324"/>
      <c r="J2" s="324"/>
    </row>
    <row r="3" spans="1:12" x14ac:dyDescent="0.25">
      <c r="C3" s="323" t="s">
        <v>194</v>
      </c>
      <c r="D3" s="324"/>
      <c r="E3" s="324"/>
      <c r="F3" s="324"/>
      <c r="G3" s="324"/>
      <c r="H3" s="324"/>
      <c r="I3" s="324"/>
      <c r="J3" s="324"/>
    </row>
    <row r="4" spans="1:12" x14ac:dyDescent="0.25">
      <c r="C4" s="317" t="s">
        <v>13</v>
      </c>
      <c r="D4" s="324"/>
      <c r="E4" s="324"/>
      <c r="F4" s="324"/>
      <c r="G4" s="324"/>
      <c r="H4" s="324"/>
      <c r="I4" s="324"/>
      <c r="J4" s="324"/>
    </row>
    <row r="5" spans="1:12" ht="6" customHeight="1" x14ac:dyDescent="0.25"/>
    <row r="6" spans="1:12" x14ac:dyDescent="0.25">
      <c r="B6" s="247"/>
      <c r="C6" s="248"/>
      <c r="D6" s="248"/>
      <c r="E6" s="247"/>
      <c r="F6" s="247"/>
      <c r="G6" s="247"/>
      <c r="I6" s="247"/>
    </row>
    <row r="7" spans="1:12" x14ac:dyDescent="0.25">
      <c r="B7" s="249" t="s">
        <v>46</v>
      </c>
      <c r="C7" s="245"/>
      <c r="D7" s="245"/>
      <c r="E7" s="249" t="s">
        <v>65</v>
      </c>
      <c r="F7" s="249" t="s">
        <v>66</v>
      </c>
      <c r="G7" s="249" t="s">
        <v>195</v>
      </c>
      <c r="H7" s="245"/>
      <c r="I7" s="249" t="s">
        <v>68</v>
      </c>
      <c r="J7" s="245"/>
      <c r="K7" s="245"/>
      <c r="L7" s="245"/>
    </row>
    <row r="8" spans="1:12" x14ac:dyDescent="0.25">
      <c r="B8" s="249" t="s">
        <v>52</v>
      </c>
      <c r="C8" s="250"/>
      <c r="D8" s="245" t="s">
        <v>3</v>
      </c>
      <c r="E8" s="249" t="s">
        <v>72</v>
      </c>
      <c r="F8" s="249" t="s">
        <v>73</v>
      </c>
      <c r="G8" s="249" t="s">
        <v>74</v>
      </c>
      <c r="H8" s="245"/>
      <c r="I8" s="249" t="s">
        <v>75</v>
      </c>
      <c r="J8" s="245"/>
      <c r="K8" s="245"/>
      <c r="L8" s="245"/>
    </row>
    <row r="9" spans="1:12" x14ac:dyDescent="0.25">
      <c r="B9" s="249"/>
      <c r="C9" s="250"/>
      <c r="D9" s="245" t="s">
        <v>28</v>
      </c>
      <c r="E9" s="251" t="s">
        <v>29</v>
      </c>
      <c r="F9" s="251" t="s">
        <v>30</v>
      </c>
      <c r="G9" s="251" t="s">
        <v>31</v>
      </c>
      <c r="H9" s="245"/>
      <c r="I9" s="251" t="s">
        <v>77</v>
      </c>
      <c r="J9" s="245"/>
      <c r="K9" s="245"/>
      <c r="L9" s="245"/>
    </row>
    <row r="10" spans="1:12" x14ac:dyDescent="0.25">
      <c r="B10" s="252"/>
      <c r="C10" s="253" t="s">
        <v>80</v>
      </c>
      <c r="D10" s="254"/>
      <c r="E10" s="252"/>
      <c r="F10" s="254"/>
      <c r="G10" s="254"/>
      <c r="I10" s="255"/>
    </row>
    <row r="11" spans="1:12" x14ac:dyDescent="0.25">
      <c r="B11" s="247"/>
      <c r="C11" s="256" t="s">
        <v>55</v>
      </c>
      <c r="D11" s="257"/>
      <c r="E11" s="258"/>
      <c r="F11" s="248"/>
      <c r="G11" s="259"/>
      <c r="I11" s="259"/>
    </row>
    <row r="12" spans="1:12" x14ac:dyDescent="0.25">
      <c r="B12" s="249">
        <v>1</v>
      </c>
      <c r="C12" s="260" t="s">
        <v>196</v>
      </c>
      <c r="D12" s="261"/>
      <c r="E12" s="262">
        <v>503</v>
      </c>
      <c r="F12" s="263">
        <v>205693</v>
      </c>
      <c r="G12" s="264">
        <v>120391233</v>
      </c>
      <c r="I12" s="265">
        <v>224936090.02000001</v>
      </c>
      <c r="K12" s="266"/>
      <c r="L12" s="267"/>
    </row>
    <row r="13" spans="1:12" x14ac:dyDescent="0.25">
      <c r="B13" s="249">
        <v>2</v>
      </c>
      <c r="C13" s="260"/>
      <c r="D13" s="261"/>
      <c r="E13" s="262"/>
      <c r="F13" s="263"/>
      <c r="G13" s="264"/>
      <c r="I13" s="265"/>
      <c r="K13" s="266"/>
      <c r="L13" s="267"/>
    </row>
    <row r="14" spans="1:12" x14ac:dyDescent="0.25">
      <c r="B14" s="249">
        <v>3</v>
      </c>
      <c r="C14" s="268" t="s">
        <v>197</v>
      </c>
      <c r="E14" s="249">
        <v>503</v>
      </c>
      <c r="F14" s="263"/>
      <c r="G14" s="264">
        <v>1190482</v>
      </c>
      <c r="H14" s="266"/>
      <c r="I14" s="265">
        <v>2580496.86</v>
      </c>
      <c r="J14" s="266"/>
      <c r="K14" s="266"/>
      <c r="L14" s="267"/>
    </row>
    <row r="15" spans="1:12" x14ac:dyDescent="0.25">
      <c r="B15" s="249">
        <v>4</v>
      </c>
      <c r="C15" s="269" t="s">
        <v>198</v>
      </c>
      <c r="D15" s="270"/>
      <c r="E15" s="251">
        <v>503</v>
      </c>
      <c r="F15" s="271"/>
      <c r="G15" s="272">
        <v>-1709750</v>
      </c>
      <c r="H15" s="266"/>
      <c r="I15" s="273">
        <v>-2892288.17</v>
      </c>
      <c r="J15" s="266"/>
      <c r="K15" s="266"/>
      <c r="L15" s="267"/>
    </row>
    <row r="16" spans="1:12" s="165" customFormat="1" x14ac:dyDescent="0.25">
      <c r="B16" s="249">
        <v>5</v>
      </c>
      <c r="C16" s="274" t="s">
        <v>199</v>
      </c>
      <c r="D16" s="275"/>
      <c r="E16" s="276"/>
      <c r="F16" s="277">
        <f>SUM(F12:F15)</f>
        <v>205693</v>
      </c>
      <c r="G16" s="278">
        <f>SUM(G12:G15)</f>
        <v>119871965</v>
      </c>
      <c r="H16" s="279"/>
      <c r="I16" s="280">
        <f>SUM(I12:I15)</f>
        <v>224624298.71000004</v>
      </c>
      <c r="J16" s="279"/>
      <c r="K16" s="279"/>
      <c r="L16" s="281"/>
    </row>
    <row r="17" spans="2:12" x14ac:dyDescent="0.25">
      <c r="B17" s="249">
        <v>6</v>
      </c>
      <c r="C17" s="256" t="s">
        <v>56</v>
      </c>
      <c r="D17" s="261"/>
      <c r="E17" s="262"/>
      <c r="F17" s="266"/>
      <c r="G17" s="264"/>
      <c r="H17" s="266"/>
      <c r="I17" s="265"/>
      <c r="K17" s="266"/>
      <c r="L17" s="282"/>
    </row>
    <row r="18" spans="2:12" x14ac:dyDescent="0.25">
      <c r="B18" s="249">
        <v>7</v>
      </c>
      <c r="C18" s="283" t="s">
        <v>196</v>
      </c>
      <c r="D18" s="261"/>
      <c r="E18" s="262" t="s">
        <v>84</v>
      </c>
      <c r="F18" s="266">
        <v>27641</v>
      </c>
      <c r="G18" s="264">
        <v>89588030</v>
      </c>
      <c r="H18" s="266"/>
      <c r="I18" s="265">
        <v>152179900.40000001</v>
      </c>
      <c r="K18" s="266"/>
      <c r="L18" s="267"/>
    </row>
    <row r="19" spans="2:12" x14ac:dyDescent="0.25">
      <c r="B19" s="249">
        <v>8</v>
      </c>
      <c r="C19" s="283" t="s">
        <v>130</v>
      </c>
      <c r="D19" s="261"/>
      <c r="E19" s="262" t="s">
        <v>88</v>
      </c>
      <c r="F19" s="266">
        <v>73</v>
      </c>
      <c r="G19" s="264">
        <v>11337700</v>
      </c>
      <c r="I19" s="265">
        <v>16599863.32</v>
      </c>
      <c r="K19" s="266"/>
      <c r="L19" s="267"/>
    </row>
    <row r="20" spans="2:12" x14ac:dyDescent="0.25">
      <c r="B20" s="249">
        <v>9</v>
      </c>
      <c r="C20" s="283"/>
      <c r="D20" s="261"/>
      <c r="E20" s="262"/>
      <c r="F20" s="266"/>
      <c r="G20" s="264"/>
      <c r="I20" s="265"/>
      <c r="K20" s="266"/>
      <c r="L20" s="267"/>
    </row>
    <row r="21" spans="2:12" x14ac:dyDescent="0.25">
      <c r="B21" s="249">
        <v>10</v>
      </c>
      <c r="C21" s="246" t="str">
        <f>C14</f>
        <v>EOM</v>
      </c>
      <c r="D21" s="261"/>
      <c r="E21" s="262">
        <v>504</v>
      </c>
      <c r="G21" s="264">
        <v>1104441</v>
      </c>
      <c r="H21" s="266"/>
      <c r="I21" s="284">
        <v>2104914.98</v>
      </c>
      <c r="J21" s="266"/>
      <c r="K21" s="266"/>
      <c r="L21" s="267"/>
    </row>
    <row r="22" spans="2:12" x14ac:dyDescent="0.25">
      <c r="B22" s="249">
        <v>11</v>
      </c>
      <c r="C22" s="246" t="str">
        <f>C15</f>
        <v>LM</v>
      </c>
      <c r="D22" s="261"/>
      <c r="E22" s="262">
        <v>504</v>
      </c>
      <c r="G22" s="264">
        <v>-1592933</v>
      </c>
      <c r="H22" s="266"/>
      <c r="I22" s="284">
        <v>-2374361.67</v>
      </c>
      <c r="J22" s="266"/>
      <c r="K22" s="266"/>
      <c r="L22" s="267"/>
    </row>
    <row r="23" spans="2:12" x14ac:dyDescent="0.25">
      <c r="B23" s="249">
        <v>12</v>
      </c>
      <c r="C23" s="246" t="s">
        <v>197</v>
      </c>
      <c r="D23" s="261"/>
      <c r="E23" s="262">
        <v>511</v>
      </c>
      <c r="G23" s="264">
        <v>155603</v>
      </c>
      <c r="H23" s="266"/>
      <c r="I23" s="284">
        <v>227744.79</v>
      </c>
      <c r="J23" s="266"/>
      <c r="K23" s="266"/>
      <c r="L23" s="267"/>
    </row>
    <row r="24" spans="2:12" x14ac:dyDescent="0.25">
      <c r="B24" s="249">
        <v>13</v>
      </c>
      <c r="C24" s="246" t="s">
        <v>198</v>
      </c>
      <c r="D24" s="261"/>
      <c r="E24" s="262">
        <v>511</v>
      </c>
      <c r="G24" s="264">
        <v>-195051</v>
      </c>
      <c r="H24" s="266"/>
      <c r="I24" s="284">
        <v>-250281.57</v>
      </c>
      <c r="J24" s="266"/>
      <c r="K24" s="266"/>
      <c r="L24" s="267"/>
    </row>
    <row r="25" spans="2:12" x14ac:dyDescent="0.25">
      <c r="B25" s="249">
        <v>14</v>
      </c>
      <c r="C25" s="283" t="s">
        <v>200</v>
      </c>
      <c r="D25" s="261"/>
      <c r="E25" s="262"/>
      <c r="F25" s="266"/>
      <c r="G25" s="264">
        <v>0</v>
      </c>
      <c r="H25" s="266"/>
      <c r="I25" s="273"/>
      <c r="K25" s="266"/>
      <c r="L25" s="285"/>
    </row>
    <row r="26" spans="2:12" s="165" customFormat="1" x14ac:dyDescent="0.25">
      <c r="B26" s="249">
        <v>15</v>
      </c>
      <c r="C26" s="274" t="s">
        <v>201</v>
      </c>
      <c r="D26" s="286"/>
      <c r="E26" s="276"/>
      <c r="F26" s="277">
        <f>SUM(F18:F25)</f>
        <v>27714</v>
      </c>
      <c r="G26" s="278">
        <f>SUM(G18:G25)</f>
        <v>100397790</v>
      </c>
      <c r="H26" s="279"/>
      <c r="I26" s="280">
        <f>SUM(I18:I25)</f>
        <v>168487780.25</v>
      </c>
      <c r="J26" s="279"/>
      <c r="K26" s="279"/>
      <c r="L26" s="281"/>
    </row>
    <row r="27" spans="2:12" x14ac:dyDescent="0.25">
      <c r="B27" s="249">
        <v>16</v>
      </c>
      <c r="C27" s="256" t="s">
        <v>58</v>
      </c>
      <c r="D27" s="261"/>
      <c r="E27" s="262"/>
      <c r="F27" s="266"/>
      <c r="G27" s="264"/>
      <c r="H27" s="266"/>
      <c r="I27" s="265"/>
      <c r="K27" s="266"/>
      <c r="L27" s="285"/>
    </row>
    <row r="28" spans="2:12" x14ac:dyDescent="0.25">
      <c r="B28" s="249">
        <v>17</v>
      </c>
      <c r="C28" s="283" t="s">
        <v>196</v>
      </c>
      <c r="D28" s="261"/>
      <c r="E28" s="262" t="s">
        <v>86</v>
      </c>
      <c r="F28" s="266">
        <v>492</v>
      </c>
      <c r="G28" s="264">
        <v>11633919</v>
      </c>
      <c r="H28" s="266"/>
      <c r="I28" s="265">
        <v>18933228.050000001</v>
      </c>
      <c r="K28" s="266"/>
      <c r="L28" s="285"/>
    </row>
    <row r="29" spans="2:12" x14ac:dyDescent="0.25">
      <c r="B29" s="249">
        <v>18</v>
      </c>
      <c r="C29" s="283" t="s">
        <v>130</v>
      </c>
      <c r="D29" s="261"/>
      <c r="E29" s="262" t="s">
        <v>88</v>
      </c>
      <c r="F29" s="266">
        <v>27</v>
      </c>
      <c r="G29" s="264">
        <v>4752914</v>
      </c>
      <c r="I29" s="265">
        <v>6777725.5499999998</v>
      </c>
      <c r="K29" s="266"/>
      <c r="L29" s="285"/>
    </row>
    <row r="30" spans="2:12" x14ac:dyDescent="0.25">
      <c r="B30" s="249">
        <v>19</v>
      </c>
      <c r="C30" s="246" t="str">
        <f>+C21</f>
        <v>EOM</v>
      </c>
      <c r="D30" s="261"/>
      <c r="E30" s="262" t="s">
        <v>86</v>
      </c>
      <c r="F30" s="266"/>
      <c r="G30" s="264"/>
      <c r="I30" s="265">
        <v>24800</v>
      </c>
      <c r="K30" s="266"/>
      <c r="L30" s="285"/>
    </row>
    <row r="31" spans="2:12" x14ac:dyDescent="0.25">
      <c r="B31" s="249">
        <v>20</v>
      </c>
      <c r="C31" s="250" t="str">
        <f>+C22</f>
        <v>LM</v>
      </c>
      <c r="D31" s="261"/>
      <c r="E31" s="262" t="s">
        <v>86</v>
      </c>
      <c r="F31" s="266"/>
      <c r="G31" s="287">
        <v>0</v>
      </c>
      <c r="I31" s="265">
        <v>-12936</v>
      </c>
      <c r="K31" s="266"/>
      <c r="L31" s="285"/>
    </row>
    <row r="32" spans="2:12" s="165" customFormat="1" x14ac:dyDescent="0.25">
      <c r="B32" s="249">
        <v>21</v>
      </c>
      <c r="C32" s="274" t="s">
        <v>202</v>
      </c>
      <c r="D32" s="286"/>
      <c r="E32" s="276"/>
      <c r="F32" s="278">
        <f>SUM(F28:F31)</f>
        <v>519</v>
      </c>
      <c r="G32" s="278">
        <f>SUM(G28:G31)</f>
        <v>16386833</v>
      </c>
      <c r="H32" s="279"/>
      <c r="I32" s="288">
        <f>SUM(I28:I31)</f>
        <v>25722817.600000001</v>
      </c>
      <c r="J32" s="279"/>
      <c r="K32" s="279"/>
      <c r="L32" s="281"/>
    </row>
    <row r="33" spans="2:12" x14ac:dyDescent="0.25">
      <c r="B33" s="249">
        <v>22</v>
      </c>
      <c r="C33" s="256" t="s">
        <v>129</v>
      </c>
      <c r="D33" s="261"/>
      <c r="E33" s="262"/>
      <c r="F33" s="266"/>
      <c r="G33" s="264"/>
      <c r="H33" s="266"/>
      <c r="I33" s="265"/>
      <c r="K33" s="266"/>
      <c r="L33" s="285"/>
    </row>
    <row r="34" spans="2:12" x14ac:dyDescent="0.25">
      <c r="B34" s="249">
        <v>23</v>
      </c>
      <c r="C34" s="283" t="s">
        <v>203</v>
      </c>
      <c r="D34" s="261"/>
      <c r="E34" s="262" t="s">
        <v>90</v>
      </c>
      <c r="F34" s="266">
        <v>6</v>
      </c>
      <c r="G34" s="264">
        <v>847257</v>
      </c>
      <c r="H34" s="266"/>
      <c r="I34" s="265">
        <v>1121259.95</v>
      </c>
      <c r="K34" s="266"/>
      <c r="L34" s="285"/>
    </row>
    <row r="35" spans="2:12" x14ac:dyDescent="0.25">
      <c r="B35" s="249">
        <v>24</v>
      </c>
      <c r="C35" s="283" t="str">
        <f>+C30</f>
        <v>EOM</v>
      </c>
      <c r="D35" s="261"/>
      <c r="E35" s="262"/>
      <c r="F35" s="266"/>
      <c r="G35" s="264">
        <v>42604</v>
      </c>
      <c r="I35" s="265">
        <v>56716.14</v>
      </c>
      <c r="K35" s="266"/>
      <c r="L35" s="285"/>
    </row>
    <row r="36" spans="2:12" x14ac:dyDescent="0.25">
      <c r="B36" s="249">
        <v>25</v>
      </c>
      <c r="C36" s="283" t="str">
        <f>+C31</f>
        <v>LM</v>
      </c>
      <c r="D36" s="261"/>
      <c r="E36" s="262"/>
      <c r="F36" s="266"/>
      <c r="G36" s="264">
        <v>-35751</v>
      </c>
      <c r="I36" s="265">
        <v>-39723.18</v>
      </c>
      <c r="K36" s="266"/>
      <c r="L36" s="285"/>
    </row>
    <row r="37" spans="2:12" x14ac:dyDescent="0.25">
      <c r="B37" s="249">
        <v>26</v>
      </c>
      <c r="C37" s="283"/>
      <c r="D37" s="261"/>
      <c r="E37" s="262"/>
      <c r="F37" s="266"/>
      <c r="G37" s="264"/>
      <c r="I37" s="265"/>
      <c r="K37" s="266"/>
      <c r="L37" s="285"/>
    </row>
    <row r="38" spans="2:12" x14ac:dyDescent="0.25">
      <c r="B38" s="249">
        <v>27</v>
      </c>
      <c r="C38" s="283"/>
      <c r="D38" s="261"/>
      <c r="E38" s="262"/>
      <c r="F38" s="266"/>
      <c r="G38" s="264"/>
      <c r="I38" s="265"/>
      <c r="K38" s="266"/>
      <c r="L38" s="285"/>
    </row>
    <row r="39" spans="2:12" s="165" customFormat="1" x14ac:dyDescent="0.25">
      <c r="B39" s="249">
        <v>28</v>
      </c>
      <c r="C39" s="253" t="s">
        <v>204</v>
      </c>
      <c r="D39" s="286"/>
      <c r="E39" s="276"/>
      <c r="F39" s="277">
        <f>SUM(F34:F34)</f>
        <v>6</v>
      </c>
      <c r="G39" s="278">
        <f>SUM(G34:G36)</f>
        <v>854110</v>
      </c>
      <c r="H39" s="279"/>
      <c r="I39" s="280">
        <f>+I34+I35+I36</f>
        <v>1138252.9099999999</v>
      </c>
      <c r="J39" s="279"/>
      <c r="K39" s="279"/>
      <c r="L39" s="281"/>
    </row>
    <row r="40" spans="2:12" s="165" customFormat="1" x14ac:dyDescent="0.25">
      <c r="B40" s="249">
        <v>29</v>
      </c>
      <c r="C40" s="289" t="s">
        <v>205</v>
      </c>
      <c r="E40" s="290"/>
      <c r="F40" s="279">
        <f>+F39+F32+F26+F16</f>
        <v>233932</v>
      </c>
      <c r="G40" s="278">
        <f>G16+G26+G32+G39</f>
        <v>237510698</v>
      </c>
      <c r="H40" s="279"/>
      <c r="I40" s="280">
        <f>I16+I26+I32+I39</f>
        <v>419973149.47000009</v>
      </c>
      <c r="J40" s="279"/>
      <c r="K40" s="279"/>
      <c r="L40" s="281"/>
    </row>
    <row r="41" spans="2:12" x14ac:dyDescent="0.25">
      <c r="B41" s="252"/>
      <c r="C41" s="253" t="s">
        <v>128</v>
      </c>
      <c r="D41" s="254"/>
      <c r="E41" s="252"/>
      <c r="F41" s="255"/>
      <c r="G41" s="255"/>
      <c r="H41" s="266"/>
      <c r="I41" s="162"/>
      <c r="K41" s="266"/>
      <c r="L41" s="285"/>
    </row>
    <row r="42" spans="2:12" x14ac:dyDescent="0.25">
      <c r="B42" s="247">
        <v>30</v>
      </c>
      <c r="C42" s="250"/>
      <c r="D42" s="261"/>
      <c r="E42" s="262"/>
      <c r="F42" s="266"/>
      <c r="G42" s="264"/>
      <c r="H42" s="291"/>
      <c r="I42" s="292"/>
      <c r="J42" s="250"/>
      <c r="K42" s="266"/>
      <c r="L42" s="285"/>
    </row>
    <row r="43" spans="2:12" x14ac:dyDescent="0.25">
      <c r="B43" s="249">
        <v>31</v>
      </c>
      <c r="C43" s="293" t="s">
        <v>206</v>
      </c>
      <c r="D43" s="261"/>
      <c r="E43" s="262"/>
      <c r="F43" s="266"/>
      <c r="G43" s="264"/>
      <c r="H43" s="291"/>
      <c r="I43" s="294"/>
      <c r="K43" s="266"/>
      <c r="L43" s="285"/>
    </row>
    <row r="44" spans="2:12" x14ac:dyDescent="0.25">
      <c r="B44" s="249">
        <v>32</v>
      </c>
      <c r="C44" s="283" t="s">
        <v>203</v>
      </c>
      <c r="D44" s="261"/>
      <c r="E44" s="262" t="s">
        <v>207</v>
      </c>
      <c r="F44" s="266">
        <v>202</v>
      </c>
      <c r="G44" s="264">
        <v>833178175</v>
      </c>
      <c r="H44" s="266"/>
      <c r="I44" s="265">
        <v>41044944.880000003</v>
      </c>
      <c r="J44" s="250"/>
      <c r="K44" s="266"/>
      <c r="L44" s="285"/>
    </row>
    <row r="45" spans="2:12" x14ac:dyDescent="0.25">
      <c r="B45" s="249">
        <v>33</v>
      </c>
      <c r="C45" s="283" t="s">
        <v>208</v>
      </c>
      <c r="D45" s="261"/>
      <c r="E45" s="262" t="s">
        <v>209</v>
      </c>
      <c r="F45" s="295">
        <v>6</v>
      </c>
      <c r="G45" s="272">
        <v>136742565</v>
      </c>
      <c r="I45" s="273">
        <v>3137080.63</v>
      </c>
      <c r="K45" s="266"/>
      <c r="L45" s="285"/>
    </row>
    <row r="46" spans="2:12" s="165" customFormat="1" x14ac:dyDescent="0.25">
      <c r="B46" s="249">
        <v>34</v>
      </c>
      <c r="C46" s="296" t="s">
        <v>210</v>
      </c>
      <c r="D46" s="286"/>
      <c r="E46" s="290"/>
      <c r="F46" s="297">
        <f>SUM(F42:F45)</f>
        <v>208</v>
      </c>
      <c r="G46" s="298">
        <f>SUM(G42:G45)</f>
        <v>969920740</v>
      </c>
      <c r="I46" s="299">
        <f>SUM(I42:I45)</f>
        <v>44182025.510000005</v>
      </c>
      <c r="L46" s="281"/>
    </row>
    <row r="47" spans="2:12" s="165" customFormat="1" x14ac:dyDescent="0.25">
      <c r="B47" s="251">
        <v>35</v>
      </c>
      <c r="C47" s="296" t="s">
        <v>211</v>
      </c>
      <c r="D47" s="300"/>
      <c r="E47" s="290"/>
      <c r="F47" s="297">
        <f>+F46+F40</f>
        <v>234140</v>
      </c>
      <c r="G47" s="298">
        <f>G40+G46</f>
        <v>1207431438</v>
      </c>
      <c r="H47" s="279"/>
      <c r="I47" s="280">
        <f>I40+I46</f>
        <v>464155174.98000008</v>
      </c>
      <c r="J47" s="279"/>
      <c r="K47" s="279"/>
      <c r="L47" s="281"/>
    </row>
    <row r="48" spans="2:12" x14ac:dyDescent="0.25">
      <c r="B48" s="301"/>
      <c r="C48" s="244"/>
      <c r="D48" s="250"/>
      <c r="F48" s="250"/>
      <c r="G48" s="250"/>
      <c r="H48" s="250"/>
      <c r="I48" s="302"/>
    </row>
    <row r="49" spans="2:10" x14ac:dyDescent="0.25">
      <c r="B49" s="301"/>
      <c r="C49" s="244"/>
      <c r="D49" s="244"/>
      <c r="E49" s="301"/>
      <c r="F49" s="303"/>
      <c r="G49" s="303"/>
      <c r="H49" s="303"/>
      <c r="I49" s="304"/>
      <c r="J49" s="165"/>
    </row>
  </sheetData>
  <mergeCells count="4">
    <mergeCell ref="C1:J1"/>
    <mergeCell ref="C2:J2"/>
    <mergeCell ref="C3:J3"/>
    <mergeCell ref="C4:J4"/>
  </mergeCells>
  <printOptions horizontalCentered="1"/>
  <pageMargins left="0.25" right="0.25" top="1" bottom="1" header="0.5" footer="0.5"/>
  <pageSetup scale="60" orientation="landscape" r:id="rId1"/>
  <headerFooter scaleWithDoc="0" alignWithMargins="0">
    <oddFooter>&amp;L
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28F9027A4564249A08974BE6CF50D26" ma:contentTypeVersion="19" ma:contentTypeDescription="" ma:contentTypeScope="" ma:versionID="815ef99a0dcdf3efc7d11b7a16558df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2025-09-15T07:00:00+00:00</OpenedDate>
    <SignificantOrder xmlns="dc463f71-b30c-4ab2-9473-d307f9d35888">false</SignificantOrder>
    <Date1 xmlns="dc463f71-b30c-4ab2-9473-d307f9d35888">2025-09-15T07:00:00+00:00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250705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2039C46-DB71-4445-A65D-BA33DBDCD0A7}"/>
</file>

<file path=customXml/itemProps2.xml><?xml version="1.0" encoding="utf-8"?>
<ds:datastoreItem xmlns:ds="http://schemas.openxmlformats.org/officeDocument/2006/customXml" ds:itemID="{106E49CB-3AF4-41AF-BBFD-AA65893AC066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6a7949fb-eacc-49ff-8531-d4b1ca318f69"/>
    <ds:schemaRef ds:uri="http://purl.org/dc/terms/"/>
    <ds:schemaRef ds:uri="9f5829b0-3c83-407a-9888-15708671f8c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96D76A7-7AC3-4DAA-92A8-6D82B7B6DB2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4D6F89-1BA4-4E02-8CFB-A915EA66C1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CPA Table of Contents</vt:lpstr>
      <vt:lpstr>CPA Summary of Def. Accts.</vt:lpstr>
      <vt:lpstr>CPA Proposed Rate 596</vt:lpstr>
      <vt:lpstr>CPA Amount of Change</vt:lpstr>
      <vt:lpstr>Effects of CPA Avg. Bill</vt:lpstr>
      <vt:lpstr>Workpapers---&gt;</vt:lpstr>
      <vt:lpstr>Balances at 7-31-2025</vt:lpstr>
      <vt:lpstr>Int calc thru 10-31-2025</vt:lpstr>
      <vt:lpstr>Amort Calc thru 10-31-2025</vt:lpstr>
      <vt:lpstr>EstimatedBalances</vt:lpstr>
      <vt:lpstr> Int during Amort</vt:lpstr>
      <vt:lpstr>Test Period Volumes</vt:lpstr>
      <vt:lpstr>Bills-Therms-Revs</vt:lpstr>
      <vt:lpstr>'Balances at 7-31-2025'!BalancesJuly</vt:lpstr>
      <vt:lpstr>'Balances at 7-31-2025'!EstimatedBalances</vt:lpstr>
      <vt:lpstr>'Balances at 7-31-2025'!InterestDuringAmort</vt:lpstr>
      <vt:lpstr>' Int during Amort'!Print_Area</vt:lpstr>
      <vt:lpstr>'Bills-Therms-Revs'!Print_Area</vt:lpstr>
      <vt:lpstr>'CPA Proposed Rate 596'!Print_Area</vt:lpstr>
      <vt:lpstr>'Effects of CPA Avg. Bill'!Print_Area</vt:lpstr>
      <vt:lpstr>'Test Period Volumes'!Print_Area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Gresham, Maryalice</dc:creator>
  <cp:lastModifiedBy>Harris, Zachary</cp:lastModifiedBy>
  <dcterms:created xsi:type="dcterms:W3CDTF">2025-08-13T17:47:56Z</dcterms:created>
  <dcterms:modified xsi:type="dcterms:W3CDTF">2025-09-12T20:53:20Z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da8032d-c4fe-48b8-9054-92634c9ea061_Enabled">
    <vt:lpwstr>true</vt:lpwstr>
  </property>
  <property fmtid="{D5CDD505-2E9C-101B-9397-08002B2CF9AE}" pid="3" name="MSIP_Label_1da8032d-c4fe-48b8-9054-92634c9ea061_SetDate">
    <vt:lpwstr>2025-08-13T17:56:20Z</vt:lpwstr>
  </property>
  <property fmtid="{D5CDD505-2E9C-101B-9397-08002B2CF9AE}" pid="4" name="MSIP_Label_1da8032d-c4fe-48b8-9054-92634c9ea061_Method">
    <vt:lpwstr>Standard</vt:lpwstr>
  </property>
  <property fmtid="{D5CDD505-2E9C-101B-9397-08002B2CF9AE}" pid="5" name="MSIP_Label_1da8032d-c4fe-48b8-9054-92634c9ea061_Name">
    <vt:lpwstr>Label 2 - Docs</vt:lpwstr>
  </property>
  <property fmtid="{D5CDD505-2E9C-101B-9397-08002B2CF9AE}" pid="6" name="MSIP_Label_1da8032d-c4fe-48b8-9054-92634c9ea061_SiteId">
    <vt:lpwstr>ce6a0196-6152-4c6a-9d1d-e946c3735743</vt:lpwstr>
  </property>
  <property fmtid="{D5CDD505-2E9C-101B-9397-08002B2CF9AE}" pid="7" name="MSIP_Label_1da8032d-c4fe-48b8-9054-92634c9ea061_ActionId">
    <vt:lpwstr>1f479fbb-4fc0-4911-a73f-67be6b127ef4</vt:lpwstr>
  </property>
  <property fmtid="{D5CDD505-2E9C-101B-9397-08002B2CF9AE}" pid="8" name="MSIP_Label_1da8032d-c4fe-48b8-9054-92634c9ea061_ContentBits">
    <vt:lpwstr>0</vt:lpwstr>
  </property>
  <property fmtid="{D5CDD505-2E9C-101B-9397-08002B2CF9AE}" pid="9" name="MSIP_Label_1da8032d-c4fe-48b8-9054-92634c9ea061_Tag">
    <vt:lpwstr>10, 3, 0, 1</vt:lpwstr>
  </property>
  <property fmtid="{D5CDD505-2E9C-101B-9397-08002B2CF9AE}" pid="10" name="ContentTypeId">
    <vt:lpwstr>0x0101006E56B4D1795A2E4DB2F0B01679ED314A00128F9027A4564249A08974BE6CF50D26</vt:lpwstr>
  </property>
  <property fmtid="{D5CDD505-2E9C-101B-9397-08002B2CF9AE}" pid="11" name="MediaServiceImageTags">
    <vt:lpwstr/>
  </property>
</Properties>
</file>