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nx.org\Regions\Western Region\2000 Western Region Office\WUTC\WUTC-LeMay\Misc Filings\B&amp;O Tax Increase 10.2025\Lewis\"/>
    </mc:Choice>
  </mc:AlternateContent>
  <xr:revisionPtr revIDLastSave="0" documentId="13_ncr:1_{39388F4C-AC45-4AAA-9E38-BD5230AAA345}" xr6:coauthVersionLast="47" xr6:coauthVersionMax="47" xr10:uidLastSave="{00000000-0000-0000-0000-000000000000}"/>
  <bookViews>
    <workbookView xWindow="-108" yWindow="-108" windowWidth="23256" windowHeight="12576" firstSheet="1" activeTab="2" xr2:uid="{FEB3ECF9-E026-4707-8427-FC848F147B44}"/>
  </bookViews>
  <sheets>
    <sheet name="Rate Sheet" sheetId="1" r:id="rId1"/>
    <sheet name="Lewis Co. Regulated - Price Out" sheetId="2" r:id="rId2"/>
    <sheet name="Joe's Regulated - Price Out " sheetId="3" r:id="rId3"/>
    <sheet name="LG Lewis" sheetId="4" r:id="rId4"/>
    <sheet name="LG Lewis MSW" sheetId="5" r:id="rId5"/>
    <sheet name="LG Lewis Recycling" sheetId="6" r:id="rId6"/>
    <sheet name="LG Lewis Yard Waste" sheetId="7" r:id="rId7"/>
    <sheet name="LG Joe's MSW" sheetId="8" r:id="rId8"/>
    <sheet name="LG Joe's Recycling" sheetId="9" r:id="rId9"/>
    <sheet name="LG Joe's Yard Waste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6">'[1]94 Rsrv Mtr (UnAdj)'!#REF!</definedName>
    <definedName name="\7">'[1]94 Rsrv Mtr (UnAdj)'!#REF!</definedName>
    <definedName name="\A">#REF!</definedName>
    <definedName name="\c">'[2]10200'!$IU$8196</definedName>
    <definedName name="\D" localSheetId="7">#REF!</definedName>
    <definedName name="\D" localSheetId="8">#REF!</definedName>
    <definedName name="\D" localSheetId="9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>'[3]#REF'!$AD$4</definedName>
    <definedName name="\M">#REF!</definedName>
    <definedName name="\p">#REF!</definedName>
    <definedName name="\R">'[3]#REF'!$AD$8</definedName>
    <definedName name="\S" localSheetId="7">#REF!</definedName>
    <definedName name="\S" localSheetId="8">#REF!</definedName>
    <definedName name="\S" localSheetId="9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Y" localSheetId="7">#REF!</definedName>
    <definedName name="\Y" localSheetId="8">#REF!</definedName>
    <definedName name="\Y" localSheetId="9">#REF!</definedName>
    <definedName name="\Y" localSheetId="4">#REF!</definedName>
    <definedName name="\Y" localSheetId="5">#REF!</definedName>
    <definedName name="\Y" localSheetId="6">#REF!</definedName>
    <definedName name="\Y">#REF!</definedName>
    <definedName name="\z">#REF!</definedName>
    <definedName name="______________CYA1">[4]Hidden!$N$11</definedName>
    <definedName name="______________CYA10">[4]Hidden!$E$11</definedName>
    <definedName name="______________CYA11">[4]Hidden!$P$11</definedName>
    <definedName name="______________CYA2">[4]Hidden!$M$11</definedName>
    <definedName name="______________CYA3">[4]Hidden!$L$11</definedName>
    <definedName name="______________CYA4">[4]Hidden!$K$11</definedName>
    <definedName name="______________CYA5">[4]Hidden!$J$11</definedName>
    <definedName name="______________CYA6">[4]Hidden!$I$11</definedName>
    <definedName name="______________CYA7">[4]Hidden!$H$11</definedName>
    <definedName name="______________CYA8">[4]Hidden!$G$11</definedName>
    <definedName name="______________CYA9">[4]Hidden!$F$11</definedName>
    <definedName name="______________LYA12">[4]Hidden!$O$11</definedName>
    <definedName name="_____________CYA1">[4]Hidden!$N$11</definedName>
    <definedName name="_____________CYA10">[4]Hidden!$E$11</definedName>
    <definedName name="_____________CYA11">[4]Hidden!$P$11</definedName>
    <definedName name="_____________CYA2">[4]Hidden!$M$11</definedName>
    <definedName name="_____________CYA3">[4]Hidden!$L$11</definedName>
    <definedName name="_____________CYA4">[4]Hidden!$K$11</definedName>
    <definedName name="_____________CYA5">[4]Hidden!$J$11</definedName>
    <definedName name="_____________CYA6">[4]Hidden!$I$11</definedName>
    <definedName name="_____________CYA7">[4]Hidden!$H$11</definedName>
    <definedName name="_____________CYA8">[4]Hidden!$G$11</definedName>
    <definedName name="_____________CYA9">[4]Hidden!$F$11</definedName>
    <definedName name="_____________LYA12">[4]Hidden!$O$11</definedName>
    <definedName name="____________CYA1">[4]Hidden!$N$11</definedName>
    <definedName name="____________CYA10">[4]Hidden!$E$11</definedName>
    <definedName name="____________CYA11">[4]Hidden!$P$11</definedName>
    <definedName name="____________CYA2">[4]Hidden!$M$11</definedName>
    <definedName name="____________CYA3">[4]Hidden!$L$11</definedName>
    <definedName name="____________CYA4">[4]Hidden!$K$11</definedName>
    <definedName name="____________CYA5">[4]Hidden!$J$11</definedName>
    <definedName name="____________CYA6">[4]Hidden!$I$11</definedName>
    <definedName name="____________CYA7">[4]Hidden!$H$11</definedName>
    <definedName name="____________CYA8">[4]Hidden!$G$11</definedName>
    <definedName name="____________CYA9">[4]Hidden!$F$11</definedName>
    <definedName name="____________LYA12">[4]Hidden!$O$11</definedName>
    <definedName name="___________CYA1">[4]Hidden!$N$11</definedName>
    <definedName name="___________CYA10">[4]Hidden!$E$11</definedName>
    <definedName name="___________CYA11">[4]Hidden!$P$11</definedName>
    <definedName name="___________CYA2">[4]Hidden!$M$11</definedName>
    <definedName name="___________CYA3">[4]Hidden!$L$11</definedName>
    <definedName name="___________CYA4">[4]Hidden!$K$11</definedName>
    <definedName name="___________CYA5">[4]Hidden!$J$11</definedName>
    <definedName name="___________CYA6">[4]Hidden!$I$11</definedName>
    <definedName name="___________CYA7">[4]Hidden!$H$11</definedName>
    <definedName name="___________CYA8">[4]Hidden!$G$11</definedName>
    <definedName name="___________CYA9">[4]Hidden!$F$11</definedName>
    <definedName name="___________LYA12">[4]Hidden!$O$11</definedName>
    <definedName name="__________CYA1">[4]Hidden!$N$11</definedName>
    <definedName name="__________CYA10">[4]Hidden!$E$11</definedName>
    <definedName name="__________CYA11">[4]Hidden!$P$11</definedName>
    <definedName name="__________CYA2">[4]Hidden!$M$11</definedName>
    <definedName name="__________CYA3">[4]Hidden!$L$11</definedName>
    <definedName name="__________CYA4">[4]Hidden!$K$11</definedName>
    <definedName name="__________CYA5">[4]Hidden!$J$11</definedName>
    <definedName name="__________CYA6">[4]Hidden!$I$11</definedName>
    <definedName name="__________CYA7">[4]Hidden!$H$11</definedName>
    <definedName name="__________CYA8">[4]Hidden!$G$11</definedName>
    <definedName name="__________CYA9">[4]Hidden!$F$11</definedName>
    <definedName name="__________LYA12">[4]Hidden!$O$11</definedName>
    <definedName name="_________CYA1">[4]Hidden!$N$11</definedName>
    <definedName name="_________CYA10">[4]Hidden!$E$11</definedName>
    <definedName name="_________CYA11">[4]Hidden!$P$11</definedName>
    <definedName name="_________CYA2">[4]Hidden!$M$11</definedName>
    <definedName name="_________CYA3">[4]Hidden!$L$11</definedName>
    <definedName name="_________CYA4">[4]Hidden!$K$11</definedName>
    <definedName name="_________CYA5">[4]Hidden!$J$11</definedName>
    <definedName name="_________CYA6">[4]Hidden!$I$11</definedName>
    <definedName name="_________CYA7">[4]Hidden!$H$11</definedName>
    <definedName name="_________CYA8">[4]Hidden!$G$11</definedName>
    <definedName name="_________CYA9">[4]Hidden!$F$11</definedName>
    <definedName name="_________LYA12">[4]Hidden!$O$11</definedName>
    <definedName name="________CYA1">[4]Hidden!$N$11</definedName>
    <definedName name="________CYA10">[4]Hidden!$E$11</definedName>
    <definedName name="________CYA11">[4]Hidden!$P$11</definedName>
    <definedName name="________CYA2">[4]Hidden!$M$11</definedName>
    <definedName name="________CYA3">[4]Hidden!$L$11</definedName>
    <definedName name="________CYA4">[4]Hidden!$K$11</definedName>
    <definedName name="________CYA5">[4]Hidden!$J$11</definedName>
    <definedName name="________CYA6">[4]Hidden!$I$11</definedName>
    <definedName name="________CYA7">[4]Hidden!$H$11</definedName>
    <definedName name="________CYA8">[4]Hidden!$G$11</definedName>
    <definedName name="________CYA9">[4]Hidden!$F$11</definedName>
    <definedName name="________LYA12">[4]Hidden!$O$11</definedName>
    <definedName name="_______CYA1">[4]Hidden!$N$11</definedName>
    <definedName name="_______CYA10">[4]Hidden!$E$11</definedName>
    <definedName name="_______CYA11">[4]Hidden!$P$11</definedName>
    <definedName name="_______CYA2">[4]Hidden!$M$11</definedName>
    <definedName name="_______CYA3">[4]Hidden!$L$11</definedName>
    <definedName name="_______CYA4">[4]Hidden!$K$11</definedName>
    <definedName name="_______CYA5">[4]Hidden!$J$11</definedName>
    <definedName name="_______CYA6">[4]Hidden!$I$11</definedName>
    <definedName name="_______CYA7">[4]Hidden!$H$11</definedName>
    <definedName name="_______CYA8">[4]Hidden!$G$11</definedName>
    <definedName name="_______CYA9">[4]Hidden!$F$11</definedName>
    <definedName name="_______LYA12">[4]Hidden!$O$11</definedName>
    <definedName name="______ACT1">[5]Hidden!#REF!</definedName>
    <definedName name="______ACT2">[5]Hidden!#REF!</definedName>
    <definedName name="______ACT3">[5]Hidden!#REF!</definedName>
    <definedName name="______CYA1">[4]Hidden!$N$11</definedName>
    <definedName name="______CYA10">[4]Hidden!$E$11</definedName>
    <definedName name="______CYA11">[4]Hidden!$P$11</definedName>
    <definedName name="______CYA2">[4]Hidden!$M$11</definedName>
    <definedName name="______CYA3">[4]Hidden!$L$11</definedName>
    <definedName name="______CYA4">[4]Hidden!$K$11</definedName>
    <definedName name="______CYA5">[4]Hidden!$J$11</definedName>
    <definedName name="______CYA6">[4]Hidden!$I$11</definedName>
    <definedName name="______CYA7">[4]Hidden!$H$11</definedName>
    <definedName name="______CYA8">[4]Hidden!$G$11</definedName>
    <definedName name="______CYA9">[4]Hidden!$F$11</definedName>
    <definedName name="______LYA12">[4]Hidden!$O$11</definedName>
    <definedName name="_____ACT1">[5]Hidden!#REF!</definedName>
    <definedName name="_____ACT2">[5]Hidden!#REF!</definedName>
    <definedName name="_____ACT3">[5]Hidden!#REF!</definedName>
    <definedName name="_____CYA1">[4]Hidden!$N$11</definedName>
    <definedName name="_____CYA10">[4]Hidden!$E$11</definedName>
    <definedName name="_____CYA11">[4]Hidden!$P$11</definedName>
    <definedName name="_____CYA2">[4]Hidden!$M$11</definedName>
    <definedName name="_____CYA3">[4]Hidden!$L$11</definedName>
    <definedName name="_____CYA4">[4]Hidden!$K$11</definedName>
    <definedName name="_____CYA5">[4]Hidden!$J$11</definedName>
    <definedName name="_____CYA6">[4]Hidden!$I$11</definedName>
    <definedName name="_____CYA7">[4]Hidden!$H$11</definedName>
    <definedName name="_____CYA8">[4]Hidden!$G$11</definedName>
    <definedName name="_____CYA9">[4]Hidden!$F$11</definedName>
    <definedName name="_____LYA12">[4]Hidden!$O$11</definedName>
    <definedName name="_____MAS95">'[1]95 Plt Mtr (Adj)'!$A$1:$AM$162</definedName>
    <definedName name="_____Sub1">'[1]CWIP (Adj)'!$E$3:$E$49</definedName>
    <definedName name="_____Sub10">'[1]CWIP (Adj)'!$E$422:$E$468</definedName>
    <definedName name="_____Sub11">'[1]CWIP (Adj)'!$E$470:$E$516</definedName>
    <definedName name="_____Sub12">'[1]CWIP (Adj)'!$E$518:$E$564</definedName>
    <definedName name="_____Sub13">'[1]CWIP (Adj)'!$E$566:$E$612</definedName>
    <definedName name="_____Sub2">'[1]CWIP (Adj)'!$E$52:$E$96</definedName>
    <definedName name="_____Sub3">'[1]CWIP (Adj)'!$E$98:$E$142</definedName>
    <definedName name="_____Sub4">'[1]CWIP (Adj)'!$E$144:$E$188</definedName>
    <definedName name="_____Sub5">'[1]CWIP (Adj)'!$E$190:$E$234</definedName>
    <definedName name="_____Sub6">'[1]CWIP (Adj)'!$E$236:$E$280</definedName>
    <definedName name="_____Sub7">'[1]CWIP (Adj)'!$E$282:$E$326</definedName>
    <definedName name="_____Sub8">'[1]CWIP (Adj)'!$E$328:$E$373</definedName>
    <definedName name="_____Sub9">'[1]CWIP (Adj)'!$E$375:$E$420</definedName>
    <definedName name="____ACT1">[5]Hidden!#REF!</definedName>
    <definedName name="____ACT2">[5]Hidden!#REF!</definedName>
    <definedName name="____ACT3">[5]Hidden!#REF!</definedName>
    <definedName name="____CYA1">[4]Hidden!$N$11</definedName>
    <definedName name="____CYA10">[4]Hidden!$E$11</definedName>
    <definedName name="____CYA11">[4]Hidden!$P$11</definedName>
    <definedName name="____CYA2">[4]Hidden!$M$11</definedName>
    <definedName name="____CYA3">[4]Hidden!$L$11</definedName>
    <definedName name="____CYA4">[4]Hidden!$K$11</definedName>
    <definedName name="____CYA5">[4]Hidden!$J$11</definedName>
    <definedName name="____CYA6">[4]Hidden!$I$11</definedName>
    <definedName name="____CYA7">[4]Hidden!$H$11</definedName>
    <definedName name="____CYA8">[4]Hidden!$G$11</definedName>
    <definedName name="____CYA9">[4]Hidden!$F$11</definedName>
    <definedName name="____LYA12">[4]Hidden!$O$11</definedName>
    <definedName name="____MAS95">'[1]95 Plt Mtr (Adj)'!$A$1:$AM$162</definedName>
    <definedName name="____Sub1">'[1]CWIP (Adj)'!$E$3:$E$49</definedName>
    <definedName name="____Sub10">'[1]CWIP (Adj)'!$E$422:$E$468</definedName>
    <definedName name="____Sub11">'[1]CWIP (Adj)'!$E$470:$E$516</definedName>
    <definedName name="____Sub12">'[1]CWIP (Adj)'!$E$518:$E$564</definedName>
    <definedName name="____Sub13">'[1]CWIP (Adj)'!$E$566:$E$612</definedName>
    <definedName name="____Sub2">'[1]CWIP (Adj)'!$E$52:$E$96</definedName>
    <definedName name="____Sub3">'[1]CWIP (Adj)'!$E$98:$E$142</definedName>
    <definedName name="____Sub4">'[1]CWIP (Adj)'!$E$144:$E$188</definedName>
    <definedName name="____Sub5">'[1]CWIP (Adj)'!$E$190:$E$234</definedName>
    <definedName name="____Sub6">'[1]CWIP (Adj)'!$E$236:$E$280</definedName>
    <definedName name="____Sub7">'[1]CWIP (Adj)'!$E$282:$E$326</definedName>
    <definedName name="____Sub8">'[1]CWIP (Adj)'!$E$328:$E$373</definedName>
    <definedName name="____Sub9">'[1]CWIP (Adj)'!$E$375:$E$420</definedName>
    <definedName name="___ACT1">[5]Hidden!#REF!</definedName>
    <definedName name="___ACT2">[5]Hidden!#REF!</definedName>
    <definedName name="___ACT3">[5]Hidden!#REF!</definedName>
    <definedName name="___CYA1">[4]Hidden!$N$11</definedName>
    <definedName name="___CYA10">[4]Hidden!$E$11</definedName>
    <definedName name="___CYA11">[4]Hidden!$P$11</definedName>
    <definedName name="___CYA2">[4]Hidden!$M$11</definedName>
    <definedName name="___CYA3">[4]Hidden!$L$11</definedName>
    <definedName name="___CYA4">[4]Hidden!$K$11</definedName>
    <definedName name="___CYA5">[4]Hidden!$J$11</definedName>
    <definedName name="___CYA6">[4]Hidden!$I$11</definedName>
    <definedName name="___CYA7">[4]Hidden!$H$11</definedName>
    <definedName name="___CYA8">[4]Hidden!$G$11</definedName>
    <definedName name="___CYA9">[4]Hidden!$F$11</definedName>
    <definedName name="___LYA12">[4]Hidden!$O$11</definedName>
    <definedName name="___MAS95">'[1]95 Plt Mtr (Adj)'!$A$1:$AM$162</definedName>
    <definedName name="___Sub1">'[1]CWIP (Adj)'!$E$3:$E$49</definedName>
    <definedName name="___Sub10">'[1]CWIP (Adj)'!$E$422:$E$468</definedName>
    <definedName name="___Sub11">'[1]CWIP (Adj)'!$E$470:$E$516</definedName>
    <definedName name="___Sub12">'[1]CWIP (Adj)'!$E$518:$E$564</definedName>
    <definedName name="___Sub13">'[1]CWIP (Adj)'!$E$566:$E$612</definedName>
    <definedName name="___Sub2">'[1]CWIP (Adj)'!$E$52:$E$96</definedName>
    <definedName name="___Sub3">'[1]CWIP (Adj)'!$E$98:$E$142</definedName>
    <definedName name="___Sub4">'[1]CWIP (Adj)'!$E$144:$E$188</definedName>
    <definedName name="___Sub5">'[1]CWIP (Adj)'!$E$190:$E$234</definedName>
    <definedName name="___Sub6">'[1]CWIP (Adj)'!$E$236:$E$280</definedName>
    <definedName name="___Sub7">'[1]CWIP (Adj)'!$E$282:$E$326</definedName>
    <definedName name="___Sub8">'[1]CWIP (Adj)'!$E$328:$E$373</definedName>
    <definedName name="___Sub9">'[1]CWIP (Adj)'!$E$375:$E$420</definedName>
    <definedName name="__ACT1" localSheetId="7">[6]Hidden!#REF!</definedName>
    <definedName name="__ACT1" localSheetId="8">[6]Hidden!#REF!</definedName>
    <definedName name="__ACT1" localSheetId="9">[6]Hidden!#REF!</definedName>
    <definedName name="__ACT1" localSheetId="4">[6]Hidden!#REF!</definedName>
    <definedName name="__ACT1" localSheetId="5">[6]Hidden!#REF!</definedName>
    <definedName name="__ACT1" localSheetId="6">[6]Hidden!#REF!</definedName>
    <definedName name="__ACT1">[6]Hidden!#REF!</definedName>
    <definedName name="__ACT2" localSheetId="7">[6]Hidden!#REF!</definedName>
    <definedName name="__ACT2" localSheetId="8">[6]Hidden!#REF!</definedName>
    <definedName name="__ACT2" localSheetId="9">[6]Hidden!#REF!</definedName>
    <definedName name="__ACT2" localSheetId="4">[6]Hidden!#REF!</definedName>
    <definedName name="__ACT2" localSheetId="5">[6]Hidden!#REF!</definedName>
    <definedName name="__ACT2" localSheetId="6">[6]Hidden!#REF!</definedName>
    <definedName name="__ACT2">[6]Hidden!#REF!</definedName>
    <definedName name="__ACT3" localSheetId="7">[6]Hidden!#REF!</definedName>
    <definedName name="__ACT3" localSheetId="8">[6]Hidden!#REF!</definedName>
    <definedName name="__ACT3" localSheetId="9">[6]Hidden!#REF!</definedName>
    <definedName name="__ACT3" localSheetId="4">[6]Hidden!#REF!</definedName>
    <definedName name="__ACT3" localSheetId="5">[6]Hidden!#REF!</definedName>
    <definedName name="__ACT3" localSheetId="6">[6]Hidden!#REF!</definedName>
    <definedName name="__ACT3">[6]Hidden!#REF!</definedName>
    <definedName name="__CYA1">[4]Hidden!$N$11</definedName>
    <definedName name="__CYA10">[4]Hidden!$E$11</definedName>
    <definedName name="__CYA11">[4]Hidden!$P$11</definedName>
    <definedName name="__CYA2">[4]Hidden!$M$11</definedName>
    <definedName name="__CYA3">[4]Hidden!$L$11</definedName>
    <definedName name="__CYA4">[4]Hidden!$K$11</definedName>
    <definedName name="__CYA5">[4]Hidden!$J$11</definedName>
    <definedName name="__CYA6">[4]Hidden!$I$11</definedName>
    <definedName name="__CYA7">[4]Hidden!$H$11</definedName>
    <definedName name="__CYA8">[4]Hidden!$G$11</definedName>
    <definedName name="__CYA9">[4]Hidden!$F$11</definedName>
    <definedName name="__IntlFixup" hidden="1">TRUE</definedName>
    <definedName name="__LYA1">[7]Hidden!$P$11</definedName>
    <definedName name="__LYA10">[7]Hidden!$G$11</definedName>
    <definedName name="__LYA11">[7]Hidden!$F$11</definedName>
    <definedName name="__LYA12">[4]Hidden!$O$11</definedName>
    <definedName name="__LYA2">[7]Hidden!$O$11</definedName>
    <definedName name="__LYA3">[7]Hidden!$N$11</definedName>
    <definedName name="__LYA4">[7]Hidden!$M$11</definedName>
    <definedName name="__LYA5">[7]Hidden!$L$11</definedName>
    <definedName name="__LYA6">[7]Hidden!$K$11</definedName>
    <definedName name="__LYA7">[7]Hidden!$J$11</definedName>
    <definedName name="__LYA8">[7]Hidden!$I$11</definedName>
    <definedName name="__LYA9">[7]Hidden!$H$11</definedName>
    <definedName name="__MAS95">'[1]95 Plt Mtr (Adj)'!$A$1:$AM$162</definedName>
    <definedName name="__Sub1">'[1]CWIP (Adj)'!$E$3:$E$49</definedName>
    <definedName name="__Sub10">'[1]CWIP (Adj)'!$E$422:$E$468</definedName>
    <definedName name="__Sub11">'[1]CWIP (Adj)'!$E$470:$E$516</definedName>
    <definedName name="__Sub12">'[1]CWIP (Adj)'!$E$518:$E$564</definedName>
    <definedName name="__Sub13">'[1]CWIP (Adj)'!$E$566:$E$612</definedName>
    <definedName name="__Sub2">'[1]CWIP (Adj)'!$E$52:$E$96</definedName>
    <definedName name="__Sub3">'[1]CWIP (Adj)'!$E$98:$E$142</definedName>
    <definedName name="__Sub4">'[1]CWIP (Adj)'!$E$144:$E$188</definedName>
    <definedName name="__Sub5">'[1]CWIP (Adj)'!$E$190:$E$234</definedName>
    <definedName name="__Sub6">'[1]CWIP (Adj)'!$E$236:$E$280</definedName>
    <definedName name="__Sub7">'[1]CWIP (Adj)'!$E$282:$E$326</definedName>
    <definedName name="__Sub8">'[1]CWIP (Adj)'!$E$328:$E$373</definedName>
    <definedName name="__Sub9">'[1]CWIP (Adj)'!$E$375:$E$420</definedName>
    <definedName name="_1">#REF!</definedName>
    <definedName name="_10">#REF!</definedName>
    <definedName name="_11">#REF!</definedName>
    <definedName name="_12">#REF!</definedName>
    <definedName name="_123Graph_g" hidden="1">'[3]#REF'!$F$9:$F$83</definedName>
    <definedName name="_13">#REF!</definedName>
    <definedName name="_13054">'[8]10800-10899'!#REF!</definedName>
    <definedName name="_132" hidden="1">[2]XXXXXX!$B$10:$B$10</definedName>
    <definedName name="_132Graph_h" localSheetId="7" hidden="1">#REF!</definedName>
    <definedName name="_132Graph_h" localSheetId="8" hidden="1">#REF!</definedName>
    <definedName name="_132Graph_h" localSheetId="9" hidden="1">#REF!</definedName>
    <definedName name="_132Graph_h" localSheetId="4" hidden="1">#REF!</definedName>
    <definedName name="_132Graph_h" localSheetId="5" hidden="1">#REF!</definedName>
    <definedName name="_132Graph_h" localSheetId="6" hidden="1">#REF!</definedName>
    <definedName name="_132Graph_h" hidden="1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CT1" localSheetId="2">[6]Hidden!#REF!</definedName>
    <definedName name="_ACT1" localSheetId="1">[6]Hidden!#REF!</definedName>
    <definedName name="_ACT1" localSheetId="7">[9]Hidden!#REF!</definedName>
    <definedName name="_ACT1" localSheetId="8">[9]Hidden!#REF!</definedName>
    <definedName name="_ACT1" localSheetId="9">[9]Hidden!#REF!</definedName>
    <definedName name="_ACT1" localSheetId="4">[9]Hidden!#REF!</definedName>
    <definedName name="_ACT1" localSheetId="5">[9]Hidden!#REF!</definedName>
    <definedName name="_ACT1" localSheetId="6">[9]Hidden!#REF!</definedName>
    <definedName name="_ACT1" localSheetId="0">[6]Hidden!#REF!</definedName>
    <definedName name="_ACT1">[9]Hidden!#REF!</definedName>
    <definedName name="_ACT2" localSheetId="2">[6]Hidden!#REF!</definedName>
    <definedName name="_ACT2" localSheetId="1">[6]Hidden!#REF!</definedName>
    <definedName name="_ACT2" localSheetId="7">[9]Hidden!#REF!</definedName>
    <definedName name="_ACT2" localSheetId="8">[9]Hidden!#REF!</definedName>
    <definedName name="_ACT2" localSheetId="9">[9]Hidden!#REF!</definedName>
    <definedName name="_ACT2" localSheetId="4">[9]Hidden!#REF!</definedName>
    <definedName name="_ACT2" localSheetId="5">[9]Hidden!#REF!</definedName>
    <definedName name="_ACT2" localSheetId="6">[9]Hidden!#REF!</definedName>
    <definedName name="_ACT2" localSheetId="0">[6]Hidden!#REF!</definedName>
    <definedName name="_ACT2">[9]Hidden!#REF!</definedName>
    <definedName name="_ACT3" localSheetId="2">[6]Hidden!#REF!</definedName>
    <definedName name="_ACT3" localSheetId="1">[6]Hidden!#REF!</definedName>
    <definedName name="_ACT3" localSheetId="7">[9]Hidden!#REF!</definedName>
    <definedName name="_ACT3" localSheetId="8">[9]Hidden!#REF!</definedName>
    <definedName name="_ACT3" localSheetId="9">[9]Hidden!#REF!</definedName>
    <definedName name="_ACT3" localSheetId="4">[9]Hidden!#REF!</definedName>
    <definedName name="_ACT3" localSheetId="5">[9]Hidden!#REF!</definedName>
    <definedName name="_ACT3" localSheetId="6">[9]Hidden!#REF!</definedName>
    <definedName name="_ACT3" localSheetId="0">[6]Hidden!#REF!</definedName>
    <definedName name="_ACT3">[9]Hidden!#REF!</definedName>
    <definedName name="_ACT4">[5]Hidden!#REF!</definedName>
    <definedName name="_BUN1">'[10]2008 West Group IS'!$AJ$5</definedName>
    <definedName name="_BUN3">'[10]2008 Group Office IS'!$AJ$5</definedName>
    <definedName name="_COS1" localSheetId="7">#REF!</definedName>
    <definedName name="_COS1" localSheetId="8">#REF!</definedName>
    <definedName name="_COS1" localSheetId="9">#REF!</definedName>
    <definedName name="_COS1" localSheetId="4">#REF!</definedName>
    <definedName name="_COS1" localSheetId="5">#REF!</definedName>
    <definedName name="_COS1" localSheetId="6">#REF!</definedName>
    <definedName name="_COS1">#REF!</definedName>
    <definedName name="_COS2" localSheetId="7">#REF!</definedName>
    <definedName name="_COS2" localSheetId="8">#REF!</definedName>
    <definedName name="_COS2" localSheetId="9">#REF!</definedName>
    <definedName name="_COS2" localSheetId="4">#REF!</definedName>
    <definedName name="_COS2" localSheetId="5">#REF!</definedName>
    <definedName name="_COS2" localSheetId="6">#REF!</definedName>
    <definedName name="_COS2">#REF!</definedName>
    <definedName name="_CYA1">[4]Hidden!$N$11</definedName>
    <definedName name="_CYA10">[4]Hidden!$E$11</definedName>
    <definedName name="_CYA11">[4]Hidden!$P$11</definedName>
    <definedName name="_CYA2">[4]Hidden!$M$11</definedName>
    <definedName name="_CYA3">[4]Hidden!$L$11</definedName>
    <definedName name="_CYA4">[4]Hidden!$K$11</definedName>
    <definedName name="_CYA5">[4]Hidden!$J$11</definedName>
    <definedName name="_CYA6">[4]Hidden!$I$11</definedName>
    <definedName name="_CYA7">[4]Hidden!$H$11</definedName>
    <definedName name="_CYA8">[4]Hidden!$G$11</definedName>
    <definedName name="_CYA9">[4]Hidden!$F$11</definedName>
    <definedName name="_CYB4">[11]Hidden!$O$11</definedName>
    <definedName name="_CYB5">[11]Hidden!$K$11</definedName>
    <definedName name="_CYB6">[11]Hidden!$H$11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2" hidden="1">'Joe''s Regulated - Price Out '!$A$10:$AI$209</definedName>
    <definedName name="_xlnm._FilterDatabase" localSheetId="1" hidden="1">'Lewis Co. Regulated - Price Out'!$A$24:$AJ$265</definedName>
    <definedName name="_JV100">#REF!</definedName>
    <definedName name="_JV502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hidden="1">#REF!</definedName>
    <definedName name="_Key2" hidden="1">'[3]#REF'!$D$12</definedName>
    <definedName name="_key5" hidden="1">[2]XXXXXX!$H$10</definedName>
    <definedName name="_LYA1">[7]Hidden!$P$11</definedName>
    <definedName name="_LYA10">[7]Hidden!$G$11</definedName>
    <definedName name="_LYA11">[7]Hidden!$F$11</definedName>
    <definedName name="_LYA12">[4]Hidden!$O$11</definedName>
    <definedName name="_LYA2">[7]Hidden!$O$11</definedName>
    <definedName name="_LYA3">[7]Hidden!$N$11</definedName>
    <definedName name="_LYA4">[7]Hidden!$M$11</definedName>
    <definedName name="_LYA5">[7]Hidden!$L$11</definedName>
    <definedName name="_LYA6">[7]Hidden!$K$11</definedName>
    <definedName name="_LYA7">[7]Hidden!$J$11</definedName>
    <definedName name="_LYA8">[7]Hidden!$I$11</definedName>
    <definedName name="_LYA9">[7]Hidden!$H$11</definedName>
    <definedName name="_MAS95">'[1]95 Plt Mtr (Adj)'!$A$1:$AM$162</definedName>
    <definedName name="_max" localSheetId="7" hidden="1">#REF!</definedName>
    <definedName name="_max" localSheetId="8" hidden="1">#REF!</definedName>
    <definedName name="_max" localSheetId="9" hidden="1">#REF!</definedName>
    <definedName name="_max" localSheetId="4" hidden="1">#REF!</definedName>
    <definedName name="_max" localSheetId="5" hidden="1">#REF!</definedName>
    <definedName name="_max" localSheetId="6" hidden="1">#REF!</definedName>
    <definedName name="_max" hidden="1">#REF!</definedName>
    <definedName name="_Mon" localSheetId="7" hidden="1">#REF!</definedName>
    <definedName name="_Mon" localSheetId="8" hidden="1">#REF!</definedName>
    <definedName name="_Mon" localSheetId="9" hidden="1">#REF!</definedName>
    <definedName name="_Mon" localSheetId="4" hidden="1">#REF!</definedName>
    <definedName name="_Mon" localSheetId="5" hidden="1">#REF!</definedName>
    <definedName name="_Mon" localSheetId="6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[10]WTB!$DC$8</definedName>
    <definedName name="_PER2">'[10]2008 West Group IS'!$AH$8</definedName>
    <definedName name="_PER3">'[10]2008 West Group IS'!$AI$5</definedName>
    <definedName name="_PER4">'[10]2008 Group Office IS'!$AH$8</definedName>
    <definedName name="_PER5">'[10]2008 Group Office IS'!$AI$5</definedName>
    <definedName name="_Regression_Int">0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SFD1">'[10]2008 West Group IS'!$AK$5</definedName>
    <definedName name="_SFD3">'[10]2008 Group Office IS'!$AK$5</definedName>
    <definedName name="_SFV1">'[10]2008 West Group IS'!$AK$4</definedName>
    <definedName name="_SFV4">'[10]2008 Group Office IS'!$AK$4</definedName>
    <definedName name="_SHR1">'[12]Customize Your Invoice'!$D$30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hidden="1">#REF!</definedName>
    <definedName name="_Sort1" hidden="1">'[3]#REF'!$A$10:$Z$281</definedName>
    <definedName name="_sort3" hidden="1">[2]XXXXXX!$G$10:$J$11</definedName>
    <definedName name="_Sub1">'[1]CWIP (Adj)'!$E$3:$E$49</definedName>
    <definedName name="_Sub10">'[1]CWIP (Adj)'!$E$422:$E$468</definedName>
    <definedName name="_Sub11">'[1]CWIP (Adj)'!$E$470:$E$516</definedName>
    <definedName name="_Sub12">'[1]CWIP (Adj)'!$E$518:$E$564</definedName>
    <definedName name="_Sub13">'[1]CWIP (Adj)'!$E$566:$E$612</definedName>
    <definedName name="_Sub2">'[1]CWIP (Adj)'!$E$52:$E$96</definedName>
    <definedName name="_Sub3">'[1]CWIP (Adj)'!$E$98:$E$142</definedName>
    <definedName name="_Sub4">'[1]CWIP (Adj)'!$E$144:$E$188</definedName>
    <definedName name="_Sub5">'[1]CWIP (Adj)'!$E$190:$E$234</definedName>
    <definedName name="_Sub6">'[1]CWIP (Adj)'!$E$236:$E$280</definedName>
    <definedName name="_Sub7">'[1]CWIP (Adj)'!$E$282:$E$326</definedName>
    <definedName name="_Sub8">'[1]CWIP (Adj)'!$E$328:$E$373</definedName>
    <definedName name="_Sub9">'[1]CWIP (Adj)'!$E$375:$E$420</definedName>
    <definedName name="_tax1">#REF!</definedName>
    <definedName name="_tax2">#REF!</definedName>
    <definedName name="_tax3">#REF!</definedName>
    <definedName name="_tax4">#REF!</definedName>
    <definedName name="a" localSheetId="7">#REF!</definedName>
    <definedName name="a" localSheetId="8">#REF!</definedName>
    <definedName name="a" localSheetId="9">#REF!</definedName>
    <definedName name="a" localSheetId="4">#REF!</definedName>
    <definedName name="a" localSheetId="5">#REF!</definedName>
    <definedName name="a" localSheetId="6">#REF!</definedName>
    <definedName name="a" localSheetId="0">#REF!</definedName>
    <definedName name="a">#REF!</definedName>
    <definedName name="aaaaaaa">rank</definedName>
    <definedName name="Accounts" localSheetId="7">#REF!</definedName>
    <definedName name="Accounts" localSheetId="8">#REF!</definedName>
    <definedName name="Accounts" localSheetId="9">#REF!</definedName>
    <definedName name="Accounts" localSheetId="4">#REF!</definedName>
    <definedName name="Accounts" localSheetId="5">#REF!</definedName>
    <definedName name="Accounts" localSheetId="6">#REF!</definedName>
    <definedName name="Accounts">#REF!</definedName>
    <definedName name="AccrualThreshold">#REF!</definedName>
    <definedName name="ACCT" localSheetId="2">[6]Hidden!#REF!</definedName>
    <definedName name="ACCT" localSheetId="1">[6]Hidden!#REF!</definedName>
    <definedName name="ACCT" localSheetId="0">[6]Hidden!#REF!</definedName>
    <definedName name="ACCT">[4]Hidden!$D$11</definedName>
    <definedName name="ACCT.ConsolSum">[4]Hidden!$Q$11</definedName>
    <definedName name="AcctName">'[13]2012 Act-Fcast P&amp;L'!#REF!</definedName>
    <definedName name="ACT_CUR" localSheetId="2">[6]Hidden!#REF!</definedName>
    <definedName name="ACT_CUR" localSheetId="1">[6]Hidden!#REF!</definedName>
    <definedName name="ACT_CUR" localSheetId="7">[9]Hidden!#REF!</definedName>
    <definedName name="ACT_CUR" localSheetId="8">[9]Hidden!#REF!</definedName>
    <definedName name="ACT_CUR" localSheetId="9">[9]Hidden!#REF!</definedName>
    <definedName name="ACT_CUR" localSheetId="4">[9]Hidden!#REF!</definedName>
    <definedName name="ACT_CUR" localSheetId="5">[9]Hidden!#REF!</definedName>
    <definedName name="ACT_CUR" localSheetId="6">[9]Hidden!#REF!</definedName>
    <definedName name="ACT_CUR" localSheetId="0">[6]Hidden!#REF!</definedName>
    <definedName name="ACT_CUR">[9]Hidden!#REF!</definedName>
    <definedName name="ACT_YTD" localSheetId="2">[6]Hidden!#REF!</definedName>
    <definedName name="ACT_YTD" localSheetId="1">[6]Hidden!#REF!</definedName>
    <definedName name="ACT_YTD" localSheetId="7">[9]Hidden!#REF!</definedName>
    <definedName name="ACT_YTD" localSheetId="8">[9]Hidden!#REF!</definedName>
    <definedName name="ACT_YTD" localSheetId="9">[9]Hidden!#REF!</definedName>
    <definedName name="ACT_YTD" localSheetId="4">[9]Hidden!#REF!</definedName>
    <definedName name="ACT_YTD" localSheetId="5">[9]Hidden!#REF!</definedName>
    <definedName name="ACT_YTD" localSheetId="6">[9]Hidden!#REF!</definedName>
    <definedName name="ACT_YTD" localSheetId="0">[6]Hidden!#REF!</definedName>
    <definedName name="ACT_YTD">[9]Hidden!#REF!</definedName>
    <definedName name="AD">'[2]ACC DEP 12XXX'!$A$4:$L$22</definedName>
    <definedName name="adfd">rank</definedName>
    <definedName name="Adjtot1">'[1]CWIP (Adj)'!$I$3:$I$49</definedName>
    <definedName name="Adjtot10">'[1]CWIP (Adj)'!$I$422:$I$468</definedName>
    <definedName name="Adjtot11">'[1]CWIP (Adj)'!$I$470:$I$516</definedName>
    <definedName name="Adjtot12">'[1]CWIP (Adj)'!$I$518:$I$564</definedName>
    <definedName name="Adjtot13">'[1]CWIP (Adj)'!$I$566:$I$612</definedName>
    <definedName name="Adjtot2">'[1]CWIP (Adj)'!$I$52:$I$96</definedName>
    <definedName name="Adjtot3">'[1]CWIP (Adj)'!$I$98:$I$142</definedName>
    <definedName name="Adjtot4">'[1]CWIP (Adj)'!$I$144:$I$188</definedName>
    <definedName name="Adjtot5">'[1]CWIP (Adj)'!$I$190:$I$234</definedName>
    <definedName name="Adjtot6">'[1]CWIP (Adj)'!$I$236:$I$280</definedName>
    <definedName name="Adjtot7">'[1]CWIP (Adj)'!$I$282:$I$326</definedName>
    <definedName name="Adjtot8">'[1]CWIP (Adj)'!$I$328:$I$373</definedName>
    <definedName name="Adjtot9">'[1]CWIP (Adj)'!$I$375:$I$420</definedName>
    <definedName name="ADK">'[2]10250_Recy Chkg'!$D$27</definedName>
    <definedName name="afsdfsdfsd" localSheetId="7">#REF!</definedName>
    <definedName name="afsdfsdfsd" localSheetId="8">#REF!</definedName>
    <definedName name="afsdfsdfsd" localSheetId="9">#REF!</definedName>
    <definedName name="afsdfsdfsd" localSheetId="4">#REF!</definedName>
    <definedName name="afsdfsdfsd" localSheetId="5">#REF!</definedName>
    <definedName name="afsdfsdfsd" localSheetId="6">#REF!</definedName>
    <definedName name="afsdfsdfsd">#REF!</definedName>
    <definedName name="ajeRow">#REF!</definedName>
    <definedName name="AmountCount" localSheetId="2">#REF!</definedName>
    <definedName name="AmountCount" localSheetId="1">#REF!</definedName>
    <definedName name="AmountCount" localSheetId="7">#REF!</definedName>
    <definedName name="AmountCount" localSheetId="8">#REF!</definedName>
    <definedName name="AmountCount" localSheetId="9">#REF!</definedName>
    <definedName name="AmountCount" localSheetId="4">#REF!</definedName>
    <definedName name="AmountCount" localSheetId="5">#REF!</definedName>
    <definedName name="AmountCount" localSheetId="6">#REF!</definedName>
    <definedName name="AmountCount" localSheetId="0">#REF!</definedName>
    <definedName name="AmountCount">#REF!</definedName>
    <definedName name="AmountCount1" localSheetId="7">#REF!</definedName>
    <definedName name="AmountCount1" localSheetId="8">#REF!</definedName>
    <definedName name="AmountCount1" localSheetId="9">#REF!</definedName>
    <definedName name="AmountCount1" localSheetId="4">#REF!</definedName>
    <definedName name="AmountCount1" localSheetId="5">#REF!</definedName>
    <definedName name="AmountCount1" localSheetId="6">#REF!</definedName>
    <definedName name="AmountCount1">#REF!</definedName>
    <definedName name="AmountFrom" localSheetId="7">#REF!</definedName>
    <definedName name="AmountFrom" localSheetId="8">#REF!</definedName>
    <definedName name="AmountFrom" localSheetId="9">#REF!</definedName>
    <definedName name="AmountFrom" localSheetId="4">#REF!</definedName>
    <definedName name="AmountFrom" localSheetId="5">#REF!</definedName>
    <definedName name="AmountFrom" localSheetId="6">#REF!</definedName>
    <definedName name="AmountFrom">#REF!</definedName>
    <definedName name="AmountTo" localSheetId="7">#REF!</definedName>
    <definedName name="AmountTo" localSheetId="8">#REF!</definedName>
    <definedName name="AmountTo" localSheetId="9">#REF!</definedName>
    <definedName name="AmountTo" localSheetId="4">#REF!</definedName>
    <definedName name="AmountTo" localSheetId="5">#REF!</definedName>
    <definedName name="AmountTo" localSheetId="6">#REF!</definedName>
    <definedName name="AmountTo">#REF!</definedName>
    <definedName name="AmountTotal" localSheetId="2">#REF!</definedName>
    <definedName name="AmountTotal" localSheetId="1">#REF!</definedName>
    <definedName name="AmountTotal" localSheetId="7">#REF!</definedName>
    <definedName name="AmountTotal" localSheetId="8">#REF!</definedName>
    <definedName name="AmountTotal" localSheetId="9">#REF!</definedName>
    <definedName name="AmountTotal" localSheetId="4">#REF!</definedName>
    <definedName name="AmountTotal" localSheetId="5">#REF!</definedName>
    <definedName name="AmountTotal" localSheetId="6">#REF!</definedName>
    <definedName name="AmountTotal" localSheetId="0">#REF!</definedName>
    <definedName name="AmountTotal">#REF!</definedName>
    <definedName name="AmountTotal1" localSheetId="7">#REF!</definedName>
    <definedName name="AmountTotal1" localSheetId="8">#REF!</definedName>
    <definedName name="AmountTotal1" localSheetId="9">#REF!</definedName>
    <definedName name="AmountTotal1" localSheetId="4">#REF!</definedName>
    <definedName name="AmountTotal1" localSheetId="5">#REF!</definedName>
    <definedName name="AmountTotal1" localSheetId="6">#REF!</definedName>
    <definedName name="AmountTotal1">#REF!</definedName>
    <definedName name="AOK">#REF!</definedName>
    <definedName name="APA">'[14]Income Statement (WMofWA)'!#REF!</definedName>
    <definedName name="APN">'[14]Income Statement (WMofWA)'!#REF!</definedName>
    <definedName name="ASD">'[14]Income Statement (WMofWA)'!#REF!</definedName>
    <definedName name="AST">'[14]Income Statement (WMofWA)'!#REF!</definedName>
    <definedName name="averaging">#REF!</definedName>
    <definedName name="BalanceCheck">#REF!</definedName>
    <definedName name="BaseMonthDate">[15]Settings!$I$15</definedName>
    <definedName name="BaseMonthDate2">[15]Settings!$I$16</definedName>
    <definedName name="BaseMonthDate3">[15]Settings!$I$17</definedName>
    <definedName name="BaseYear">#REF!</definedName>
    <definedName name="BatchCode">#REF!</definedName>
    <definedName name="BEGCELL">#REF!</definedName>
    <definedName name="begin">#REF!</definedName>
    <definedName name="BIGFLUX">#REF!</definedName>
    <definedName name="BookRev">'[16]Pacific Regulated - Price Out'!$F$50</definedName>
    <definedName name="BookRev_com">'[16]Pacific Regulated - Price Out'!$F$214</definedName>
    <definedName name="BookRev_mfr">'[16]Pacific Regulated - Price Out'!$F$222</definedName>
    <definedName name="BookRev_ro">'[16]Pacific Regulated - Price Out'!$F$282</definedName>
    <definedName name="BookRev_rr">'[16]Pacific Regulated - Price Out'!$F$59</definedName>
    <definedName name="BookRev_yw">'[16]Pacific Regulated - Price Out'!$F$70</definedName>
    <definedName name="BoolList">[17]Sheet2!$E$2:$E$3</definedName>
    <definedName name="boxes">#REF!</definedName>
    <definedName name="BREMAIR_COST_of_SERVICE_STUDY" localSheetId="2">#REF!</definedName>
    <definedName name="BREMAIR_COST_of_SERVICE_STUDY" localSheetId="1">#REF!</definedName>
    <definedName name="BREMAIR_COST_of_SERVICE_STUDY" localSheetId="7">#REF!</definedName>
    <definedName name="BREMAIR_COST_of_SERVICE_STUDY" localSheetId="8">#REF!</definedName>
    <definedName name="BREMAIR_COST_of_SERVICE_STUDY" localSheetId="9">#REF!</definedName>
    <definedName name="BREMAIR_COST_of_SERVICE_STUDY" localSheetId="4">#REF!</definedName>
    <definedName name="BREMAIR_COST_of_SERVICE_STUDY" localSheetId="5">#REF!</definedName>
    <definedName name="BREMAIR_COST_of_SERVICE_STUDY" localSheetId="6">#REF!</definedName>
    <definedName name="BREMAIR_COST_of_SERVICE_STUDY" localSheetId="0">#REF!</definedName>
    <definedName name="BREMAIR_COST_of_SERVICE_STUDY">#REF!</definedName>
    <definedName name="Brokerage">'[18]Finance Charges'!$H$8</definedName>
    <definedName name="BUD_CUR" localSheetId="2">[6]Hidden!#REF!</definedName>
    <definedName name="BUD_CUR" localSheetId="1">[6]Hidden!#REF!</definedName>
    <definedName name="BUD_CUR" localSheetId="7">[9]Hidden!#REF!</definedName>
    <definedName name="BUD_CUR" localSheetId="8">[9]Hidden!#REF!</definedName>
    <definedName name="BUD_CUR" localSheetId="9">[9]Hidden!#REF!</definedName>
    <definedName name="BUD_CUR" localSheetId="4">[9]Hidden!#REF!</definedName>
    <definedName name="BUD_CUR" localSheetId="5">[9]Hidden!#REF!</definedName>
    <definedName name="BUD_CUR" localSheetId="6">[9]Hidden!#REF!</definedName>
    <definedName name="BUD_CUR" localSheetId="0">[6]Hidden!#REF!</definedName>
    <definedName name="BUD_CUR">[9]Hidden!#REF!</definedName>
    <definedName name="BUD_YTD" localSheetId="2">[6]Hidden!#REF!</definedName>
    <definedName name="BUD_YTD" localSheetId="1">[6]Hidden!#REF!</definedName>
    <definedName name="BUD_YTD" localSheetId="7">[9]Hidden!#REF!</definedName>
    <definedName name="BUD_YTD" localSheetId="8">[9]Hidden!#REF!</definedName>
    <definedName name="BUD_YTD" localSheetId="9">[9]Hidden!#REF!</definedName>
    <definedName name="BUD_YTD" localSheetId="4">[9]Hidden!#REF!</definedName>
    <definedName name="BUD_YTD" localSheetId="5">[9]Hidden!#REF!</definedName>
    <definedName name="BUD_YTD" localSheetId="6">[9]Hidden!#REF!</definedName>
    <definedName name="BUD_YTD" localSheetId="0">[6]Hidden!#REF!</definedName>
    <definedName name="BUD_YTD">[9]Hidden!#REF!</definedName>
    <definedName name="BudYear">#REF!</definedName>
    <definedName name="BUN">[10]WTB!$DD$5</definedName>
    <definedName name="BusUnitCode">[15]Settings!$I$3</definedName>
    <definedName name="BusUnitName">[15]Settings!$I$4</definedName>
    <definedName name="button_area_1">#REF!</definedName>
    <definedName name="BUV">'[14]Income Statement (WMofWA)'!#REF!</definedName>
    <definedName name="Calc">[10]WTB!#REF!</definedName>
    <definedName name="Calc0">[10]WTB!#REF!</definedName>
    <definedName name="Calc1">[10]WTB!#REF!</definedName>
    <definedName name="Calc10">[10]WTB!#REF!</definedName>
    <definedName name="Calc11">[10]WTB!#REF!</definedName>
    <definedName name="Calc12">[10]WTB!#REF!</definedName>
    <definedName name="Calc13">[10]WTB!#REF!</definedName>
    <definedName name="Calc14">[10]WTB!#REF!</definedName>
    <definedName name="Calc15">[10]WTB!#REF!</definedName>
    <definedName name="Calc16">[10]WTB!#REF!</definedName>
    <definedName name="Calc17">[10]WTB!#REF!</definedName>
    <definedName name="Calc18">[10]WTB!#REF!</definedName>
    <definedName name="Calc2">[10]WTB!#REF!</definedName>
    <definedName name="Calc3">[10]WTB!#REF!</definedName>
    <definedName name="Calc4">[10]WTB!#REF!</definedName>
    <definedName name="Calc5">[10]WTB!#REF!</definedName>
    <definedName name="Calc6">[10]WTB!#REF!</definedName>
    <definedName name="Calc7">[10]WTB!#REF!</definedName>
    <definedName name="Calc8">[10]WTB!#REF!</definedName>
    <definedName name="Calc9">[10]WTB!#REF!</definedName>
    <definedName name="CalRecyTons">'[19]Recycl Tons, Commodity Value'!$L$23</definedName>
    <definedName name="CanCartTons">[20]CanCartTonsAllocate!$E$3</definedName>
    <definedName name="CC">'[12]Customize Your Invoice'!$G$22:$G$25</definedName>
    <definedName name="CCT">#REF!</definedName>
    <definedName name="celltips_area">#REF!</definedName>
    <definedName name="CheckTotals" localSheetId="2">#REF!</definedName>
    <definedName name="CheckTotals" localSheetId="1">#REF!</definedName>
    <definedName name="CheckTotals" localSheetId="7">#REF!</definedName>
    <definedName name="CheckTotals" localSheetId="8">#REF!</definedName>
    <definedName name="CheckTotals" localSheetId="9">#REF!</definedName>
    <definedName name="CheckTotals" localSheetId="4">#REF!</definedName>
    <definedName name="CheckTotals" localSheetId="5">#REF!</definedName>
    <definedName name="CheckTotals" localSheetId="6">#REF!</definedName>
    <definedName name="CheckTotals" localSheetId="0">#REF!</definedName>
    <definedName name="CheckTotals">#REF!</definedName>
    <definedName name="ClassCode">#REF!</definedName>
    <definedName name="clear">#REF!</definedName>
    <definedName name="CloseDate">#REF!</definedName>
    <definedName name="CoCanTons">[21]Cust_Count1!$M$28</definedName>
    <definedName name="CoComYd">'[21]Gross Yardage Worksheet'!$L$16</definedName>
    <definedName name="CoCustCnt" localSheetId="7">#REF!</definedName>
    <definedName name="CoCustCnt" localSheetId="8">#REF!</definedName>
    <definedName name="CoCustCnt" localSheetId="9">#REF!</definedName>
    <definedName name="CoCustCnt" localSheetId="4">#REF!</definedName>
    <definedName name="CoCustCnt" localSheetId="5">#REF!</definedName>
    <definedName name="CoCustCnt" localSheetId="6">#REF!</definedName>
    <definedName name="CoCustCnt">#REF!</definedName>
    <definedName name="colgroup">[4]Orientation!$G$6</definedName>
    <definedName name="colsegment">[4]Orientation!$F$6</definedName>
    <definedName name="Comments">[22]Main!$K$57:INDEX([22]Main!$K$57:$K$59,SUMPRODUCT(--([22]Main!$K$57:$K$59&lt;&gt;"")))</definedName>
    <definedName name="CommlStaffPriceOut" localSheetId="7">'[23]Price Out-Reg EASTSIDE-Resi'!#REF!</definedName>
    <definedName name="CommlStaffPriceOut" localSheetId="8">'[23]Price Out-Reg EASTSIDE-Resi'!#REF!</definedName>
    <definedName name="CommlStaffPriceOut" localSheetId="9">'[23]Price Out-Reg EASTSIDE-Resi'!#REF!</definedName>
    <definedName name="CommlStaffPriceOut" localSheetId="4">'[23]Price Out-Reg EASTSIDE-Resi'!#REF!</definedName>
    <definedName name="CommlStaffPriceOut" localSheetId="5">'[23]Price Out-Reg EASTSIDE-Resi'!#REF!</definedName>
    <definedName name="CommlStaffPriceOut" localSheetId="6">'[23]Price Out-Reg EASTSIDE-Resi'!#REF!</definedName>
    <definedName name="CommlStaffPriceOut">'[23]Price Out-Reg EASTSIDE-Resi'!#REF!</definedName>
    <definedName name="Company">'[24]40122 JE Query Other Disp'!$R$12</definedName>
    <definedName name="CoMultiYd">'[21]Gross Yardage Worksheet'!$L$31</definedName>
    <definedName name="Consideration">#REF!</definedName>
    <definedName name="ContainerTons">[20]ContainerTonsAllocation!$E$2</definedName>
    <definedName name="ControlNumber">[25]Summary!$J$8</definedName>
    <definedName name="COST_OF_SERVICE_STUDY" localSheetId="7">#REF!</definedName>
    <definedName name="COST_OF_SERVICE_STUDY" localSheetId="8">#REF!</definedName>
    <definedName name="COST_OF_SERVICE_STUDY" localSheetId="9">#REF!</definedName>
    <definedName name="COST_OF_SERVICE_STUDY" localSheetId="4">#REF!</definedName>
    <definedName name="COST_OF_SERVICE_STUDY" localSheetId="5">#REF!</definedName>
    <definedName name="COST_OF_SERVICE_STUDY" localSheetId="6">#REF!</definedName>
    <definedName name="COST_OF_SERVICE_STUDY">#REF!</definedName>
    <definedName name="Coststudy">#REF!</definedName>
    <definedName name="CoXtraYds" localSheetId="7">#REF!</definedName>
    <definedName name="CoXtraYds" localSheetId="8">#REF!</definedName>
    <definedName name="CoXtraYds" localSheetId="9">#REF!</definedName>
    <definedName name="CoXtraYds" localSheetId="4">#REF!</definedName>
    <definedName name="CoXtraYds" localSheetId="5">#REF!</definedName>
    <definedName name="CoXtraYds" localSheetId="6">#REF!</definedName>
    <definedName name="CoXtraYds">#REF!</definedName>
    <definedName name="CR" localSheetId="7">#REF!</definedName>
    <definedName name="CR" localSheetId="8">#REF!</definedName>
    <definedName name="CR" localSheetId="9">#REF!</definedName>
    <definedName name="CR" localSheetId="4">#REF!</definedName>
    <definedName name="CR" localSheetId="5">#REF!</definedName>
    <definedName name="CR" localSheetId="6">#REF!</definedName>
    <definedName name="CR">#REF!</definedName>
    <definedName name="CRCTable" localSheetId="2">#REF!</definedName>
    <definedName name="CRCTable" localSheetId="1">#REF!</definedName>
    <definedName name="CRCTable" localSheetId="7">#REF!</definedName>
    <definedName name="CRCTable" localSheetId="8">#REF!</definedName>
    <definedName name="CRCTable" localSheetId="9">#REF!</definedName>
    <definedName name="CRCTable" localSheetId="4">#REF!</definedName>
    <definedName name="CRCTable" localSheetId="5">#REF!</definedName>
    <definedName name="CRCTable" localSheetId="6">#REF!</definedName>
    <definedName name="CRCTable" localSheetId="0">#REF!</definedName>
    <definedName name="CRCTable">#REF!</definedName>
    <definedName name="CRCTableOLD" localSheetId="2">#REF!</definedName>
    <definedName name="CRCTableOLD" localSheetId="1">#REF!</definedName>
    <definedName name="CRCTableOLD" localSheetId="7">#REF!</definedName>
    <definedName name="CRCTableOLD" localSheetId="8">#REF!</definedName>
    <definedName name="CRCTableOLD" localSheetId="9">#REF!</definedName>
    <definedName name="CRCTableOLD" localSheetId="4">#REF!</definedName>
    <definedName name="CRCTableOLD" localSheetId="5">#REF!</definedName>
    <definedName name="CRCTableOLD" localSheetId="6">#REF!</definedName>
    <definedName name="CRCTableOLD" localSheetId="0">#REF!</definedName>
    <definedName name="CRCTableOLD">#REF!</definedName>
    <definedName name="_xlnm.Criteria">#REF!</definedName>
    <definedName name="CriteriaType" localSheetId="0">[26]ControlPanel!$Z$2:$Z$5</definedName>
    <definedName name="CriteriaType">[26]ControlPanel!$Z$2:$Z$5</definedName>
    <definedName name="CtyCanTons">[21]Cust_Count1!$N$28</definedName>
    <definedName name="CtyComYd">'[21]Gross Yardage Worksheet'!$L$49</definedName>
    <definedName name="CtyCustCnt" localSheetId="7">#REF!</definedName>
    <definedName name="CtyCustCnt" localSheetId="8">#REF!</definedName>
    <definedName name="CtyCustCnt" localSheetId="9">#REF!</definedName>
    <definedName name="CtyCustCnt" localSheetId="4">#REF!</definedName>
    <definedName name="CtyCustCnt" localSheetId="5">#REF!</definedName>
    <definedName name="CtyCustCnt" localSheetId="6">#REF!</definedName>
    <definedName name="CtyCustCnt">#REF!</definedName>
    <definedName name="CtyMultiYd">'[21]Gross Yardage Worksheet'!$L$64</definedName>
    <definedName name="CtyXtraYds" localSheetId="7">#REF!</definedName>
    <definedName name="CtyXtraYds" localSheetId="8">#REF!</definedName>
    <definedName name="CtyXtraYds" localSheetId="9">#REF!</definedName>
    <definedName name="CtyXtraYds" localSheetId="4">#REF!</definedName>
    <definedName name="CtyXtraYds" localSheetId="5">#REF!</definedName>
    <definedName name="CtyXtraYds" localSheetId="6">#REF!</definedName>
    <definedName name="CtyXtraYds">#REF!</definedName>
    <definedName name="CUR">'[27]O-9'!#REF!</definedName>
    <definedName name="Currency">[22]Main!$I$82</definedName>
    <definedName name="CurrentMonth" localSheetId="7">#REF!</definedName>
    <definedName name="CurrentMonth" localSheetId="8">#REF!</definedName>
    <definedName name="CurrentMonth" localSheetId="9">#REF!</definedName>
    <definedName name="CurrentMonth" localSheetId="4">#REF!</definedName>
    <definedName name="CurrentMonth" localSheetId="5">#REF!</definedName>
    <definedName name="CurrentMonth" localSheetId="6">#REF!</definedName>
    <definedName name="CurrentMonth">#REF!</definedName>
    <definedName name="Cutomers" localSheetId="2">#REF!</definedName>
    <definedName name="Cutomers" localSheetId="1">#REF!</definedName>
    <definedName name="Cutomers" localSheetId="7">#REF!</definedName>
    <definedName name="Cutomers" localSheetId="8">#REF!</definedName>
    <definedName name="Cutomers" localSheetId="9">#REF!</definedName>
    <definedName name="Cutomers" localSheetId="4">#REF!</definedName>
    <definedName name="Cutomers" localSheetId="5">#REF!</definedName>
    <definedName name="Cutomers" localSheetId="6">#REF!</definedName>
    <definedName name="Cutomers" localSheetId="0">#REF!</definedName>
    <definedName name="Cutomers">#REF!</definedName>
    <definedName name="CWR">'[2]SALES TAX RETURN_20140'!$A$1:$E$49</definedName>
    <definedName name="CWRS">#REF!</definedName>
    <definedName name="CYear">'[27]O-9'!#REF!</definedName>
    <definedName name="CYFApr1">[11]Hidden!$P$11</definedName>
    <definedName name="CYFApr2">[11]Hidden!$L$11</definedName>
    <definedName name="CYFApr3">[11]Hidden!$I$11</definedName>
    <definedName name="CYFMar2">[11]Hidden!$F$11</definedName>
    <definedName name="CYFMar3">[11]Hidden!$E$11</definedName>
    <definedName name="dasd">rank</definedName>
    <definedName name="Data_End_Test">#REF!</definedName>
    <definedName name="Data_Start_Te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0">#REF!</definedName>
    <definedName name="_xlnm.Database">#REF!</definedName>
    <definedName name="Database_MI">#REF!</definedName>
    <definedName name="Database1" localSheetId="2">#REF!</definedName>
    <definedName name="Database1" localSheetId="1">#REF!</definedName>
    <definedName name="Database1" localSheetId="7">#REF!</definedName>
    <definedName name="Database1" localSheetId="8">#REF!</definedName>
    <definedName name="Database1" localSheetId="9">#REF!</definedName>
    <definedName name="Database1" localSheetId="4">#REF!</definedName>
    <definedName name="Database1" localSheetId="5">#REF!</definedName>
    <definedName name="Database1" localSheetId="6">#REF!</definedName>
    <definedName name="Database1" localSheetId="0">#REF!</definedName>
    <definedName name="Database1">#REF!</definedName>
    <definedName name="Database2">#REF!</definedName>
    <definedName name="DATE">#REF!</definedName>
    <definedName name="DateFrom" localSheetId="7">#REF!</definedName>
    <definedName name="DateFrom" localSheetId="8">#REF!</definedName>
    <definedName name="DateFrom" localSheetId="9">#REF!</definedName>
    <definedName name="DateFrom" localSheetId="4">#REF!</definedName>
    <definedName name="DateFrom" localSheetId="5">#REF!</definedName>
    <definedName name="DateFrom" localSheetId="6">#REF!</definedName>
    <definedName name="DateFrom">#REF!</definedName>
    <definedName name="DateRange">#REF!</definedName>
    <definedName name="Dates">#REF!</definedName>
    <definedName name="DateTo" localSheetId="7">#REF!</definedName>
    <definedName name="DateTo" localSheetId="8">#REF!</definedName>
    <definedName name="DateTo" localSheetId="9">#REF!</definedName>
    <definedName name="DateTo" localSheetId="4">#REF!</definedName>
    <definedName name="DateTo" localSheetId="5">#REF!</definedName>
    <definedName name="DateTo" localSheetId="6">#REF!</definedName>
    <definedName name="DateTo">#REF!</definedName>
    <definedName name="DAY">'[14]Income Statement (WMofWA)'!#REF!</definedName>
    <definedName name="DBxStaffPriceOut" localSheetId="7">'[23]Price Out-Reg EASTSIDE-Resi'!#REF!</definedName>
    <definedName name="DBxStaffPriceOut" localSheetId="8">'[23]Price Out-Reg EASTSIDE-Resi'!#REF!</definedName>
    <definedName name="DBxStaffPriceOut" localSheetId="9">'[23]Price Out-Reg EASTSIDE-Resi'!#REF!</definedName>
    <definedName name="DBxStaffPriceOut" localSheetId="4">'[23]Price Out-Reg EASTSIDE-Resi'!#REF!</definedName>
    <definedName name="DBxStaffPriceOut" localSheetId="5">'[23]Price Out-Reg EASTSIDE-Resi'!#REF!</definedName>
    <definedName name="DBxStaffPriceOut" localSheetId="6">'[23]Price Out-Reg EASTSIDE-Resi'!#REF!</definedName>
    <definedName name="DBxStaffPriceOut">'[23]Price Out-Reg EASTSIDE-Resi'!#REF!</definedName>
    <definedName name="DEBITS">'[2]ASSETS 11XXX'!$A$1:$L$19</definedName>
    <definedName name="Debt_Rate" localSheetId="7">'LG Joe''s MSW'!$K$27</definedName>
    <definedName name="Debt_Rate" localSheetId="8">'LG Joe''s Recycling'!$K$27</definedName>
    <definedName name="Debt_Rate" localSheetId="9">'LG Joe''s Yard Waste'!$K$27</definedName>
    <definedName name="Debt_Rate" localSheetId="3">'LG Lewis'!$K$27</definedName>
    <definedName name="Debt_Rate" localSheetId="4">'LG Lewis MSW'!$K$27</definedName>
    <definedName name="Debt_Rate" localSheetId="5">'LG Lewis Recycling'!$K$27</definedName>
    <definedName name="Debt_Rate" localSheetId="6">'LG Lewis Yard Waste'!$K$27</definedName>
    <definedName name="debtP" localSheetId="7">'LG Joe''s MSW'!$I$27</definedName>
    <definedName name="debtP" localSheetId="8">'LG Joe''s Recycling'!$I$27</definedName>
    <definedName name="debtP" localSheetId="9">'LG Joe''s Yard Waste'!$I$27</definedName>
    <definedName name="debtP" localSheetId="3">'LG Lewis'!$I$27</definedName>
    <definedName name="debtP" localSheetId="4">'LG Lewis MSW'!$I$27</definedName>
    <definedName name="debtP" localSheetId="5">'LG Lewis Recycling'!$I$27</definedName>
    <definedName name="debtP" localSheetId="6">'LG Lewis Yard Waste'!$I$27</definedName>
    <definedName name="debtP">#REF!</definedName>
    <definedName name="DeleteCMReconBook">[25]Summary!$J$10</definedName>
    <definedName name="deletion">#REF!</definedName>
    <definedName name="DEPRECIATION">'[28]95 Rsrv-Sch of Depr'!$B$9:$AK$69</definedName>
    <definedName name="DEPT" localSheetId="2">[6]Hidden!#REF!</definedName>
    <definedName name="DEPT" localSheetId="1">[6]Hidden!#REF!</definedName>
    <definedName name="DEPT" localSheetId="7">[9]Hidden!#REF!</definedName>
    <definedName name="DEPT" localSheetId="8">[9]Hidden!#REF!</definedName>
    <definedName name="DEPT" localSheetId="9">[9]Hidden!#REF!</definedName>
    <definedName name="DEPT" localSheetId="4">[9]Hidden!#REF!</definedName>
    <definedName name="DEPT" localSheetId="5">[9]Hidden!#REF!</definedName>
    <definedName name="DEPT" localSheetId="6">[9]Hidden!#REF!</definedName>
    <definedName name="DEPT" localSheetId="0">[6]Hidden!#REF!</definedName>
    <definedName name="DEPT">[9]Hidden!#REF!</definedName>
    <definedName name="Detail">#REF!</definedName>
    <definedName name="DetailBudYear" localSheetId="7">#REF!</definedName>
    <definedName name="DetailBudYear" localSheetId="8">#REF!</definedName>
    <definedName name="DetailBudYear" localSheetId="9">#REF!</definedName>
    <definedName name="DetailBudYear" localSheetId="4">#REF!</definedName>
    <definedName name="DetailBudYear" localSheetId="5">#REF!</definedName>
    <definedName name="DetailBudYear" localSheetId="6">#REF!</definedName>
    <definedName name="DetailBudYear">#REF!</definedName>
    <definedName name="DetailDistrict" localSheetId="7">#REF!</definedName>
    <definedName name="DetailDistrict" localSheetId="8">#REF!</definedName>
    <definedName name="DetailDistrict" localSheetId="9">#REF!</definedName>
    <definedName name="DetailDistrict" localSheetId="4">#REF!</definedName>
    <definedName name="DetailDistrict" localSheetId="5">#REF!</definedName>
    <definedName name="DetailDistrict" localSheetId="6">#REF!</definedName>
    <definedName name="DetailDistrict">#REF!</definedName>
    <definedName name="dflt3">'[12]Customize Your Invoice'!$D$24</definedName>
    <definedName name="dflt4">'[12]Customize Your Invoice'!$E$26</definedName>
    <definedName name="dflt6">'[12]Customize Your Invoice'!$D$28</definedName>
    <definedName name="display_area_2">#REF!</definedName>
    <definedName name="DispRates">#REF!</definedName>
    <definedName name="Dist">[29]Data!$E$3</definedName>
    <definedName name="District" localSheetId="7">#REF!</definedName>
    <definedName name="District" localSheetId="8">#REF!</definedName>
    <definedName name="District" localSheetId="9">#REF!</definedName>
    <definedName name="District" localSheetId="4">#REF!</definedName>
    <definedName name="District" localSheetId="5">#REF!</definedName>
    <definedName name="District" localSheetId="6">#REF!</definedName>
    <definedName name="District">#REF!</definedName>
    <definedName name="District_1">'[30]Vashon BS'!#REF!</definedName>
    <definedName name="DistrictCode">#REF!</definedName>
    <definedName name="DistrictName">[25]Summary!$M$8</definedName>
    <definedName name="DistrictNum" localSheetId="2">#REF!</definedName>
    <definedName name="DistrictNum" localSheetId="1">#REF!</definedName>
    <definedName name="DistrictNum" localSheetId="7">#REF!</definedName>
    <definedName name="DistrictNum" localSheetId="8">#REF!</definedName>
    <definedName name="DistrictNum" localSheetId="9">#REF!</definedName>
    <definedName name="DistrictNum" localSheetId="4">#REF!</definedName>
    <definedName name="DistrictNum" localSheetId="5">#REF!</definedName>
    <definedName name="DistrictNum" localSheetId="6">#REF!</definedName>
    <definedName name="DistrictNum" localSheetId="0">#REF!</definedName>
    <definedName name="DistrictNum">#REF!</definedName>
    <definedName name="Districts" localSheetId="7">#REF!</definedName>
    <definedName name="Districts" localSheetId="8">#REF!</definedName>
    <definedName name="Districts" localSheetId="9">#REF!</definedName>
    <definedName name="Districts" localSheetId="4">#REF!</definedName>
    <definedName name="Districts" localSheetId="5">#REF!</definedName>
    <definedName name="Districts" localSheetId="6">#REF!</definedName>
    <definedName name="Districts">#REF!</definedName>
    <definedName name="DistrictSelection">[31]Summary!$C$6</definedName>
    <definedName name="DistStaffSignOffStatus">[25]Summary!$N$19</definedName>
    <definedName name="DivisionSignOffReq">[25]Summary!$M$11</definedName>
    <definedName name="DivSignOffStatus">[25]Summary!$N$18</definedName>
    <definedName name="dOG" localSheetId="7">#REF!</definedName>
    <definedName name="dOG" localSheetId="8">#REF!</definedName>
    <definedName name="dOG" localSheetId="9">#REF!</definedName>
    <definedName name="dOG" localSheetId="4">#REF!</definedName>
    <definedName name="dOG" localSheetId="5">#REF!</definedName>
    <definedName name="dOG" localSheetId="6">#REF!</definedName>
    <definedName name="dOG">#REF!</definedName>
    <definedName name="drlFilter">[4]Settings!$D$27</definedName>
    <definedName name="End" localSheetId="2">#REF!</definedName>
    <definedName name="End" localSheetId="1">#REF!</definedName>
    <definedName name="End" localSheetId="7">#REF!</definedName>
    <definedName name="End" localSheetId="8">#REF!</definedName>
    <definedName name="End" localSheetId="9">#REF!</definedName>
    <definedName name="End" localSheetId="4">#REF!</definedName>
    <definedName name="End" localSheetId="5">#REF!</definedName>
    <definedName name="End" localSheetId="6">#REF!</definedName>
    <definedName name="End" localSheetId="0">#REF!</definedName>
    <definedName name="End">#REF!</definedName>
    <definedName name="EndOfEntry">#REF!</definedName>
    <definedName name="EndPoint">#REF!</definedName>
    <definedName name="EndTime">'[27]O-9'!#REF!</definedName>
    <definedName name="EntrieShownLimit" localSheetId="7">#REF!</definedName>
    <definedName name="EntrieShownLimit" localSheetId="8">#REF!</definedName>
    <definedName name="EntrieShownLimit" localSheetId="9">#REF!</definedName>
    <definedName name="EntrieShownLimit" localSheetId="4">#REF!</definedName>
    <definedName name="EntrieShownLimit" localSheetId="5">#REF!</definedName>
    <definedName name="EntrieShownLimit" localSheetId="6">#REF!</definedName>
    <definedName name="EntrieShownLimit">#REF!</definedName>
    <definedName name="Equity_percent" localSheetId="7">'LG Joe''s MSW'!$S$57</definedName>
    <definedName name="Equity_percent" localSheetId="8">'LG Joe''s Recycling'!$S$57</definedName>
    <definedName name="Equity_percent" localSheetId="9">'LG Joe''s Yard Waste'!$S$57</definedName>
    <definedName name="Equity_percent" localSheetId="3">'LG Lewis'!$S$57</definedName>
    <definedName name="Equity_percent" localSheetId="4">'LG Lewis MSW'!$S$57</definedName>
    <definedName name="Equity_percent" localSheetId="5">'LG Lewis Recycling'!$S$57</definedName>
    <definedName name="Equity_percent" localSheetId="6">'LG Lewis Yard Waste'!$S$57</definedName>
    <definedName name="equityP" localSheetId="7">'LG Joe''s MSW'!$I$26</definedName>
    <definedName name="equityP" localSheetId="8">'LG Joe''s Recycling'!$I$26</definedName>
    <definedName name="equityP" localSheetId="9">'LG Joe''s Yard Waste'!$I$26</definedName>
    <definedName name="equityP" localSheetId="3">'LG Lewis'!$I$26</definedName>
    <definedName name="equityP" localSheetId="4">'LG Lewis MSW'!$I$26</definedName>
    <definedName name="equityP" localSheetId="5">'LG Lewis Recycling'!$I$26</definedName>
    <definedName name="equityP" localSheetId="6">'LG Lewis Yard Waste'!$I$26</definedName>
    <definedName name="error">#REF!</definedName>
    <definedName name="ewfw32a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xcludeIC" localSheetId="7">#REF!</definedName>
    <definedName name="ExcludeIC" localSheetId="8">#REF!</definedName>
    <definedName name="ExcludeIC" localSheetId="9">#REF!</definedName>
    <definedName name="ExcludeIC" localSheetId="4">#REF!</definedName>
    <definedName name="ExcludeIC" localSheetId="5">#REF!</definedName>
    <definedName name="ExcludeIC" localSheetId="6">#REF!</definedName>
    <definedName name="ExcludeIC">#REF!</definedName>
    <definedName name="ExcludeIC_1">'[30]Vashon BS'!#REF!</definedName>
    <definedName name="expenses" localSheetId="7">'LG Joe''s MSW'!$I$8</definedName>
    <definedName name="expenses" localSheetId="8">'LG Joe''s Recycling'!$I$8</definedName>
    <definedName name="expenses" localSheetId="9">'LG Joe''s Yard Waste'!$I$8</definedName>
    <definedName name="expenses" localSheetId="3">'LG Lewis'!$I$8</definedName>
    <definedName name="expenses" localSheetId="4">'LG Lewis MSW'!$I$8</definedName>
    <definedName name="expenses" localSheetId="5">'LG Lewis Recycling'!$I$8</definedName>
    <definedName name="expenses" localSheetId="6">'LG Lewis Yard Waste'!$I$8</definedName>
    <definedName name="expenses">#REF!</definedName>
    <definedName name="ExpensesPF1">'[32]LG County Area'!$K$8</definedName>
    <definedName name="EXT" localSheetId="7">#REF!</definedName>
    <definedName name="EXT" localSheetId="8">#REF!</definedName>
    <definedName name="EXT" localSheetId="9">#REF!</definedName>
    <definedName name="EXT" localSheetId="4">#REF!</definedName>
    <definedName name="EXT" localSheetId="5">#REF!</definedName>
    <definedName name="EXT" localSheetId="6">#REF!</definedName>
    <definedName name="EXT">#REF!</definedName>
    <definedName name="FBTable" localSheetId="2">#REF!</definedName>
    <definedName name="FBTable" localSheetId="1">#REF!</definedName>
    <definedName name="FBTable" localSheetId="7">#REF!</definedName>
    <definedName name="FBTable" localSheetId="8">#REF!</definedName>
    <definedName name="FBTable" localSheetId="9">#REF!</definedName>
    <definedName name="FBTable" localSheetId="4">#REF!</definedName>
    <definedName name="FBTable" localSheetId="5">#REF!</definedName>
    <definedName name="FBTable" localSheetId="6">#REF!</definedName>
    <definedName name="FBTable" localSheetId="0">#REF!</definedName>
    <definedName name="FBTable">#REF!</definedName>
    <definedName name="FBTableOld" localSheetId="2">#REF!</definedName>
    <definedName name="FBTableOld" localSheetId="1">#REF!</definedName>
    <definedName name="FBTableOld" localSheetId="7">#REF!</definedName>
    <definedName name="FBTableOld" localSheetId="8">#REF!</definedName>
    <definedName name="FBTableOld" localSheetId="9">#REF!</definedName>
    <definedName name="FBTableOld" localSheetId="4">#REF!</definedName>
    <definedName name="FBTableOld" localSheetId="5">#REF!</definedName>
    <definedName name="FBTableOld" localSheetId="6">#REF!</definedName>
    <definedName name="FBTableOld" localSheetId="0">#REF!</definedName>
    <definedName name="FBTableOld">#REF!</definedName>
    <definedName name="fences">#REF!</definedName>
    <definedName name="FICA">#REF!</definedName>
    <definedName name="filter">[4]Settings!$B$14:$H$25</definedName>
    <definedName name="Financial">[10]WTB!#REF!</definedName>
    <definedName name="FIRST">#REF!</definedName>
    <definedName name="First_Day">'[33]May A Week'!#REF!</definedName>
    <definedName name="FirstColCriteria">[10]WTB!#REF!</definedName>
    <definedName name="FirstHeaderCriteria">[10]WTB!#REF!</definedName>
    <definedName name="flag">[10]WTB!#REF!</definedName>
    <definedName name="FLUX">#REF!</definedName>
    <definedName name="Format_Column">#REF!</definedName>
    <definedName name="formata">#REF!</definedName>
    <definedName name="formatb">#REF!</definedName>
    <definedName name="Formula">[34]Formula!$C$5:$D$58</definedName>
    <definedName name="FROM">#REF!</definedName>
    <definedName name="FromMonth" localSheetId="7">#REF!</definedName>
    <definedName name="FromMonth" localSheetId="8">#REF!</definedName>
    <definedName name="FromMonth" localSheetId="9">#REF!</definedName>
    <definedName name="FromMonth" localSheetId="4">#REF!</definedName>
    <definedName name="FromMonth" localSheetId="5">#REF!</definedName>
    <definedName name="FromMonth" localSheetId="6">#REF!</definedName>
    <definedName name="FromMonth">#REF!</definedName>
    <definedName name="FundsApprPend" localSheetId="7">[29]Data!#REF!</definedName>
    <definedName name="FundsApprPend" localSheetId="8">[29]Data!#REF!</definedName>
    <definedName name="FundsApprPend" localSheetId="9">[29]Data!#REF!</definedName>
    <definedName name="FundsApprPend" localSheetId="4">[29]Data!#REF!</definedName>
    <definedName name="FundsApprPend" localSheetId="5">[29]Data!#REF!</definedName>
    <definedName name="FundsApprPend" localSheetId="6">[29]Data!#REF!</definedName>
    <definedName name="FundsApprPend">[29]Data!#REF!</definedName>
    <definedName name="FundsBudUnbud" localSheetId="7">[29]Data!#REF!</definedName>
    <definedName name="FundsBudUnbud" localSheetId="8">[29]Data!#REF!</definedName>
    <definedName name="FundsBudUnbud" localSheetId="9">[29]Data!#REF!</definedName>
    <definedName name="FundsBudUnbud" localSheetId="4">[29]Data!#REF!</definedName>
    <definedName name="FundsBudUnbud" localSheetId="5">[29]Data!#REF!</definedName>
    <definedName name="FundsBudUnbud" localSheetId="6">[29]Data!#REF!</definedName>
    <definedName name="FundsBudUnbud">[29]Data!#REF!</definedName>
    <definedName name="FY">'[14]Income Statement (WMofWA)'!#REF!</definedName>
    <definedName name="GLAccount">#REF!</definedName>
    <definedName name="GLMappingStart" localSheetId="2">#REF!</definedName>
    <definedName name="GLMappingStart" localSheetId="1">#REF!</definedName>
    <definedName name="GLMappingStart" localSheetId="7">#REF!</definedName>
    <definedName name="GLMappingStart" localSheetId="8">#REF!</definedName>
    <definedName name="GLMappingStart" localSheetId="9">#REF!</definedName>
    <definedName name="GLMappingStart" localSheetId="4">#REF!</definedName>
    <definedName name="GLMappingStart" localSheetId="5">#REF!</definedName>
    <definedName name="GLMappingStart" localSheetId="6">#REF!</definedName>
    <definedName name="GLMappingStart" localSheetId="0">#REF!</definedName>
    <definedName name="GLMappingStart">#REF!</definedName>
    <definedName name="GLMappingStart1" localSheetId="7">#REF!</definedName>
    <definedName name="GLMappingStart1" localSheetId="8">#REF!</definedName>
    <definedName name="GLMappingStart1" localSheetId="9">#REF!</definedName>
    <definedName name="GLMappingStart1" localSheetId="4">#REF!</definedName>
    <definedName name="GLMappingStart1" localSheetId="5">#REF!</definedName>
    <definedName name="GLMappingStart1" localSheetId="6">#REF!</definedName>
    <definedName name="GLMappingStart1">#REF!</definedName>
    <definedName name="GRETABLE">[35]Gresham!$E$12:$AI$261</definedName>
    <definedName name="GrossWeightList">[17]Sheet2!$B$2:$B$23</definedName>
    <definedName name="HasBudAdd">#REF!</definedName>
    <definedName name="HeaderReturnMessage">[25]Summary!$Q$16</definedName>
    <definedName name="Heading1">'[14]Income Statement (WMofWA)'!#REF!</definedName>
    <definedName name="help">'[1]94 Rsrv Mtr (UnAdj)'!#REF!</definedName>
    <definedName name="IDN">'[14]Income Statement (WMofWA)'!#REF!</definedName>
    <definedName name="IFN">'[14]Income Statement (WMofWA)'!#REF!</definedName>
    <definedName name="Import_Range" localSheetId="7">[29]Data!#REF!</definedName>
    <definedName name="Import_Range" localSheetId="8">[29]Data!#REF!</definedName>
    <definedName name="Import_Range" localSheetId="9">[29]Data!#REF!</definedName>
    <definedName name="Import_Range" localSheetId="4">[29]Data!#REF!</definedName>
    <definedName name="Import_Range" localSheetId="5">[29]Data!#REF!</definedName>
    <definedName name="Import_Range" localSheetId="6">[29]Data!#REF!</definedName>
    <definedName name="Import_Range">[29]Data!#REF!</definedName>
    <definedName name="IncomeStmnt" localSheetId="2">#REF!</definedName>
    <definedName name="IncomeStmnt" localSheetId="1">#REF!</definedName>
    <definedName name="IncomeStmnt" localSheetId="7">#REF!</definedName>
    <definedName name="IncomeStmnt" localSheetId="8">#REF!</definedName>
    <definedName name="IncomeStmnt" localSheetId="9">#REF!</definedName>
    <definedName name="IncomeStmnt" localSheetId="4">#REF!</definedName>
    <definedName name="IncomeStmnt" localSheetId="5">#REF!</definedName>
    <definedName name="IncomeStmnt" localSheetId="6">#REF!</definedName>
    <definedName name="IncomeStmnt" localSheetId="0">#REF!</definedName>
    <definedName name="IncomeStmnt">#REF!</definedName>
    <definedName name="Incomplete">[36]JE_Month00!$I$21</definedName>
    <definedName name="INPUT" localSheetId="2">#REF!</definedName>
    <definedName name="INPUT" localSheetId="1">#REF!</definedName>
    <definedName name="INPUT" localSheetId="7">'LG Joe''s MSW'!#REF!</definedName>
    <definedName name="INPUT" localSheetId="8">'LG Joe''s Recycling'!#REF!</definedName>
    <definedName name="INPUT" localSheetId="9">'LG Joe''s Yard Waste'!#REF!</definedName>
    <definedName name="INPUT" localSheetId="3">'LG Lewis'!#REF!</definedName>
    <definedName name="INPUT" localSheetId="4">'LG Lewis MSW'!#REF!</definedName>
    <definedName name="INPUT" localSheetId="5">'LG Lewis Recycling'!#REF!</definedName>
    <definedName name="INPUT" localSheetId="6">'LG Lewis Yard Waste'!#REF!</definedName>
    <definedName name="INPUT" localSheetId="0">#REF!</definedName>
    <definedName name="INPUT">#REF!</definedName>
    <definedName name="INPUT1">#REF!</definedName>
    <definedName name="INPUTc" localSheetId="7">#REF!</definedName>
    <definedName name="INPUTc" localSheetId="8">#REF!</definedName>
    <definedName name="INPUTc" localSheetId="9">#REF!</definedName>
    <definedName name="INPUTc" localSheetId="3">#REF!</definedName>
    <definedName name="INPUTc" localSheetId="4">#REF!</definedName>
    <definedName name="INPUTc" localSheetId="5">#REF!</definedName>
    <definedName name="INPUTc" localSheetId="6">#REF!</definedName>
    <definedName name="INPUTc">#REF!</definedName>
    <definedName name="InsertColRange">[10]WTB!#REF!</definedName>
    <definedName name="Insurance" localSheetId="2">#REF!</definedName>
    <definedName name="Insurance" localSheetId="7">#REF!</definedName>
    <definedName name="Insurance" localSheetId="8">#REF!</definedName>
    <definedName name="Insurance" localSheetId="9">#REF!</definedName>
    <definedName name="Insurance" localSheetId="4">#REF!</definedName>
    <definedName name="Insurance" localSheetId="5">#REF!</definedName>
    <definedName name="Insurance" localSheetId="6">#REF!</definedName>
    <definedName name="Insurance" localSheetId="0">#REF!</definedName>
    <definedName name="Insurance">#REF!</definedName>
    <definedName name="INT">#REF!</definedName>
    <definedName name="inter2">#REF!</definedName>
    <definedName name="intercept">#REF!</definedName>
    <definedName name="Investment" localSheetId="7">'LG Joe''s MSW'!$J$28</definedName>
    <definedName name="Investment" localSheetId="8">'LG Joe''s Recycling'!$J$28</definedName>
    <definedName name="Investment" localSheetId="9">'LG Joe''s Yard Waste'!$J$28</definedName>
    <definedName name="Investment" localSheetId="3">'LG Lewis'!$J$28</definedName>
    <definedName name="Investment" localSheetId="4">'LG Lewis MSW'!$J$28</definedName>
    <definedName name="Investment" localSheetId="5">'LG Lewis Recycling'!$J$28</definedName>
    <definedName name="Investment" localSheetId="6">'LG Lewis Yard Waste'!$J$28</definedName>
    <definedName name="Invoice_Start" localSheetId="7">[29]Invoice_Drill!#REF!</definedName>
    <definedName name="Invoice_Start" localSheetId="8">[29]Invoice_Drill!#REF!</definedName>
    <definedName name="Invoice_Start" localSheetId="9">[29]Invoice_Drill!#REF!</definedName>
    <definedName name="Invoice_Start" localSheetId="4">[29]Invoice_Drill!#REF!</definedName>
    <definedName name="Invoice_Start" localSheetId="5">[29]Invoice_Drill!#REF!</definedName>
    <definedName name="Invoice_Start" localSheetId="6">[29]Invoice_Drill!#REF!</definedName>
    <definedName name="Invoice_Start">[29]Invoice_Drill!#REF!</definedName>
    <definedName name="InvoiceNumber">#REF!</definedName>
    <definedName name="InvoiceStatu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emCount">#REF!</definedName>
    <definedName name="ItemDesc">#REF!</definedName>
    <definedName name="JEDetail" localSheetId="2">#REF!</definedName>
    <definedName name="JEDetail" localSheetId="1">#REF!</definedName>
    <definedName name="JEDetail" localSheetId="7">#REF!</definedName>
    <definedName name="JEDetail" localSheetId="8">#REF!</definedName>
    <definedName name="JEDetail" localSheetId="9">#REF!</definedName>
    <definedName name="JEDetail" localSheetId="4">#REF!</definedName>
    <definedName name="JEDetail" localSheetId="5">#REF!</definedName>
    <definedName name="JEDetail" localSheetId="6">#REF!</definedName>
    <definedName name="JEDetail" localSheetId="0">#REF!</definedName>
    <definedName name="JEDetail">#REF!</definedName>
    <definedName name="JEDetail1" localSheetId="7">#REF!</definedName>
    <definedName name="JEDetail1" localSheetId="8">#REF!</definedName>
    <definedName name="JEDetail1" localSheetId="9">#REF!</definedName>
    <definedName name="JEDetail1" localSheetId="4">#REF!</definedName>
    <definedName name="JEDetail1" localSheetId="5">#REF!</definedName>
    <definedName name="JEDetail1" localSheetId="6">#REF!</definedName>
    <definedName name="JEDetail1">#REF!</definedName>
    <definedName name="JEType" localSheetId="2">#REF!</definedName>
    <definedName name="JEType" localSheetId="1">#REF!</definedName>
    <definedName name="JEType" localSheetId="7">#REF!</definedName>
    <definedName name="JEType" localSheetId="8">#REF!</definedName>
    <definedName name="JEType" localSheetId="9">#REF!</definedName>
    <definedName name="JEType" localSheetId="4">#REF!</definedName>
    <definedName name="JEType" localSheetId="5">#REF!</definedName>
    <definedName name="JEType" localSheetId="6">#REF!</definedName>
    <definedName name="JEType" localSheetId="0">#REF!</definedName>
    <definedName name="JEType">#REF!</definedName>
    <definedName name="JEType1" localSheetId="7">#REF!</definedName>
    <definedName name="JEType1" localSheetId="8">#REF!</definedName>
    <definedName name="JEType1" localSheetId="9">#REF!</definedName>
    <definedName name="JEType1" localSheetId="4">#REF!</definedName>
    <definedName name="JEType1" localSheetId="5">#REF!</definedName>
    <definedName name="JEType1" localSheetId="6">#REF!</definedName>
    <definedName name="JEType1">#REF!</definedName>
    <definedName name="Juris1CanCount">[20]Cust_Count1!$C$60</definedName>
    <definedName name="Juris1CanTons">[20]Cust_Count1!$C$30</definedName>
    <definedName name="Juris1ComYd">'[20]Gross Yardage Worksheet'!$L$16</definedName>
    <definedName name="Juris1CustCnt">[20]Cust_Count2!$E$39</definedName>
    <definedName name="Juris1MultiYd">'[20]Gross Yardage Worksheet'!$X$16</definedName>
    <definedName name="Juris1SeasonalYds">'[20]Gross Yardage Worksheet'!$R$18</definedName>
    <definedName name="Juris1XtraYds">[20]Cust_Count2!$E$28</definedName>
    <definedName name="Juris2CanCount">[20]Cust_Count1!$D$60</definedName>
    <definedName name="Juris2CanTons">[20]Cust_Count1!$D$30</definedName>
    <definedName name="Juris2ComYd">'[20]Gross Yardage Worksheet'!$L$33</definedName>
    <definedName name="Juris2CustCnt">[20]Cust_Count2!$F$39</definedName>
    <definedName name="Juris2MultiYd">'[20]Gross Yardage Worksheet'!$X$33</definedName>
    <definedName name="Juris2SeasonalYds">'[20]Gross Yardage Worksheet'!$R$35</definedName>
    <definedName name="Juris2XtraYds">[20]Cust_Count2!$F$28</definedName>
    <definedName name="Juris3CanCount">[20]Cust_Count1!$E$60</definedName>
    <definedName name="Juris3CanTons">[20]Cust_Count1!$E$30</definedName>
    <definedName name="Juris3ComYd">'[20]Gross Yardage Worksheet'!$L$51</definedName>
    <definedName name="Juris3CustCnt">[20]Cust_Count2!$G$39</definedName>
    <definedName name="Juris3MultiYd">'[20]Gross Yardage Worksheet'!$X$51</definedName>
    <definedName name="Juris3SeasonalYds">'[20]Gross Yardage Worksheet'!$R$53</definedName>
    <definedName name="Juris3XtraYds">[20]Cust_Count2!$G$28</definedName>
    <definedName name="Juris4CanCount">[20]Cust_Count1!$F$60</definedName>
    <definedName name="Juris4CanTons">[20]Cust_Count1!$F$30</definedName>
    <definedName name="Juris4ComYd">'[20]Gross Yardage Worksheet'!$L$68</definedName>
    <definedName name="Juris4CustCnt">[20]Cust_Count2!$H$39</definedName>
    <definedName name="Juris4MultiYd">'[20]Gross Yardage Worksheet'!$X$68</definedName>
    <definedName name="Juris4SeasonalYds">'[20]Gross Yardage Worksheet'!$R$70</definedName>
    <definedName name="Juris4XtraYds">[20]Cust_Count2!$H$28</definedName>
    <definedName name="Juris5CanCount">[20]Cust_Count1!$G$60</definedName>
    <definedName name="Juris5CanTons">[20]Cust_Count1!$G$30</definedName>
    <definedName name="Juris5ComYD">'[20]Gross Yardage Worksheet'!$L$85</definedName>
    <definedName name="Juris5CustCnt">[20]Cust_Count2!$I$39</definedName>
    <definedName name="Juris5MultiYd">'[20]Gross Yardage Worksheet'!$X$85</definedName>
    <definedName name="Juris5SeasonalYds">'[20]Gross Yardage Worksheet'!$R$87</definedName>
    <definedName name="Juris5XtraYds">[20]Cust_Count2!$I$28</definedName>
    <definedName name="Jurisdiction_1">'[20]Title Inputs'!$C$5</definedName>
    <definedName name="Jurisdiction_2">'[20]Title Inputs'!$C$6</definedName>
    <definedName name="Jurisdiction_3">'[20]Title Inputs'!$C$7</definedName>
    <definedName name="Jurisdiction_4">'[20]Title Inputs'!$C$8</definedName>
    <definedName name="Jurisdiction_5">'[20]Title Inputs'!$C$9</definedName>
    <definedName name="JV100_2">#REF!</definedName>
    <definedName name="LAST_ROW">'[37]Income Statement (Tonnage)'!#REF!</definedName>
    <definedName name="LastExecutedFor">[25]Summary!$Q$17</definedName>
    <definedName name="LastSavedOn">[25]Summary!$Q$19</definedName>
    <definedName name="LastTranxDate">#REF!</definedName>
    <definedName name="lblBillAreaStatus" localSheetId="2">#REF!</definedName>
    <definedName name="lblBillAreaStatus" localSheetId="1">#REF!</definedName>
    <definedName name="lblBillAreaStatus" localSheetId="7">#REF!</definedName>
    <definedName name="lblBillAreaStatus" localSheetId="8">#REF!</definedName>
    <definedName name="lblBillAreaStatus" localSheetId="9">#REF!</definedName>
    <definedName name="lblBillAreaStatus" localSheetId="4">#REF!</definedName>
    <definedName name="lblBillAreaStatus" localSheetId="5">#REF!</definedName>
    <definedName name="lblBillAreaStatus" localSheetId="6">#REF!</definedName>
    <definedName name="lblBillAreaStatus" localSheetId="0">#REF!</definedName>
    <definedName name="lblBillAreaStatus">#REF!</definedName>
    <definedName name="lblBillCycleStatus" localSheetId="2">#REF!</definedName>
    <definedName name="lblBillCycleStatus" localSheetId="1">#REF!</definedName>
    <definedName name="lblBillCycleStatus" localSheetId="7">#REF!</definedName>
    <definedName name="lblBillCycleStatus" localSheetId="8">#REF!</definedName>
    <definedName name="lblBillCycleStatus" localSheetId="9">#REF!</definedName>
    <definedName name="lblBillCycleStatus" localSheetId="4">#REF!</definedName>
    <definedName name="lblBillCycleStatus" localSheetId="5">#REF!</definedName>
    <definedName name="lblBillCycleStatus" localSheetId="6">#REF!</definedName>
    <definedName name="lblBillCycleStatus" localSheetId="0">#REF!</definedName>
    <definedName name="lblBillCycleStatus">#REF!</definedName>
    <definedName name="lblCategoryStatus" localSheetId="2">#REF!</definedName>
    <definedName name="lblCategoryStatus" localSheetId="1">#REF!</definedName>
    <definedName name="lblCategoryStatus" localSheetId="7">#REF!</definedName>
    <definedName name="lblCategoryStatus" localSheetId="8">#REF!</definedName>
    <definedName name="lblCategoryStatus" localSheetId="9">#REF!</definedName>
    <definedName name="lblCategoryStatus" localSheetId="4">#REF!</definedName>
    <definedName name="lblCategoryStatus" localSheetId="5">#REF!</definedName>
    <definedName name="lblCategoryStatus" localSheetId="6">#REF!</definedName>
    <definedName name="lblCategoryStatus" localSheetId="0">#REF!</definedName>
    <definedName name="lblCategoryStatus">#REF!</definedName>
    <definedName name="lblCompanyStatus" localSheetId="2">#REF!</definedName>
    <definedName name="lblCompanyStatus" localSheetId="1">#REF!</definedName>
    <definedName name="lblCompanyStatus" localSheetId="7">#REF!</definedName>
    <definedName name="lblCompanyStatus" localSheetId="8">#REF!</definedName>
    <definedName name="lblCompanyStatus" localSheetId="9">#REF!</definedName>
    <definedName name="lblCompanyStatus" localSheetId="4">#REF!</definedName>
    <definedName name="lblCompanyStatus" localSheetId="5">#REF!</definedName>
    <definedName name="lblCompanyStatus" localSheetId="6">#REF!</definedName>
    <definedName name="lblCompanyStatus" localSheetId="0">#REF!</definedName>
    <definedName name="lblCompanyStatus">#REF!</definedName>
    <definedName name="lblDatabaseStatus" localSheetId="2">#REF!</definedName>
    <definedName name="lblDatabaseStatus" localSheetId="1">#REF!</definedName>
    <definedName name="lblDatabaseStatus" localSheetId="7">#REF!</definedName>
    <definedName name="lblDatabaseStatus" localSheetId="8">#REF!</definedName>
    <definedName name="lblDatabaseStatus" localSheetId="9">#REF!</definedName>
    <definedName name="lblDatabaseStatus" localSheetId="4">#REF!</definedName>
    <definedName name="lblDatabaseStatus" localSheetId="5">#REF!</definedName>
    <definedName name="lblDatabaseStatus" localSheetId="6">#REF!</definedName>
    <definedName name="lblDatabaseStatus" localSheetId="0">#REF!</definedName>
    <definedName name="lblDatabaseStatus">#REF!</definedName>
    <definedName name="lblPullStatus" localSheetId="2">#REF!</definedName>
    <definedName name="lblPullStatus" localSheetId="1">#REF!</definedName>
    <definedName name="lblPullStatus" localSheetId="7">#REF!</definedName>
    <definedName name="lblPullStatus" localSheetId="8">#REF!</definedName>
    <definedName name="lblPullStatus" localSheetId="9">#REF!</definedName>
    <definedName name="lblPullStatus" localSheetId="4">#REF!</definedName>
    <definedName name="lblPullStatus" localSheetId="5">#REF!</definedName>
    <definedName name="lblPullStatus" localSheetId="6">#REF!</definedName>
    <definedName name="lblPullStatus" localSheetId="0">#REF!</definedName>
    <definedName name="lblPullStatus">#REF!</definedName>
    <definedName name="level">#REF!</definedName>
    <definedName name="LITTLE">#REF!</definedName>
    <definedName name="LITTLE01">'[38]13Mo Average Pl'!$A$1:$I$45</definedName>
    <definedName name="lllllllllllllllllllll" localSheetId="2">#REF!</definedName>
    <definedName name="lllllllllllllllllllll" localSheetId="1">#REF!</definedName>
    <definedName name="lllllllllllllllllllll" localSheetId="7">#REF!</definedName>
    <definedName name="lllllllllllllllllllll" localSheetId="8">#REF!</definedName>
    <definedName name="lllllllllllllllllllll" localSheetId="9">#REF!</definedName>
    <definedName name="lllllllllllllllllllll" localSheetId="4">#REF!</definedName>
    <definedName name="lllllllllllllllllllll" localSheetId="5">#REF!</definedName>
    <definedName name="lllllllllllllllllllll" localSheetId="6">#REF!</definedName>
    <definedName name="lllllllllllllllllllll" localSheetId="0">#REF!</definedName>
    <definedName name="lllllllllllllllllllll">#REF!</definedName>
    <definedName name="LOB">[39]DropDownRanges!$B$4:$B$37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 localSheetId="7">#REF!</definedName>
    <definedName name="LU_Line" localSheetId="8">#REF!</definedName>
    <definedName name="LU_Line" localSheetId="9">#REF!</definedName>
    <definedName name="LU_Line" localSheetId="4">#REF!</definedName>
    <definedName name="LU_Line" localSheetId="5">#REF!</definedName>
    <definedName name="LU_Line" localSheetId="6">#REF!</definedName>
    <definedName name="LU_Line">#REF!</definedName>
    <definedName name="Lurito">#REF!</definedName>
    <definedName name="LYN">'[14]Income Statement (WMofWA)'!#REF!</definedName>
    <definedName name="MainDataEnd" localSheetId="2">#REF!</definedName>
    <definedName name="MainDataEnd" localSheetId="1">#REF!</definedName>
    <definedName name="MainDataEnd" localSheetId="7">#REF!</definedName>
    <definedName name="MainDataEnd" localSheetId="8">#REF!</definedName>
    <definedName name="MainDataEnd" localSheetId="9">#REF!</definedName>
    <definedName name="MainDataEnd" localSheetId="4">#REF!</definedName>
    <definedName name="MainDataEnd" localSheetId="5">#REF!</definedName>
    <definedName name="MainDataEnd" localSheetId="6">#REF!</definedName>
    <definedName name="MainDataEnd" localSheetId="0">#REF!</definedName>
    <definedName name="MainDataEnd">#REF!</definedName>
    <definedName name="MainDataEnd2">[40]InvoicesToAccrue!$A$6</definedName>
    <definedName name="MainDataEnd3">[40]MonthReceiptDetail!$A$6</definedName>
    <definedName name="MainDataEnd4">[40]OtherOpen!$A$6</definedName>
    <definedName name="MainDataEnd5">[40]Within7!$A$6</definedName>
    <definedName name="MainDataEndJ">#REF!</definedName>
    <definedName name="MainDataStart" localSheetId="2">#REF!</definedName>
    <definedName name="MainDataStart" localSheetId="1">#REF!</definedName>
    <definedName name="MainDataStart" localSheetId="7">#REF!</definedName>
    <definedName name="MainDataStart" localSheetId="8">#REF!</definedName>
    <definedName name="MainDataStart" localSheetId="9">#REF!</definedName>
    <definedName name="MainDataStart" localSheetId="4">#REF!</definedName>
    <definedName name="MainDataStart" localSheetId="5">#REF!</definedName>
    <definedName name="MainDataStart" localSheetId="6">#REF!</definedName>
    <definedName name="MainDataStart" localSheetId="0">#REF!</definedName>
    <definedName name="MainDataStart">#REF!</definedName>
    <definedName name="MainDataStart2">[40]InvoicesToAccrue!$A$4</definedName>
    <definedName name="MainDataStart3">[40]MonthReceiptDetail!$A$4</definedName>
    <definedName name="MainDataStart4">[40]OtherOpen!$A$4</definedName>
    <definedName name="MainDataStart5">[40]Within7!$A$4</definedName>
    <definedName name="MainDataStartJ">#REF!</definedName>
    <definedName name="MapKeyStart" localSheetId="2">#REF!</definedName>
    <definedName name="MapKeyStart" localSheetId="1">#REF!</definedName>
    <definedName name="MapKeyStart" localSheetId="7">#REF!</definedName>
    <definedName name="MapKeyStart" localSheetId="8">#REF!</definedName>
    <definedName name="MapKeyStart" localSheetId="9">#REF!</definedName>
    <definedName name="MapKeyStart" localSheetId="4">#REF!</definedName>
    <definedName name="MapKeyStart" localSheetId="5">#REF!</definedName>
    <definedName name="MapKeyStart" localSheetId="6">#REF!</definedName>
    <definedName name="MapKeyStart" localSheetId="0">#REF!</definedName>
    <definedName name="MapKeyStart">#REF!</definedName>
    <definedName name="master_def" localSheetId="2">#REF!</definedName>
    <definedName name="master_def" localSheetId="1">#REF!</definedName>
    <definedName name="master_def" localSheetId="7">#REF!</definedName>
    <definedName name="master_def" localSheetId="8">#REF!</definedName>
    <definedName name="master_def" localSheetId="9">#REF!</definedName>
    <definedName name="master_def" localSheetId="4">#REF!</definedName>
    <definedName name="master_def" localSheetId="5">#REF!</definedName>
    <definedName name="master_def" localSheetId="6">#REF!</definedName>
    <definedName name="master_def" localSheetId="0">#REF!</definedName>
    <definedName name="master_def">#REF!</definedName>
    <definedName name="MASTERA">'[1]95 Plt Mtr (Adj)'!$B$12:$AM$161</definedName>
    <definedName name="MASTERD">'[1]95 Rsrv Mtr (UnAdj)'!$C$8:$AM$207</definedName>
    <definedName name="MATRIX" localSheetId="7">#REF!</definedName>
    <definedName name="MATRIX" localSheetId="8">#REF!</definedName>
    <definedName name="MATRIX" localSheetId="9">#REF!</definedName>
    <definedName name="MATRIX" localSheetId="4">#REF!</definedName>
    <definedName name="MATRIX" localSheetId="5">#REF!</definedName>
    <definedName name="MATRIX" localSheetId="6">#REF!</definedName>
    <definedName name="MATRIX">#REF!</definedName>
    <definedName name="MemoAttachment" localSheetId="7">#REF!</definedName>
    <definedName name="MemoAttachment" localSheetId="8">#REF!</definedName>
    <definedName name="MemoAttachment" localSheetId="9">#REF!</definedName>
    <definedName name="MemoAttachment" localSheetId="4">#REF!</definedName>
    <definedName name="MemoAttachment" localSheetId="5">#REF!</definedName>
    <definedName name="MemoAttachment" localSheetId="6">#REF!</definedName>
    <definedName name="MemoAttachment" localSheetId="0">#REF!</definedName>
    <definedName name="MemoAttachment">#REF!</definedName>
    <definedName name="MetaSet">[4]Orientation!$C$22</definedName>
    <definedName name="MFStaffPriceOut" localSheetId="7">'[23]Price Out-Reg EASTSIDE-Resi'!#REF!</definedName>
    <definedName name="MFStaffPriceOut" localSheetId="8">'[23]Price Out-Reg EASTSIDE-Resi'!#REF!</definedName>
    <definedName name="MFStaffPriceOut" localSheetId="9">'[23]Price Out-Reg EASTSIDE-Resi'!#REF!</definedName>
    <definedName name="MFStaffPriceOut" localSheetId="4">'[23]Price Out-Reg EASTSIDE-Resi'!#REF!</definedName>
    <definedName name="MFStaffPriceOut" localSheetId="5">'[23]Price Out-Reg EASTSIDE-Resi'!#REF!</definedName>
    <definedName name="MFStaffPriceOut" localSheetId="6">'[23]Price Out-Reg EASTSIDE-Resi'!#REF!</definedName>
    <definedName name="MFStaffPriceOut">'[23]Price Out-Reg EASTSIDE-Resi'!#REF!</definedName>
    <definedName name="MILTON" localSheetId="7">#REF!</definedName>
    <definedName name="MILTON" localSheetId="8">#REF!</definedName>
    <definedName name="MILTON" localSheetId="9">#REF!</definedName>
    <definedName name="MILTON" localSheetId="4">#REF!</definedName>
    <definedName name="MILTON" localSheetId="5">#REF!</definedName>
    <definedName name="MILTON" localSheetId="6">#REF!</definedName>
    <definedName name="MILTON">#REF!</definedName>
    <definedName name="MissingAccountList">[25]Summary!$Q$18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List">'[29]Lookup Tables'!$A$1:$A$13</definedName>
    <definedName name="monthlyplcf">#REF!</definedName>
    <definedName name="MORESTUFF">#REF!</definedName>
    <definedName name="MthValue">'[27]O-9'!#REF!</definedName>
    <definedName name="NarrThreshold_Doll">[15]Settings!$I$27</definedName>
    <definedName name="NarrThreshold_Perc">[15]Settings!$I$26</definedName>
    <definedName name="New">#REF!</definedName>
    <definedName name="NewAccountCheck">[25]Summary!$L$18</definedName>
    <definedName name="NewLob">[39]DropDownRanges!$B$4:$B$37</definedName>
    <definedName name="NewOnlyOrg">#N/A</definedName>
    <definedName name="NewSource">[39]DropDownRanges!$D$4:$D$7</definedName>
    <definedName name="nn" localSheetId="7">#REF!</definedName>
    <definedName name="nn" localSheetId="8">#REF!</definedName>
    <definedName name="nn" localSheetId="9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O">#REF!</definedName>
    <definedName name="NONRECAP">#REF!</definedName>
    <definedName name="NOTES" localSheetId="2">#REF!</definedName>
    <definedName name="NOTES" localSheetId="1">#REF!</definedName>
    <definedName name="NOTES" localSheetId="7">#REF!</definedName>
    <definedName name="NOTES" localSheetId="8">#REF!</definedName>
    <definedName name="NOTES" localSheetId="9">#REF!</definedName>
    <definedName name="NOTES" localSheetId="4">#REF!</definedName>
    <definedName name="NOTES" localSheetId="5">#REF!</definedName>
    <definedName name="NOTES" localSheetId="6">#REF!</definedName>
    <definedName name="NOTES" localSheetId="0">#REF!</definedName>
    <definedName name="NOTES">#REF!</definedName>
    <definedName name="NR" localSheetId="7">#REF!</definedName>
    <definedName name="NR" localSheetId="8">#REF!</definedName>
    <definedName name="NR" localSheetId="9">#REF!</definedName>
    <definedName name="NR" localSheetId="4">#REF!</definedName>
    <definedName name="NR" localSheetId="5">#REF!</definedName>
    <definedName name="NR" localSheetId="6">#REF!</definedName>
    <definedName name="NR" localSheetId="0">#REF!</definedName>
    <definedName name="NR">#REF!</definedName>
    <definedName name="numbe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bservations">#REF!</definedName>
    <definedName name="OfficerSalary">#N/A</definedName>
    <definedName name="OffsetAcctBil" localSheetId="0">[41]JEexport!$L$10</definedName>
    <definedName name="OffsetAcctBil">[42]JEexport!$L$10</definedName>
    <definedName name="OffsetAcctPmt" localSheetId="0">[41]JEexport!$L$9</definedName>
    <definedName name="OffsetAcctPmt">[42]JEexport!$L$9</definedName>
    <definedName name="Operations">'[14]Income Statement (WMofWA)'!#REF!</definedName>
    <definedName name="OPR">'[14]Income Statement (WMofWA)'!#REF!</definedName>
    <definedName name="Org11_13">#N/A</definedName>
    <definedName name="Org7_10">#N/A</definedName>
    <definedName name="ORIG2GALWT_">#REF!</definedName>
    <definedName name="ORIG2OH">#REF!</definedName>
    <definedName name="OthCanTons">[21]Cust_Count1!$O$28</definedName>
    <definedName name="OthComYd">'[21]Gross Yardage Worksheet'!$L$82</definedName>
    <definedName name="OthCustCnt" localSheetId="7">#REF!</definedName>
    <definedName name="OthCustCnt" localSheetId="8">#REF!</definedName>
    <definedName name="OthCustCnt" localSheetId="9">#REF!</definedName>
    <definedName name="OthCustCnt" localSheetId="4">#REF!</definedName>
    <definedName name="OthCustCnt" localSheetId="5">#REF!</definedName>
    <definedName name="OthCustCnt" localSheetId="6">#REF!</definedName>
    <definedName name="OthCustCnt">#REF!</definedName>
    <definedName name="OthMultiYd">'[21]Gross Yardage Worksheet'!$L$98</definedName>
    <definedName name="OthXtraYds" localSheetId="7">#REF!</definedName>
    <definedName name="OthXtraYds" localSheetId="8">#REF!</definedName>
    <definedName name="OthXtraYds" localSheetId="9">#REF!</definedName>
    <definedName name="OthXtraYds" localSheetId="4">#REF!</definedName>
    <definedName name="OthXtraYds" localSheetId="5">#REF!</definedName>
    <definedName name="OthXtraYds" localSheetId="6">#REF!</definedName>
    <definedName name="OthXtraYds">#REF!</definedName>
    <definedName name="outliercut">#REF!</definedName>
    <definedName name="p" localSheetId="2">#REF!</definedName>
    <definedName name="p" localSheetId="7">#REF!</definedName>
    <definedName name="p" localSheetId="8">#REF!</definedName>
    <definedName name="p" localSheetId="9">#REF!</definedName>
    <definedName name="p" localSheetId="4">#REF!</definedName>
    <definedName name="p" localSheetId="5">#REF!</definedName>
    <definedName name="p" localSheetId="6">#REF!</definedName>
    <definedName name="p" localSheetId="0">#REF!</definedName>
    <definedName name="p">#REF!</definedName>
    <definedName name="PAGE_1" localSheetId="2">#REF!</definedName>
    <definedName name="PAGE_1" localSheetId="1">#REF!</definedName>
    <definedName name="PAGE_1" localSheetId="7">#REF!</definedName>
    <definedName name="PAGE_1" localSheetId="8">#REF!</definedName>
    <definedName name="PAGE_1" localSheetId="9">#REF!</definedName>
    <definedName name="PAGE_1" localSheetId="4">#REF!</definedName>
    <definedName name="PAGE_1" localSheetId="5">#REF!</definedName>
    <definedName name="PAGE_1" localSheetId="6">#REF!</definedName>
    <definedName name="PAGE_1" localSheetId="0">#REF!</definedName>
    <definedName name="PAGE_1">#REF!</definedName>
    <definedName name="Page10" localSheetId="7">#REF!</definedName>
    <definedName name="Page10" localSheetId="8">#REF!</definedName>
    <definedName name="Page10" localSheetId="9">#REF!</definedName>
    <definedName name="Page10" localSheetId="4">#REF!</definedName>
    <definedName name="Page10" localSheetId="5">#REF!</definedName>
    <definedName name="Page10" localSheetId="6">#REF!</definedName>
    <definedName name="Page10">#REF!</definedName>
    <definedName name="Page10a" localSheetId="7">#REF!</definedName>
    <definedName name="Page10a" localSheetId="8">#REF!</definedName>
    <definedName name="Page10a" localSheetId="9">#REF!</definedName>
    <definedName name="Page10a" localSheetId="4">#REF!</definedName>
    <definedName name="Page10a" localSheetId="5">#REF!</definedName>
    <definedName name="Page10a" localSheetId="6">#REF!</definedName>
    <definedName name="Page10a">#REF!</definedName>
    <definedName name="page11" localSheetId="7">#REF!</definedName>
    <definedName name="page11" localSheetId="8">#REF!</definedName>
    <definedName name="page11" localSheetId="9">#REF!</definedName>
    <definedName name="page11" localSheetId="4">#REF!</definedName>
    <definedName name="page11" localSheetId="5">#REF!</definedName>
    <definedName name="page11" localSheetId="6">#REF!</definedName>
    <definedName name="page11">#REF!</definedName>
    <definedName name="page12" localSheetId="7">#REF!</definedName>
    <definedName name="page12" localSheetId="8">#REF!</definedName>
    <definedName name="page12" localSheetId="9">#REF!</definedName>
    <definedName name="page12" localSheetId="4">#REF!</definedName>
    <definedName name="page12" localSheetId="5">#REF!</definedName>
    <definedName name="page12" localSheetId="6">#REF!</definedName>
    <definedName name="page12">#REF!</definedName>
    <definedName name="Page16" localSheetId="7">#REF!</definedName>
    <definedName name="Page16" localSheetId="8">#REF!</definedName>
    <definedName name="Page16" localSheetId="9">#REF!</definedName>
    <definedName name="Page16" localSheetId="4">#REF!</definedName>
    <definedName name="Page16" localSheetId="5">#REF!</definedName>
    <definedName name="Page16" localSheetId="6">#REF!</definedName>
    <definedName name="Page16">#REF!</definedName>
    <definedName name="Page17" localSheetId="7">#REF!</definedName>
    <definedName name="Page17" localSheetId="8">#REF!</definedName>
    <definedName name="Page17" localSheetId="9">#REF!</definedName>
    <definedName name="Page17" localSheetId="4">#REF!</definedName>
    <definedName name="Page17" localSheetId="5">#REF!</definedName>
    <definedName name="Page17" localSheetId="6">#REF!</definedName>
    <definedName name="Page17">#REF!</definedName>
    <definedName name="Page18" localSheetId="7">#REF!</definedName>
    <definedName name="Page18" localSheetId="8">#REF!</definedName>
    <definedName name="Page18" localSheetId="9">#REF!</definedName>
    <definedName name="Page18" localSheetId="4">#REF!</definedName>
    <definedName name="Page18" localSheetId="5">#REF!</definedName>
    <definedName name="Page18" localSheetId="6">#REF!</definedName>
    <definedName name="Page18">#REF!</definedName>
    <definedName name="Page20" localSheetId="7">#REF!</definedName>
    <definedName name="Page20" localSheetId="8">#REF!</definedName>
    <definedName name="Page20" localSheetId="9">#REF!</definedName>
    <definedName name="Page20" localSheetId="4">#REF!</definedName>
    <definedName name="Page20" localSheetId="5">#REF!</definedName>
    <definedName name="Page20" localSheetId="6">#REF!</definedName>
    <definedName name="Page20">#REF!</definedName>
    <definedName name="page7" localSheetId="7">#REF!</definedName>
    <definedName name="page7" localSheetId="8">#REF!</definedName>
    <definedName name="page7" localSheetId="9">#REF!</definedName>
    <definedName name="page7" localSheetId="4">#REF!</definedName>
    <definedName name="page7" localSheetId="5">#REF!</definedName>
    <definedName name="page7" localSheetId="6">#REF!</definedName>
    <definedName name="page7">#REF!</definedName>
    <definedName name="Page7a" localSheetId="7">#REF!</definedName>
    <definedName name="Page7a" localSheetId="8">#REF!</definedName>
    <definedName name="Page7a" localSheetId="9">#REF!</definedName>
    <definedName name="Page7a" localSheetId="4">#REF!</definedName>
    <definedName name="Page7a" localSheetId="5">#REF!</definedName>
    <definedName name="Page7a" localSheetId="6">#REF!</definedName>
    <definedName name="Page7a">#REF!</definedName>
    <definedName name="pBatchID" localSheetId="2">#REF!</definedName>
    <definedName name="pBatchID" localSheetId="1">#REF!</definedName>
    <definedName name="pBatchID" localSheetId="7">#REF!</definedName>
    <definedName name="pBatchID" localSheetId="8">#REF!</definedName>
    <definedName name="pBatchID" localSheetId="9">#REF!</definedName>
    <definedName name="pBatchID" localSheetId="4">#REF!</definedName>
    <definedName name="pBatchID" localSheetId="5">#REF!</definedName>
    <definedName name="pBatchID" localSheetId="6">#REF!</definedName>
    <definedName name="pBatchID" localSheetId="0">#REF!</definedName>
    <definedName name="pBatchID">#REF!</definedName>
    <definedName name="pBillArea" localSheetId="2">#REF!</definedName>
    <definedName name="pBillArea" localSheetId="1">#REF!</definedName>
    <definedName name="pBillArea" localSheetId="7">#REF!</definedName>
    <definedName name="pBillArea" localSheetId="8">#REF!</definedName>
    <definedName name="pBillArea" localSheetId="9">#REF!</definedName>
    <definedName name="pBillArea" localSheetId="4">#REF!</definedName>
    <definedName name="pBillArea" localSheetId="5">#REF!</definedName>
    <definedName name="pBillArea" localSheetId="6">#REF!</definedName>
    <definedName name="pBillArea" localSheetId="0">#REF!</definedName>
    <definedName name="pBillArea">#REF!</definedName>
    <definedName name="pBillCycle" localSheetId="2">#REF!</definedName>
    <definedName name="pBillCycle" localSheetId="1">#REF!</definedName>
    <definedName name="pBillCycle" localSheetId="7">#REF!</definedName>
    <definedName name="pBillCycle" localSheetId="8">#REF!</definedName>
    <definedName name="pBillCycle" localSheetId="9">#REF!</definedName>
    <definedName name="pBillCycle" localSheetId="4">#REF!</definedName>
    <definedName name="pBillCycle" localSheetId="5">#REF!</definedName>
    <definedName name="pBillCycle" localSheetId="6">#REF!</definedName>
    <definedName name="pBillCycle" localSheetId="0">#REF!</definedName>
    <definedName name="pBillCycle">#REF!</definedName>
    <definedName name="pCategory" localSheetId="2">#REF!</definedName>
    <definedName name="pCategory" localSheetId="1">#REF!</definedName>
    <definedName name="pCategory" localSheetId="7">#REF!</definedName>
    <definedName name="pCategory" localSheetId="8">#REF!</definedName>
    <definedName name="pCategory" localSheetId="9">#REF!</definedName>
    <definedName name="pCategory" localSheetId="4">#REF!</definedName>
    <definedName name="pCategory" localSheetId="5">#REF!</definedName>
    <definedName name="pCategory" localSheetId="6">#REF!</definedName>
    <definedName name="pCategory" localSheetId="0">#REF!</definedName>
    <definedName name="pCategory">#REF!</definedName>
    <definedName name="pCompany" localSheetId="2">#REF!</definedName>
    <definedName name="pCompany" localSheetId="1">#REF!</definedName>
    <definedName name="pCompany" localSheetId="7">#REF!</definedName>
    <definedName name="pCompany" localSheetId="8">#REF!</definedName>
    <definedName name="pCompany" localSheetId="9">#REF!</definedName>
    <definedName name="pCompany" localSheetId="4">#REF!</definedName>
    <definedName name="pCompany" localSheetId="5">#REF!</definedName>
    <definedName name="pCompany" localSheetId="6">#REF!</definedName>
    <definedName name="pCompany" localSheetId="0">#REF!</definedName>
    <definedName name="pCompany">#REF!</definedName>
    <definedName name="pCustomerNumber" localSheetId="2">#REF!</definedName>
    <definedName name="pCustomerNumber" localSheetId="1">#REF!</definedName>
    <definedName name="pCustomerNumber" localSheetId="7">#REF!</definedName>
    <definedName name="pCustomerNumber" localSheetId="8">#REF!</definedName>
    <definedName name="pCustomerNumber" localSheetId="9">#REF!</definedName>
    <definedName name="pCustomerNumber" localSheetId="4">#REF!</definedName>
    <definedName name="pCustomerNumber" localSheetId="5">#REF!</definedName>
    <definedName name="pCustomerNumber" localSheetId="6">#REF!</definedName>
    <definedName name="pCustomerNumber" localSheetId="0">#REF!</definedName>
    <definedName name="pCustomerNumber">#REF!</definedName>
    <definedName name="pDatabase" localSheetId="2">#REF!</definedName>
    <definedName name="pDatabase" localSheetId="1">#REF!</definedName>
    <definedName name="pDatabase" localSheetId="7">#REF!</definedName>
    <definedName name="pDatabase" localSheetId="8">#REF!</definedName>
    <definedName name="pDatabase" localSheetId="9">#REF!</definedName>
    <definedName name="pDatabase" localSheetId="4">#REF!</definedName>
    <definedName name="pDatabase" localSheetId="5">#REF!</definedName>
    <definedName name="pDatabase" localSheetId="6">#REF!</definedName>
    <definedName name="pDatabase" localSheetId="0">#REF!</definedName>
    <definedName name="pDatabase">#REF!</definedName>
    <definedName name="PED">'[14]Income Statement (WMofWA)'!#REF!</definedName>
    <definedName name="PendingStatus">#REF!</definedName>
    <definedName name="pEndPostDate" localSheetId="2">#REF!</definedName>
    <definedName name="pEndPostDate" localSheetId="1">#REF!</definedName>
    <definedName name="pEndPostDate" localSheetId="7">#REF!</definedName>
    <definedName name="pEndPostDate" localSheetId="8">#REF!</definedName>
    <definedName name="pEndPostDate" localSheetId="9">#REF!</definedName>
    <definedName name="pEndPostDate" localSheetId="4">#REF!</definedName>
    <definedName name="pEndPostDate" localSheetId="5">#REF!</definedName>
    <definedName name="pEndPostDate" localSheetId="6">#REF!</definedName>
    <definedName name="pEndPostDate" localSheetId="0">#REF!</definedName>
    <definedName name="pEndPostDate">#REF!</definedName>
    <definedName name="PER">[10]WTB!$DC$5</definedName>
    <definedName name="Period" localSheetId="2">#REF!</definedName>
    <definedName name="Period" localSheetId="1">#REF!</definedName>
    <definedName name="Period" localSheetId="7">#REF!</definedName>
    <definedName name="Period" localSheetId="8">#REF!</definedName>
    <definedName name="Period" localSheetId="9">#REF!</definedName>
    <definedName name="Period" localSheetId="4">#REF!</definedName>
    <definedName name="Period" localSheetId="5">#REF!</definedName>
    <definedName name="Period" localSheetId="6">#REF!</definedName>
    <definedName name="Period" localSheetId="0">#REF!</definedName>
    <definedName name="Period">#REF!</definedName>
    <definedName name="Pfd_weighted" localSheetId="7">'LG Joe''s MSW'!$U$56</definedName>
    <definedName name="Pfd_weighted" localSheetId="8">'LG Joe''s Recycling'!$U$56</definedName>
    <definedName name="Pfd_weighted" localSheetId="9">'LG Joe''s Yard Waste'!$U$56</definedName>
    <definedName name="Pfd_weighted" localSheetId="3">'LG Lewis'!$U$56</definedName>
    <definedName name="Pfd_weighted" localSheetId="4">'LG Lewis MSW'!$U$56</definedName>
    <definedName name="Pfd_weighted" localSheetId="5">'LG Lewis Recycling'!$U$56</definedName>
    <definedName name="Pfd_weighted" localSheetId="6">'LG Lewis Yard Waste'!$U$56</definedName>
    <definedName name="PFREVB4">#REF!</definedName>
    <definedName name="PLANT1">#REF!</definedName>
    <definedName name="PLANT2">#REF!</definedName>
    <definedName name="PLANTAFTER">#REF!</definedName>
    <definedName name="PLANTAFTER01">'[38]13Mo Average Pl'!$A$1:$I$45</definedName>
    <definedName name="pMonth" localSheetId="2">#REF!</definedName>
    <definedName name="pMonth" localSheetId="1">#REF!</definedName>
    <definedName name="pMonth" localSheetId="7">#REF!</definedName>
    <definedName name="pMonth" localSheetId="8">#REF!</definedName>
    <definedName name="pMonth" localSheetId="9">#REF!</definedName>
    <definedName name="pMonth" localSheetId="4">#REF!</definedName>
    <definedName name="pMonth" localSheetId="5">#REF!</definedName>
    <definedName name="pMonth" localSheetId="6">#REF!</definedName>
    <definedName name="pMonth" localSheetId="0">#REF!</definedName>
    <definedName name="pMonth">#REF!</definedName>
    <definedName name="POApprPend">#REF!</definedName>
    <definedName name="POBudUnbud">#REF!</definedName>
    <definedName name="pOnlyShowLastTranx" localSheetId="2">#REF!</definedName>
    <definedName name="pOnlyShowLastTranx" localSheetId="1">#REF!</definedName>
    <definedName name="pOnlyShowLastTranx" localSheetId="7">#REF!</definedName>
    <definedName name="pOnlyShowLastTranx" localSheetId="8">#REF!</definedName>
    <definedName name="pOnlyShowLastTranx" localSheetId="9">#REF!</definedName>
    <definedName name="pOnlyShowLastTranx" localSheetId="4">#REF!</definedName>
    <definedName name="pOnlyShowLastTranx" localSheetId="5">#REF!</definedName>
    <definedName name="pOnlyShowLastTranx" localSheetId="6">#REF!</definedName>
    <definedName name="pOnlyShowLastTranx" localSheetId="0">#REF!</definedName>
    <definedName name="pOnlyShowLastTranx">#REF!</definedName>
    <definedName name="POSeqNum">#REF!</definedName>
    <definedName name="Posting" localSheetId="7">#REF!</definedName>
    <definedName name="Posting" localSheetId="8">#REF!</definedName>
    <definedName name="Posting" localSheetId="9">#REF!</definedName>
    <definedName name="Posting" localSheetId="4">#REF!</definedName>
    <definedName name="Posting" localSheetId="5">#REF!</definedName>
    <definedName name="Posting" localSheetId="6">#REF!</definedName>
    <definedName name="Posting">#REF!</definedName>
    <definedName name="POTruckSubTypeLookup">[43]TruckCenterReference!$B$26:$D$74</definedName>
    <definedName name="ppemeasurement">#REF!</definedName>
    <definedName name="Prepare">#REF!</definedName>
    <definedName name="primtbl">[4]Orientation!$C$23</definedName>
    <definedName name="_xlnm.Print_Area" localSheetId="2">'Joe''s Regulated - Price Out '!$C$1:$BF$219</definedName>
    <definedName name="_xlnm.Print_Area" localSheetId="1">'Lewis Co. Regulated - Price Out'!$A$1:$BC$271</definedName>
    <definedName name="_xlnm.Print_Area" localSheetId="7">'LG Joe''s MSW'!$F$2:$N$49</definedName>
    <definedName name="_xlnm.Print_Area" localSheetId="8">'LG Joe''s Recycling'!$F$2:$N$49</definedName>
    <definedName name="_xlnm.Print_Area" localSheetId="9">'LG Joe''s Yard Waste'!$F$2:$N$49</definedName>
    <definedName name="_xlnm.Print_Area" localSheetId="3">'LG Lewis'!$F$2:$N$49</definedName>
    <definedName name="_xlnm.Print_Area" localSheetId="4">'LG Lewis MSW'!$F$2:$N$49</definedName>
    <definedName name="_xlnm.Print_Area" localSheetId="5">'LG Lewis Recycling'!$F$2:$N$49</definedName>
    <definedName name="_xlnm.Print_Area" localSheetId="6">'LG Lewis Yard Waste'!$F$2:$N$49</definedName>
    <definedName name="_xlnm.Print_Area" localSheetId="0">#REF!</definedName>
    <definedName name="_xlnm.Print_Area">#REF!</definedName>
    <definedName name="Print_Area_MI" localSheetId="2">#REF!</definedName>
    <definedName name="Print_Area_MI" localSheetId="1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0">#REF!</definedName>
    <definedName name="Print_Area_MI">#REF!</definedName>
    <definedName name="Print_Area_MIc" localSheetId="7">#REF!</definedName>
    <definedName name="Print_Area_MIc" localSheetId="8">#REF!</definedName>
    <definedName name="Print_Area_MIc" localSheetId="9">#REF!</definedName>
    <definedName name="Print_Area_MIc" localSheetId="3">#REF!</definedName>
    <definedName name="Print_Area_MIc" localSheetId="4">#REF!</definedName>
    <definedName name="Print_Area_MIc" localSheetId="5">#REF!</definedName>
    <definedName name="Print_Area_MIc" localSheetId="6">#REF!</definedName>
    <definedName name="Print_Area_MIc">#REF!</definedName>
    <definedName name="Print_Area1" localSheetId="2">#REF!</definedName>
    <definedName name="Print_Area1" localSheetId="1">#REF!</definedName>
    <definedName name="Print_Area1" localSheetId="7">#REF!</definedName>
    <definedName name="Print_Area1" localSheetId="8">#REF!</definedName>
    <definedName name="Print_Area1" localSheetId="9">#REF!</definedName>
    <definedName name="Print_Area1" localSheetId="4">#REF!</definedName>
    <definedName name="Print_Area1" localSheetId="5">#REF!</definedName>
    <definedName name="Print_Area1" localSheetId="6">#REF!</definedName>
    <definedName name="Print_Area1" localSheetId="0">#REF!</definedName>
    <definedName name="Print_Area1">#REF!</definedName>
    <definedName name="Print_Area11">#REF!</definedName>
    <definedName name="Print_Area2" localSheetId="2">#REF!</definedName>
    <definedName name="Print_Area2" localSheetId="1">#REF!</definedName>
    <definedName name="Print_Area2" localSheetId="7">#REF!</definedName>
    <definedName name="Print_Area2" localSheetId="8">#REF!</definedName>
    <definedName name="Print_Area2" localSheetId="9">#REF!</definedName>
    <definedName name="Print_Area2" localSheetId="4">#REF!</definedName>
    <definedName name="Print_Area2" localSheetId="5">#REF!</definedName>
    <definedName name="Print_Area2" localSheetId="6">#REF!</definedName>
    <definedName name="Print_Area2" localSheetId="0">#REF!</definedName>
    <definedName name="Print_Area2">#REF!</definedName>
    <definedName name="Print_Area3" localSheetId="2">#REF!</definedName>
    <definedName name="Print_Area3" localSheetId="1">#REF!</definedName>
    <definedName name="Print_Area3" localSheetId="7">#REF!</definedName>
    <definedName name="Print_Area3" localSheetId="8">#REF!</definedName>
    <definedName name="Print_Area3" localSheetId="9">#REF!</definedName>
    <definedName name="Print_Area3" localSheetId="4">#REF!</definedName>
    <definedName name="Print_Area3" localSheetId="5">#REF!</definedName>
    <definedName name="Print_Area3" localSheetId="6">#REF!</definedName>
    <definedName name="Print_Area3" localSheetId="0">#REF!</definedName>
    <definedName name="Print_Area3">#REF!</definedName>
    <definedName name="Print_Area5" localSheetId="2">#REF!</definedName>
    <definedName name="Print_Area5" localSheetId="1">#REF!</definedName>
    <definedName name="Print_Area5" localSheetId="7">#REF!</definedName>
    <definedName name="Print_Area5" localSheetId="8">#REF!</definedName>
    <definedName name="Print_Area5" localSheetId="9">#REF!</definedName>
    <definedName name="Print_Area5" localSheetId="4">#REF!</definedName>
    <definedName name="Print_Area5" localSheetId="5">#REF!</definedName>
    <definedName name="Print_Area5" localSheetId="6">#REF!</definedName>
    <definedName name="Print_Area5" localSheetId="0">#REF!</definedName>
    <definedName name="Print_Area5">#REF!</definedName>
    <definedName name="_xlnm.Print_Titles" localSheetId="2">'Joe''s Regulated - Price Out '!$D:$D,'Joe''s Regulated - Price Out '!$1:$5</definedName>
    <definedName name="_xlnm.Print_Titles" localSheetId="1">'Lewis Co. Regulated - Price Out'!$D:$D,'Lewis Co. Regulated - Price Out'!$1:$5</definedName>
    <definedName name="_xlnm.Print_Titles">#REF!</definedName>
    <definedName name="Print_Titles_MI">#REF!</definedName>
    <definedName name="Print1" localSheetId="2">#REF!</definedName>
    <definedName name="Print1" localSheetId="1">#REF!</definedName>
    <definedName name="Print1" localSheetId="7">#REF!</definedName>
    <definedName name="Print1" localSheetId="8">#REF!</definedName>
    <definedName name="Print1" localSheetId="9">#REF!</definedName>
    <definedName name="Print1" localSheetId="4">#REF!</definedName>
    <definedName name="Print1" localSheetId="5">#REF!</definedName>
    <definedName name="Print1" localSheetId="6">#REF!</definedName>
    <definedName name="Print1" localSheetId="0">#REF!</definedName>
    <definedName name="Print1">#REF!</definedName>
    <definedName name="Print2" localSheetId="2">#REF!</definedName>
    <definedName name="Print2" localSheetId="1">#REF!</definedName>
    <definedName name="Print2" localSheetId="7">#REF!</definedName>
    <definedName name="Print2" localSheetId="8">#REF!</definedName>
    <definedName name="Print2" localSheetId="9">#REF!</definedName>
    <definedName name="Print2" localSheetId="4">#REF!</definedName>
    <definedName name="Print2" localSheetId="5">#REF!</definedName>
    <definedName name="Print2" localSheetId="6">#REF!</definedName>
    <definedName name="Print2" localSheetId="0">#REF!</definedName>
    <definedName name="Print2">#REF!</definedName>
    <definedName name="Print5" localSheetId="2">#REF!</definedName>
    <definedName name="Print5" localSheetId="1">#REF!</definedName>
    <definedName name="Print5" localSheetId="7">#REF!</definedName>
    <definedName name="Print5" localSheetId="8">#REF!</definedName>
    <definedName name="Print5" localSheetId="9">#REF!</definedName>
    <definedName name="Print5" localSheetId="4">#REF!</definedName>
    <definedName name="Print5" localSheetId="5">#REF!</definedName>
    <definedName name="Print5" localSheetId="6">#REF!</definedName>
    <definedName name="Print5" localSheetId="0">#REF!</definedName>
    <definedName name="Print5">#REF!</definedName>
    <definedName name="Prnit_Range">#REF!</definedName>
    <definedName name="ProRev">'[16]Pacific Regulated - Price Out'!$M$49</definedName>
    <definedName name="ProRev_com">'[16]Pacific Regulated - Price Out'!$M$213</definedName>
    <definedName name="ProRev_mfr">'[16]Pacific Regulated - Price Out'!$M$221</definedName>
    <definedName name="ProRev_ro">'[16]Pacific Regulated - Price Out'!$M$281</definedName>
    <definedName name="ProRev_rr">'[16]Pacific Regulated - Price Out'!$M$58</definedName>
    <definedName name="ProRev_yw">'[16]Pacific Regulated - Price Out'!$M$69</definedName>
    <definedName name="pServer" localSheetId="2">#REF!</definedName>
    <definedName name="pServer" localSheetId="1">#REF!</definedName>
    <definedName name="pServer" localSheetId="7">#REF!</definedName>
    <definedName name="pServer" localSheetId="8">#REF!</definedName>
    <definedName name="pServer" localSheetId="9">#REF!</definedName>
    <definedName name="pServer" localSheetId="4">#REF!</definedName>
    <definedName name="pServer" localSheetId="5">#REF!</definedName>
    <definedName name="pServer" localSheetId="6">#REF!</definedName>
    <definedName name="pServer" localSheetId="0">#REF!</definedName>
    <definedName name="pServer">#REF!</definedName>
    <definedName name="pServiceCode" localSheetId="2">#REF!</definedName>
    <definedName name="pServiceCode" localSheetId="1">#REF!</definedName>
    <definedName name="pServiceCode" localSheetId="7">#REF!</definedName>
    <definedName name="pServiceCode" localSheetId="8">#REF!</definedName>
    <definedName name="pServiceCode" localSheetId="9">#REF!</definedName>
    <definedName name="pServiceCode" localSheetId="4">#REF!</definedName>
    <definedName name="pServiceCode" localSheetId="5">#REF!</definedName>
    <definedName name="pServiceCode" localSheetId="6">#REF!</definedName>
    <definedName name="pServiceCode" localSheetId="0">#REF!</definedName>
    <definedName name="pServiceCode">#REF!</definedName>
    <definedName name="pShowAllUnposted" localSheetId="2">#REF!</definedName>
    <definedName name="pShowAllUnposted" localSheetId="1">#REF!</definedName>
    <definedName name="pShowAllUnposted" localSheetId="7">#REF!</definedName>
    <definedName name="pShowAllUnposted" localSheetId="8">#REF!</definedName>
    <definedName name="pShowAllUnposted" localSheetId="9">#REF!</definedName>
    <definedName name="pShowAllUnposted" localSheetId="4">#REF!</definedName>
    <definedName name="pShowAllUnposted" localSheetId="5">#REF!</definedName>
    <definedName name="pShowAllUnposted" localSheetId="6">#REF!</definedName>
    <definedName name="pShowAllUnposted" localSheetId="0">#REF!</definedName>
    <definedName name="pShowAllUnposted">#REF!</definedName>
    <definedName name="pShowCustomerDetail" localSheetId="2">#REF!</definedName>
    <definedName name="pShowCustomerDetail" localSheetId="1">#REF!</definedName>
    <definedName name="pShowCustomerDetail" localSheetId="7">#REF!</definedName>
    <definedName name="pShowCustomerDetail" localSheetId="8">#REF!</definedName>
    <definedName name="pShowCustomerDetail" localSheetId="9">#REF!</definedName>
    <definedName name="pShowCustomerDetail" localSheetId="4">#REF!</definedName>
    <definedName name="pShowCustomerDetail" localSheetId="5">#REF!</definedName>
    <definedName name="pShowCustomerDetail" localSheetId="6">#REF!</definedName>
    <definedName name="pShowCustomerDetail" localSheetId="0">#REF!</definedName>
    <definedName name="pShowCustomerDetail">#REF!</definedName>
    <definedName name="pSortOption" localSheetId="2">#REF!</definedName>
    <definedName name="pSortOption" localSheetId="1">#REF!</definedName>
    <definedName name="pSortOption" localSheetId="7">#REF!</definedName>
    <definedName name="pSortOption" localSheetId="8">#REF!</definedName>
    <definedName name="pSortOption" localSheetId="9">#REF!</definedName>
    <definedName name="pSortOption" localSheetId="4">#REF!</definedName>
    <definedName name="pSortOption" localSheetId="5">#REF!</definedName>
    <definedName name="pSortOption" localSheetId="6">#REF!</definedName>
    <definedName name="pSortOption" localSheetId="0">#REF!</definedName>
    <definedName name="pSortOption">#REF!</definedName>
    <definedName name="pStartPostDate" localSheetId="2">#REF!</definedName>
    <definedName name="pStartPostDate" localSheetId="1">#REF!</definedName>
    <definedName name="pStartPostDate" localSheetId="7">#REF!</definedName>
    <definedName name="pStartPostDate" localSheetId="8">#REF!</definedName>
    <definedName name="pStartPostDate" localSheetId="9">#REF!</definedName>
    <definedName name="pStartPostDate" localSheetId="4">#REF!</definedName>
    <definedName name="pStartPostDate" localSheetId="5">#REF!</definedName>
    <definedName name="pStartPostDate" localSheetId="6">#REF!</definedName>
    <definedName name="pStartPostDate" localSheetId="0">#REF!</definedName>
    <definedName name="pStartPostDate">#REF!</definedName>
    <definedName name="pTransType" localSheetId="2">#REF!</definedName>
    <definedName name="pTransType" localSheetId="1">#REF!</definedName>
    <definedName name="pTransType" localSheetId="7">#REF!</definedName>
    <definedName name="pTransType" localSheetId="8">#REF!</definedName>
    <definedName name="pTransType" localSheetId="9">#REF!</definedName>
    <definedName name="pTransType" localSheetId="4">#REF!</definedName>
    <definedName name="pTransType" localSheetId="5">#REF!</definedName>
    <definedName name="pTransType" localSheetId="6">#REF!</definedName>
    <definedName name="pTransType" localSheetId="0">#REF!</definedName>
    <definedName name="pTransType">#REF!</definedName>
    <definedName name="PYear">'[27]O-9'!#REF!</definedName>
    <definedName name="QtrValue">#REF!</definedName>
    <definedName name="Quarter_Budget">#REF!</definedName>
    <definedName name="Quarter_Month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ange">#REF!</definedName>
    <definedName name="Range1">#REF!</definedName>
    <definedName name="RBPROFORMAS">#REF!</definedName>
    <definedName name="RBU">'[14]Income Statement (WMofWA)'!#REF!</definedName>
    <definedName name="RCW_81.04.080">#N/A</definedName>
    <definedName name="RECAP">#REF!</definedName>
    <definedName name="RECAP2">#REF!</definedName>
    <definedName name="ReconMonth">[25]Summary!$J$18</definedName>
    <definedName name="_xlnm.Recorder">#REF!</definedName>
    <definedName name="RecyDisposal">#N/A</definedName>
    <definedName name="Reg_Cust_Billed_Percent">'[44]Consolidated IS 2009 2010'!$AK$20</definedName>
    <definedName name="Reg_Cust_Percent">'[44]Consolidated IS 2009 2010'!$AC$20</definedName>
    <definedName name="Reg_Drive_Percent">'[44]Consolidated IS 2009 2010'!$AC$40</definedName>
    <definedName name="Reg_Haul_Rev_Percent">'[44]Consolidated IS 2009 2010'!$Z$18</definedName>
    <definedName name="Reg_Lab_Percent">'[44]Consolidated IS 2009 2010'!$AC$39</definedName>
    <definedName name="Reg_Steel_Cont_Percent">'[44]Consolidated IS 2009 2010'!$AE$120</definedName>
    <definedName name="regDebt_weighted" localSheetId="7">'LG Joe''s MSW'!$U$55</definedName>
    <definedName name="regDebt_weighted" localSheetId="8">'LG Joe''s Recycling'!$U$55</definedName>
    <definedName name="regDebt_weighted" localSheetId="9">'LG Joe''s Yard Waste'!$U$55</definedName>
    <definedName name="regDebt_weighted" localSheetId="3">'LG Lewis'!$U$55</definedName>
    <definedName name="regDebt_weighted" localSheetId="4">'LG Lewis MSW'!$U$55</definedName>
    <definedName name="regDebt_weighted" localSheetId="5">'LG Lewis Recycling'!$U$55</definedName>
    <definedName name="regDebt_weighted" localSheetId="6">'LG Lewis Yard Waste'!$U$55</definedName>
    <definedName name="Region">#REF!</definedName>
    <definedName name="RegionSignOffReq">[25]Summary!$M$10</definedName>
    <definedName name="RegionSignOffStatus">[25]Summary!$N$17</definedName>
    <definedName name="RegulatedIS">'[44]2009 IS'!$A$12:$Q$655</definedName>
    <definedName name="RelatedSalary">#N/A</definedName>
    <definedName name="report_type">[4]Orientation!$C$24</definedName>
    <definedName name="ReportFormula">#REF!</definedName>
    <definedName name="Reporting_Jurisdiction">'[20]Title Inputs'!$C$4</definedName>
    <definedName name="ReportNames" localSheetId="0">[26]ControlPanel!$X$2:$X$8</definedName>
    <definedName name="ReportNames">[45]ControlPanel!$S$2:$S$16</definedName>
    <definedName name="ReportType">#REF!</definedName>
    <definedName name="ReportVersion">[4]Settings!$D$5</definedName>
    <definedName name="residential">#REF!</definedName>
    <definedName name="ReslStaffPriceOut" localSheetId="7">'[23]Price Out-Reg EASTSIDE-Resi'!#REF!</definedName>
    <definedName name="ReslStaffPriceOut" localSheetId="8">'[23]Price Out-Reg EASTSIDE-Resi'!#REF!</definedName>
    <definedName name="ReslStaffPriceOut" localSheetId="9">'[23]Price Out-Reg EASTSIDE-Resi'!#REF!</definedName>
    <definedName name="ReslStaffPriceOut" localSheetId="4">'[23]Price Out-Reg EASTSIDE-Resi'!#REF!</definedName>
    <definedName name="ReslStaffPriceOut" localSheetId="5">'[23]Price Out-Reg EASTSIDE-Resi'!#REF!</definedName>
    <definedName name="ReslStaffPriceOut" localSheetId="6">'[23]Price Out-Reg EASTSIDE-Resi'!#REF!</definedName>
    <definedName name="ReslStaffPriceOut">'[23]Price Out-Reg EASTSIDE-Resi'!#REF!</definedName>
    <definedName name="RetainedEarnings" localSheetId="2">#REF!</definedName>
    <definedName name="RetainedEarnings" localSheetId="7">#REF!</definedName>
    <definedName name="RetainedEarnings" localSheetId="8">#REF!</definedName>
    <definedName name="RetainedEarnings" localSheetId="9">#REF!</definedName>
    <definedName name="RetainedEarnings" localSheetId="4">#REF!</definedName>
    <definedName name="RetainedEarnings" localSheetId="5">#REF!</definedName>
    <definedName name="RetainedEarnings" localSheetId="6">#REF!</definedName>
    <definedName name="RetainedEarnings" localSheetId="0">#REF!</definedName>
    <definedName name="RetainedEarnings">#REF!</definedName>
    <definedName name="RevCust" localSheetId="2">[46]RevenuesCust!#REF!</definedName>
    <definedName name="RevCust" localSheetId="1">[46]RevenuesCust!#REF!</definedName>
    <definedName name="RevCust" localSheetId="7">'[47]RevenuesCust, pg 8'!#REF!</definedName>
    <definedName name="RevCust" localSheetId="8">'[47]RevenuesCust, pg 8'!#REF!</definedName>
    <definedName name="RevCust" localSheetId="9">'[47]RevenuesCust, pg 8'!#REF!</definedName>
    <definedName name="RevCust" localSheetId="4">'[47]RevenuesCust, pg 8'!#REF!</definedName>
    <definedName name="RevCust" localSheetId="5">'[47]RevenuesCust, pg 8'!#REF!</definedName>
    <definedName name="RevCust" localSheetId="6">'[47]RevenuesCust, pg 8'!#REF!</definedName>
    <definedName name="RevCust" localSheetId="0">[46]RevenuesCust!#REF!</definedName>
    <definedName name="RevCust">'[47]RevenuesCust, pg 8'!#REF!</definedName>
    <definedName name="RevCustomer" localSheetId="7">#REF!</definedName>
    <definedName name="RevCustomer" localSheetId="8">#REF!</definedName>
    <definedName name="RevCustomer" localSheetId="9">#REF!</definedName>
    <definedName name="RevCustomer" localSheetId="4">#REF!</definedName>
    <definedName name="RevCustomer" localSheetId="5">#REF!</definedName>
    <definedName name="RevCustomer" localSheetId="6">#REF!</definedName>
    <definedName name="RevCustomer" localSheetId="0">#REF!</definedName>
    <definedName name="RevCustomer">#REF!</definedName>
    <definedName name="REVDETAIL">#REF!</definedName>
    <definedName name="Revenue" localSheetId="7">'LG Joe''s MSW'!$I$7</definedName>
    <definedName name="Revenue" localSheetId="8">'LG Joe''s Recycling'!$I$7</definedName>
    <definedName name="Revenue" localSheetId="9">'LG Joe''s Yard Waste'!$I$7</definedName>
    <definedName name="Revenue" localSheetId="3">'LG Lewis'!$I$7</definedName>
    <definedName name="Revenue" localSheetId="4">'LG Lewis MSW'!$I$7</definedName>
    <definedName name="Revenue" localSheetId="5">'LG Lewis Recycling'!$I$7</definedName>
    <definedName name="Revenue" localSheetId="6">'LG Lewis Yard Waste'!$I$7</definedName>
    <definedName name="Revenue">#REF!</definedName>
    <definedName name="RevenuePF1">'[32]LG County Area'!$K$7</definedName>
    <definedName name="Reverse">#REF!</definedName>
    <definedName name="ReviewByMe">#REF!</definedName>
    <definedName name="REVMAT">#REF!</definedName>
    <definedName name="RID">'[14]Income Statement (WMofWA)'!#REF!</definedName>
    <definedName name="rngBodyText">[7]Delivery!$B$15</definedName>
    <definedName name="RngBottomRight">[7]Delivery!$B$23</definedName>
    <definedName name="rngColDelChars">[7]Delivery!$B$26</definedName>
    <definedName name="rngColumnDelete">[7]Delivery!$B$26</definedName>
    <definedName name="rngCreateLog">[4]Delivery!$B$12</definedName>
    <definedName name="rngDeleteColumns">[7]Delivery!$A$29:$A$38</definedName>
    <definedName name="rngDeleteRows">[7]Delivery!$B$29:$B$38</definedName>
    <definedName name="rngEmail">[7]Delivery!$B$9</definedName>
    <definedName name="rngFileDir">[7]Delivery!$B$6</definedName>
    <definedName name="rngFileFormat">[7]Delivery!$B$4</definedName>
    <definedName name="rngFileName">[7]Delivery!$B$5</definedName>
    <definedName name="rngFilePassword">[4]Delivery!$B$6</definedName>
    <definedName name="rngPassword">[7]Delivery!$B$21</definedName>
    <definedName name="rngPasswordProtect">[7]Delivery!$B$20</definedName>
    <definedName name="rngPrint">[7]Delivery!$B$11</definedName>
    <definedName name="rngRetainFormulas">[7]Delivery!$B$19</definedName>
    <definedName name="rngSaveFile">[7]Delivery!$B$10</definedName>
    <definedName name="rngSourceTab">[4]Delivery!$E$8</definedName>
    <definedName name="rngSubjectLine">[7]Delivery!$B$14</definedName>
    <definedName name="rngTabName">[7]Delivery!$B$18</definedName>
    <definedName name="rngTopLeft">[7]Delivery!$B$22</definedName>
    <definedName name="ROCE">#REF!,#REF!</definedName>
    <definedName name="rolloff1">#REF!</definedName>
    <definedName name="rolloff2">#REF!</definedName>
    <definedName name="rolloff3">#REF!</definedName>
    <definedName name="rolloff4">#REF!</definedName>
    <definedName name="rolloff5">#REF!</definedName>
    <definedName name="ROW_SUPRESS">'[14]Income Statement (WMofWA)'!#REF!</definedName>
    <definedName name="rowgroup">[4]Orientation!$C$17</definedName>
    <definedName name="rowsegment">[4]Orientation!$B$17</definedName>
    <definedName name="RptEmailAddress">[7]Delivery!$D$4:$D$1005</definedName>
    <definedName name="rtr">'[48]Variance Report'!#REF!</definedName>
    <definedName name="RTT">'[14]Income Statement (WMofWA)'!#REF!</definedName>
    <definedName name="sale">#REF!</definedName>
    <definedName name="SALES_TAX_RETURN">#REF!</definedName>
    <definedName name="Sbst">#REF!</definedName>
    <definedName name="SCN">'[14]Income Statement (WMofWA)'!#REF!</definedName>
    <definedName name="seffasfasdfsd" localSheetId="7">[49]Hidden!#REF!</definedName>
    <definedName name="seffasfasdfsd" localSheetId="8">[49]Hidden!#REF!</definedName>
    <definedName name="seffasfasdfsd" localSheetId="9">[49]Hidden!#REF!</definedName>
    <definedName name="seffasfasdfsd" localSheetId="4">[49]Hidden!#REF!</definedName>
    <definedName name="seffasfasdfsd" localSheetId="5">[49]Hidden!#REF!</definedName>
    <definedName name="seffasfasdfsd" localSheetId="6">[49]Hidden!#REF!</definedName>
    <definedName name="seffasfasdfsd">[49]Hidden!#REF!</definedName>
    <definedName name="SEPARATE">#REF!</definedName>
    <definedName name="Separation">[50]ProF!#REF!</definedName>
    <definedName name="Sequential_Group">[4]Settings!$J$6</definedName>
    <definedName name="Sequential_Segment">[4]Settings!$I$6</definedName>
    <definedName name="Sequential_sort">[4]Settings!$I$10:$J$11</definedName>
    <definedName name="Setting_DeprFactor">[15]Settings!$F$5</definedName>
    <definedName name="Setting_LFDeplUnitAcct">[15]Settings!$F$4</definedName>
    <definedName name="Setting_LFUnitCost">[15]Settings!$F$3</definedName>
    <definedName name="Setting_LFUnitCostNY">[15]Settings!$F$7</definedName>
    <definedName name="Setting_LFUnitRow">[15]Settings!$C$3</definedName>
    <definedName name="SFD">[10]WTB!$DE$5</definedName>
    <definedName name="SFD_BU">'[14]Income Statement (WMofWA)'!#REF!</definedName>
    <definedName name="SFD_DEPTID">'[14]Income Statement (WMofWA)'!#REF!</definedName>
    <definedName name="SFD_OP">'[14]Income Statement (WMofWA)'!#REF!</definedName>
    <definedName name="SFD_PROD">'[14]Income Statement (WMofWA)'!#REF!</definedName>
    <definedName name="SFD_PROJ">'[14]Income Statement (WMofWA)'!#REF!</definedName>
    <definedName name="sfdbusunit">#REF!</definedName>
    <definedName name="SFV">[10]WTB!$DE$4</definedName>
    <definedName name="SFV_BU">'[14]Income Statement (WMofWA)'!#REF!</definedName>
    <definedName name="SFV_CUR">#REF!</definedName>
    <definedName name="SFV_CUR1">'[10]2008 West Group IS'!$AM$9</definedName>
    <definedName name="SFV_CUR5">'[10]2008 Group Office IS'!$AM$9</definedName>
    <definedName name="SFV_DEPTID">'[14]Income Statement (WMofWA)'!#REF!</definedName>
    <definedName name="SFV_OP">'[14]Income Statement (WMofWA)'!#REF!</definedName>
    <definedName name="SFV_PROD">'[14]Income Statement (WMofWA)'!#REF!</definedName>
    <definedName name="SFV_PROJ">'[14]Income Statement (WMofWA)'!#REF!</definedName>
    <definedName name="ShowHundreds">#REF!</definedName>
    <definedName name="ShowSaved">#REF!</definedName>
    <definedName name="SIC_Table" localSheetId="7">#REF!</definedName>
    <definedName name="SIC_Table" localSheetId="8">#REF!</definedName>
    <definedName name="SIC_Table" localSheetId="9">#REF!</definedName>
    <definedName name="SIC_Table" localSheetId="4">#REF!</definedName>
    <definedName name="SIC_Table" localSheetId="5">#REF!</definedName>
    <definedName name="SIC_Table" localSheetId="6">#REF!</definedName>
    <definedName name="SIC_Table">#REF!</definedName>
    <definedName name="sics">#REF!</definedName>
    <definedName name="slope" localSheetId="7">'LG Joe''s MSW'!$Y$57</definedName>
    <definedName name="slope" localSheetId="8">'LG Joe''s Recycling'!$Y$57</definedName>
    <definedName name="slope" localSheetId="9">'LG Joe''s Yard Waste'!$Y$57</definedName>
    <definedName name="slope" localSheetId="3">'LG Lewis'!$Y$57</definedName>
    <definedName name="slope" localSheetId="4">'LG Lewis MSW'!$Y$57</definedName>
    <definedName name="slope" localSheetId="5">'LG Lewis Recycling'!$Y$57</definedName>
    <definedName name="slope" localSheetId="6">'LG Lewis Yard Waste'!$Y$57</definedName>
    <definedName name="slope">'[51]LG Nonpublic 2018 V5.0'!$X$58</definedName>
    <definedName name="SLOPE1">#REF!</definedName>
    <definedName name="sort">#REF!</definedName>
    <definedName name="Sort1">#REF!</definedName>
    <definedName name="sortcol" localSheetId="2">#REF!</definedName>
    <definedName name="sortcol" localSheetId="1">#REF!</definedName>
    <definedName name="sortcol" localSheetId="7">#REF!</definedName>
    <definedName name="sortcol" localSheetId="8">#REF!</definedName>
    <definedName name="sortcol" localSheetId="9">#REF!</definedName>
    <definedName name="sortcol" localSheetId="4">#REF!</definedName>
    <definedName name="sortcol" localSheetId="5">#REF!</definedName>
    <definedName name="sortcol" localSheetId="6">#REF!</definedName>
    <definedName name="sortcol" localSheetId="0">#REF!</definedName>
    <definedName name="sortcol">#REF!</definedName>
    <definedName name="Source">[39]DropDownRanges!$D$4:$D$7</definedName>
    <definedName name="SPWS_WBID">"115966228744984"</definedName>
    <definedName name="sSRCDate" localSheetId="2">'[52]Feb''12 FAR Data'!#REF!</definedName>
    <definedName name="sSRCDate" localSheetId="0">'[52]Feb''12 FAR Data'!#REF!</definedName>
    <definedName name="sSRCDate">'[53]2008'!$C$3</definedName>
    <definedName name="start">#REF!</definedName>
    <definedName name="StartOfEntry">#REF!</definedName>
    <definedName name="StartPoint">#REF!</definedName>
    <definedName name="Stop">'[27]O-9'!#REF!</definedName>
    <definedName name="SubSystem">#REF!</definedName>
    <definedName name="SubSystems" localSheetId="7">#REF!</definedName>
    <definedName name="SubSystems" localSheetId="8">#REF!</definedName>
    <definedName name="SubSystems" localSheetId="9">#REF!</definedName>
    <definedName name="SubSystems" localSheetId="4">#REF!</definedName>
    <definedName name="SubSystems" localSheetId="5">#REF!</definedName>
    <definedName name="SubSystems" localSheetId="6">#REF!</definedName>
    <definedName name="SubSystems">#REF!</definedName>
    <definedName name="SubtypeToTruckType">[54]TruckCenterReference!$C$36:$D$86</definedName>
    <definedName name="SUMM">#REF!</definedName>
    <definedName name="SUMMARY">#REF!</definedName>
    <definedName name="Summary_DistrictName">[55]Summary!$B$7</definedName>
    <definedName name="Summary_DistrictNo">[55]Summary!$B$5</definedName>
    <definedName name="SUMMARY01">'[38]13Mo Average Pl'!$E$1:$J$45</definedName>
    <definedName name="SUMMARY1">#REF!</definedName>
    <definedName name="Supplemental_filter">[4]Settings!$C$31</definedName>
    <definedName name="SWDisposal">#N/A</definedName>
    <definedName name="Syst">#REF!</definedName>
    <definedName name="System" localSheetId="7">#REF!</definedName>
    <definedName name="System" localSheetId="8">#REF!</definedName>
    <definedName name="System" localSheetId="9">#REF!</definedName>
    <definedName name="System" localSheetId="4">#REF!</definedName>
    <definedName name="System" localSheetId="5">#REF!</definedName>
    <definedName name="System" localSheetId="6">#REF!</definedName>
    <definedName name="System" localSheetId="0">[56]BS_Close!$V$8</definedName>
    <definedName name="System">#REF!</definedName>
    <definedName name="System_1">[56]BS_Close!$V$8</definedName>
    <definedName name="Systems" localSheetId="7">#REF!</definedName>
    <definedName name="Systems" localSheetId="8">#REF!</definedName>
    <definedName name="Systems" localSheetId="9">#REF!</definedName>
    <definedName name="Systems" localSheetId="4">#REF!</definedName>
    <definedName name="Systems" localSheetId="5">#REF!</definedName>
    <definedName name="Systems" localSheetId="6">#REF!</definedName>
    <definedName name="Systems">#REF!</definedName>
    <definedName name="Table_SIC" localSheetId="7">#REF!</definedName>
    <definedName name="Table_SIC" localSheetId="8">#REF!</definedName>
    <definedName name="Table_SIC" localSheetId="9">#REF!</definedName>
    <definedName name="Table_SIC" localSheetId="4">#REF!</definedName>
    <definedName name="Table_SIC" localSheetId="5">#REF!</definedName>
    <definedName name="Table_SIC" localSheetId="6">#REF!</definedName>
    <definedName name="Table_SIC">#REF!</definedName>
    <definedName name="TargetMonths">[15]Settings!$I$18</definedName>
    <definedName name="taxrate" localSheetId="7">'LG Joe''s MSW'!$J$38</definedName>
    <definedName name="taxrate" localSheetId="8">'LG Joe''s Recycling'!$J$38</definedName>
    <definedName name="taxrate" localSheetId="9">'LG Joe''s Yard Waste'!$J$38</definedName>
    <definedName name="taxrate" localSheetId="3">'LG Lewis'!$J$38</definedName>
    <definedName name="taxrate" localSheetId="4">'LG Lewis MSW'!$J$38</definedName>
    <definedName name="taxrate" localSheetId="5">'LG Lewis Recycling'!$J$38</definedName>
    <definedName name="taxrate" localSheetId="6">'LG Lewis Yard Waste'!$J$38</definedName>
    <definedName name="TemplateEnd" localSheetId="2">#REF!</definedName>
    <definedName name="TemplateEnd" localSheetId="1">#REF!</definedName>
    <definedName name="TemplateEnd" localSheetId="7">#REF!</definedName>
    <definedName name="TemplateEnd" localSheetId="8">#REF!</definedName>
    <definedName name="TemplateEnd" localSheetId="9">#REF!</definedName>
    <definedName name="TemplateEnd" localSheetId="4">#REF!</definedName>
    <definedName name="TemplateEnd" localSheetId="5">#REF!</definedName>
    <definedName name="TemplateEnd" localSheetId="6">#REF!</definedName>
    <definedName name="TemplateEnd" localSheetId="0">#REF!</definedName>
    <definedName name="TemplateEnd">#REF!</definedName>
    <definedName name="TemplateStart" localSheetId="2">#REF!</definedName>
    <definedName name="TemplateStart" localSheetId="1">#REF!</definedName>
    <definedName name="TemplateStart" localSheetId="7">#REF!</definedName>
    <definedName name="TemplateStart" localSheetId="8">#REF!</definedName>
    <definedName name="TemplateStart" localSheetId="9">#REF!</definedName>
    <definedName name="TemplateStart" localSheetId="4">#REF!</definedName>
    <definedName name="TemplateStart" localSheetId="5">#REF!</definedName>
    <definedName name="TemplateStart" localSheetId="6">#REF!</definedName>
    <definedName name="TemplateStart" localSheetId="0">#REF!</definedName>
    <definedName name="TemplateStart">#REF!</definedName>
    <definedName name="test">'[57]Sch 4 - 12months'!$B$10:$O$86</definedName>
    <definedName name="TheTable" localSheetId="2">#REF!</definedName>
    <definedName name="TheTable" localSheetId="1">#REF!</definedName>
    <definedName name="TheTable" localSheetId="7">#REF!</definedName>
    <definedName name="TheTable" localSheetId="8">#REF!</definedName>
    <definedName name="TheTable" localSheetId="9">#REF!</definedName>
    <definedName name="TheTable" localSheetId="4">#REF!</definedName>
    <definedName name="TheTable" localSheetId="5">#REF!</definedName>
    <definedName name="TheTable" localSheetId="6">#REF!</definedName>
    <definedName name="TheTable" localSheetId="0">#REF!</definedName>
    <definedName name="TheTable">#REF!</definedName>
    <definedName name="TheTableOLD" localSheetId="2">#REF!</definedName>
    <definedName name="TheTableOLD" localSheetId="1">#REF!</definedName>
    <definedName name="TheTableOLD" localSheetId="7">#REF!</definedName>
    <definedName name="TheTableOLD" localSheetId="8">#REF!</definedName>
    <definedName name="TheTableOLD" localSheetId="9">#REF!</definedName>
    <definedName name="TheTableOLD" localSheetId="4">#REF!</definedName>
    <definedName name="TheTableOLD" localSheetId="5">#REF!</definedName>
    <definedName name="TheTableOLD" localSheetId="6">#REF!</definedName>
    <definedName name="TheTableOLD" localSheetId="0">#REF!</definedName>
    <definedName name="TheTableOLD">#REF!</definedName>
    <definedName name="Thousands1">#REF!</definedName>
    <definedName name="Thousands2">#REF!</definedName>
    <definedName name="Thousands3">#REF!</definedName>
    <definedName name="Thousands4">#REF!</definedName>
    <definedName name="timeseries">[4]Orientation!$B$6:$C$13</definedName>
    <definedName name="Title2">'[27]O-9'!#REF!</definedName>
    <definedName name="ToMonth" localSheetId="7">#REF!</definedName>
    <definedName name="ToMonth" localSheetId="8">#REF!</definedName>
    <definedName name="ToMonth" localSheetId="9">#REF!</definedName>
    <definedName name="ToMonth" localSheetId="4">#REF!</definedName>
    <definedName name="ToMonth" localSheetId="5">#REF!</definedName>
    <definedName name="ToMonth" localSheetId="6">#REF!</definedName>
    <definedName name="ToMonth">#REF!</definedName>
    <definedName name="Tons" localSheetId="7">#REF!</definedName>
    <definedName name="Tons" localSheetId="8">#REF!</definedName>
    <definedName name="Tons" localSheetId="9">#REF!</definedName>
    <definedName name="Tons" localSheetId="4">#REF!</definedName>
    <definedName name="Tons" localSheetId="5">#REF!</definedName>
    <definedName name="Tons" localSheetId="6">#REF!</definedName>
    <definedName name="Tons">#REF!</definedName>
    <definedName name="TOP">'[8]10800-10899'!#REF!</definedName>
    <definedName name="TOT">#REF!</definedName>
    <definedName name="Total_Comm">'[19]Tariff Rate Sheet'!$L$214</definedName>
    <definedName name="Total_DB">'[19]Tariff Rate Sheet'!$L$278</definedName>
    <definedName name="Total_Interest">'[58]Amortization Table'!$F$18</definedName>
    <definedName name="Total_Resi">'[19]Tariff Rate Sheet'!$L$107</definedName>
    <definedName name="Totalcapacity">[59]Capacity!$M$22</definedName>
    <definedName name="TotalYards">'[21]Gross Yardage Worksheet'!$N$101</definedName>
    <definedName name="TOTCONT">'[35]Sorted Master'!$K$9</definedName>
    <definedName name="TOTCONTCONT">#REF!</definedName>
    <definedName name="TOTCONTCUST">#REF!</definedName>
    <definedName name="TOTCONTDH">#REF!</definedName>
    <definedName name="TOTCONTREV">#REF!</definedName>
    <definedName name="TOTCONTTH">#REF!</definedName>
    <definedName name="TOTCRECCONT">'[35]Sorted Master'!$Z$9</definedName>
    <definedName name="TOTCRECCUST" localSheetId="7">'[24]Master IS (C)'!#REF!</definedName>
    <definedName name="TOTCRECCUST" localSheetId="8">'[24]Master IS (C)'!#REF!</definedName>
    <definedName name="TOTCRECCUST" localSheetId="9">'[24]Master IS (C)'!#REF!</definedName>
    <definedName name="TOTCRECCUST" localSheetId="4">'[24]Master IS (C)'!#REF!</definedName>
    <definedName name="TOTCRECCUST" localSheetId="5">'[24]Master IS (C)'!#REF!</definedName>
    <definedName name="TOTCRECCUST" localSheetId="6">'[24]Master IS (C)'!#REF!</definedName>
    <definedName name="TOTCRECCUST">'[24]Master IS (C)'!#REF!</definedName>
    <definedName name="TOTCRECDH" localSheetId="7">'[24]Master IS (C)'!#REF!</definedName>
    <definedName name="TOTCRECDH" localSheetId="8">'[24]Master IS (C)'!#REF!</definedName>
    <definedName name="TOTCRECDH" localSheetId="9">'[24]Master IS (C)'!#REF!</definedName>
    <definedName name="TOTCRECDH" localSheetId="4">'[24]Master IS (C)'!#REF!</definedName>
    <definedName name="TOTCRECDH" localSheetId="5">'[24]Master IS (C)'!#REF!</definedName>
    <definedName name="TOTCRECDH" localSheetId="6">'[24]Master IS (C)'!#REF!</definedName>
    <definedName name="TOTCRECDH">'[24]Master IS (C)'!#REF!</definedName>
    <definedName name="TOTCRECREV" localSheetId="7">'[24]Master IS (C)'!#REF!</definedName>
    <definedName name="TOTCRECREV" localSheetId="8">'[24]Master IS (C)'!#REF!</definedName>
    <definedName name="TOTCRECREV" localSheetId="9">'[24]Master IS (C)'!#REF!</definedName>
    <definedName name="TOTCRECREV" localSheetId="4">'[24]Master IS (C)'!#REF!</definedName>
    <definedName name="TOTCRECREV" localSheetId="5">'[24]Master IS (C)'!#REF!</definedName>
    <definedName name="TOTCRECREV" localSheetId="6">'[24]Master IS (C)'!#REF!</definedName>
    <definedName name="TOTCRECREV">'[24]Master IS (C)'!#REF!</definedName>
    <definedName name="TOTCRECTDEP" localSheetId="7">'[24]Master IS (C)'!#REF!</definedName>
    <definedName name="TOTCRECTDEP" localSheetId="8">'[24]Master IS (C)'!#REF!</definedName>
    <definedName name="TOTCRECTDEP" localSheetId="9">'[24]Master IS (C)'!#REF!</definedName>
    <definedName name="TOTCRECTDEP" localSheetId="4">'[24]Master IS (C)'!#REF!</definedName>
    <definedName name="TOTCRECTDEP" localSheetId="5">'[24]Master IS (C)'!#REF!</definedName>
    <definedName name="TOTCRECTDEP" localSheetId="6">'[24]Master IS (C)'!#REF!</definedName>
    <definedName name="TOTCRECTDEP">'[24]Master IS (C)'!#REF!</definedName>
    <definedName name="TOTCRECTH">'[35]Sorted Master'!$Z$8</definedName>
    <definedName name="TOTCRECTV" localSheetId="7">'[24]Master IS (C)'!#REF!</definedName>
    <definedName name="TOTCRECTV" localSheetId="8">'[24]Master IS (C)'!#REF!</definedName>
    <definedName name="TOTCRECTV" localSheetId="9">'[24]Master IS (C)'!#REF!</definedName>
    <definedName name="TOTCRECTV" localSheetId="4">'[24]Master IS (C)'!#REF!</definedName>
    <definedName name="TOTCRECTV" localSheetId="5">'[24]Master IS (C)'!#REF!</definedName>
    <definedName name="TOTCRECTV" localSheetId="6">'[24]Master IS (C)'!#REF!</definedName>
    <definedName name="TOTCRECTV">'[24]Master IS (C)'!#REF!</definedName>
    <definedName name="TOTCUST" localSheetId="7">'[24]Master IS (C)'!#REF!</definedName>
    <definedName name="TOTCUST" localSheetId="8">'[24]Master IS (C)'!#REF!</definedName>
    <definedName name="TOTCUST" localSheetId="9">'[24]Master IS (C)'!#REF!</definedName>
    <definedName name="TOTCUST" localSheetId="4">'[24]Master IS (C)'!#REF!</definedName>
    <definedName name="TOTCUST" localSheetId="5">'[24]Master IS (C)'!#REF!</definedName>
    <definedName name="TOTCUST" localSheetId="6">'[24]Master IS (C)'!#REF!</definedName>
    <definedName name="TOTCUST">'[24]Master IS (C)'!#REF!</definedName>
    <definedName name="TOTDBCONT" localSheetId="7">'[24]Master IS (C)'!#REF!</definedName>
    <definedName name="TOTDBCONT" localSheetId="8">'[24]Master IS (C)'!#REF!</definedName>
    <definedName name="TOTDBCONT" localSheetId="9">'[24]Master IS (C)'!#REF!</definedName>
    <definedName name="TOTDBCONT" localSheetId="4">'[24]Master IS (C)'!#REF!</definedName>
    <definedName name="TOTDBCONT" localSheetId="5">'[24]Master IS (C)'!#REF!</definedName>
    <definedName name="TOTDBCONT" localSheetId="6">'[24]Master IS (C)'!#REF!</definedName>
    <definedName name="TOTDBCONT">'[24]Master IS (C)'!#REF!</definedName>
    <definedName name="TOTDBCUST" localSheetId="7">'[24]Master IS (C)'!#REF!</definedName>
    <definedName name="TOTDBCUST" localSheetId="8">'[24]Master IS (C)'!#REF!</definedName>
    <definedName name="TOTDBCUST" localSheetId="9">'[24]Master IS (C)'!#REF!</definedName>
    <definedName name="TOTDBCUST" localSheetId="4">'[24]Master IS (C)'!#REF!</definedName>
    <definedName name="TOTDBCUST" localSheetId="5">'[24]Master IS (C)'!#REF!</definedName>
    <definedName name="TOTDBCUST" localSheetId="6">'[24]Master IS (C)'!#REF!</definedName>
    <definedName name="TOTDBCUST">'[24]Master IS (C)'!#REF!</definedName>
    <definedName name="TOTDBDH" localSheetId="7">'[24]Master IS (C)'!#REF!</definedName>
    <definedName name="TOTDBDH" localSheetId="8">'[24]Master IS (C)'!#REF!</definedName>
    <definedName name="TOTDBDH" localSheetId="9">'[24]Master IS (C)'!#REF!</definedName>
    <definedName name="TOTDBDH" localSheetId="4">'[24]Master IS (C)'!#REF!</definedName>
    <definedName name="TOTDBDH" localSheetId="5">'[24]Master IS (C)'!#REF!</definedName>
    <definedName name="TOTDBDH" localSheetId="6">'[24]Master IS (C)'!#REF!</definedName>
    <definedName name="TOTDBDH">'[24]Master IS (C)'!#REF!</definedName>
    <definedName name="TOTDBREV" localSheetId="7">'[24]Master IS (C)'!#REF!</definedName>
    <definedName name="TOTDBREV" localSheetId="8">'[24]Master IS (C)'!#REF!</definedName>
    <definedName name="TOTDBREV" localSheetId="9">'[24]Master IS (C)'!#REF!</definedName>
    <definedName name="TOTDBREV" localSheetId="4">'[24]Master IS (C)'!#REF!</definedName>
    <definedName name="TOTDBREV" localSheetId="5">'[24]Master IS (C)'!#REF!</definedName>
    <definedName name="TOTDBREV" localSheetId="6">'[24]Master IS (C)'!#REF!</definedName>
    <definedName name="TOTDBREV">'[24]Master IS (C)'!#REF!</definedName>
    <definedName name="TOTDBTDEP" localSheetId="7">'[24]Master IS (C)'!#REF!</definedName>
    <definedName name="TOTDBTDEP" localSheetId="8">'[24]Master IS (C)'!#REF!</definedName>
    <definedName name="TOTDBTDEP" localSheetId="9">'[24]Master IS (C)'!#REF!</definedName>
    <definedName name="TOTDBTDEP" localSheetId="4">'[24]Master IS (C)'!#REF!</definedName>
    <definedName name="TOTDBTDEP" localSheetId="5">'[24]Master IS (C)'!#REF!</definedName>
    <definedName name="TOTDBTDEP" localSheetId="6">'[24]Master IS (C)'!#REF!</definedName>
    <definedName name="TOTDBTDEP">'[24]Master IS (C)'!#REF!</definedName>
    <definedName name="TOTDBTH" localSheetId="7">'[24]Master IS (C)'!#REF!</definedName>
    <definedName name="TOTDBTH" localSheetId="8">'[24]Master IS (C)'!#REF!</definedName>
    <definedName name="TOTDBTH" localSheetId="9">'[24]Master IS (C)'!#REF!</definedName>
    <definedName name="TOTDBTH" localSheetId="4">'[24]Master IS (C)'!#REF!</definedName>
    <definedName name="TOTDBTH" localSheetId="5">'[24]Master IS (C)'!#REF!</definedName>
    <definedName name="TOTDBTH" localSheetId="6">'[24]Master IS (C)'!#REF!</definedName>
    <definedName name="TOTDBTH">'[24]Master IS (C)'!#REF!</definedName>
    <definedName name="TOTDBTV" localSheetId="7">'[24]Master IS (C)'!#REF!</definedName>
    <definedName name="TOTDBTV" localSheetId="8">'[24]Master IS (C)'!#REF!</definedName>
    <definedName name="TOTDBTV" localSheetId="9">'[24]Master IS (C)'!#REF!</definedName>
    <definedName name="TOTDBTV" localSheetId="4">'[24]Master IS (C)'!#REF!</definedName>
    <definedName name="TOTDBTV" localSheetId="5">'[24]Master IS (C)'!#REF!</definedName>
    <definedName name="TOTDBTV" localSheetId="6">'[24]Master IS (C)'!#REF!</definedName>
    <definedName name="TOTDBTV">'[24]Master IS (C)'!#REF!</definedName>
    <definedName name="TOTDEBCONT" localSheetId="7">'[24]Master IS (C)'!#REF!</definedName>
    <definedName name="TOTDEBCONT" localSheetId="8">'[24]Master IS (C)'!#REF!</definedName>
    <definedName name="TOTDEBCONT" localSheetId="9">'[24]Master IS (C)'!#REF!</definedName>
    <definedName name="TOTDEBCONT" localSheetId="4">'[24]Master IS (C)'!#REF!</definedName>
    <definedName name="TOTDEBCONT" localSheetId="5">'[24]Master IS (C)'!#REF!</definedName>
    <definedName name="TOTDEBCONT" localSheetId="6">'[24]Master IS (C)'!#REF!</definedName>
    <definedName name="TOTDEBCONT">'[24]Master IS (C)'!#REF!</definedName>
    <definedName name="TOTDEBCUST" localSheetId="7">'[24]Master IS (C)'!#REF!</definedName>
    <definedName name="TOTDEBCUST" localSheetId="8">'[24]Master IS (C)'!#REF!</definedName>
    <definedName name="TOTDEBCUST" localSheetId="9">'[24]Master IS (C)'!#REF!</definedName>
    <definedName name="TOTDEBCUST" localSheetId="4">'[24]Master IS (C)'!#REF!</definedName>
    <definedName name="TOTDEBCUST" localSheetId="5">'[24]Master IS (C)'!#REF!</definedName>
    <definedName name="TOTDEBCUST" localSheetId="6">'[24]Master IS (C)'!#REF!</definedName>
    <definedName name="TOTDEBCUST">'[24]Master IS (C)'!#REF!</definedName>
    <definedName name="TOTDEBDH" localSheetId="7">'[24]Master IS (C)'!#REF!</definedName>
    <definedName name="TOTDEBDH" localSheetId="8">'[24]Master IS (C)'!#REF!</definedName>
    <definedName name="TOTDEBDH" localSheetId="9">'[24]Master IS (C)'!#REF!</definedName>
    <definedName name="TOTDEBDH" localSheetId="4">'[24]Master IS (C)'!#REF!</definedName>
    <definedName name="TOTDEBDH" localSheetId="5">'[24]Master IS (C)'!#REF!</definedName>
    <definedName name="TOTDEBDH" localSheetId="6">'[24]Master IS (C)'!#REF!</definedName>
    <definedName name="TOTDEBDH">'[24]Master IS (C)'!#REF!</definedName>
    <definedName name="TOTDEBREV" localSheetId="7">'[24]Master IS (C)'!#REF!</definedName>
    <definedName name="TOTDEBREV" localSheetId="8">'[24]Master IS (C)'!#REF!</definedName>
    <definedName name="TOTDEBREV" localSheetId="9">'[24]Master IS (C)'!#REF!</definedName>
    <definedName name="TOTDEBREV" localSheetId="4">'[24]Master IS (C)'!#REF!</definedName>
    <definedName name="TOTDEBREV" localSheetId="5">'[24]Master IS (C)'!#REF!</definedName>
    <definedName name="TOTDEBREV" localSheetId="6">'[24]Master IS (C)'!#REF!</definedName>
    <definedName name="TOTDEBREV">'[24]Master IS (C)'!#REF!</definedName>
    <definedName name="TOTDEBTH">'[35]Sorted Master'!$AD$8</definedName>
    <definedName name="TOTDH" localSheetId="7">'[24]Master IS (C)'!#REF!</definedName>
    <definedName name="TOTDH" localSheetId="8">'[24]Master IS (C)'!#REF!</definedName>
    <definedName name="TOTDH" localSheetId="9">'[24]Master IS (C)'!#REF!</definedName>
    <definedName name="TOTDH" localSheetId="4">'[24]Master IS (C)'!#REF!</definedName>
    <definedName name="TOTDH" localSheetId="5">'[24]Master IS (C)'!#REF!</definedName>
    <definedName name="TOTDH" localSheetId="6">'[24]Master IS (C)'!#REF!</definedName>
    <definedName name="TOTDH">'[24]Master IS (C)'!#REF!</definedName>
    <definedName name="TOTFELCONT" localSheetId="7">'[24]Master IS (C)'!#REF!</definedName>
    <definedName name="TOTFELCONT" localSheetId="8">'[24]Master IS (C)'!#REF!</definedName>
    <definedName name="TOTFELCONT" localSheetId="9">'[24]Master IS (C)'!#REF!</definedName>
    <definedName name="TOTFELCONT" localSheetId="4">'[24]Master IS (C)'!#REF!</definedName>
    <definedName name="TOTFELCONT" localSheetId="5">'[24]Master IS (C)'!#REF!</definedName>
    <definedName name="TOTFELCONT" localSheetId="6">'[24]Master IS (C)'!#REF!</definedName>
    <definedName name="TOTFELCONT">'[24]Master IS (C)'!#REF!</definedName>
    <definedName name="TOTFELCUST" localSheetId="7">'[24]Master IS (C)'!#REF!</definedName>
    <definedName name="TOTFELCUST" localSheetId="8">'[24]Master IS (C)'!#REF!</definedName>
    <definedName name="TOTFELCUST" localSheetId="9">'[24]Master IS (C)'!#REF!</definedName>
    <definedName name="TOTFELCUST" localSheetId="4">'[24]Master IS (C)'!#REF!</definedName>
    <definedName name="TOTFELCUST" localSheetId="5">'[24]Master IS (C)'!#REF!</definedName>
    <definedName name="TOTFELCUST" localSheetId="6">'[24]Master IS (C)'!#REF!</definedName>
    <definedName name="TOTFELCUST">'[24]Master IS (C)'!#REF!</definedName>
    <definedName name="TOTFELDH" localSheetId="7">'[24]Master IS (C)'!#REF!</definedName>
    <definedName name="TOTFELDH" localSheetId="8">'[24]Master IS (C)'!#REF!</definedName>
    <definedName name="TOTFELDH" localSheetId="9">'[24]Master IS (C)'!#REF!</definedName>
    <definedName name="TOTFELDH" localSheetId="4">'[24]Master IS (C)'!#REF!</definedName>
    <definedName name="TOTFELDH" localSheetId="5">'[24]Master IS (C)'!#REF!</definedName>
    <definedName name="TOTFELDH" localSheetId="6">'[24]Master IS (C)'!#REF!</definedName>
    <definedName name="TOTFELDH">'[24]Master IS (C)'!#REF!</definedName>
    <definedName name="TOTFELREV" localSheetId="7">'[24]Master IS (C)'!#REF!</definedName>
    <definedName name="TOTFELREV" localSheetId="8">'[24]Master IS (C)'!#REF!</definedName>
    <definedName name="TOTFELREV" localSheetId="9">'[24]Master IS (C)'!#REF!</definedName>
    <definedName name="TOTFELREV" localSheetId="4">'[24]Master IS (C)'!#REF!</definedName>
    <definedName name="TOTFELREV" localSheetId="5">'[24]Master IS (C)'!#REF!</definedName>
    <definedName name="TOTFELREV" localSheetId="6">'[24]Master IS (C)'!#REF!</definedName>
    <definedName name="TOTFELREV">'[24]Master IS (C)'!#REF!</definedName>
    <definedName name="TOTFELTDEP" localSheetId="7">'[24]Master IS (C)'!#REF!</definedName>
    <definedName name="TOTFELTDEP" localSheetId="8">'[24]Master IS (C)'!#REF!</definedName>
    <definedName name="TOTFELTDEP" localSheetId="9">'[24]Master IS (C)'!#REF!</definedName>
    <definedName name="TOTFELTDEP" localSheetId="4">'[24]Master IS (C)'!#REF!</definedName>
    <definedName name="TOTFELTDEP" localSheetId="5">'[24]Master IS (C)'!#REF!</definedName>
    <definedName name="TOTFELTDEP" localSheetId="6">'[24]Master IS (C)'!#REF!</definedName>
    <definedName name="TOTFELTDEP">'[24]Master IS (C)'!#REF!</definedName>
    <definedName name="TOTFELTH" localSheetId="7">'[24]Master IS (C)'!#REF!</definedName>
    <definedName name="TOTFELTH" localSheetId="8">'[24]Master IS (C)'!#REF!</definedName>
    <definedName name="TOTFELTH" localSheetId="9">'[24]Master IS (C)'!#REF!</definedName>
    <definedName name="TOTFELTH" localSheetId="4">'[24]Master IS (C)'!#REF!</definedName>
    <definedName name="TOTFELTH" localSheetId="5">'[24]Master IS (C)'!#REF!</definedName>
    <definedName name="TOTFELTH" localSheetId="6">'[24]Master IS (C)'!#REF!</definedName>
    <definedName name="TOTFELTH">'[24]Master IS (C)'!#REF!</definedName>
    <definedName name="TOTFELTV" localSheetId="7">'[24]Master IS (C)'!#REF!</definedName>
    <definedName name="TOTFELTV" localSheetId="8">'[24]Master IS (C)'!#REF!</definedName>
    <definedName name="TOTFELTV" localSheetId="9">'[24]Master IS (C)'!#REF!</definedName>
    <definedName name="TOTFELTV" localSheetId="4">'[24]Master IS (C)'!#REF!</definedName>
    <definedName name="TOTFELTV" localSheetId="5">'[24]Master IS (C)'!#REF!</definedName>
    <definedName name="TOTFELTV" localSheetId="6">'[24]Master IS (C)'!#REF!</definedName>
    <definedName name="TOTFELTV">'[24]Master IS (C)'!#REF!</definedName>
    <definedName name="TOTRESCONT" localSheetId="7">'[24]Master IS (C)'!#REF!</definedName>
    <definedName name="TOTRESCONT" localSheetId="8">'[24]Master IS (C)'!#REF!</definedName>
    <definedName name="TOTRESCONT" localSheetId="9">'[24]Master IS (C)'!#REF!</definedName>
    <definedName name="TOTRESCONT" localSheetId="4">'[24]Master IS (C)'!#REF!</definedName>
    <definedName name="TOTRESCONT" localSheetId="5">'[24]Master IS (C)'!#REF!</definedName>
    <definedName name="TOTRESCONT" localSheetId="6">'[24]Master IS (C)'!#REF!</definedName>
    <definedName name="TOTRESCONT">'[24]Master IS (C)'!#REF!</definedName>
    <definedName name="TOTRESCUST" localSheetId="7">'[24]Master IS (C)'!#REF!</definedName>
    <definedName name="TOTRESCUST" localSheetId="8">'[24]Master IS (C)'!#REF!</definedName>
    <definedName name="TOTRESCUST" localSheetId="9">'[24]Master IS (C)'!#REF!</definedName>
    <definedName name="TOTRESCUST" localSheetId="4">'[24]Master IS (C)'!#REF!</definedName>
    <definedName name="TOTRESCUST" localSheetId="5">'[24]Master IS (C)'!#REF!</definedName>
    <definedName name="TOTRESCUST" localSheetId="6">'[24]Master IS (C)'!#REF!</definedName>
    <definedName name="TOTRESCUST">'[24]Master IS (C)'!#REF!</definedName>
    <definedName name="TOTRESDH" localSheetId="7">'[24]Master IS (C)'!#REF!</definedName>
    <definedName name="TOTRESDH" localSheetId="8">'[24]Master IS (C)'!#REF!</definedName>
    <definedName name="TOTRESDH" localSheetId="9">'[24]Master IS (C)'!#REF!</definedName>
    <definedName name="TOTRESDH" localSheetId="4">'[24]Master IS (C)'!#REF!</definedName>
    <definedName name="TOTRESDH" localSheetId="5">'[24]Master IS (C)'!#REF!</definedName>
    <definedName name="TOTRESDH" localSheetId="6">'[24]Master IS (C)'!#REF!</definedName>
    <definedName name="TOTRESDH">'[24]Master IS (C)'!#REF!</definedName>
    <definedName name="TOTRESRCONT" localSheetId="7">'[24]Master IS (C)'!#REF!</definedName>
    <definedName name="TOTRESRCONT" localSheetId="8">'[24]Master IS (C)'!#REF!</definedName>
    <definedName name="TOTRESRCONT" localSheetId="9">'[24]Master IS (C)'!#REF!</definedName>
    <definedName name="TOTRESRCONT" localSheetId="4">'[24]Master IS (C)'!#REF!</definedName>
    <definedName name="TOTRESRCONT" localSheetId="5">'[24]Master IS (C)'!#REF!</definedName>
    <definedName name="TOTRESRCONT" localSheetId="6">'[24]Master IS (C)'!#REF!</definedName>
    <definedName name="TOTRESRCONT">'[24]Master IS (C)'!#REF!</definedName>
    <definedName name="TOTRESRCUST" localSheetId="7">'[24]Master IS (C)'!#REF!</definedName>
    <definedName name="TOTRESRCUST" localSheetId="8">'[24]Master IS (C)'!#REF!</definedName>
    <definedName name="TOTRESRCUST" localSheetId="9">'[24]Master IS (C)'!#REF!</definedName>
    <definedName name="TOTRESRCUST" localSheetId="4">'[24]Master IS (C)'!#REF!</definedName>
    <definedName name="TOTRESRCUST" localSheetId="5">'[24]Master IS (C)'!#REF!</definedName>
    <definedName name="TOTRESRCUST" localSheetId="6">'[24]Master IS (C)'!#REF!</definedName>
    <definedName name="TOTRESRCUST">'[24]Master IS (C)'!#REF!</definedName>
    <definedName name="TOTRESRDH" localSheetId="7">'[24]Master IS (C)'!#REF!</definedName>
    <definedName name="TOTRESRDH" localSheetId="8">'[24]Master IS (C)'!#REF!</definedName>
    <definedName name="TOTRESRDH" localSheetId="9">'[24]Master IS (C)'!#REF!</definedName>
    <definedName name="TOTRESRDH" localSheetId="4">'[24]Master IS (C)'!#REF!</definedName>
    <definedName name="TOTRESRDH" localSheetId="5">'[24]Master IS (C)'!#REF!</definedName>
    <definedName name="TOTRESRDH" localSheetId="6">'[24]Master IS (C)'!#REF!</definedName>
    <definedName name="TOTRESRDH">'[24]Master IS (C)'!#REF!</definedName>
    <definedName name="TOTRESREV" localSheetId="7">'[24]Master IS (C)'!#REF!</definedName>
    <definedName name="TOTRESREV" localSheetId="8">'[24]Master IS (C)'!#REF!</definedName>
    <definedName name="TOTRESREV" localSheetId="9">'[24]Master IS (C)'!#REF!</definedName>
    <definedName name="TOTRESREV" localSheetId="4">'[24]Master IS (C)'!#REF!</definedName>
    <definedName name="TOTRESREV" localSheetId="5">'[24]Master IS (C)'!#REF!</definedName>
    <definedName name="TOTRESREV" localSheetId="6">'[24]Master IS (C)'!#REF!</definedName>
    <definedName name="TOTRESREV">'[24]Master IS (C)'!#REF!</definedName>
    <definedName name="TOTRESRREV" localSheetId="7">'[24]Master IS (C)'!#REF!</definedName>
    <definedName name="TOTRESRREV" localSheetId="8">'[24]Master IS (C)'!#REF!</definedName>
    <definedName name="TOTRESRREV" localSheetId="9">'[24]Master IS (C)'!#REF!</definedName>
    <definedName name="TOTRESRREV" localSheetId="4">'[24]Master IS (C)'!#REF!</definedName>
    <definedName name="TOTRESRREV" localSheetId="5">'[24]Master IS (C)'!#REF!</definedName>
    <definedName name="TOTRESRREV" localSheetId="6">'[24]Master IS (C)'!#REF!</definedName>
    <definedName name="TOTRESRREV">'[24]Master IS (C)'!#REF!</definedName>
    <definedName name="TOTRESRTDEP" localSheetId="7">'[24]Master IS (C)'!#REF!</definedName>
    <definedName name="TOTRESRTDEP" localSheetId="8">'[24]Master IS (C)'!#REF!</definedName>
    <definedName name="TOTRESRTDEP" localSheetId="9">'[24]Master IS (C)'!#REF!</definedName>
    <definedName name="TOTRESRTDEP" localSheetId="4">'[24]Master IS (C)'!#REF!</definedName>
    <definedName name="TOTRESRTDEP" localSheetId="5">'[24]Master IS (C)'!#REF!</definedName>
    <definedName name="TOTRESRTDEP" localSheetId="6">'[24]Master IS (C)'!#REF!</definedName>
    <definedName name="TOTRESRTDEP">'[24]Master IS (C)'!#REF!</definedName>
    <definedName name="TOTRESRTH" localSheetId="7">'[24]Master IS (C)'!#REF!</definedName>
    <definedName name="TOTRESRTH" localSheetId="8">'[24]Master IS (C)'!#REF!</definedName>
    <definedName name="TOTRESRTH" localSheetId="9">'[24]Master IS (C)'!#REF!</definedName>
    <definedName name="TOTRESRTH" localSheetId="4">'[24]Master IS (C)'!#REF!</definedName>
    <definedName name="TOTRESRTH" localSheetId="5">'[24]Master IS (C)'!#REF!</definedName>
    <definedName name="TOTRESRTH" localSheetId="6">'[24]Master IS (C)'!#REF!</definedName>
    <definedName name="TOTRESRTH">'[24]Master IS (C)'!#REF!</definedName>
    <definedName name="TOTRESRTV" localSheetId="7">'[24]Master IS (C)'!#REF!</definedName>
    <definedName name="TOTRESRTV" localSheetId="8">'[24]Master IS (C)'!#REF!</definedName>
    <definedName name="TOTRESRTV" localSheetId="9">'[24]Master IS (C)'!#REF!</definedName>
    <definedName name="TOTRESRTV" localSheetId="4">'[24]Master IS (C)'!#REF!</definedName>
    <definedName name="TOTRESRTV" localSheetId="5">'[24]Master IS (C)'!#REF!</definedName>
    <definedName name="TOTRESRTV" localSheetId="6">'[24]Master IS (C)'!#REF!</definedName>
    <definedName name="TOTRESRTV">'[24]Master IS (C)'!#REF!</definedName>
    <definedName name="TOTRESTDEP" localSheetId="7">'[24]Master IS (C)'!#REF!</definedName>
    <definedName name="TOTRESTDEP" localSheetId="8">'[24]Master IS (C)'!#REF!</definedName>
    <definedName name="TOTRESTDEP" localSheetId="9">'[24]Master IS (C)'!#REF!</definedName>
    <definedName name="TOTRESTDEP" localSheetId="4">'[24]Master IS (C)'!#REF!</definedName>
    <definedName name="TOTRESTDEP" localSheetId="5">'[24]Master IS (C)'!#REF!</definedName>
    <definedName name="TOTRESTDEP" localSheetId="6">'[24]Master IS (C)'!#REF!</definedName>
    <definedName name="TOTRESTDEP">'[24]Master IS (C)'!#REF!</definedName>
    <definedName name="TOTRESTH" localSheetId="7">'[24]Master IS (C)'!#REF!</definedName>
    <definedName name="TOTRESTH" localSheetId="8">'[24]Master IS (C)'!#REF!</definedName>
    <definedName name="TOTRESTH" localSheetId="9">'[24]Master IS (C)'!#REF!</definedName>
    <definedName name="TOTRESTH" localSheetId="4">'[24]Master IS (C)'!#REF!</definedName>
    <definedName name="TOTRESTH" localSheetId="5">'[24]Master IS (C)'!#REF!</definedName>
    <definedName name="TOTRESTH" localSheetId="6">'[24]Master IS (C)'!#REF!</definedName>
    <definedName name="TOTRESTH">'[24]Master IS (C)'!#REF!</definedName>
    <definedName name="TOTRESTV" localSheetId="7">'[24]Master IS (C)'!#REF!</definedName>
    <definedName name="TOTRESTV" localSheetId="8">'[24]Master IS (C)'!#REF!</definedName>
    <definedName name="TOTRESTV" localSheetId="9">'[24]Master IS (C)'!#REF!</definedName>
    <definedName name="TOTRESTV" localSheetId="4">'[24]Master IS (C)'!#REF!</definedName>
    <definedName name="TOTRESTV" localSheetId="5">'[24]Master IS (C)'!#REF!</definedName>
    <definedName name="TOTRESTV" localSheetId="6">'[24]Master IS (C)'!#REF!</definedName>
    <definedName name="TOTRESTV">'[24]Master IS (C)'!#REF!</definedName>
    <definedName name="TOTREV" localSheetId="7">'[24]Master IS (C)'!#REF!</definedName>
    <definedName name="TOTREV" localSheetId="8">'[24]Master IS (C)'!#REF!</definedName>
    <definedName name="TOTREV" localSheetId="9">'[24]Master IS (C)'!#REF!</definedName>
    <definedName name="TOTREV" localSheetId="4">'[24]Master IS (C)'!#REF!</definedName>
    <definedName name="TOTREV" localSheetId="5">'[24]Master IS (C)'!#REF!</definedName>
    <definedName name="TOTREV" localSheetId="6">'[24]Master IS (C)'!#REF!</definedName>
    <definedName name="TOTREV">'[24]Master IS (C)'!#REF!</definedName>
    <definedName name="TOTTDEP" localSheetId="7">'[24]Master IS (C)'!#REF!</definedName>
    <definedName name="TOTTDEP" localSheetId="8">'[24]Master IS (C)'!#REF!</definedName>
    <definedName name="TOTTDEP" localSheetId="9">'[24]Master IS (C)'!#REF!</definedName>
    <definedName name="TOTTDEP" localSheetId="4">'[24]Master IS (C)'!#REF!</definedName>
    <definedName name="TOTTDEP" localSheetId="5">'[24]Master IS (C)'!#REF!</definedName>
    <definedName name="TOTTDEP" localSheetId="6">'[24]Master IS (C)'!#REF!</definedName>
    <definedName name="TOTTDEP">'[24]Master IS (C)'!#REF!</definedName>
    <definedName name="TOTTH" localSheetId="7">'[24]Master IS (C)'!#REF!</definedName>
    <definedName name="TOTTH" localSheetId="8">'[24]Master IS (C)'!#REF!</definedName>
    <definedName name="TOTTH" localSheetId="9">'[24]Master IS (C)'!#REF!</definedName>
    <definedName name="TOTTH" localSheetId="4">'[24]Master IS (C)'!#REF!</definedName>
    <definedName name="TOTTH" localSheetId="5">'[24]Master IS (C)'!#REF!</definedName>
    <definedName name="TOTTH" localSheetId="6">'[24]Master IS (C)'!#REF!</definedName>
    <definedName name="TOTTH">'[24]Master IS (C)'!#REF!</definedName>
    <definedName name="TOTTV" localSheetId="7">'[24]Master IS (C)'!#REF!</definedName>
    <definedName name="TOTTV" localSheetId="8">'[24]Master IS (C)'!#REF!</definedName>
    <definedName name="TOTTV" localSheetId="9">'[24]Master IS (C)'!#REF!</definedName>
    <definedName name="TOTTV" localSheetId="4">'[24]Master IS (C)'!#REF!</definedName>
    <definedName name="TOTTV" localSheetId="5">'[24]Master IS (C)'!#REF!</definedName>
    <definedName name="TOTTV" localSheetId="6">'[24]Master IS (C)'!#REF!</definedName>
    <definedName name="TOTTV">'[24]Master IS (C)'!#REF!</definedName>
    <definedName name="TOTUNREGCONT">#REF!</definedName>
    <definedName name="TOTUNREGCUST">#REF!</definedName>
    <definedName name="TOTUNREGDH">#REF!</definedName>
    <definedName name="TOTUNREGREV">#REF!</definedName>
    <definedName name="TOTUNREGTH">#REF!</definedName>
    <definedName name="Transactions" localSheetId="2">#REF!</definedName>
    <definedName name="Transactions" localSheetId="1">#REF!</definedName>
    <definedName name="Transactions" localSheetId="7">#REF!</definedName>
    <definedName name="Transactions" localSheetId="8">#REF!</definedName>
    <definedName name="Transactions" localSheetId="9">#REF!</definedName>
    <definedName name="Transactions" localSheetId="4">#REF!</definedName>
    <definedName name="Transactions" localSheetId="5">#REF!</definedName>
    <definedName name="Transactions" localSheetId="6">#REF!</definedName>
    <definedName name="Transactions" localSheetId="0">#REF!</definedName>
    <definedName name="Transactions">#REF!</definedName>
    <definedName name="TYPE">#REF!</definedName>
    <definedName name="TypeSelection">#REF!</definedName>
    <definedName name="UnformattedIS" localSheetId="7">#REF!</definedName>
    <definedName name="UnformattedIS" localSheetId="8">#REF!</definedName>
    <definedName name="UnformattedIS" localSheetId="9">#REF!</definedName>
    <definedName name="UnformattedIS" localSheetId="4">#REF!</definedName>
    <definedName name="UnformattedIS" localSheetId="5">#REF!</definedName>
    <definedName name="UnformattedIS" localSheetId="6">#REF!</definedName>
    <definedName name="UnformattedIS">#REF!</definedName>
    <definedName name="UNID">#REF!</definedName>
    <definedName name="UnregulatedIS">'[44]2010 IS'!$A$12:$Q$654</definedName>
    <definedName name="UserTestMode">[25]Summary!$J$9</definedName>
    <definedName name="ValidFormats">[7]Delivery!$AA$4:$AA$10</definedName>
    <definedName name="variable">#REF!</definedName>
    <definedName name="Variables">'[14]Income Statement (WMofWA)'!#REF!</definedName>
    <definedName name="VarianceStatus">[25]Summary!$L$17</definedName>
    <definedName name="VarianceTolerance">[25]Summary!$U$21</definedName>
    <definedName name="VendorCode" localSheetId="7">#REF!</definedName>
    <definedName name="VendorCode" localSheetId="8">#REF!</definedName>
    <definedName name="VendorCode" localSheetId="9">#REF!</definedName>
    <definedName name="VendorCode" localSheetId="4">#REF!</definedName>
    <definedName name="VendorCode" localSheetId="5">#REF!</definedName>
    <definedName name="VendorCode" localSheetId="6">#REF!</definedName>
    <definedName name="VendorCode">#REF!</definedName>
    <definedName name="VendorName">#REF!</definedName>
    <definedName name="Version" localSheetId="7">[29]Data!#REF!</definedName>
    <definedName name="Version" localSheetId="8">[29]Data!#REF!</definedName>
    <definedName name="Version" localSheetId="9">[29]Data!#REF!</definedName>
    <definedName name="Version" localSheetId="4">[29]Data!#REF!</definedName>
    <definedName name="Version" localSheetId="5">[29]Data!#REF!</definedName>
    <definedName name="Version" localSheetId="6">[29]Data!#REF!</definedName>
    <definedName name="Version">[29]Data!#REF!</definedName>
    <definedName name="Waste_Connections__Inc.">#REF!</definedName>
    <definedName name="Waste_Management__Inc.">#REF!</definedName>
    <definedName name="WksInYr" localSheetId="7">#REF!</definedName>
    <definedName name="WksInYr" localSheetId="8">#REF!</definedName>
    <definedName name="WksInYr" localSheetId="9">#REF!</definedName>
    <definedName name="WksInYr" localSheetId="4">#REF!</definedName>
    <definedName name="WksInYr" localSheetId="5">#REF!</definedName>
    <definedName name="WksInYr" localSheetId="6">#REF!</definedName>
    <definedName name="WksInYr">#REF!</definedName>
    <definedName name="WM">#REF!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hidden="1">{"Page1",#N/A,TRUE,"SUMM";"Page2",#N/A,TRUE,"Rev";"Page3",#N/A,TRUE,"Dir_Costs"}</definedName>
    <definedName name="WTable" localSheetId="2">#REF!</definedName>
    <definedName name="WTable" localSheetId="1">#REF!</definedName>
    <definedName name="WTable" localSheetId="7">#REF!</definedName>
    <definedName name="WTable" localSheetId="8">#REF!</definedName>
    <definedName name="WTable" localSheetId="9">#REF!</definedName>
    <definedName name="WTable" localSheetId="4">#REF!</definedName>
    <definedName name="WTable" localSheetId="5">#REF!</definedName>
    <definedName name="WTable" localSheetId="6">#REF!</definedName>
    <definedName name="WTable" localSheetId="0">#REF!</definedName>
    <definedName name="WTable">#REF!</definedName>
    <definedName name="WTableOld" localSheetId="2">#REF!</definedName>
    <definedName name="WTableOld" localSheetId="1">#REF!</definedName>
    <definedName name="WTableOld" localSheetId="7">#REF!</definedName>
    <definedName name="WTableOld" localSheetId="8">#REF!</definedName>
    <definedName name="WTableOld" localSheetId="9">#REF!</definedName>
    <definedName name="WTableOld" localSheetId="4">#REF!</definedName>
    <definedName name="WTableOld" localSheetId="5">#REF!</definedName>
    <definedName name="WTableOld" localSheetId="6">#REF!</definedName>
    <definedName name="WTableOld" localSheetId="0">#REF!</definedName>
    <definedName name="WTableOld">#REF!</definedName>
    <definedName name="ww" localSheetId="7">#REF!</definedName>
    <definedName name="ww" localSheetId="8">#REF!</definedName>
    <definedName name="ww" localSheetId="9">#REF!</definedName>
    <definedName name="ww" localSheetId="4">#REF!</definedName>
    <definedName name="ww" localSheetId="5">#REF!</definedName>
    <definedName name="ww" localSheetId="6">#REF!</definedName>
    <definedName name="ww" localSheetId="0">#REF!</definedName>
    <definedName name="ww">#REF!</definedName>
    <definedName name="x">rank</definedName>
    <definedName name="xperiod">[4]Orientation!$G$15</definedName>
    <definedName name="xtabin" localSheetId="2">[6]Hidden!#REF!</definedName>
    <definedName name="xtabin" localSheetId="1">[6]Hidden!#REF!</definedName>
    <definedName name="xtabin" localSheetId="7">[9]Hidden!#REF!</definedName>
    <definedName name="xtabin" localSheetId="8">[9]Hidden!#REF!</definedName>
    <definedName name="xtabin" localSheetId="9">[9]Hidden!#REF!</definedName>
    <definedName name="xtabin" localSheetId="4">[9]Hidden!#REF!</definedName>
    <definedName name="xtabin" localSheetId="5">[9]Hidden!#REF!</definedName>
    <definedName name="xtabin" localSheetId="6">[9]Hidden!#REF!</definedName>
    <definedName name="xtabin" localSheetId="0">[6]Hidden!#REF!</definedName>
    <definedName name="xtabin">[9]Hidden!#REF!</definedName>
    <definedName name="xx" localSheetId="2">#REF!</definedName>
    <definedName name="xx" localSheetId="1">#REF!</definedName>
    <definedName name="xx" localSheetId="7">#REF!</definedName>
    <definedName name="xx" localSheetId="8">#REF!</definedName>
    <definedName name="xx" localSheetId="9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xxx" localSheetId="7">#REF!</definedName>
    <definedName name="xxx" localSheetId="8">#REF!</definedName>
    <definedName name="xxx" localSheetId="9">#REF!</definedName>
    <definedName name="xxx" localSheetId="4">#REF!</definedName>
    <definedName name="xxx" localSheetId="5">#REF!</definedName>
    <definedName name="xxx" localSheetId="6">#REF!</definedName>
    <definedName name="xxx" localSheetId="0">#REF!</definedName>
    <definedName name="xxx">#REF!</definedName>
    <definedName name="xxxx" localSheetId="7">#REF!</definedName>
    <definedName name="xxxx" localSheetId="8">#REF!</definedName>
    <definedName name="xxxx" localSheetId="9">#REF!</definedName>
    <definedName name="xxxx" localSheetId="4">#REF!</definedName>
    <definedName name="xxxx" localSheetId="5">#REF!</definedName>
    <definedName name="xxxx" localSheetId="6">#REF!</definedName>
    <definedName name="xxxx" localSheetId="0">#REF!</definedName>
    <definedName name="xxxx">#REF!</definedName>
    <definedName name="y_inter1" localSheetId="7">'LG Joe''s MSW'!$X$54</definedName>
    <definedName name="y_inter1" localSheetId="8">'LG Joe''s Recycling'!$X$54</definedName>
    <definedName name="y_inter1" localSheetId="9">'LG Joe''s Yard Waste'!$X$54</definedName>
    <definedName name="y_inter1" localSheetId="3">'LG Lewis'!$X$54</definedName>
    <definedName name="y_inter1" localSheetId="4">'LG Lewis MSW'!$X$54</definedName>
    <definedName name="y_inter1" localSheetId="5">'LG Lewis Recycling'!$X$54</definedName>
    <definedName name="y_inter1" localSheetId="6">'LG Lewis Yard Waste'!$X$54</definedName>
    <definedName name="y_inter1">'[51]LG Nonpublic 2018 V5.0'!$W$55</definedName>
    <definedName name="y_inter2" localSheetId="7">'LG Joe''s MSW'!$X$55</definedName>
    <definedName name="y_inter2" localSheetId="8">'LG Joe''s Recycling'!$X$55</definedName>
    <definedName name="y_inter2" localSheetId="9">'LG Joe''s Yard Waste'!$X$55</definedName>
    <definedName name="y_inter2" localSheetId="3">'LG Lewis'!$X$55</definedName>
    <definedName name="y_inter2" localSheetId="4">'LG Lewis MSW'!$X$55</definedName>
    <definedName name="y_inter2" localSheetId="5">'LG Lewis Recycling'!$X$55</definedName>
    <definedName name="y_inter2" localSheetId="6">'LG Lewis Yard Waste'!$X$55</definedName>
    <definedName name="y_inter2">'[51]LG Nonpublic 2018 V5.0'!$W$56</definedName>
    <definedName name="y_inter3" localSheetId="7">'LG Joe''s MSW'!$Z$54</definedName>
    <definedName name="y_inter3" localSheetId="8">'LG Joe''s Recycling'!$Z$54</definedName>
    <definedName name="y_inter3" localSheetId="9">'LG Joe''s Yard Waste'!$Z$54</definedName>
    <definedName name="y_inter3" localSheetId="3">'LG Lewis'!$Z$54</definedName>
    <definedName name="y_inter3" localSheetId="4">'LG Lewis MSW'!$Z$54</definedName>
    <definedName name="y_inter3" localSheetId="5">'LG Lewis Recycling'!$Z$54</definedName>
    <definedName name="y_inter3" localSheetId="6">'LG Lewis Yard Waste'!$Z$54</definedName>
    <definedName name="y_inter3">'[51]LG Nonpublic 2018 V5.0'!$Y$55</definedName>
    <definedName name="y_inter4" localSheetId="7">'LG Joe''s MSW'!$Z$55</definedName>
    <definedName name="y_inter4" localSheetId="8">'LG Joe''s Recycling'!$Z$55</definedName>
    <definedName name="y_inter4" localSheetId="9">'LG Joe''s Yard Waste'!$Z$55</definedName>
    <definedName name="y_inter4" localSheetId="3">'LG Lewis'!$Z$55</definedName>
    <definedName name="y_inter4" localSheetId="4">'LG Lewis MSW'!$Z$55</definedName>
    <definedName name="y_inter4" localSheetId="5">'LG Lewis Recycling'!$Z$55</definedName>
    <definedName name="y_inter4" localSheetId="6">'LG Lewis Yard Waste'!$Z$55</definedName>
    <definedName name="y_inter4">'[51]LG Nonpublic 2018 V5.0'!$Y$56</definedName>
    <definedName name="Year">'[60]Aug Av. Fuel Price'!$E$15</definedName>
    <definedName name="Year_of_Review">'[20]Title Inputs'!$C$3</definedName>
    <definedName name="YEAR4">#REF!</definedName>
    <definedName name="yearlycf">#REF!</definedName>
    <definedName name="yearlypl">#REF!</definedName>
    <definedName name="YearMonth" localSheetId="7">#REF!</definedName>
    <definedName name="YearMonth" localSheetId="8">#REF!</definedName>
    <definedName name="YearMonth" localSheetId="9">#REF!</definedName>
    <definedName name="YearMonth" localSheetId="4">#REF!</definedName>
    <definedName name="YearMonth" localSheetId="5">#REF!</definedName>
    <definedName name="YearMonth" localSheetId="6">#REF!</definedName>
    <definedName name="YearMonth">#REF!</definedName>
    <definedName name="YearMonth_1">'[30]Vashon BS'!#REF!</definedName>
    <definedName name="YearMonthDate">[15]Settings!$I$10</definedName>
    <definedName name="YearMonthDate2">[15]Settings!$I$11</definedName>
    <definedName name="YearMonthDate3">[15]Settings!$I$12</definedName>
    <definedName name="YearMonthDate4">[15]Settings!$I$13</definedName>
    <definedName name="YearMonthDate5">[15]Settings!$I$14</definedName>
    <definedName name="years">#REF!</definedName>
    <definedName name="yrCur">'[61]Report Template'!$B$2002</definedName>
    <definedName name="yrNext">'[61]Report Template'!$B$2003</definedName>
    <definedName name="YTD">'[1]95 Plt Mtr (Adj)'!$A$164:$AM$184</definedName>
    <definedName name="ytd_95">'[1]95 Rsrv Mtr (UnAdj)'!$A$192:$AM$262</definedName>
    <definedName name="YWMedWasteDisp">#N/A</definedName>
    <definedName name="yy" localSheetId="7">#REF!</definedName>
    <definedName name="yy" localSheetId="8">#REF!</definedName>
    <definedName name="yy" localSheetId="9">#REF!</definedName>
    <definedName name="yy" localSheetId="4">#REF!</definedName>
    <definedName name="yy" localSheetId="5">#REF!</definedName>
    <definedName name="yy" localSheetId="6">#REF!</definedName>
    <definedName name="yy">#REF!</definedName>
    <definedName name="Z_156AD3D1_5094_4CD1_83C8_30E58A5AFCB6_.wvu.Cols" localSheetId="7" hidden="1">'LG Joe''s MSW'!$D:$D</definedName>
    <definedName name="Z_156AD3D1_5094_4CD1_83C8_30E58A5AFCB6_.wvu.Cols" localSheetId="8" hidden="1">'LG Joe''s Recycling'!$D:$D</definedName>
    <definedName name="Z_156AD3D1_5094_4CD1_83C8_30E58A5AFCB6_.wvu.Cols" localSheetId="9" hidden="1">'LG Joe''s Yard Waste'!$D:$D</definedName>
    <definedName name="Z_156AD3D1_5094_4CD1_83C8_30E58A5AFCB6_.wvu.Cols" localSheetId="3" hidden="1">'LG Lewis'!$D:$D</definedName>
    <definedName name="Z_156AD3D1_5094_4CD1_83C8_30E58A5AFCB6_.wvu.Cols" localSheetId="4" hidden="1">'LG Lewis MSW'!$D:$D</definedName>
    <definedName name="Z_156AD3D1_5094_4CD1_83C8_30E58A5AFCB6_.wvu.Cols" localSheetId="5" hidden="1">'LG Lewis Recycling'!$D:$D</definedName>
    <definedName name="Z_156AD3D1_5094_4CD1_83C8_30E58A5AFCB6_.wvu.Cols" localSheetId="6" hidden="1">'LG Lewis Yard Waste'!$D:$D</definedName>
    <definedName name="Z_156AD3D1_5094_4CD1_83C8_30E58A5AFCB6_.wvu.PrintArea" localSheetId="7" hidden="1">'LG Joe''s MSW'!$F$2:$N$49</definedName>
    <definedName name="Z_156AD3D1_5094_4CD1_83C8_30E58A5AFCB6_.wvu.PrintArea" localSheetId="8" hidden="1">'LG Joe''s Recycling'!$F$2:$N$49</definedName>
    <definedName name="Z_156AD3D1_5094_4CD1_83C8_30E58A5AFCB6_.wvu.PrintArea" localSheetId="9" hidden="1">'LG Joe''s Yard Waste'!$F$2:$N$49</definedName>
    <definedName name="Z_156AD3D1_5094_4CD1_83C8_30E58A5AFCB6_.wvu.PrintArea" localSheetId="3" hidden="1">'LG Lewis'!$F$2:$N$49</definedName>
    <definedName name="Z_156AD3D1_5094_4CD1_83C8_30E58A5AFCB6_.wvu.PrintArea" localSheetId="4" hidden="1">'LG Lewis MSW'!$F$2:$N$49</definedName>
    <definedName name="Z_156AD3D1_5094_4CD1_83C8_30E58A5AFCB6_.wvu.PrintArea" localSheetId="5" hidden="1">'LG Lewis Recycling'!$F$2:$N$49</definedName>
    <definedName name="Z_156AD3D1_5094_4CD1_83C8_30E58A5AFCB6_.wvu.PrintArea" localSheetId="6" hidden="1">'LG Lewis Yard Waste'!$F$2:$N$49</definedName>
    <definedName name="Z_591FF4D1_4D4D_4220_B124_BC7A16E8B120_.wvu.Cols" localSheetId="7" hidden="1">'LG Joe''s MSW'!$D:$D</definedName>
    <definedName name="Z_591FF4D1_4D4D_4220_B124_BC7A16E8B120_.wvu.Cols" localSheetId="8" hidden="1">'LG Joe''s Recycling'!$D:$D</definedName>
    <definedName name="Z_591FF4D1_4D4D_4220_B124_BC7A16E8B120_.wvu.Cols" localSheetId="9" hidden="1">'LG Joe''s Yard Waste'!$D:$D</definedName>
    <definedName name="Z_591FF4D1_4D4D_4220_B124_BC7A16E8B120_.wvu.Cols" localSheetId="3" hidden="1">'LG Lewis'!$D:$D</definedName>
    <definedName name="Z_591FF4D1_4D4D_4220_B124_BC7A16E8B120_.wvu.Cols" localSheetId="4" hidden="1">'LG Lewis MSW'!$D:$D</definedName>
    <definedName name="Z_591FF4D1_4D4D_4220_B124_BC7A16E8B120_.wvu.Cols" localSheetId="5" hidden="1">'LG Lewis Recycling'!$D:$D</definedName>
    <definedName name="Z_591FF4D1_4D4D_4220_B124_BC7A16E8B120_.wvu.Cols" localSheetId="6" hidden="1">'LG Lewis Yard Waste'!$D:$D</definedName>
    <definedName name="Z_591FF4D1_4D4D_4220_B124_BC7A16E8B120_.wvu.PrintArea" localSheetId="7" hidden="1">'LG Joe''s MSW'!$F$2:$N$49</definedName>
    <definedName name="Z_591FF4D1_4D4D_4220_B124_BC7A16E8B120_.wvu.PrintArea" localSheetId="8" hidden="1">'LG Joe''s Recycling'!$F$2:$N$49</definedName>
    <definedName name="Z_591FF4D1_4D4D_4220_B124_BC7A16E8B120_.wvu.PrintArea" localSheetId="9" hidden="1">'LG Joe''s Yard Waste'!$F$2:$N$49</definedName>
    <definedName name="Z_591FF4D1_4D4D_4220_B124_BC7A16E8B120_.wvu.PrintArea" localSheetId="3" hidden="1">'LG Lewis'!$F$2:$N$49</definedName>
    <definedName name="Z_591FF4D1_4D4D_4220_B124_BC7A16E8B120_.wvu.PrintArea" localSheetId="4" hidden="1">'LG Lewis MSW'!$F$2:$N$49</definedName>
    <definedName name="Z_591FF4D1_4D4D_4220_B124_BC7A16E8B120_.wvu.PrintArea" localSheetId="5" hidden="1">'LG Lewis Recycling'!$F$2:$N$49</definedName>
    <definedName name="Z_591FF4D1_4D4D_4220_B124_BC7A16E8B120_.wvu.PrintArea" localSheetId="6" hidden="1">'LG Lewis Yard Waste'!$F$2:$N$49</definedName>
    <definedName name="Zero_Forma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2" i="1"/>
  <c r="S58" i="10"/>
  <c r="U56" i="10"/>
  <c r="U55" i="10"/>
  <c r="J45" i="10"/>
  <c r="J44" i="10"/>
  <c r="J43" i="10"/>
  <c r="V39" i="10"/>
  <c r="V38" i="10"/>
  <c r="K38" i="10"/>
  <c r="Z67" i="10" s="1"/>
  <c r="J38" i="10"/>
  <c r="Y67" i="10" s="1"/>
  <c r="V37" i="10"/>
  <c r="V36" i="10"/>
  <c r="V34" i="10"/>
  <c r="V33" i="10"/>
  <c r="V32" i="10"/>
  <c r="V31" i="10"/>
  <c r="V29" i="10"/>
  <c r="V28" i="10"/>
  <c r="V27" i="10"/>
  <c r="V26" i="10"/>
  <c r="V24" i="10"/>
  <c r="V23" i="10"/>
  <c r="V22" i="10"/>
  <c r="V21" i="10"/>
  <c r="V19" i="10"/>
  <c r="V18" i="10"/>
  <c r="V17" i="10"/>
  <c r="V16" i="10"/>
  <c r="V14" i="10"/>
  <c r="C14" i="10"/>
  <c r="J46" i="10" s="1"/>
  <c r="V13" i="10"/>
  <c r="V12" i="10"/>
  <c r="V11" i="10"/>
  <c r="V9" i="10"/>
  <c r="C9" i="10"/>
  <c r="K27" i="10" s="1"/>
  <c r="V8" i="10"/>
  <c r="F8" i="10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C8" i="10"/>
  <c r="I27" i="10" s="1"/>
  <c r="AC7" i="10" s="1"/>
  <c r="V7" i="10"/>
  <c r="C7" i="10"/>
  <c r="J28" i="10" s="1"/>
  <c r="Y6" i="10"/>
  <c r="Y7" i="10" s="1"/>
  <c r="Y8" i="10" s="1"/>
  <c r="Y9" i="10" s="1"/>
  <c r="Y11" i="10" s="1"/>
  <c r="Y12" i="10" s="1"/>
  <c r="Y13" i="10" s="1"/>
  <c r="Y14" i="10" s="1"/>
  <c r="Y16" i="10" s="1"/>
  <c r="Y17" i="10" s="1"/>
  <c r="Y18" i="10" s="1"/>
  <c r="Y19" i="10" s="1"/>
  <c r="Y21" i="10" s="1"/>
  <c r="Y22" i="10" s="1"/>
  <c r="Y23" i="10" s="1"/>
  <c r="Y24" i="10" s="1"/>
  <c r="Y26" i="10" s="1"/>
  <c r="Y27" i="10" s="1"/>
  <c r="Y28" i="10" s="1"/>
  <c r="Y29" i="10" s="1"/>
  <c r="Y31" i="10" s="1"/>
  <c r="Y32" i="10" s="1"/>
  <c r="Y33" i="10" s="1"/>
  <c r="Y34" i="10" s="1"/>
  <c r="Y36" i="10" s="1"/>
  <c r="Y37" i="10" s="1"/>
  <c r="Y38" i="10" s="1"/>
  <c r="Y39" i="10" s="1"/>
  <c r="V6" i="10"/>
  <c r="C6" i="10"/>
  <c r="I8" i="10" s="1"/>
  <c r="C5" i="10"/>
  <c r="I7" i="10" s="1"/>
  <c r="S58" i="9"/>
  <c r="U56" i="9"/>
  <c r="U55" i="9"/>
  <c r="V39" i="9"/>
  <c r="V38" i="9"/>
  <c r="V37" i="9"/>
  <c r="V36" i="9"/>
  <c r="V34" i="9"/>
  <c r="V33" i="9"/>
  <c r="V32" i="9"/>
  <c r="V31" i="9"/>
  <c r="V29" i="9"/>
  <c r="V28" i="9"/>
  <c r="V27" i="9"/>
  <c r="V26" i="9"/>
  <c r="V24" i="9"/>
  <c r="V23" i="9"/>
  <c r="V22" i="9"/>
  <c r="V21" i="9"/>
  <c r="V19" i="9"/>
  <c r="V18" i="9"/>
  <c r="V17" i="9"/>
  <c r="V16" i="9"/>
  <c r="C15" i="9"/>
  <c r="V14" i="9"/>
  <c r="C14" i="9"/>
  <c r="J46" i="9" s="1"/>
  <c r="V13" i="9"/>
  <c r="C13" i="9"/>
  <c r="J45" i="9" s="1"/>
  <c r="V12" i="9"/>
  <c r="C12" i="9"/>
  <c r="J44" i="9" s="1"/>
  <c r="V11" i="9"/>
  <c r="C11" i="9"/>
  <c r="J43" i="9" s="1"/>
  <c r="C10" i="9"/>
  <c r="J38" i="9" s="1"/>
  <c r="V9" i="9"/>
  <c r="F9" i="9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C9" i="9"/>
  <c r="K27" i="9" s="1"/>
  <c r="V8" i="9"/>
  <c r="F8" i="9"/>
  <c r="C8" i="9"/>
  <c r="I27" i="9" s="1"/>
  <c r="AC6" i="9" s="1"/>
  <c r="V7" i="9"/>
  <c r="C7" i="9"/>
  <c r="J28" i="9" s="1"/>
  <c r="Y6" i="9"/>
  <c r="Y7" i="9" s="1"/>
  <c r="Y8" i="9" s="1"/>
  <c r="Y9" i="9" s="1"/>
  <c r="Y11" i="9" s="1"/>
  <c r="Y12" i="9" s="1"/>
  <c r="Y13" i="9" s="1"/>
  <c r="Y14" i="9" s="1"/>
  <c r="Y16" i="9" s="1"/>
  <c r="Y17" i="9" s="1"/>
  <c r="Y18" i="9" s="1"/>
  <c r="Y19" i="9" s="1"/>
  <c r="Y21" i="9" s="1"/>
  <c r="Y22" i="9" s="1"/>
  <c r="Y23" i="9" s="1"/>
  <c r="Y24" i="9" s="1"/>
  <c r="Y26" i="9" s="1"/>
  <c r="Y27" i="9" s="1"/>
  <c r="Y28" i="9" s="1"/>
  <c r="Y29" i="9" s="1"/>
  <c r="Y31" i="9" s="1"/>
  <c r="Y32" i="9" s="1"/>
  <c r="Y33" i="9" s="1"/>
  <c r="Y34" i="9" s="1"/>
  <c r="Y36" i="9" s="1"/>
  <c r="Y37" i="9" s="1"/>
  <c r="Y38" i="9" s="1"/>
  <c r="Y39" i="9" s="1"/>
  <c r="V6" i="9"/>
  <c r="C6" i="9"/>
  <c r="I8" i="9" s="1"/>
  <c r="C5" i="9"/>
  <c r="I7" i="9" s="1"/>
  <c r="S9" i="9" s="1"/>
  <c r="S58" i="8"/>
  <c r="U56" i="8"/>
  <c r="U55" i="8"/>
  <c r="V37" i="8" s="1"/>
  <c r="V39" i="8"/>
  <c r="V38" i="8"/>
  <c r="V36" i="8"/>
  <c r="V34" i="8"/>
  <c r="V33" i="8"/>
  <c r="V32" i="8"/>
  <c r="V31" i="8"/>
  <c r="V29" i="8"/>
  <c r="V28" i="8"/>
  <c r="V27" i="8"/>
  <c r="V26" i="8"/>
  <c r="V24" i="8"/>
  <c r="V23" i="8"/>
  <c r="V22" i="8"/>
  <c r="V21" i="8"/>
  <c r="V19" i="8"/>
  <c r="V18" i="8"/>
  <c r="V17" i="8"/>
  <c r="V16" i="8"/>
  <c r="C15" i="8"/>
  <c r="V14" i="8"/>
  <c r="C14" i="8"/>
  <c r="J46" i="8" s="1"/>
  <c r="V13" i="8"/>
  <c r="C13" i="8"/>
  <c r="J45" i="8" s="1"/>
  <c r="V12" i="8"/>
  <c r="C12" i="8"/>
  <c r="J44" i="8" s="1"/>
  <c r="V11" i="8"/>
  <c r="C11" i="8"/>
  <c r="J43" i="8" s="1"/>
  <c r="C10" i="8"/>
  <c r="J38" i="8" s="1"/>
  <c r="V9" i="8"/>
  <c r="F9" i="8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C9" i="8"/>
  <c r="K27" i="8" s="1"/>
  <c r="V8" i="8"/>
  <c r="F8" i="8"/>
  <c r="C8" i="8"/>
  <c r="I27" i="8" s="1"/>
  <c r="V7" i="8"/>
  <c r="C7" i="8"/>
  <c r="J28" i="8" s="1"/>
  <c r="AC6" i="8"/>
  <c r="Y6" i="8"/>
  <c r="Y7" i="8" s="1"/>
  <c r="Y8" i="8" s="1"/>
  <c r="Y9" i="8" s="1"/>
  <c r="Y11" i="8" s="1"/>
  <c r="Y12" i="8" s="1"/>
  <c r="Y13" i="8" s="1"/>
  <c r="Y14" i="8" s="1"/>
  <c r="Y16" i="8" s="1"/>
  <c r="Y17" i="8" s="1"/>
  <c r="Y18" i="8" s="1"/>
  <c r="Y19" i="8" s="1"/>
  <c r="Y21" i="8" s="1"/>
  <c r="Y22" i="8" s="1"/>
  <c r="Y23" i="8" s="1"/>
  <c r="Y24" i="8" s="1"/>
  <c r="Y26" i="8" s="1"/>
  <c r="Y27" i="8" s="1"/>
  <c r="Y28" i="8" s="1"/>
  <c r="Y29" i="8" s="1"/>
  <c r="Y31" i="8" s="1"/>
  <c r="Y32" i="8" s="1"/>
  <c r="Y33" i="8" s="1"/>
  <c r="Y34" i="8" s="1"/>
  <c r="Y36" i="8" s="1"/>
  <c r="Y37" i="8" s="1"/>
  <c r="Y38" i="8" s="1"/>
  <c r="Y39" i="8" s="1"/>
  <c r="V6" i="8"/>
  <c r="C6" i="8"/>
  <c r="I8" i="8" s="1"/>
  <c r="C5" i="8"/>
  <c r="I7" i="8" s="1"/>
  <c r="S9" i="8" s="1"/>
  <c r="S58" i="7"/>
  <c r="U56" i="7"/>
  <c r="U55" i="7"/>
  <c r="V39" i="7"/>
  <c r="V38" i="7"/>
  <c r="V37" i="7"/>
  <c r="V36" i="7"/>
  <c r="V34" i="7"/>
  <c r="V33" i="7"/>
  <c r="V32" i="7"/>
  <c r="V31" i="7"/>
  <c r="V29" i="7"/>
  <c r="V28" i="7"/>
  <c r="V27" i="7"/>
  <c r="V26" i="7"/>
  <c r="V24" i="7"/>
  <c r="V23" i="7"/>
  <c r="V22" i="7"/>
  <c r="V21" i="7"/>
  <c r="V19" i="7"/>
  <c r="V18" i="7"/>
  <c r="V17" i="7"/>
  <c r="V16" i="7"/>
  <c r="C15" i="7"/>
  <c r="V14" i="7"/>
  <c r="C14" i="7"/>
  <c r="J46" i="7" s="1"/>
  <c r="V13" i="7"/>
  <c r="C13" i="7"/>
  <c r="J45" i="7" s="1"/>
  <c r="V12" i="7"/>
  <c r="C12" i="7"/>
  <c r="J44" i="7" s="1"/>
  <c r="V11" i="7"/>
  <c r="C11" i="7"/>
  <c r="J43" i="7" s="1"/>
  <c r="C10" i="7"/>
  <c r="J38" i="7" s="1"/>
  <c r="V9" i="7"/>
  <c r="C9" i="7"/>
  <c r="K27" i="7" s="1"/>
  <c r="V8" i="7"/>
  <c r="F8" i="7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C8" i="7"/>
  <c r="I27" i="7" s="1"/>
  <c r="V7" i="7"/>
  <c r="C7" i="7"/>
  <c r="J28" i="7" s="1"/>
  <c r="Y6" i="7"/>
  <c r="Y7" i="7" s="1"/>
  <c r="Y8" i="7" s="1"/>
  <c r="Y9" i="7" s="1"/>
  <c r="Y11" i="7" s="1"/>
  <c r="Y12" i="7" s="1"/>
  <c r="Y13" i="7" s="1"/>
  <c r="Y14" i="7" s="1"/>
  <c r="Y16" i="7" s="1"/>
  <c r="Y17" i="7" s="1"/>
  <c r="Y18" i="7" s="1"/>
  <c r="Y19" i="7" s="1"/>
  <c r="Y21" i="7" s="1"/>
  <c r="Y22" i="7" s="1"/>
  <c r="Y23" i="7" s="1"/>
  <c r="Y24" i="7" s="1"/>
  <c r="Y26" i="7" s="1"/>
  <c r="Y27" i="7" s="1"/>
  <c r="Y28" i="7" s="1"/>
  <c r="Y29" i="7" s="1"/>
  <c r="Y31" i="7" s="1"/>
  <c r="Y32" i="7" s="1"/>
  <c r="Y33" i="7" s="1"/>
  <c r="Y34" i="7" s="1"/>
  <c r="Y36" i="7" s="1"/>
  <c r="Y37" i="7" s="1"/>
  <c r="Y38" i="7" s="1"/>
  <c r="Y39" i="7" s="1"/>
  <c r="V6" i="7"/>
  <c r="C6" i="7"/>
  <c r="I8" i="7" s="1"/>
  <c r="C5" i="7"/>
  <c r="I7" i="7" s="1"/>
  <c r="S58" i="6"/>
  <c r="U56" i="6"/>
  <c r="U55" i="6"/>
  <c r="J45" i="6"/>
  <c r="J44" i="6"/>
  <c r="J43" i="6"/>
  <c r="V39" i="6"/>
  <c r="V38" i="6"/>
  <c r="J38" i="6"/>
  <c r="V37" i="6"/>
  <c r="V36" i="6"/>
  <c r="V34" i="6"/>
  <c r="V33" i="6"/>
  <c r="V32" i="6"/>
  <c r="V31" i="6"/>
  <c r="V29" i="6"/>
  <c r="V28" i="6"/>
  <c r="V27" i="6"/>
  <c r="V26" i="6"/>
  <c r="V24" i="6"/>
  <c r="V23" i="6"/>
  <c r="V22" i="6"/>
  <c r="V21" i="6"/>
  <c r="V19" i="6"/>
  <c r="V18" i="6"/>
  <c r="V17" i="6"/>
  <c r="V16" i="6"/>
  <c r="V14" i="6"/>
  <c r="C14" i="6"/>
  <c r="J46" i="6" s="1"/>
  <c r="V13" i="6"/>
  <c r="V12" i="6"/>
  <c r="V11" i="6"/>
  <c r="V9" i="6"/>
  <c r="C9" i="6"/>
  <c r="K27" i="6" s="1"/>
  <c r="V8" i="6"/>
  <c r="F8" i="6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C8" i="6"/>
  <c r="I27" i="6" s="1"/>
  <c r="AC7" i="6"/>
  <c r="Y7" i="6"/>
  <c r="Y8" i="6" s="1"/>
  <c r="Y9" i="6" s="1"/>
  <c r="Y11" i="6" s="1"/>
  <c r="Y12" i="6" s="1"/>
  <c r="Y13" i="6" s="1"/>
  <c r="Y14" i="6" s="1"/>
  <c r="Y16" i="6" s="1"/>
  <c r="Y17" i="6" s="1"/>
  <c r="Y18" i="6" s="1"/>
  <c r="Y19" i="6" s="1"/>
  <c r="Y21" i="6" s="1"/>
  <c r="Y22" i="6" s="1"/>
  <c r="Y23" i="6" s="1"/>
  <c r="Y24" i="6" s="1"/>
  <c r="Y26" i="6" s="1"/>
  <c r="Y27" i="6" s="1"/>
  <c r="Y28" i="6" s="1"/>
  <c r="Y29" i="6" s="1"/>
  <c r="Y31" i="6" s="1"/>
  <c r="Y32" i="6" s="1"/>
  <c r="Y33" i="6" s="1"/>
  <c r="Y34" i="6" s="1"/>
  <c r="Y36" i="6" s="1"/>
  <c r="Y37" i="6" s="1"/>
  <c r="Y38" i="6" s="1"/>
  <c r="Y39" i="6" s="1"/>
  <c r="V7" i="6"/>
  <c r="C7" i="6"/>
  <c r="J28" i="6" s="1"/>
  <c r="Y6" i="6"/>
  <c r="V6" i="6"/>
  <c r="C6" i="6"/>
  <c r="I8" i="6" s="1"/>
  <c r="C5" i="6"/>
  <c r="I7" i="6" s="1"/>
  <c r="S58" i="5"/>
  <c r="U56" i="5"/>
  <c r="U55" i="5"/>
  <c r="V39" i="5" s="1"/>
  <c r="J45" i="5"/>
  <c r="J44" i="5"/>
  <c r="J43" i="5"/>
  <c r="V38" i="5"/>
  <c r="J38" i="5"/>
  <c r="Y67" i="5" s="1"/>
  <c r="V37" i="5"/>
  <c r="V36" i="5"/>
  <c r="V34" i="5"/>
  <c r="V33" i="5"/>
  <c r="V32" i="5"/>
  <c r="V31" i="5"/>
  <c r="V29" i="5"/>
  <c r="V28" i="5"/>
  <c r="V27" i="5"/>
  <c r="V26" i="5"/>
  <c r="V24" i="5"/>
  <c r="V23" i="5"/>
  <c r="V22" i="5"/>
  <c r="V21" i="5"/>
  <c r="V19" i="5"/>
  <c r="V18" i="5"/>
  <c r="V17" i="5"/>
  <c r="V16" i="5"/>
  <c r="V14" i="5"/>
  <c r="C14" i="5"/>
  <c r="J46" i="5" s="1"/>
  <c r="V13" i="5"/>
  <c r="V12" i="5"/>
  <c r="V11" i="5"/>
  <c r="V9" i="5"/>
  <c r="C9" i="5"/>
  <c r="K27" i="5" s="1"/>
  <c r="V8" i="5"/>
  <c r="F8" i="5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C8" i="5"/>
  <c r="I27" i="5" s="1"/>
  <c r="AC39" i="5" s="1"/>
  <c r="V7" i="5"/>
  <c r="C7" i="5"/>
  <c r="J28" i="5" s="1"/>
  <c r="Y6" i="5"/>
  <c r="Y7" i="5" s="1"/>
  <c r="Y8" i="5" s="1"/>
  <c r="Y9" i="5" s="1"/>
  <c r="Y11" i="5" s="1"/>
  <c r="Y12" i="5" s="1"/>
  <c r="Y13" i="5" s="1"/>
  <c r="Y14" i="5" s="1"/>
  <c r="Y16" i="5" s="1"/>
  <c r="Y17" i="5" s="1"/>
  <c r="Y18" i="5" s="1"/>
  <c r="Y19" i="5" s="1"/>
  <c r="Y21" i="5" s="1"/>
  <c r="Y22" i="5" s="1"/>
  <c r="Y23" i="5" s="1"/>
  <c r="Y24" i="5" s="1"/>
  <c r="Y26" i="5" s="1"/>
  <c r="Y27" i="5" s="1"/>
  <c r="Y28" i="5" s="1"/>
  <c r="Y29" i="5" s="1"/>
  <c r="Y31" i="5" s="1"/>
  <c r="Y32" i="5" s="1"/>
  <c r="Y33" i="5" s="1"/>
  <c r="Y34" i="5" s="1"/>
  <c r="Y36" i="5" s="1"/>
  <c r="Y37" i="5" s="1"/>
  <c r="Y38" i="5" s="1"/>
  <c r="Y39" i="5" s="1"/>
  <c r="V6" i="5"/>
  <c r="C6" i="5"/>
  <c r="I8" i="5" s="1"/>
  <c r="C5" i="5"/>
  <c r="I7" i="5" s="1"/>
  <c r="S7" i="5" s="1"/>
  <c r="Z67" i="4"/>
  <c r="S58" i="4"/>
  <c r="U56" i="4"/>
  <c r="U55" i="4"/>
  <c r="J45" i="4"/>
  <c r="J44" i="4"/>
  <c r="J43" i="4"/>
  <c r="V39" i="4"/>
  <c r="V38" i="4"/>
  <c r="K38" i="4"/>
  <c r="J38" i="4"/>
  <c r="Y67" i="4" s="1"/>
  <c r="V37" i="4"/>
  <c r="V36" i="4"/>
  <c r="V34" i="4"/>
  <c r="V33" i="4"/>
  <c r="V32" i="4"/>
  <c r="V31" i="4"/>
  <c r="V29" i="4"/>
  <c r="V28" i="4"/>
  <c r="AC27" i="4"/>
  <c r="V27" i="4"/>
  <c r="V26" i="4"/>
  <c r="V24" i="4"/>
  <c r="V23" i="4"/>
  <c r="V22" i="4"/>
  <c r="V21" i="4"/>
  <c r="V19" i="4"/>
  <c r="V18" i="4"/>
  <c r="V17" i="4"/>
  <c r="V16" i="4"/>
  <c r="V14" i="4"/>
  <c r="C14" i="4"/>
  <c r="J46" i="4" s="1"/>
  <c r="V13" i="4"/>
  <c r="V12" i="4"/>
  <c r="V11" i="4"/>
  <c r="V9" i="4"/>
  <c r="C9" i="4"/>
  <c r="K27" i="4" s="1"/>
  <c r="L27" i="4" s="1"/>
  <c r="V8" i="4"/>
  <c r="K8" i="4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C8" i="4"/>
  <c r="I27" i="4" s="1"/>
  <c r="AC29" i="4" s="1"/>
  <c r="AC7" i="4"/>
  <c r="Y7" i="4"/>
  <c r="Y8" i="4" s="1"/>
  <c r="Y9" i="4" s="1"/>
  <c r="Y11" i="4" s="1"/>
  <c r="Y12" i="4" s="1"/>
  <c r="Y13" i="4" s="1"/>
  <c r="Y14" i="4" s="1"/>
  <c r="Y16" i="4" s="1"/>
  <c r="Y17" i="4" s="1"/>
  <c r="Y18" i="4" s="1"/>
  <c r="Y19" i="4" s="1"/>
  <c r="Y21" i="4" s="1"/>
  <c r="Y22" i="4" s="1"/>
  <c r="Y23" i="4" s="1"/>
  <c r="Y24" i="4" s="1"/>
  <c r="Y26" i="4" s="1"/>
  <c r="Y27" i="4" s="1"/>
  <c r="Y28" i="4" s="1"/>
  <c r="Y29" i="4" s="1"/>
  <c r="Y31" i="4" s="1"/>
  <c r="Y32" i="4" s="1"/>
  <c r="Y33" i="4" s="1"/>
  <c r="Y34" i="4" s="1"/>
  <c r="Y36" i="4" s="1"/>
  <c r="Y37" i="4" s="1"/>
  <c r="Y38" i="4" s="1"/>
  <c r="Y39" i="4" s="1"/>
  <c r="V7" i="4"/>
  <c r="C7" i="4"/>
  <c r="J28" i="4" s="1"/>
  <c r="Y6" i="4"/>
  <c r="V6" i="4"/>
  <c r="C6" i="4"/>
  <c r="I8" i="4" s="1"/>
  <c r="C5" i="4"/>
  <c r="I7" i="4" s="1"/>
  <c r="S6" i="4" s="1"/>
  <c r="U213" i="3"/>
  <c r="U215" i="3" s="1"/>
  <c r="AX208" i="3"/>
  <c r="AG208" i="3"/>
  <c r="AD208" i="3"/>
  <c r="AC208" i="3"/>
  <c r="Z208" i="3"/>
  <c r="Y208" i="3"/>
  <c r="V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AH207" i="3" s="1"/>
  <c r="T207" i="3"/>
  <c r="AY207" i="3" s="1"/>
  <c r="A207" i="3"/>
  <c r="AG206" i="3"/>
  <c r="AF206" i="3"/>
  <c r="AF208" i="3" s="1"/>
  <c r="AE206" i="3"/>
  <c r="AE208" i="3" s="1"/>
  <c r="AD206" i="3"/>
  <c r="AC206" i="3"/>
  <c r="AB206" i="3"/>
  <c r="AB208" i="3" s="1"/>
  <c r="AA206" i="3"/>
  <c r="AA208" i="3" s="1"/>
  <c r="Z206" i="3"/>
  <c r="Y206" i="3"/>
  <c r="X206" i="3"/>
  <c r="X208" i="3" s="1"/>
  <c r="W206" i="3"/>
  <c r="W208" i="3" s="1"/>
  <c r="V206" i="3"/>
  <c r="AH206" i="3" s="1"/>
  <c r="T206" i="3"/>
  <c r="AY206" i="3" s="1"/>
  <c r="A206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AH205" i="3" s="1"/>
  <c r="AI205" i="3" s="1"/>
  <c r="AX203" i="3"/>
  <c r="AE203" i="3"/>
  <c r="AA203" i="3"/>
  <c r="W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AR201" i="3"/>
  <c r="AG201" i="3"/>
  <c r="AG203" i="3" s="1"/>
  <c r="AF201" i="3"/>
  <c r="AF203" i="3" s="1"/>
  <c r="AE201" i="3"/>
  <c r="AD201" i="3"/>
  <c r="AD203" i="3" s="1"/>
  <c r="AC201" i="3"/>
  <c r="AC203" i="3" s="1"/>
  <c r="AB201" i="3"/>
  <c r="AB203" i="3" s="1"/>
  <c r="AA201" i="3"/>
  <c r="Z201" i="3"/>
  <c r="Z203" i="3" s="1"/>
  <c r="Y201" i="3"/>
  <c r="Y203" i="3" s="1"/>
  <c r="X201" i="3"/>
  <c r="X203" i="3" s="1"/>
  <c r="W201" i="3"/>
  <c r="V201" i="3"/>
  <c r="AH201" i="3" s="1"/>
  <c r="T201" i="3"/>
  <c r="T203" i="3" s="1"/>
  <c r="A201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AH200" i="3" s="1"/>
  <c r="AI200" i="3" s="1"/>
  <c r="S198" i="3"/>
  <c r="R198" i="3"/>
  <c r="Q198" i="3"/>
  <c r="P198" i="3"/>
  <c r="O198" i="3"/>
  <c r="N198" i="3"/>
  <c r="M198" i="3"/>
  <c r="L198" i="3"/>
  <c r="K198" i="3"/>
  <c r="J198" i="3"/>
  <c r="I198" i="3"/>
  <c r="H198" i="3"/>
  <c r="AR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AH196" i="3" s="1"/>
  <c r="T196" i="3"/>
  <c r="AR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AH195" i="3" s="1"/>
  <c r="T195" i="3"/>
  <c r="A195" i="3"/>
  <c r="AR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AH194" i="3" s="1"/>
  <c r="T194" i="3"/>
  <c r="A194" i="3"/>
  <c r="AR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AH193" i="3" s="1"/>
  <c r="T193" i="3"/>
  <c r="A193" i="3"/>
  <c r="AR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AH192" i="3" s="1"/>
  <c r="T192" i="3"/>
  <c r="A192" i="3"/>
  <c r="AR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AH191" i="3" s="1"/>
  <c r="T191" i="3"/>
  <c r="A191" i="3"/>
  <c r="AR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AH190" i="3" s="1"/>
  <c r="T190" i="3"/>
  <c r="A190" i="3"/>
  <c r="AR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AH189" i="3" s="1"/>
  <c r="T189" i="3"/>
  <c r="A189" i="3"/>
  <c r="AR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AH188" i="3" s="1"/>
  <c r="T188" i="3"/>
  <c r="A188" i="3"/>
  <c r="AR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AH187" i="3" s="1"/>
  <c r="T187" i="3"/>
  <c r="A187" i="3"/>
  <c r="AR186" i="3"/>
  <c r="AG186" i="3"/>
  <c r="AG198" i="3" s="1"/>
  <c r="AF186" i="3"/>
  <c r="AF198" i="3" s="1"/>
  <c r="AE186" i="3"/>
  <c r="AE198" i="3" s="1"/>
  <c r="AD186" i="3"/>
  <c r="AD198" i="3" s="1"/>
  <c r="AC186" i="3"/>
  <c r="AC198" i="3" s="1"/>
  <c r="AB186" i="3"/>
  <c r="AB198" i="3" s="1"/>
  <c r="AA186" i="3"/>
  <c r="AA198" i="3" s="1"/>
  <c r="Z186" i="3"/>
  <c r="Z198" i="3" s="1"/>
  <c r="Y186" i="3"/>
  <c r="Y198" i="3" s="1"/>
  <c r="X186" i="3"/>
  <c r="X198" i="3" s="1"/>
  <c r="W186" i="3"/>
  <c r="W198" i="3" s="1"/>
  <c r="V186" i="3"/>
  <c r="AH186" i="3" s="1"/>
  <c r="T186" i="3"/>
  <c r="A186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AH185" i="3" s="1"/>
  <c r="AI185" i="3" s="1"/>
  <c r="T185" i="3"/>
  <c r="A185" i="3"/>
  <c r="AR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AH184" i="3" s="1"/>
  <c r="T184" i="3"/>
  <c r="A184" i="3"/>
  <c r="AR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AH183" i="3" s="1"/>
  <c r="T183" i="3"/>
  <c r="A183" i="3"/>
  <c r="AR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AH182" i="3" s="1"/>
  <c r="T182" i="3"/>
  <c r="A182" i="3"/>
  <c r="AR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AH181" i="3" s="1"/>
  <c r="T181" i="3"/>
  <c r="A181" i="3"/>
  <c r="AR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T180" i="3"/>
  <c r="A180" i="3"/>
  <c r="AR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T179" i="3"/>
  <c r="A179" i="3"/>
  <c r="AR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AH178" i="3" s="1"/>
  <c r="T178" i="3"/>
  <c r="A178" i="3"/>
  <c r="AR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AH177" i="3" s="1"/>
  <c r="T177" i="3"/>
  <c r="A177" i="3"/>
  <c r="AR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AH176" i="3" s="1"/>
  <c r="T176" i="3"/>
  <c r="A176" i="3"/>
  <c r="AR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T175" i="3"/>
  <c r="A175" i="3"/>
  <c r="AR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AH174" i="3" s="1"/>
  <c r="T174" i="3"/>
  <c r="A174" i="3"/>
  <c r="AR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AH173" i="3" s="1"/>
  <c r="T173" i="3"/>
  <c r="A173" i="3"/>
  <c r="AR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AH172" i="3" s="1"/>
  <c r="T172" i="3"/>
  <c r="A172" i="3"/>
  <c r="AR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AH171" i="3" s="1"/>
  <c r="T171" i="3"/>
  <c r="A171" i="3"/>
  <c r="AR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AH170" i="3" s="1"/>
  <c r="T170" i="3"/>
  <c r="A170" i="3"/>
  <c r="AR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AH169" i="3" s="1"/>
  <c r="T169" i="3"/>
  <c r="A169" i="3"/>
  <c r="AR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AH168" i="3" s="1"/>
  <c r="T168" i="3"/>
  <c r="A168" i="3"/>
  <c r="AR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AH167" i="3" s="1"/>
  <c r="T167" i="3"/>
  <c r="A167" i="3"/>
  <c r="AR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AH166" i="3" s="1"/>
  <c r="T166" i="3"/>
  <c r="A166" i="3"/>
  <c r="AR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AH165" i="3" s="1"/>
  <c r="T165" i="3"/>
  <c r="A165" i="3"/>
  <c r="AR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AH164" i="3" s="1"/>
  <c r="T164" i="3"/>
  <c r="T198" i="3" s="1"/>
  <c r="A164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AH163" i="3" s="1"/>
  <c r="AI163" i="3" s="1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AH161" i="3" s="1"/>
  <c r="AI161" i="3" s="1"/>
  <c r="S159" i="3"/>
  <c r="R159" i="3"/>
  <c r="Q159" i="3"/>
  <c r="P159" i="3"/>
  <c r="O159" i="3"/>
  <c r="N159" i="3"/>
  <c r="M159" i="3"/>
  <c r="L159" i="3"/>
  <c r="K159" i="3"/>
  <c r="J159" i="3"/>
  <c r="I159" i="3"/>
  <c r="H159" i="3"/>
  <c r="AR157" i="3"/>
  <c r="AE157" i="3"/>
  <c r="AD157" i="3"/>
  <c r="T157" i="3"/>
  <c r="F157" i="3"/>
  <c r="AG157" i="3" s="1"/>
  <c r="E157" i="3"/>
  <c r="AA157" i="3" s="1"/>
  <c r="B157" i="3"/>
  <c r="AR156" i="3"/>
  <c r="AG156" i="3"/>
  <c r="AG159" i="3" s="1"/>
  <c r="AF156" i="3"/>
  <c r="AE156" i="3"/>
  <c r="AE159" i="3" s="1"/>
  <c r="AD156" i="3"/>
  <c r="AD159" i="3" s="1"/>
  <c r="AC156" i="3"/>
  <c r="AB156" i="3"/>
  <c r="AA156" i="3"/>
  <c r="AA159" i="3" s="1"/>
  <c r="Z156" i="3"/>
  <c r="Y156" i="3"/>
  <c r="X156" i="3"/>
  <c r="W156" i="3"/>
  <c r="V156" i="3"/>
  <c r="T156" i="3"/>
  <c r="T159" i="3" s="1"/>
  <c r="A156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AH155" i="3" s="1"/>
  <c r="AI155" i="3" s="1"/>
  <c r="S153" i="3"/>
  <c r="R153" i="3"/>
  <c r="Q153" i="3"/>
  <c r="P153" i="3"/>
  <c r="O153" i="3"/>
  <c r="N153" i="3"/>
  <c r="M153" i="3"/>
  <c r="L153" i="3"/>
  <c r="K153" i="3"/>
  <c r="J153" i="3"/>
  <c r="I153" i="3"/>
  <c r="H153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AH151" i="3" s="1"/>
  <c r="T151" i="3"/>
  <c r="A151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AH150" i="3" s="1"/>
  <c r="T150" i="3"/>
  <c r="A150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AH149" i="3" s="1"/>
  <c r="T149" i="3"/>
  <c r="A149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AH148" i="3" s="1"/>
  <c r="T148" i="3"/>
  <c r="A148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AH147" i="3" s="1"/>
  <c r="T147" i="3"/>
  <c r="A147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AH146" i="3" s="1"/>
  <c r="T146" i="3"/>
  <c r="A146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AH145" i="3" s="1"/>
  <c r="T145" i="3"/>
  <c r="A145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AH144" i="3" s="1"/>
  <c r="T144" i="3"/>
  <c r="A144" i="3"/>
  <c r="AR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AH143" i="3" s="1"/>
  <c r="T143" i="3"/>
  <c r="A143" i="3"/>
  <c r="AR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AH142" i="3" s="1"/>
  <c r="T142" i="3"/>
  <c r="A142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AH141" i="3" s="1"/>
  <c r="T141" i="3"/>
  <c r="A141" i="3"/>
  <c r="AR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AH140" i="3" s="1"/>
  <c r="T140" i="3"/>
  <c r="A140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AH139" i="3" s="1"/>
  <c r="T139" i="3"/>
  <c r="A139" i="3"/>
  <c r="AR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AH138" i="3" s="1"/>
  <c r="T138" i="3"/>
  <c r="A138" i="3"/>
  <c r="AR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AH137" i="3" s="1"/>
  <c r="T137" i="3"/>
  <c r="A137" i="3"/>
  <c r="AR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AH136" i="3" s="1"/>
  <c r="T136" i="3"/>
  <c r="A136" i="3"/>
  <c r="AR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AH135" i="3" s="1"/>
  <c r="T135" i="3"/>
  <c r="A135" i="3"/>
  <c r="AR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AH134" i="3" s="1"/>
  <c r="T134" i="3"/>
  <c r="A134" i="3"/>
  <c r="AR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AH133" i="3" s="1"/>
  <c r="T133" i="3"/>
  <c r="A133" i="3"/>
  <c r="AR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AH132" i="3" s="1"/>
  <c r="T132" i="3"/>
  <c r="A132" i="3"/>
  <c r="AR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AH131" i="3" s="1"/>
  <c r="T131" i="3"/>
  <c r="A131" i="3"/>
  <c r="AR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AH130" i="3" s="1"/>
  <c r="T130" i="3"/>
  <c r="A130" i="3"/>
  <c r="AR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AH129" i="3" s="1"/>
  <c r="T129" i="3"/>
  <c r="A129" i="3"/>
  <c r="AR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AH128" i="3" s="1"/>
  <c r="T128" i="3"/>
  <c r="A128" i="3"/>
  <c r="AR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AH127" i="3" s="1"/>
  <c r="T127" i="3"/>
  <c r="A127" i="3"/>
  <c r="AR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AH126" i="3" s="1"/>
  <c r="T126" i="3"/>
  <c r="A126" i="3"/>
  <c r="AR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AH125" i="3" s="1"/>
  <c r="T125" i="3"/>
  <c r="A125" i="3"/>
  <c r="AR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AH124" i="3" s="1"/>
  <c r="T124" i="3"/>
  <c r="A124" i="3"/>
  <c r="AR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AH123" i="3" s="1"/>
  <c r="T123" i="3"/>
  <c r="A123" i="3"/>
  <c r="AR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AH122" i="3" s="1"/>
  <c r="T122" i="3"/>
  <c r="A122" i="3"/>
  <c r="AR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AH121" i="3" s="1"/>
  <c r="T121" i="3"/>
  <c r="A121" i="3"/>
  <c r="AR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AH120" i="3" s="1"/>
  <c r="T120" i="3"/>
  <c r="A120" i="3"/>
  <c r="AR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AH119" i="3" s="1"/>
  <c r="T119" i="3"/>
  <c r="A119" i="3"/>
  <c r="AR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AH118" i="3" s="1"/>
  <c r="T118" i="3"/>
  <c r="A118" i="3"/>
  <c r="AR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AH117" i="3" s="1"/>
  <c r="T117" i="3"/>
  <c r="A117" i="3"/>
  <c r="AR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AH116" i="3" s="1"/>
  <c r="T116" i="3"/>
  <c r="A116" i="3"/>
  <c r="AR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AH115" i="3" s="1"/>
  <c r="T115" i="3"/>
  <c r="A115" i="3"/>
  <c r="AR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AH114" i="3" s="1"/>
  <c r="T114" i="3"/>
  <c r="A114" i="3"/>
  <c r="AR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AH113" i="3" s="1"/>
  <c r="T113" i="3"/>
  <c r="A113" i="3"/>
  <c r="AR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AH112" i="3" s="1"/>
  <c r="T112" i="3"/>
  <c r="A112" i="3"/>
  <c r="AR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AH111" i="3" s="1"/>
  <c r="T111" i="3"/>
  <c r="A111" i="3"/>
  <c r="AR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AH110" i="3" s="1"/>
  <c r="T110" i="3"/>
  <c r="A110" i="3"/>
  <c r="AR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AH109" i="3" s="1"/>
  <c r="T109" i="3"/>
  <c r="A109" i="3"/>
  <c r="AR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AH108" i="3" s="1"/>
  <c r="T108" i="3"/>
  <c r="A108" i="3"/>
  <c r="AR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AH107" i="3" s="1"/>
  <c r="T107" i="3"/>
  <c r="A107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AH106" i="3" s="1"/>
  <c r="T106" i="3"/>
  <c r="A106" i="3"/>
  <c r="AR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AH105" i="3" s="1"/>
  <c r="T105" i="3"/>
  <c r="A105" i="3"/>
  <c r="AR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AH104" i="3" s="1"/>
  <c r="T104" i="3"/>
  <c r="A104" i="3"/>
  <c r="AR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AH103" i="3" s="1"/>
  <c r="T103" i="3"/>
  <c r="A103" i="3"/>
  <c r="AR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AH102" i="3" s="1"/>
  <c r="T102" i="3"/>
  <c r="A102" i="3"/>
  <c r="AR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AH101" i="3" s="1"/>
  <c r="T101" i="3"/>
  <c r="A101" i="3"/>
  <c r="AR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AH100" i="3" s="1"/>
  <c r="T100" i="3"/>
  <c r="A100" i="3"/>
  <c r="AR99" i="3"/>
  <c r="AG99" i="3"/>
  <c r="AF99" i="3"/>
  <c r="AE99" i="3"/>
  <c r="AD99" i="3"/>
  <c r="AC99" i="3"/>
  <c r="AB99" i="3"/>
  <c r="AA99" i="3"/>
  <c r="Z99" i="3"/>
  <c r="Y99" i="3"/>
  <c r="X99" i="3"/>
  <c r="W99" i="3"/>
  <c r="V99" i="3"/>
  <c r="AH99" i="3" s="1"/>
  <c r="T99" i="3"/>
  <c r="A99" i="3"/>
  <c r="AR98" i="3"/>
  <c r="AG98" i="3"/>
  <c r="AF98" i="3"/>
  <c r="AE98" i="3"/>
  <c r="AD98" i="3"/>
  <c r="AC98" i="3"/>
  <c r="AB98" i="3"/>
  <c r="AA98" i="3"/>
  <c r="Z98" i="3"/>
  <c r="Y98" i="3"/>
  <c r="X98" i="3"/>
  <c r="W98" i="3"/>
  <c r="V98" i="3"/>
  <c r="AH98" i="3" s="1"/>
  <c r="T98" i="3"/>
  <c r="A98" i="3"/>
  <c r="AR97" i="3"/>
  <c r="AG97" i="3"/>
  <c r="AF97" i="3"/>
  <c r="AE97" i="3"/>
  <c r="AD97" i="3"/>
  <c r="AC97" i="3"/>
  <c r="AB97" i="3"/>
  <c r="AA97" i="3"/>
  <c r="Z97" i="3"/>
  <c r="Y97" i="3"/>
  <c r="X97" i="3"/>
  <c r="W97" i="3"/>
  <c r="V97" i="3"/>
  <c r="AH97" i="3" s="1"/>
  <c r="T97" i="3"/>
  <c r="A97" i="3"/>
  <c r="AR96" i="3"/>
  <c r="AG96" i="3"/>
  <c r="AF96" i="3"/>
  <c r="AE96" i="3"/>
  <c r="AD96" i="3"/>
  <c r="AC96" i="3"/>
  <c r="AB96" i="3"/>
  <c r="AA96" i="3"/>
  <c r="Z96" i="3"/>
  <c r="Y96" i="3"/>
  <c r="X96" i="3"/>
  <c r="W96" i="3"/>
  <c r="V96" i="3"/>
  <c r="AH96" i="3" s="1"/>
  <c r="T96" i="3"/>
  <c r="A96" i="3"/>
  <c r="AR95" i="3"/>
  <c r="AG95" i="3"/>
  <c r="AF95" i="3"/>
  <c r="AE95" i="3"/>
  <c r="AD95" i="3"/>
  <c r="AC95" i="3"/>
  <c r="AB95" i="3"/>
  <c r="AA95" i="3"/>
  <c r="Z95" i="3"/>
  <c r="Y95" i="3"/>
  <c r="X95" i="3"/>
  <c r="W95" i="3"/>
  <c r="V95" i="3"/>
  <c r="AH95" i="3" s="1"/>
  <c r="T95" i="3"/>
  <c r="A95" i="3"/>
  <c r="AR94" i="3"/>
  <c r="AG94" i="3"/>
  <c r="AF94" i="3"/>
  <c r="AE94" i="3"/>
  <c r="AD94" i="3"/>
  <c r="AC94" i="3"/>
  <c r="AB94" i="3"/>
  <c r="AA94" i="3"/>
  <c r="Z94" i="3"/>
  <c r="Y94" i="3"/>
  <c r="X94" i="3"/>
  <c r="W94" i="3"/>
  <c r="V94" i="3"/>
  <c r="AH94" i="3" s="1"/>
  <c r="T94" i="3"/>
  <c r="A94" i="3"/>
  <c r="AR93" i="3"/>
  <c r="AG93" i="3"/>
  <c r="AF93" i="3"/>
  <c r="AE93" i="3"/>
  <c r="AD93" i="3"/>
  <c r="AC93" i="3"/>
  <c r="AB93" i="3"/>
  <c r="AA93" i="3"/>
  <c r="Z93" i="3"/>
  <c r="Y93" i="3"/>
  <c r="X93" i="3"/>
  <c r="W93" i="3"/>
  <c r="V93" i="3"/>
  <c r="AH93" i="3" s="1"/>
  <c r="T93" i="3"/>
  <c r="A93" i="3"/>
  <c r="AR92" i="3"/>
  <c r="AG92" i="3"/>
  <c r="AF92" i="3"/>
  <c r="AE92" i="3"/>
  <c r="AD92" i="3"/>
  <c r="AC92" i="3"/>
  <c r="AB92" i="3"/>
  <c r="AA92" i="3"/>
  <c r="Z92" i="3"/>
  <c r="Y92" i="3"/>
  <c r="X92" i="3"/>
  <c r="W92" i="3"/>
  <c r="V92" i="3"/>
  <c r="AH92" i="3" s="1"/>
  <c r="T92" i="3"/>
  <c r="A92" i="3"/>
  <c r="AR91" i="3"/>
  <c r="AG91" i="3"/>
  <c r="AF91" i="3"/>
  <c r="AE91" i="3"/>
  <c r="AD91" i="3"/>
  <c r="AC91" i="3"/>
  <c r="AB91" i="3"/>
  <c r="AA91" i="3"/>
  <c r="Z91" i="3"/>
  <c r="Y91" i="3"/>
  <c r="X91" i="3"/>
  <c r="W91" i="3"/>
  <c r="V91" i="3"/>
  <c r="AH91" i="3" s="1"/>
  <c r="T91" i="3"/>
  <c r="A91" i="3"/>
  <c r="AR90" i="3"/>
  <c r="AG90" i="3"/>
  <c r="AF90" i="3"/>
  <c r="AE90" i="3"/>
  <c r="AD90" i="3"/>
  <c r="AC90" i="3"/>
  <c r="AB90" i="3"/>
  <c r="AA90" i="3"/>
  <c r="Z90" i="3"/>
  <c r="Y90" i="3"/>
  <c r="X90" i="3"/>
  <c r="W90" i="3"/>
  <c r="V90" i="3"/>
  <c r="AH90" i="3" s="1"/>
  <c r="T90" i="3"/>
  <c r="A90" i="3"/>
  <c r="AR89" i="3"/>
  <c r="AG89" i="3"/>
  <c r="AF89" i="3"/>
  <c r="AE89" i="3"/>
  <c r="AD89" i="3"/>
  <c r="AC89" i="3"/>
  <c r="AB89" i="3"/>
  <c r="AA89" i="3"/>
  <c r="Z89" i="3"/>
  <c r="Y89" i="3"/>
  <c r="X89" i="3"/>
  <c r="W89" i="3"/>
  <c r="V89" i="3"/>
  <c r="AH89" i="3" s="1"/>
  <c r="T89" i="3"/>
  <c r="A89" i="3"/>
  <c r="AR88" i="3"/>
  <c r="AG88" i="3"/>
  <c r="AF88" i="3"/>
  <c r="AE88" i="3"/>
  <c r="AD88" i="3"/>
  <c r="AC88" i="3"/>
  <c r="AB88" i="3"/>
  <c r="AA88" i="3"/>
  <c r="Z88" i="3"/>
  <c r="Y88" i="3"/>
  <c r="X88" i="3"/>
  <c r="W88" i="3"/>
  <c r="V88" i="3"/>
  <c r="AH88" i="3" s="1"/>
  <c r="T88" i="3"/>
  <c r="A88" i="3"/>
  <c r="AR87" i="3"/>
  <c r="AG87" i="3"/>
  <c r="AF87" i="3"/>
  <c r="AE87" i="3"/>
  <c r="AD87" i="3"/>
  <c r="AC87" i="3"/>
  <c r="AB87" i="3"/>
  <c r="AA87" i="3"/>
  <c r="Z87" i="3"/>
  <c r="Y87" i="3"/>
  <c r="X87" i="3"/>
  <c r="W87" i="3"/>
  <c r="V87" i="3"/>
  <c r="AH87" i="3" s="1"/>
  <c r="T87" i="3"/>
  <c r="A87" i="3"/>
  <c r="AR86" i="3"/>
  <c r="AG86" i="3"/>
  <c r="AF86" i="3"/>
  <c r="AE86" i="3"/>
  <c r="AD86" i="3"/>
  <c r="AC86" i="3"/>
  <c r="AB86" i="3"/>
  <c r="AA86" i="3"/>
  <c r="Z86" i="3"/>
  <c r="Y86" i="3"/>
  <c r="X86" i="3"/>
  <c r="W86" i="3"/>
  <c r="V86" i="3"/>
  <c r="AH86" i="3" s="1"/>
  <c r="T86" i="3"/>
  <c r="A86" i="3"/>
  <c r="AR85" i="3"/>
  <c r="AG85" i="3"/>
  <c r="AF85" i="3"/>
  <c r="AE85" i="3"/>
  <c r="AD85" i="3"/>
  <c r="AC85" i="3"/>
  <c r="AB85" i="3"/>
  <c r="AA85" i="3"/>
  <c r="Z85" i="3"/>
  <c r="Y85" i="3"/>
  <c r="X85" i="3"/>
  <c r="W85" i="3"/>
  <c r="V85" i="3"/>
  <c r="AH85" i="3" s="1"/>
  <c r="T85" i="3"/>
  <c r="A85" i="3"/>
  <c r="AR84" i="3"/>
  <c r="AG84" i="3"/>
  <c r="AF84" i="3"/>
  <c r="AE84" i="3"/>
  <c r="AD84" i="3"/>
  <c r="AC84" i="3"/>
  <c r="AB84" i="3"/>
  <c r="AA84" i="3"/>
  <c r="Z84" i="3"/>
  <c r="Y84" i="3"/>
  <c r="X84" i="3"/>
  <c r="W84" i="3"/>
  <c r="V84" i="3"/>
  <c r="AH84" i="3" s="1"/>
  <c r="T84" i="3"/>
  <c r="A84" i="3"/>
  <c r="AR83" i="3"/>
  <c r="AG83" i="3"/>
  <c r="AF83" i="3"/>
  <c r="AE83" i="3"/>
  <c r="AD83" i="3"/>
  <c r="AC83" i="3"/>
  <c r="AB83" i="3"/>
  <c r="AA83" i="3"/>
  <c r="Z83" i="3"/>
  <c r="Y83" i="3"/>
  <c r="X83" i="3"/>
  <c r="W83" i="3"/>
  <c r="V83" i="3"/>
  <c r="AH83" i="3" s="1"/>
  <c r="T83" i="3"/>
  <c r="A83" i="3"/>
  <c r="AR82" i="3"/>
  <c r="AG82" i="3"/>
  <c r="AF82" i="3"/>
  <c r="AE82" i="3"/>
  <c r="AD82" i="3"/>
  <c r="AC82" i="3"/>
  <c r="AB82" i="3"/>
  <c r="AA82" i="3"/>
  <c r="Z82" i="3"/>
  <c r="Y82" i="3"/>
  <c r="X82" i="3"/>
  <c r="W82" i="3"/>
  <c r="V82" i="3"/>
  <c r="AH82" i="3" s="1"/>
  <c r="T82" i="3"/>
  <c r="A82" i="3"/>
  <c r="AR81" i="3"/>
  <c r="AG81" i="3"/>
  <c r="AF81" i="3"/>
  <c r="AE81" i="3"/>
  <c r="AD81" i="3"/>
  <c r="AC81" i="3"/>
  <c r="AB81" i="3"/>
  <c r="AA81" i="3"/>
  <c r="Z81" i="3"/>
  <c r="Y81" i="3"/>
  <c r="X81" i="3"/>
  <c r="W81" i="3"/>
  <c r="V81" i="3"/>
  <c r="AH81" i="3" s="1"/>
  <c r="T81" i="3"/>
  <c r="A81" i="3"/>
  <c r="AR80" i="3"/>
  <c r="AG80" i="3"/>
  <c r="AF80" i="3"/>
  <c r="AE80" i="3"/>
  <c r="AD80" i="3"/>
  <c r="AC80" i="3"/>
  <c r="AB80" i="3"/>
  <c r="AA80" i="3"/>
  <c r="Z80" i="3"/>
  <c r="Y80" i="3"/>
  <c r="X80" i="3"/>
  <c r="W80" i="3"/>
  <c r="V80" i="3"/>
  <c r="AH80" i="3" s="1"/>
  <c r="T80" i="3"/>
  <c r="A80" i="3"/>
  <c r="AR79" i="3"/>
  <c r="AG79" i="3"/>
  <c r="AF79" i="3"/>
  <c r="AE79" i="3"/>
  <c r="AD79" i="3"/>
  <c r="AC79" i="3"/>
  <c r="AB79" i="3"/>
  <c r="AA79" i="3"/>
  <c r="Z79" i="3"/>
  <c r="Y79" i="3"/>
  <c r="X79" i="3"/>
  <c r="W79" i="3"/>
  <c r="V79" i="3"/>
  <c r="AH79" i="3" s="1"/>
  <c r="T79" i="3"/>
  <c r="A79" i="3"/>
  <c r="AR78" i="3"/>
  <c r="AG78" i="3"/>
  <c r="AF78" i="3"/>
  <c r="AE78" i="3"/>
  <c r="AD78" i="3"/>
  <c r="AC78" i="3"/>
  <c r="AB78" i="3"/>
  <c r="AA78" i="3"/>
  <c r="Z78" i="3"/>
  <c r="Y78" i="3"/>
  <c r="X78" i="3"/>
  <c r="W78" i="3"/>
  <c r="V78" i="3"/>
  <c r="AH78" i="3" s="1"/>
  <c r="T78" i="3"/>
  <c r="A78" i="3"/>
  <c r="AR77" i="3"/>
  <c r="AG77" i="3"/>
  <c r="AF77" i="3"/>
  <c r="AE77" i="3"/>
  <c r="AD77" i="3"/>
  <c r="AC77" i="3"/>
  <c r="AB77" i="3"/>
  <c r="AA77" i="3"/>
  <c r="Z77" i="3"/>
  <c r="Y77" i="3"/>
  <c r="X77" i="3"/>
  <c r="W77" i="3"/>
  <c r="V77" i="3"/>
  <c r="AH77" i="3" s="1"/>
  <c r="T77" i="3"/>
  <c r="A77" i="3"/>
  <c r="AR76" i="3"/>
  <c r="AG76" i="3"/>
  <c r="AF76" i="3"/>
  <c r="AE76" i="3"/>
  <c r="AD76" i="3"/>
  <c r="AC76" i="3"/>
  <c r="AB76" i="3"/>
  <c r="AA76" i="3"/>
  <c r="Z76" i="3"/>
  <c r="Y76" i="3"/>
  <c r="X76" i="3"/>
  <c r="W76" i="3"/>
  <c r="V76" i="3"/>
  <c r="AH76" i="3" s="1"/>
  <c r="T76" i="3"/>
  <c r="A76" i="3"/>
  <c r="AG75" i="3"/>
  <c r="AF75" i="3"/>
  <c r="AE75" i="3"/>
  <c r="AD75" i="3"/>
  <c r="AC75" i="3"/>
  <c r="AB75" i="3"/>
  <c r="AA75" i="3"/>
  <c r="Z75" i="3"/>
  <c r="Y75" i="3"/>
  <c r="X75" i="3"/>
  <c r="W75" i="3"/>
  <c r="V75" i="3"/>
  <c r="AH75" i="3" s="1"/>
  <c r="T75" i="3"/>
  <c r="A75" i="3"/>
  <c r="AR74" i="3"/>
  <c r="AG74" i="3"/>
  <c r="AF74" i="3"/>
  <c r="AE74" i="3"/>
  <c r="AD74" i="3"/>
  <c r="AC74" i="3"/>
  <c r="AB74" i="3"/>
  <c r="AA74" i="3"/>
  <c r="Z74" i="3"/>
  <c r="Y74" i="3"/>
  <c r="X74" i="3"/>
  <c r="W74" i="3"/>
  <c r="V74" i="3"/>
  <c r="AH74" i="3" s="1"/>
  <c r="T74" i="3"/>
  <c r="A74" i="3"/>
  <c r="AR73" i="3"/>
  <c r="AG73" i="3"/>
  <c r="AF73" i="3"/>
  <c r="AE73" i="3"/>
  <c r="AD73" i="3"/>
  <c r="AC73" i="3"/>
  <c r="AB73" i="3"/>
  <c r="AA73" i="3"/>
  <c r="Z73" i="3"/>
  <c r="Y73" i="3"/>
  <c r="X73" i="3"/>
  <c r="W73" i="3"/>
  <c r="V73" i="3"/>
  <c r="AH73" i="3" s="1"/>
  <c r="T73" i="3"/>
  <c r="A73" i="3"/>
  <c r="AR72" i="3"/>
  <c r="AG72" i="3"/>
  <c r="AF72" i="3"/>
  <c r="AE72" i="3"/>
  <c r="AD72" i="3"/>
  <c r="AC72" i="3"/>
  <c r="AB72" i="3"/>
  <c r="AA72" i="3"/>
  <c r="Z72" i="3"/>
  <c r="Y72" i="3"/>
  <c r="X72" i="3"/>
  <c r="W72" i="3"/>
  <c r="V72" i="3"/>
  <c r="AH72" i="3" s="1"/>
  <c r="T72" i="3"/>
  <c r="A72" i="3"/>
  <c r="AR71" i="3"/>
  <c r="AG71" i="3"/>
  <c r="AF71" i="3"/>
  <c r="AE71" i="3"/>
  <c r="AD71" i="3"/>
  <c r="AC71" i="3"/>
  <c r="AB71" i="3"/>
  <c r="AA71" i="3"/>
  <c r="Z71" i="3"/>
  <c r="Y71" i="3"/>
  <c r="X71" i="3"/>
  <c r="W71" i="3"/>
  <c r="V71" i="3"/>
  <c r="AH71" i="3" s="1"/>
  <c r="T71" i="3"/>
  <c r="A71" i="3"/>
  <c r="AR70" i="3"/>
  <c r="AG70" i="3"/>
  <c r="AF70" i="3"/>
  <c r="AE70" i="3"/>
  <c r="AD70" i="3"/>
  <c r="AC70" i="3"/>
  <c r="AB70" i="3"/>
  <c r="AA70" i="3"/>
  <c r="Z70" i="3"/>
  <c r="Y70" i="3"/>
  <c r="X70" i="3"/>
  <c r="W70" i="3"/>
  <c r="V70" i="3"/>
  <c r="AH70" i="3" s="1"/>
  <c r="T70" i="3"/>
  <c r="A70" i="3"/>
  <c r="AR69" i="3"/>
  <c r="AG69" i="3"/>
  <c r="AF69" i="3"/>
  <c r="AE69" i="3"/>
  <c r="AD69" i="3"/>
  <c r="AC69" i="3"/>
  <c r="AB69" i="3"/>
  <c r="AA69" i="3"/>
  <c r="Z69" i="3"/>
  <c r="Y69" i="3"/>
  <c r="X69" i="3"/>
  <c r="W69" i="3"/>
  <c r="V69" i="3"/>
  <c r="AH69" i="3" s="1"/>
  <c r="T69" i="3"/>
  <c r="A69" i="3"/>
  <c r="AR68" i="3"/>
  <c r="AG68" i="3"/>
  <c r="AF68" i="3"/>
  <c r="AE68" i="3"/>
  <c r="AD68" i="3"/>
  <c r="AC68" i="3"/>
  <c r="AB68" i="3"/>
  <c r="AA68" i="3"/>
  <c r="Z68" i="3"/>
  <c r="Y68" i="3"/>
  <c r="X68" i="3"/>
  <c r="W68" i="3"/>
  <c r="V68" i="3"/>
  <c r="AH68" i="3" s="1"/>
  <c r="T68" i="3"/>
  <c r="A68" i="3"/>
  <c r="AR67" i="3"/>
  <c r="AG67" i="3"/>
  <c r="AG153" i="3" s="1"/>
  <c r="AF67" i="3"/>
  <c r="AF153" i="3" s="1"/>
  <c r="AE67" i="3"/>
  <c r="AE153" i="3" s="1"/>
  <c r="AD67" i="3"/>
  <c r="AD153" i="3" s="1"/>
  <c r="AC67" i="3"/>
  <c r="AC153" i="3" s="1"/>
  <c r="AB67" i="3"/>
  <c r="AB153" i="3" s="1"/>
  <c r="AA67" i="3"/>
  <c r="AA153" i="3" s="1"/>
  <c r="Z67" i="3"/>
  <c r="Z153" i="3" s="1"/>
  <c r="Y67" i="3"/>
  <c r="Y153" i="3" s="1"/>
  <c r="X67" i="3"/>
  <c r="X153" i="3" s="1"/>
  <c r="W67" i="3"/>
  <c r="W153" i="3" s="1"/>
  <c r="V67" i="3"/>
  <c r="V153" i="3" s="1"/>
  <c r="T67" i="3"/>
  <c r="AH67" i="3" s="1"/>
  <c r="A67" i="3"/>
  <c r="AR66" i="3"/>
  <c r="AG66" i="3"/>
  <c r="AF66" i="3"/>
  <c r="AE66" i="3"/>
  <c r="AD66" i="3"/>
  <c r="AC66" i="3"/>
  <c r="AB66" i="3"/>
  <c r="AA66" i="3"/>
  <c r="Z66" i="3"/>
  <c r="Y66" i="3"/>
  <c r="X66" i="3"/>
  <c r="W66" i="3"/>
  <c r="V66" i="3"/>
  <c r="AH66" i="3" s="1"/>
  <c r="T66" i="3"/>
  <c r="T153" i="3" s="1"/>
  <c r="A66" i="3"/>
  <c r="AG65" i="3"/>
  <c r="AF65" i="3"/>
  <c r="AE65" i="3"/>
  <c r="AD65" i="3"/>
  <c r="AC65" i="3"/>
  <c r="AB65" i="3"/>
  <c r="AA65" i="3"/>
  <c r="Z65" i="3"/>
  <c r="Y65" i="3"/>
  <c r="X65" i="3"/>
  <c r="W65" i="3"/>
  <c r="V65" i="3"/>
  <c r="AH65" i="3" s="1"/>
  <c r="AI65" i="3" s="1"/>
  <c r="AG63" i="3"/>
  <c r="AF63" i="3"/>
  <c r="AE63" i="3"/>
  <c r="AD63" i="3"/>
  <c r="AC63" i="3"/>
  <c r="AB63" i="3"/>
  <c r="AA63" i="3"/>
  <c r="Z63" i="3"/>
  <c r="Y63" i="3"/>
  <c r="X63" i="3"/>
  <c r="W63" i="3"/>
  <c r="V63" i="3"/>
  <c r="AH63" i="3" s="1"/>
  <c r="AI63" i="3" s="1"/>
  <c r="AF61" i="3"/>
  <c r="AE61" i="3"/>
  <c r="AB61" i="3"/>
  <c r="AA61" i="3"/>
  <c r="X61" i="3"/>
  <c r="W61" i="3"/>
  <c r="S61" i="3"/>
  <c r="R61" i="3"/>
  <c r="Q61" i="3"/>
  <c r="P61" i="3"/>
  <c r="O61" i="3"/>
  <c r="N61" i="3"/>
  <c r="M61" i="3"/>
  <c r="L61" i="3"/>
  <c r="K61" i="3"/>
  <c r="J61" i="3"/>
  <c r="I61" i="3"/>
  <c r="H61" i="3"/>
  <c r="AG60" i="3"/>
  <c r="AF60" i="3"/>
  <c r="AE60" i="3"/>
  <c r="AD60" i="3"/>
  <c r="AC60" i="3"/>
  <c r="AB60" i="3"/>
  <c r="AA60" i="3"/>
  <c r="Z60" i="3"/>
  <c r="Y60" i="3"/>
  <c r="X60" i="3"/>
  <c r="W60" i="3"/>
  <c r="V60" i="3"/>
  <c r="AH60" i="3" s="1"/>
  <c r="T60" i="3"/>
  <c r="A60" i="3"/>
  <c r="AG59" i="3"/>
  <c r="AF59" i="3"/>
  <c r="AE59" i="3"/>
  <c r="AD59" i="3"/>
  <c r="AC59" i="3"/>
  <c r="AB59" i="3"/>
  <c r="AA59" i="3"/>
  <c r="Z59" i="3"/>
  <c r="Y59" i="3"/>
  <c r="X59" i="3"/>
  <c r="W59" i="3"/>
  <c r="V59" i="3"/>
  <c r="AH59" i="3" s="1"/>
  <c r="T59" i="3"/>
  <c r="A59" i="3"/>
  <c r="AG58" i="3"/>
  <c r="AF58" i="3"/>
  <c r="AE58" i="3"/>
  <c r="AD58" i="3"/>
  <c r="AC58" i="3"/>
  <c r="AB58" i="3"/>
  <c r="AA58" i="3"/>
  <c r="Z58" i="3"/>
  <c r="Y58" i="3"/>
  <c r="X58" i="3"/>
  <c r="W58" i="3"/>
  <c r="V58" i="3"/>
  <c r="AH58" i="3" s="1"/>
  <c r="T58" i="3"/>
  <c r="A58" i="3"/>
  <c r="AG57" i="3"/>
  <c r="AF57" i="3"/>
  <c r="AE57" i="3"/>
  <c r="AD57" i="3"/>
  <c r="AC57" i="3"/>
  <c r="AB57" i="3"/>
  <c r="AA57" i="3"/>
  <c r="Z57" i="3"/>
  <c r="Y57" i="3"/>
  <c r="X57" i="3"/>
  <c r="W57" i="3"/>
  <c r="V57" i="3"/>
  <c r="AH57" i="3" s="1"/>
  <c r="T57" i="3"/>
  <c r="A57" i="3"/>
  <c r="AR56" i="3"/>
  <c r="AR57" i="3" s="1"/>
  <c r="AR58" i="3" s="1"/>
  <c r="AR59" i="3" s="1"/>
  <c r="AR60" i="3" s="1"/>
  <c r="AG56" i="3"/>
  <c r="AG61" i="3" s="1"/>
  <c r="AF56" i="3"/>
  <c r="AE56" i="3"/>
  <c r="AD56" i="3"/>
  <c r="AD61" i="3" s="1"/>
  <c r="AC56" i="3"/>
  <c r="AC61" i="3" s="1"/>
  <c r="AB56" i="3"/>
  <c r="AA56" i="3"/>
  <c r="Z56" i="3"/>
  <c r="Z61" i="3" s="1"/>
  <c r="Y56" i="3"/>
  <c r="Y61" i="3" s="1"/>
  <c r="X56" i="3"/>
  <c r="W56" i="3"/>
  <c r="V56" i="3"/>
  <c r="V61" i="3" s="1"/>
  <c r="T56" i="3"/>
  <c r="T61" i="3" s="1"/>
  <c r="A56" i="3"/>
  <c r="AG55" i="3"/>
  <c r="AF55" i="3"/>
  <c r="AE55" i="3"/>
  <c r="AD55" i="3"/>
  <c r="AC55" i="3"/>
  <c r="AB55" i="3"/>
  <c r="AA55" i="3"/>
  <c r="Z55" i="3"/>
  <c r="Y55" i="3"/>
  <c r="X55" i="3"/>
  <c r="W55" i="3"/>
  <c r="V55" i="3"/>
  <c r="AH55" i="3" s="1"/>
  <c r="AI55" i="3" s="1"/>
  <c r="AE53" i="3"/>
  <c r="AD53" i="3"/>
  <c r="AA53" i="3"/>
  <c r="Z53" i="3"/>
  <c r="W53" i="3"/>
  <c r="V53" i="3"/>
  <c r="S53" i="3"/>
  <c r="R53" i="3"/>
  <c r="Q53" i="3"/>
  <c r="P53" i="3"/>
  <c r="O53" i="3"/>
  <c r="N53" i="3"/>
  <c r="M53" i="3"/>
  <c r="L53" i="3"/>
  <c r="K53" i="3"/>
  <c r="J53" i="3"/>
  <c r="I53" i="3"/>
  <c r="H53" i="3"/>
  <c r="AR51" i="3"/>
  <c r="AG51" i="3"/>
  <c r="AF51" i="3"/>
  <c r="AE51" i="3"/>
  <c r="AD51" i="3"/>
  <c r="AC51" i="3"/>
  <c r="AB51" i="3"/>
  <c r="AA51" i="3"/>
  <c r="Z51" i="3"/>
  <c r="Y51" i="3"/>
  <c r="X51" i="3"/>
  <c r="W51" i="3"/>
  <c r="V51" i="3"/>
  <c r="AH51" i="3" s="1"/>
  <c r="T51" i="3"/>
  <c r="A51" i="3"/>
  <c r="AR50" i="3"/>
  <c r="AG50" i="3"/>
  <c r="AG53" i="3" s="1"/>
  <c r="AF50" i="3"/>
  <c r="AF53" i="3" s="1"/>
  <c r="AE50" i="3"/>
  <c r="AD50" i="3"/>
  <c r="AC50" i="3"/>
  <c r="AC53" i="3" s="1"/>
  <c r="AB50" i="3"/>
  <c r="AB53" i="3" s="1"/>
  <c r="AA50" i="3"/>
  <c r="Z50" i="3"/>
  <c r="Y50" i="3"/>
  <c r="Y53" i="3" s="1"/>
  <c r="X50" i="3"/>
  <c r="X53" i="3" s="1"/>
  <c r="W50" i="3"/>
  <c r="V50" i="3"/>
  <c r="AH50" i="3" s="1"/>
  <c r="T50" i="3"/>
  <c r="T53" i="3" s="1"/>
  <c r="A50" i="3"/>
  <c r="AG49" i="3"/>
  <c r="AF49" i="3"/>
  <c r="AE49" i="3"/>
  <c r="AD49" i="3"/>
  <c r="AC49" i="3"/>
  <c r="AB49" i="3"/>
  <c r="AA49" i="3"/>
  <c r="Z49" i="3"/>
  <c r="Y49" i="3"/>
  <c r="X49" i="3"/>
  <c r="W49" i="3"/>
  <c r="V49" i="3"/>
  <c r="AH49" i="3" s="1"/>
  <c r="AI49" i="3" s="1"/>
  <c r="S47" i="3"/>
  <c r="S213" i="3" s="1"/>
  <c r="R47" i="3"/>
  <c r="R213" i="3" s="1"/>
  <c r="Q47" i="3"/>
  <c r="P47" i="3"/>
  <c r="P213" i="3" s="1"/>
  <c r="O47" i="3"/>
  <c r="O213" i="3" s="1"/>
  <c r="N47" i="3"/>
  <c r="N213" i="3" s="1"/>
  <c r="M47" i="3"/>
  <c r="L47" i="3"/>
  <c r="L213" i="3" s="1"/>
  <c r="K47" i="3"/>
  <c r="K213" i="3" s="1"/>
  <c r="J47" i="3"/>
  <c r="J213" i="3" s="1"/>
  <c r="I47" i="3"/>
  <c r="H47" i="3"/>
  <c r="H213" i="3" s="1"/>
  <c r="AR46" i="3"/>
  <c r="AG46" i="3"/>
  <c r="AF46" i="3"/>
  <c r="AE46" i="3"/>
  <c r="AD46" i="3"/>
  <c r="AC46" i="3"/>
  <c r="AB46" i="3"/>
  <c r="AA46" i="3"/>
  <c r="Z46" i="3"/>
  <c r="Y46" i="3"/>
  <c r="X46" i="3"/>
  <c r="W46" i="3"/>
  <c r="V46" i="3"/>
  <c r="AH46" i="3" s="1"/>
  <c r="T46" i="3"/>
  <c r="A46" i="3"/>
  <c r="AG45" i="3"/>
  <c r="AF45" i="3"/>
  <c r="AE45" i="3"/>
  <c r="AD45" i="3"/>
  <c r="AC45" i="3"/>
  <c r="AB45" i="3"/>
  <c r="AA45" i="3"/>
  <c r="Z45" i="3"/>
  <c r="Y45" i="3"/>
  <c r="X45" i="3"/>
  <c r="W45" i="3"/>
  <c r="V45" i="3"/>
  <c r="AH45" i="3" s="1"/>
  <c r="T45" i="3"/>
  <c r="A45" i="3"/>
  <c r="AR44" i="3"/>
  <c r="AG44" i="3"/>
  <c r="AF44" i="3"/>
  <c r="AE44" i="3"/>
  <c r="AD44" i="3"/>
  <c r="AC44" i="3"/>
  <c r="AB44" i="3"/>
  <c r="AA44" i="3"/>
  <c r="Z44" i="3"/>
  <c r="Y44" i="3"/>
  <c r="X44" i="3"/>
  <c r="W44" i="3"/>
  <c r="V44" i="3"/>
  <c r="AH44" i="3" s="1"/>
  <c r="T44" i="3"/>
  <c r="A44" i="3"/>
  <c r="AG43" i="3"/>
  <c r="AF43" i="3"/>
  <c r="AE43" i="3"/>
  <c r="AD43" i="3"/>
  <c r="AC43" i="3"/>
  <c r="AB43" i="3"/>
  <c r="AA43" i="3"/>
  <c r="Z43" i="3"/>
  <c r="Y43" i="3"/>
  <c r="X43" i="3"/>
  <c r="W43" i="3"/>
  <c r="V43" i="3"/>
  <c r="AH43" i="3" s="1"/>
  <c r="T43" i="3"/>
  <c r="A43" i="3"/>
  <c r="AR42" i="3"/>
  <c r="AG42" i="3"/>
  <c r="AF42" i="3"/>
  <c r="AE42" i="3"/>
  <c r="AD42" i="3"/>
  <c r="AC42" i="3"/>
  <c r="AB42" i="3"/>
  <c r="AA42" i="3"/>
  <c r="Z42" i="3"/>
  <c r="Y42" i="3"/>
  <c r="X42" i="3"/>
  <c r="W42" i="3"/>
  <c r="V42" i="3"/>
  <c r="AH42" i="3" s="1"/>
  <c r="T42" i="3"/>
  <c r="A42" i="3"/>
  <c r="AG41" i="3"/>
  <c r="AF41" i="3"/>
  <c r="AE41" i="3"/>
  <c r="AD41" i="3"/>
  <c r="AC41" i="3"/>
  <c r="AB41" i="3"/>
  <c r="AA41" i="3"/>
  <c r="Z41" i="3"/>
  <c r="Y41" i="3"/>
  <c r="X41" i="3"/>
  <c r="W41" i="3"/>
  <c r="V41" i="3"/>
  <c r="AH41" i="3" s="1"/>
  <c r="T41" i="3"/>
  <c r="A41" i="3"/>
  <c r="AG40" i="3"/>
  <c r="AF40" i="3"/>
  <c r="AE40" i="3"/>
  <c r="AD40" i="3"/>
  <c r="AC40" i="3"/>
  <c r="AB40" i="3"/>
  <c r="AA40" i="3"/>
  <c r="Z40" i="3"/>
  <c r="Y40" i="3"/>
  <c r="X40" i="3"/>
  <c r="W40" i="3"/>
  <c r="V40" i="3"/>
  <c r="T40" i="3"/>
  <c r="A40" i="3"/>
  <c r="AR39" i="3"/>
  <c r="AG39" i="3"/>
  <c r="AF39" i="3"/>
  <c r="AE39" i="3"/>
  <c r="AD39" i="3"/>
  <c r="AC39" i="3"/>
  <c r="AB39" i="3"/>
  <c r="AA39" i="3"/>
  <c r="Z39" i="3"/>
  <c r="Y39" i="3"/>
  <c r="X39" i="3"/>
  <c r="W39" i="3"/>
  <c r="V39" i="3"/>
  <c r="T39" i="3"/>
  <c r="A39" i="3"/>
  <c r="AR38" i="3"/>
  <c r="AG38" i="3"/>
  <c r="AF38" i="3"/>
  <c r="AE38" i="3"/>
  <c r="AD38" i="3"/>
  <c r="AC38" i="3"/>
  <c r="AB38" i="3"/>
  <c r="AA38" i="3"/>
  <c r="Z38" i="3"/>
  <c r="Y38" i="3"/>
  <c r="X38" i="3"/>
  <c r="W38" i="3"/>
  <c r="V38" i="3"/>
  <c r="T38" i="3"/>
  <c r="A38" i="3"/>
  <c r="AG37" i="3"/>
  <c r="AF37" i="3"/>
  <c r="AE37" i="3"/>
  <c r="AD37" i="3"/>
  <c r="AC37" i="3"/>
  <c r="AB37" i="3"/>
  <c r="AA37" i="3"/>
  <c r="Z37" i="3"/>
  <c r="Y37" i="3"/>
  <c r="X37" i="3"/>
  <c r="W37" i="3"/>
  <c r="V37" i="3"/>
  <c r="AH37" i="3" s="1"/>
  <c r="T37" i="3"/>
  <c r="A37" i="3"/>
  <c r="AG36" i="3"/>
  <c r="AF36" i="3"/>
  <c r="AE36" i="3"/>
  <c r="AD36" i="3"/>
  <c r="AC36" i="3"/>
  <c r="AB36" i="3"/>
  <c r="AA36" i="3"/>
  <c r="Z36" i="3"/>
  <c r="Y36" i="3"/>
  <c r="X36" i="3"/>
  <c r="W36" i="3"/>
  <c r="V36" i="3"/>
  <c r="AH36" i="3" s="1"/>
  <c r="AS36" i="3" s="1"/>
  <c r="AT36" i="3" s="1"/>
  <c r="T36" i="3"/>
  <c r="A36" i="3"/>
  <c r="AG35" i="3"/>
  <c r="AF35" i="3"/>
  <c r="AE35" i="3"/>
  <c r="AD35" i="3"/>
  <c r="AC35" i="3"/>
  <c r="AB35" i="3"/>
  <c r="AA35" i="3"/>
  <c r="Z35" i="3"/>
  <c r="Y35" i="3"/>
  <c r="X35" i="3"/>
  <c r="W35" i="3"/>
  <c r="V35" i="3"/>
  <c r="AH35" i="3" s="1"/>
  <c r="T35" i="3"/>
  <c r="A35" i="3"/>
  <c r="AR34" i="3"/>
  <c r="AG34" i="3"/>
  <c r="AF34" i="3"/>
  <c r="AE34" i="3"/>
  <c r="AD34" i="3"/>
  <c r="AC34" i="3"/>
  <c r="AB34" i="3"/>
  <c r="AA34" i="3"/>
  <c r="Z34" i="3"/>
  <c r="Y34" i="3"/>
  <c r="X34" i="3"/>
  <c r="W34" i="3"/>
  <c r="V34" i="3"/>
  <c r="AH34" i="3" s="1"/>
  <c r="T34" i="3"/>
  <c r="A34" i="3"/>
  <c r="AG33" i="3"/>
  <c r="AF33" i="3"/>
  <c r="AE33" i="3"/>
  <c r="AD33" i="3"/>
  <c r="AC33" i="3"/>
  <c r="AB33" i="3"/>
  <c r="AA33" i="3"/>
  <c r="Z33" i="3"/>
  <c r="Y33" i="3"/>
  <c r="X33" i="3"/>
  <c r="W33" i="3"/>
  <c r="V33" i="3"/>
  <c r="T33" i="3"/>
  <c r="A33" i="3"/>
  <c r="AG32" i="3"/>
  <c r="AF32" i="3"/>
  <c r="AE32" i="3"/>
  <c r="AD32" i="3"/>
  <c r="AC32" i="3"/>
  <c r="AB32" i="3"/>
  <c r="AA32" i="3"/>
  <c r="Z32" i="3"/>
  <c r="Y32" i="3"/>
  <c r="X32" i="3"/>
  <c r="W32" i="3"/>
  <c r="V32" i="3"/>
  <c r="T32" i="3"/>
  <c r="A32" i="3"/>
  <c r="AG31" i="3"/>
  <c r="AF31" i="3"/>
  <c r="AE31" i="3"/>
  <c r="AD31" i="3"/>
  <c r="AC31" i="3"/>
  <c r="AB31" i="3"/>
  <c r="AA31" i="3"/>
  <c r="Z31" i="3"/>
  <c r="Y31" i="3"/>
  <c r="X31" i="3"/>
  <c r="W31" i="3"/>
  <c r="V31" i="3"/>
  <c r="AH31" i="3" s="1"/>
  <c r="AS31" i="3" s="1"/>
  <c r="AT31" i="3" s="1"/>
  <c r="T31" i="3"/>
  <c r="A31" i="3"/>
  <c r="AR30" i="3"/>
  <c r="AG30" i="3"/>
  <c r="AF30" i="3"/>
  <c r="AE30" i="3"/>
  <c r="AD30" i="3"/>
  <c r="AC30" i="3"/>
  <c r="AB30" i="3"/>
  <c r="AA30" i="3"/>
  <c r="Z30" i="3"/>
  <c r="Y30" i="3"/>
  <c r="X30" i="3"/>
  <c r="W30" i="3"/>
  <c r="V30" i="3"/>
  <c r="AH30" i="3" s="1"/>
  <c r="AS30" i="3" s="1"/>
  <c r="AT30" i="3" s="1"/>
  <c r="T30" i="3"/>
  <c r="A30" i="3"/>
  <c r="AG29" i="3"/>
  <c r="AF29" i="3"/>
  <c r="AE29" i="3"/>
  <c r="AD29" i="3"/>
  <c r="AC29" i="3"/>
  <c r="AB29" i="3"/>
  <c r="AA29" i="3"/>
  <c r="Z29" i="3"/>
  <c r="Y29" i="3"/>
  <c r="X29" i="3"/>
  <c r="W29" i="3"/>
  <c r="V29" i="3"/>
  <c r="AH29" i="3" s="1"/>
  <c r="T29" i="3"/>
  <c r="A29" i="3"/>
  <c r="AG28" i="3"/>
  <c r="AF28" i="3"/>
  <c r="AE28" i="3"/>
  <c r="AD28" i="3"/>
  <c r="AC28" i="3"/>
  <c r="AB28" i="3"/>
  <c r="AA28" i="3"/>
  <c r="Z28" i="3"/>
  <c r="Y28" i="3"/>
  <c r="X28" i="3"/>
  <c r="W28" i="3"/>
  <c r="V28" i="3"/>
  <c r="AH28" i="3" s="1"/>
  <c r="AI28" i="3" s="1"/>
  <c r="AO28" i="3" s="1"/>
  <c r="T28" i="3"/>
  <c r="A28" i="3"/>
  <c r="AR27" i="3"/>
  <c r="AG27" i="3"/>
  <c r="AF27" i="3"/>
  <c r="AE27" i="3"/>
  <c r="AD27" i="3"/>
  <c r="AC27" i="3"/>
  <c r="AB27" i="3"/>
  <c r="AA27" i="3"/>
  <c r="Z27" i="3"/>
  <c r="Y27" i="3"/>
  <c r="X27" i="3"/>
  <c r="W27" i="3"/>
  <c r="V27" i="3"/>
  <c r="T27" i="3"/>
  <c r="A27" i="3"/>
  <c r="AG26" i="3"/>
  <c r="AF26" i="3"/>
  <c r="AE26" i="3"/>
  <c r="AD26" i="3"/>
  <c r="AC26" i="3"/>
  <c r="AB26" i="3"/>
  <c r="AA26" i="3"/>
  <c r="Z26" i="3"/>
  <c r="Y26" i="3"/>
  <c r="X26" i="3"/>
  <c r="W26" i="3"/>
  <c r="V26" i="3"/>
  <c r="AH26" i="3" s="1"/>
  <c r="T26" i="3"/>
  <c r="A26" i="3"/>
  <c r="AG25" i="3"/>
  <c r="AG47" i="3" s="1"/>
  <c r="AF25" i="3"/>
  <c r="AE25" i="3"/>
  <c r="AD25" i="3"/>
  <c r="AC25" i="3"/>
  <c r="AC47" i="3" s="1"/>
  <c r="AB25" i="3"/>
  <c r="AA25" i="3"/>
  <c r="Z25" i="3"/>
  <c r="Y25" i="3"/>
  <c r="Y47" i="3" s="1"/>
  <c r="X25" i="3"/>
  <c r="W25" i="3"/>
  <c r="V25" i="3"/>
  <c r="T25" i="3"/>
  <c r="A25" i="3"/>
  <c r="AR24" i="3"/>
  <c r="AG24" i="3"/>
  <c r="AF24" i="3"/>
  <c r="AE24" i="3"/>
  <c r="AD24" i="3"/>
  <c r="AC24" i="3"/>
  <c r="AB24" i="3"/>
  <c r="AA24" i="3"/>
  <c r="Z24" i="3"/>
  <c r="Y24" i="3"/>
  <c r="X24" i="3"/>
  <c r="W24" i="3"/>
  <c r="V24" i="3"/>
  <c r="AH24" i="3" s="1"/>
  <c r="T24" i="3"/>
  <c r="A24" i="3"/>
  <c r="AR23" i="3"/>
  <c r="AG23" i="3"/>
  <c r="AF23" i="3"/>
  <c r="AE23" i="3"/>
  <c r="AD23" i="3"/>
  <c r="AC23" i="3"/>
  <c r="AB23" i="3"/>
  <c r="AA23" i="3"/>
  <c r="Z23" i="3"/>
  <c r="Y23" i="3"/>
  <c r="X23" i="3"/>
  <c r="W23" i="3"/>
  <c r="V23" i="3"/>
  <c r="AH23" i="3" s="1"/>
  <c r="AI23" i="3" s="1"/>
  <c r="T23" i="3"/>
  <c r="A23" i="3"/>
  <c r="AR22" i="3"/>
  <c r="AG22" i="3"/>
  <c r="AF22" i="3"/>
  <c r="AE22" i="3"/>
  <c r="AD22" i="3"/>
  <c r="AC22" i="3"/>
  <c r="AB22" i="3"/>
  <c r="AA22" i="3"/>
  <c r="Z22" i="3"/>
  <c r="Y22" i="3"/>
  <c r="X22" i="3"/>
  <c r="W22" i="3"/>
  <c r="V22" i="3"/>
  <c r="AH22" i="3" s="1"/>
  <c r="T22" i="3"/>
  <c r="A22" i="3"/>
  <c r="AR21" i="3"/>
  <c r="AG21" i="3"/>
  <c r="AF21" i="3"/>
  <c r="AE21" i="3"/>
  <c r="AD21" i="3"/>
  <c r="AC21" i="3"/>
  <c r="AB21" i="3"/>
  <c r="AA21" i="3"/>
  <c r="Z21" i="3"/>
  <c r="Y21" i="3"/>
  <c r="X21" i="3"/>
  <c r="W21" i="3"/>
  <c r="V21" i="3"/>
  <c r="AH21" i="3" s="1"/>
  <c r="T21" i="3"/>
  <c r="A21" i="3"/>
  <c r="AR20" i="3"/>
  <c r="AG20" i="3"/>
  <c r="AF20" i="3"/>
  <c r="AE20" i="3"/>
  <c r="AD20" i="3"/>
  <c r="AC20" i="3"/>
  <c r="AB20" i="3"/>
  <c r="AA20" i="3"/>
  <c r="Z20" i="3"/>
  <c r="Y20" i="3"/>
  <c r="X20" i="3"/>
  <c r="W20" i="3"/>
  <c r="V20" i="3"/>
  <c r="AH20" i="3" s="1"/>
  <c r="T20" i="3"/>
  <c r="A20" i="3"/>
  <c r="AR19" i="3"/>
  <c r="AG19" i="3"/>
  <c r="AF19" i="3"/>
  <c r="AE19" i="3"/>
  <c r="AD19" i="3"/>
  <c r="AC19" i="3"/>
  <c r="AB19" i="3"/>
  <c r="AA19" i="3"/>
  <c r="Z19" i="3"/>
  <c r="Y19" i="3"/>
  <c r="X19" i="3"/>
  <c r="W19" i="3"/>
  <c r="V19" i="3"/>
  <c r="AH19" i="3" s="1"/>
  <c r="T19" i="3"/>
  <c r="A19" i="3"/>
  <c r="AR18" i="3"/>
  <c r="AG18" i="3"/>
  <c r="AF18" i="3"/>
  <c r="AE18" i="3"/>
  <c r="AD18" i="3"/>
  <c r="AC18" i="3"/>
  <c r="AB18" i="3"/>
  <c r="AA18" i="3"/>
  <c r="Z18" i="3"/>
  <c r="Y18" i="3"/>
  <c r="X18" i="3"/>
  <c r="W18" i="3"/>
  <c r="V18" i="3"/>
  <c r="AH18" i="3" s="1"/>
  <c r="T18" i="3"/>
  <c r="A18" i="3"/>
  <c r="AR17" i="3"/>
  <c r="AG17" i="3"/>
  <c r="AF17" i="3"/>
  <c r="AE17" i="3"/>
  <c r="AD17" i="3"/>
  <c r="AC17" i="3"/>
  <c r="AB17" i="3"/>
  <c r="AA17" i="3"/>
  <c r="Z17" i="3"/>
  <c r="Y17" i="3"/>
  <c r="X17" i="3"/>
  <c r="W17" i="3"/>
  <c r="V17" i="3"/>
  <c r="AH17" i="3" s="1"/>
  <c r="T17" i="3"/>
  <c r="A17" i="3"/>
  <c r="AR16" i="3"/>
  <c r="AG16" i="3"/>
  <c r="AF16" i="3"/>
  <c r="AE16" i="3"/>
  <c r="AD16" i="3"/>
  <c r="AC16" i="3"/>
  <c r="AB16" i="3"/>
  <c r="AA16" i="3"/>
  <c r="Z16" i="3"/>
  <c r="Y16" i="3"/>
  <c r="X16" i="3"/>
  <c r="W16" i="3"/>
  <c r="V16" i="3"/>
  <c r="AH16" i="3" s="1"/>
  <c r="T16" i="3"/>
  <c r="A16" i="3"/>
  <c r="AR15" i="3"/>
  <c r="AG15" i="3"/>
  <c r="AE15" i="3"/>
  <c r="AD15" i="3"/>
  <c r="Z15" i="3"/>
  <c r="V15" i="3"/>
  <c r="T15" i="3"/>
  <c r="F15" i="3"/>
  <c r="AF15" i="3" s="1"/>
  <c r="E15" i="3"/>
  <c r="AA15" i="3" s="1"/>
  <c r="A15" i="3"/>
  <c r="AR14" i="3"/>
  <c r="AG14" i="3"/>
  <c r="AF14" i="3"/>
  <c r="AE14" i="3"/>
  <c r="AD14" i="3"/>
  <c r="AC14" i="3"/>
  <c r="AB14" i="3"/>
  <c r="AA14" i="3"/>
  <c r="Z14" i="3"/>
  <c r="Y14" i="3"/>
  <c r="X14" i="3"/>
  <c r="W14" i="3"/>
  <c r="V14" i="3"/>
  <c r="AH14" i="3" s="1"/>
  <c r="T14" i="3"/>
  <c r="A14" i="3"/>
  <c r="AR13" i="3"/>
  <c r="AG13" i="3"/>
  <c r="AF13" i="3"/>
  <c r="AE13" i="3"/>
  <c r="AD13" i="3"/>
  <c r="AC13" i="3"/>
  <c r="AB13" i="3"/>
  <c r="AA13" i="3"/>
  <c r="Z13" i="3"/>
  <c r="Y13" i="3"/>
  <c r="X13" i="3"/>
  <c r="W13" i="3"/>
  <c r="V13" i="3"/>
  <c r="AH13" i="3" s="1"/>
  <c r="T13" i="3"/>
  <c r="A13" i="3"/>
  <c r="AG12" i="3"/>
  <c r="AF12" i="3"/>
  <c r="AE12" i="3"/>
  <c r="AD12" i="3"/>
  <c r="AC12" i="3"/>
  <c r="AB12" i="3"/>
  <c r="AA12" i="3"/>
  <c r="Z12" i="3"/>
  <c r="Y12" i="3"/>
  <c r="X12" i="3"/>
  <c r="W12" i="3"/>
  <c r="V12" i="3"/>
  <c r="AH12" i="3" s="1"/>
  <c r="T12" i="3"/>
  <c r="A12" i="3"/>
  <c r="AG11" i="3"/>
  <c r="AF11" i="3"/>
  <c r="AE11" i="3"/>
  <c r="AD11" i="3"/>
  <c r="AC11" i="3"/>
  <c r="AB11" i="3"/>
  <c r="AA11" i="3"/>
  <c r="Z11" i="3"/>
  <c r="Y11" i="3"/>
  <c r="X11" i="3"/>
  <c r="W11" i="3"/>
  <c r="V11" i="3"/>
  <c r="T11" i="3"/>
  <c r="A11" i="3"/>
  <c r="S4" i="3"/>
  <c r="AG4" i="3" s="1"/>
  <c r="R4" i="3"/>
  <c r="AF4" i="3" s="1"/>
  <c r="Q4" i="3"/>
  <c r="AE4" i="3" s="1"/>
  <c r="P4" i="3"/>
  <c r="AD4" i="3" s="1"/>
  <c r="O4" i="3"/>
  <c r="AC4" i="3" s="1"/>
  <c r="N4" i="3"/>
  <c r="AB4" i="3" s="1"/>
  <c r="M4" i="3"/>
  <c r="AA4" i="3" s="1"/>
  <c r="L4" i="3"/>
  <c r="Z4" i="3" s="1"/>
  <c r="K4" i="3"/>
  <c r="Y4" i="3" s="1"/>
  <c r="J4" i="3"/>
  <c r="X4" i="3" s="1"/>
  <c r="I4" i="3"/>
  <c r="W4" i="3" s="1"/>
  <c r="H4" i="3"/>
  <c r="V4" i="3" s="1"/>
  <c r="BD3" i="3"/>
  <c r="BD4" i="3" s="1"/>
  <c r="C3" i="3"/>
  <c r="C1" i="3"/>
  <c r="S260" i="2"/>
  <c r="R260" i="2"/>
  <c r="Q260" i="2"/>
  <c r="P260" i="2"/>
  <c r="O260" i="2"/>
  <c r="N260" i="2"/>
  <c r="M260" i="2"/>
  <c r="L260" i="2"/>
  <c r="K260" i="2"/>
  <c r="J260" i="2"/>
  <c r="I260" i="2"/>
  <c r="H260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T258" i="2"/>
  <c r="AS258" i="2" s="1"/>
  <c r="AT258" i="2" s="1"/>
  <c r="B258" i="2"/>
  <c r="A258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T257" i="2"/>
  <c r="AS257" i="2" s="1"/>
  <c r="AT257" i="2" s="1"/>
  <c r="B257" i="2"/>
  <c r="A257" i="2"/>
  <c r="AG256" i="2"/>
  <c r="AF256" i="2"/>
  <c r="AE256" i="2"/>
  <c r="AE260" i="2" s="1"/>
  <c r="AD256" i="2"/>
  <c r="AD260" i="2" s="1"/>
  <c r="AC256" i="2"/>
  <c r="AB256" i="2"/>
  <c r="AA256" i="2"/>
  <c r="AA260" i="2" s="1"/>
  <c r="Z256" i="2"/>
  <c r="Z260" i="2" s="1"/>
  <c r="Y256" i="2"/>
  <c r="X256" i="2"/>
  <c r="W256" i="2"/>
  <c r="W260" i="2" s="1"/>
  <c r="V256" i="2"/>
  <c r="T256" i="2"/>
  <c r="AS256" i="2" s="1"/>
  <c r="AT256" i="2" s="1"/>
  <c r="B256" i="2"/>
  <c r="A256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AF252" i="2"/>
  <c r="AB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E250" i="2"/>
  <c r="AG249" i="2"/>
  <c r="AG252" i="2" s="1"/>
  <c r="AF249" i="2"/>
  <c r="AE249" i="2"/>
  <c r="AE252" i="2" s="1"/>
  <c r="AD249" i="2"/>
  <c r="AD252" i="2" s="1"/>
  <c r="AC249" i="2"/>
  <c r="AC252" i="2" s="1"/>
  <c r="AB249" i="2"/>
  <c r="AA249" i="2"/>
  <c r="AA252" i="2" s="1"/>
  <c r="Z249" i="2"/>
  <c r="Z252" i="2" s="1"/>
  <c r="Y249" i="2"/>
  <c r="Y252" i="2" s="1"/>
  <c r="X249" i="2"/>
  <c r="X252" i="2" s="1"/>
  <c r="W249" i="2"/>
  <c r="W252" i="2" s="1"/>
  <c r="V249" i="2"/>
  <c r="AH249" i="2" s="1"/>
  <c r="T249" i="2"/>
  <c r="T252" i="2" s="1"/>
  <c r="B249" i="2"/>
  <c r="A249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E248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E246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T244" i="2"/>
  <c r="B244" i="2"/>
  <c r="A244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AH243" i="2" s="1"/>
  <c r="AI243" i="2" s="1"/>
  <c r="T243" i="2"/>
  <c r="B243" i="2"/>
  <c r="A243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T242" i="2"/>
  <c r="B242" i="2"/>
  <c r="A242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T241" i="2"/>
  <c r="B241" i="2"/>
  <c r="A241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T240" i="2"/>
  <c r="B240" i="2"/>
  <c r="A240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T239" i="2"/>
  <c r="B239" i="2"/>
  <c r="A239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T238" i="2"/>
  <c r="B238" i="2"/>
  <c r="A238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T237" i="2"/>
  <c r="B237" i="2"/>
  <c r="A237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T236" i="2"/>
  <c r="B236" i="2"/>
  <c r="A236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T235" i="2"/>
  <c r="B235" i="2"/>
  <c r="A235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T234" i="2"/>
  <c r="B234" i="2"/>
  <c r="A234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AH233" i="2" s="1"/>
  <c r="AI233" i="2" s="1"/>
  <c r="T233" i="2"/>
  <c r="B233" i="2"/>
  <c r="A233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T232" i="2"/>
  <c r="B232" i="2"/>
  <c r="A232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T231" i="2"/>
  <c r="B231" i="2"/>
  <c r="A231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T230" i="2"/>
  <c r="B230" i="2"/>
  <c r="A230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T229" i="2"/>
  <c r="B229" i="2"/>
  <c r="A229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T228" i="2"/>
  <c r="B228" i="2"/>
  <c r="A228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T227" i="2"/>
  <c r="B227" i="2"/>
  <c r="A227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T226" i="2"/>
  <c r="B226" i="2"/>
  <c r="A226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AH225" i="2" s="1"/>
  <c r="AI225" i="2" s="1"/>
  <c r="T225" i="2"/>
  <c r="B225" i="2"/>
  <c r="A225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T224" i="2"/>
  <c r="B224" i="2"/>
  <c r="A224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T223" i="2"/>
  <c r="B223" i="2"/>
  <c r="A223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T222" i="2"/>
  <c r="B222" i="2"/>
  <c r="A222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T221" i="2"/>
  <c r="B221" i="2"/>
  <c r="A221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T220" i="2"/>
  <c r="B220" i="2"/>
  <c r="A220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T219" i="2"/>
  <c r="B219" i="2"/>
  <c r="A219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T218" i="2"/>
  <c r="B218" i="2"/>
  <c r="A218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AH217" i="2" s="1"/>
  <c r="AI217" i="2" s="1"/>
  <c r="T217" i="2"/>
  <c r="B217" i="2"/>
  <c r="A217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T216" i="2"/>
  <c r="B216" i="2"/>
  <c r="A216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T215" i="2"/>
  <c r="B215" i="2"/>
  <c r="A215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T214" i="2"/>
  <c r="B214" i="2"/>
  <c r="A214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T213" i="2"/>
  <c r="B213" i="2"/>
  <c r="A213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T212" i="2"/>
  <c r="B212" i="2"/>
  <c r="A212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T211" i="2"/>
  <c r="B211" i="2"/>
  <c r="A211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T210" i="2"/>
  <c r="B210" i="2"/>
  <c r="A210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AH209" i="2" s="1"/>
  <c r="AI209" i="2" s="1"/>
  <c r="T209" i="2"/>
  <c r="B209" i="2"/>
  <c r="A209" i="2"/>
  <c r="AG208" i="2"/>
  <c r="AF208" i="2"/>
  <c r="AE208" i="2"/>
  <c r="AD208" i="2"/>
  <c r="AC208" i="2"/>
  <c r="AC246" i="2" s="1"/>
  <c r="AB208" i="2"/>
  <c r="AA208" i="2"/>
  <c r="AA246" i="2" s="1"/>
  <c r="Z208" i="2"/>
  <c r="Y208" i="2"/>
  <c r="X208" i="2"/>
  <c r="W208" i="2"/>
  <c r="V208" i="2"/>
  <c r="T208" i="2"/>
  <c r="T246" i="2" s="1"/>
  <c r="B208" i="2"/>
  <c r="A208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AG199" i="2"/>
  <c r="AG202" i="2" s="1"/>
  <c r="AF199" i="2"/>
  <c r="AF202" i="2" s="1"/>
  <c r="AE199" i="2"/>
  <c r="AE202" i="2" s="1"/>
  <c r="AD199" i="2"/>
  <c r="AD202" i="2" s="1"/>
  <c r="AC199" i="2"/>
  <c r="AC202" i="2" s="1"/>
  <c r="AB199" i="2"/>
  <c r="AB202" i="2" s="1"/>
  <c r="AA199" i="2"/>
  <c r="AA202" i="2" s="1"/>
  <c r="Z199" i="2"/>
  <c r="Z202" i="2" s="1"/>
  <c r="Y199" i="2"/>
  <c r="Y202" i="2" s="1"/>
  <c r="X199" i="2"/>
  <c r="X202" i="2" s="1"/>
  <c r="W199" i="2"/>
  <c r="W202" i="2" s="1"/>
  <c r="V199" i="2"/>
  <c r="V202" i="2" s="1"/>
  <c r="T199" i="2"/>
  <c r="T202" i="2" s="1"/>
  <c r="B199" i="2"/>
  <c r="A199" i="2"/>
  <c r="AG198" i="2"/>
  <c r="AF198" i="2"/>
  <c r="AE198" i="2"/>
  <c r="AD198" i="2"/>
  <c r="AC198" i="2"/>
  <c r="AB198" i="2"/>
  <c r="X198" i="2"/>
  <c r="E198" i="2"/>
  <c r="AA198" i="2" s="1"/>
  <c r="S195" i="2"/>
  <c r="R195" i="2"/>
  <c r="Q195" i="2"/>
  <c r="P195" i="2"/>
  <c r="O195" i="2"/>
  <c r="N195" i="2"/>
  <c r="M195" i="2"/>
  <c r="L195" i="2"/>
  <c r="K195" i="2"/>
  <c r="J195" i="2"/>
  <c r="I195" i="2"/>
  <c r="H195" i="2"/>
  <c r="E195" i="2"/>
  <c r="F193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T191" i="2"/>
  <c r="B191" i="2"/>
  <c r="A191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AH190" i="2" s="1"/>
  <c r="AI190" i="2" s="1"/>
  <c r="T190" i="2"/>
  <c r="B190" i="2"/>
  <c r="A190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T189" i="2"/>
  <c r="B189" i="2"/>
  <c r="A189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T188" i="2"/>
  <c r="B188" i="2"/>
  <c r="A188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T187" i="2"/>
  <c r="B187" i="2"/>
  <c r="A187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T186" i="2"/>
  <c r="B186" i="2"/>
  <c r="A186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T185" i="2"/>
  <c r="B185" i="2"/>
  <c r="A185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T184" i="2"/>
  <c r="B184" i="2"/>
  <c r="A184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T183" i="2"/>
  <c r="B183" i="2"/>
  <c r="A183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AH182" i="2" s="1"/>
  <c r="AI182" i="2" s="1"/>
  <c r="T182" i="2"/>
  <c r="B182" i="2"/>
  <c r="A182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T181" i="2"/>
  <c r="B181" i="2"/>
  <c r="A181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T180" i="2"/>
  <c r="B180" i="2"/>
  <c r="A180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T179" i="2"/>
  <c r="B179" i="2"/>
  <c r="A179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T178" i="2"/>
  <c r="B178" i="2"/>
  <c r="A178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T177" i="2"/>
  <c r="B177" i="2"/>
  <c r="A177" i="2"/>
  <c r="AP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T176" i="2"/>
  <c r="B176" i="2"/>
  <c r="A176" i="2"/>
  <c r="AP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T175" i="2"/>
  <c r="B175" i="2"/>
  <c r="A175" i="2"/>
  <c r="AP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T174" i="2"/>
  <c r="B174" i="2"/>
  <c r="A174" i="2"/>
  <c r="AP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T173" i="2"/>
  <c r="B173" i="2"/>
  <c r="A173" i="2"/>
  <c r="AB172" i="2"/>
  <c r="AA172" i="2"/>
  <c r="Z172" i="2"/>
  <c r="Y172" i="2"/>
  <c r="X172" i="2"/>
  <c r="W172" i="2"/>
  <c r="V172" i="2"/>
  <c r="T172" i="2"/>
  <c r="F172" i="2"/>
  <c r="AD172" i="2" s="1"/>
  <c r="B172" i="2"/>
  <c r="A172" i="2"/>
  <c r="AP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T171" i="2"/>
  <c r="B171" i="2"/>
  <c r="A171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T170" i="2"/>
  <c r="B170" i="2"/>
  <c r="A170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T169" i="2"/>
  <c r="B169" i="2"/>
  <c r="A169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T168" i="2"/>
  <c r="B168" i="2"/>
  <c r="A168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T167" i="2"/>
  <c r="B167" i="2"/>
  <c r="A167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T166" i="2"/>
  <c r="B166" i="2"/>
  <c r="A166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T165" i="2"/>
  <c r="B165" i="2"/>
  <c r="A165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AH164" i="2" s="1"/>
  <c r="AI164" i="2" s="1"/>
  <c r="T164" i="2"/>
  <c r="B164" i="2"/>
  <c r="A164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T163" i="2"/>
  <c r="B163" i="2"/>
  <c r="A163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T162" i="2"/>
  <c r="B162" i="2"/>
  <c r="A162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T161" i="2"/>
  <c r="B161" i="2"/>
  <c r="A161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T160" i="2"/>
  <c r="B160" i="2"/>
  <c r="A160" i="2"/>
  <c r="AP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T159" i="2"/>
  <c r="B159" i="2"/>
  <c r="A159" i="2"/>
  <c r="AP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T158" i="2"/>
  <c r="B158" i="2"/>
  <c r="A158" i="2"/>
  <c r="AP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T157" i="2"/>
  <c r="B157" i="2"/>
  <c r="A157" i="2"/>
  <c r="AP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T156" i="2"/>
  <c r="B156" i="2"/>
  <c r="A156" i="2"/>
  <c r="AP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T155" i="2"/>
  <c r="B155" i="2"/>
  <c r="A155" i="2"/>
  <c r="AP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T154" i="2"/>
  <c r="B154" i="2"/>
  <c r="A154" i="2"/>
  <c r="AP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T153" i="2"/>
  <c r="B153" i="2"/>
  <c r="A153" i="2"/>
  <c r="AP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T152" i="2"/>
  <c r="B152" i="2"/>
  <c r="A152" i="2"/>
  <c r="AP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T151" i="2"/>
  <c r="B151" i="2"/>
  <c r="A151" i="2"/>
  <c r="AP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T150" i="2"/>
  <c r="B150" i="2"/>
  <c r="A150" i="2"/>
  <c r="AP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T149" i="2"/>
  <c r="B149" i="2"/>
  <c r="A149" i="2"/>
  <c r="AP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T148" i="2"/>
  <c r="B148" i="2"/>
  <c r="A148" i="2"/>
  <c r="AP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T147" i="2"/>
  <c r="B147" i="2"/>
  <c r="A147" i="2"/>
  <c r="AP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T146" i="2"/>
  <c r="B146" i="2"/>
  <c r="A146" i="2"/>
  <c r="AP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T145" i="2"/>
  <c r="B145" i="2"/>
  <c r="A145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T144" i="2"/>
  <c r="B144" i="2"/>
  <c r="A144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T143" i="2"/>
  <c r="B143" i="2"/>
  <c r="A143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T142" i="2"/>
  <c r="B142" i="2"/>
  <c r="A142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T141" i="2"/>
  <c r="B141" i="2"/>
  <c r="A141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T140" i="2"/>
  <c r="B140" i="2"/>
  <c r="A140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AH139" i="2" s="1"/>
  <c r="AI139" i="2" s="1"/>
  <c r="T139" i="2"/>
  <c r="B139" i="2"/>
  <c r="A139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T138" i="2"/>
  <c r="B138" i="2"/>
  <c r="A138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T137" i="2"/>
  <c r="B137" i="2"/>
  <c r="A137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T136" i="2"/>
  <c r="B136" i="2"/>
  <c r="A136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T135" i="2"/>
  <c r="B135" i="2"/>
  <c r="A135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T134" i="2"/>
  <c r="B134" i="2"/>
  <c r="A134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T133" i="2"/>
  <c r="B133" i="2"/>
  <c r="A133" i="2"/>
  <c r="AP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T132" i="2"/>
  <c r="B132" i="2"/>
  <c r="A132" i="2"/>
  <c r="AP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T131" i="2"/>
  <c r="B131" i="2"/>
  <c r="A131" i="2"/>
  <c r="AP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T130" i="2"/>
  <c r="B130" i="2"/>
  <c r="A130" i="2"/>
  <c r="AP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T129" i="2"/>
  <c r="B129" i="2"/>
  <c r="A129" i="2"/>
  <c r="AP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T128" i="2"/>
  <c r="B128" i="2"/>
  <c r="A128" i="2"/>
  <c r="AP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T127" i="2"/>
  <c r="B127" i="2"/>
  <c r="A127" i="2"/>
  <c r="AP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T126" i="2"/>
  <c r="B126" i="2"/>
  <c r="A126" i="2"/>
  <c r="AP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T125" i="2"/>
  <c r="B125" i="2"/>
  <c r="A125" i="2"/>
  <c r="AP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T124" i="2"/>
  <c r="B124" i="2"/>
  <c r="A124" i="2"/>
  <c r="AP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T123" i="2"/>
  <c r="B123" i="2"/>
  <c r="A123" i="2"/>
  <c r="AP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T122" i="2"/>
  <c r="B122" i="2"/>
  <c r="A122" i="2"/>
  <c r="AP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T121" i="2"/>
  <c r="B121" i="2"/>
  <c r="A121" i="2"/>
  <c r="AP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T120" i="2"/>
  <c r="B120" i="2"/>
  <c r="A120" i="2"/>
  <c r="AP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T119" i="2"/>
  <c r="B119" i="2"/>
  <c r="A119" i="2"/>
  <c r="AP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T118" i="2"/>
  <c r="B118" i="2"/>
  <c r="A118" i="2"/>
  <c r="AP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T117" i="2"/>
  <c r="B117" i="2"/>
  <c r="A117" i="2"/>
  <c r="AP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T116" i="2"/>
  <c r="B116" i="2"/>
  <c r="A116" i="2"/>
  <c r="AP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T115" i="2"/>
  <c r="B115" i="2"/>
  <c r="A115" i="2"/>
  <c r="AP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T114" i="2"/>
  <c r="B114" i="2"/>
  <c r="A114" i="2"/>
  <c r="AP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T113" i="2"/>
  <c r="B113" i="2"/>
  <c r="A113" i="2"/>
  <c r="AP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T112" i="2"/>
  <c r="B112" i="2"/>
  <c r="A112" i="2"/>
  <c r="AP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T111" i="2"/>
  <c r="B111" i="2"/>
  <c r="A111" i="2"/>
  <c r="AP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T110" i="2"/>
  <c r="B110" i="2"/>
  <c r="A110" i="2"/>
  <c r="AP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T109" i="2"/>
  <c r="B109" i="2"/>
  <c r="A109" i="2"/>
  <c r="AP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T108" i="2"/>
  <c r="B108" i="2"/>
  <c r="A108" i="2"/>
  <c r="AP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T107" i="2"/>
  <c r="B107" i="2"/>
  <c r="A107" i="2"/>
  <c r="AP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T106" i="2"/>
  <c r="B106" i="2"/>
  <c r="A106" i="2"/>
  <c r="AP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T105" i="2"/>
  <c r="B105" i="2"/>
  <c r="A105" i="2"/>
  <c r="AP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T104" i="2"/>
  <c r="B104" i="2"/>
  <c r="A104" i="2"/>
  <c r="AP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T103" i="2"/>
  <c r="B103" i="2"/>
  <c r="A103" i="2"/>
  <c r="AP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T102" i="2"/>
  <c r="B102" i="2"/>
  <c r="A102" i="2"/>
  <c r="AP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T101" i="2"/>
  <c r="B101" i="2"/>
  <c r="A101" i="2"/>
  <c r="AP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T100" i="2"/>
  <c r="B100" i="2"/>
  <c r="A100" i="2"/>
  <c r="AP99" i="2"/>
  <c r="AG99" i="2"/>
  <c r="AF99" i="2"/>
  <c r="AE99" i="2"/>
  <c r="AD99" i="2"/>
  <c r="AC99" i="2"/>
  <c r="AB99" i="2"/>
  <c r="AA99" i="2"/>
  <c r="Z99" i="2"/>
  <c r="Y99" i="2"/>
  <c r="X99" i="2"/>
  <c r="W99" i="2"/>
  <c r="V99" i="2"/>
  <c r="T99" i="2"/>
  <c r="B99" i="2"/>
  <c r="A99" i="2"/>
  <c r="AP98" i="2"/>
  <c r="AG98" i="2"/>
  <c r="AF98" i="2"/>
  <c r="AE98" i="2"/>
  <c r="AD98" i="2"/>
  <c r="AC98" i="2"/>
  <c r="AB98" i="2"/>
  <c r="AA98" i="2"/>
  <c r="Z98" i="2"/>
  <c r="Y98" i="2"/>
  <c r="X98" i="2"/>
  <c r="W98" i="2"/>
  <c r="V98" i="2"/>
  <c r="T98" i="2"/>
  <c r="B98" i="2"/>
  <c r="A98" i="2"/>
  <c r="AP97" i="2"/>
  <c r="AG97" i="2"/>
  <c r="AF97" i="2"/>
  <c r="AE97" i="2"/>
  <c r="AD97" i="2"/>
  <c r="AC97" i="2"/>
  <c r="AB97" i="2"/>
  <c r="AA97" i="2"/>
  <c r="Z97" i="2"/>
  <c r="Y97" i="2"/>
  <c r="X97" i="2"/>
  <c r="W97" i="2"/>
  <c r="V97" i="2"/>
  <c r="T97" i="2"/>
  <c r="B97" i="2"/>
  <c r="A97" i="2"/>
  <c r="AP96" i="2"/>
  <c r="AG96" i="2"/>
  <c r="AF96" i="2"/>
  <c r="AE96" i="2"/>
  <c r="AD96" i="2"/>
  <c r="AC96" i="2"/>
  <c r="AB96" i="2"/>
  <c r="AA96" i="2"/>
  <c r="Z96" i="2"/>
  <c r="Y96" i="2"/>
  <c r="X96" i="2"/>
  <c r="W96" i="2"/>
  <c r="V96" i="2"/>
  <c r="T96" i="2"/>
  <c r="B96" i="2"/>
  <c r="A96" i="2"/>
  <c r="AP95" i="2"/>
  <c r="AG95" i="2"/>
  <c r="AF95" i="2"/>
  <c r="AE95" i="2"/>
  <c r="AD95" i="2"/>
  <c r="AC95" i="2"/>
  <c r="AB95" i="2"/>
  <c r="AA95" i="2"/>
  <c r="Z95" i="2"/>
  <c r="Y95" i="2"/>
  <c r="X95" i="2"/>
  <c r="W95" i="2"/>
  <c r="V95" i="2"/>
  <c r="T95" i="2"/>
  <c r="B95" i="2"/>
  <c r="A95" i="2"/>
  <c r="AP94" i="2"/>
  <c r="AG94" i="2"/>
  <c r="AF94" i="2"/>
  <c r="AE94" i="2"/>
  <c r="AD94" i="2"/>
  <c r="AC94" i="2"/>
  <c r="AB94" i="2"/>
  <c r="AA94" i="2"/>
  <c r="Z94" i="2"/>
  <c r="Y94" i="2"/>
  <c r="X94" i="2"/>
  <c r="W94" i="2"/>
  <c r="V94" i="2"/>
  <c r="T94" i="2"/>
  <c r="B94" i="2"/>
  <c r="A94" i="2"/>
  <c r="AG93" i="2"/>
  <c r="AF93" i="2"/>
  <c r="AE93" i="2"/>
  <c r="AD93" i="2"/>
  <c r="AC93" i="2"/>
  <c r="AB93" i="2"/>
  <c r="AA93" i="2"/>
  <c r="Z93" i="2"/>
  <c r="Y93" i="2"/>
  <c r="X93" i="2"/>
  <c r="W93" i="2"/>
  <c r="V93" i="2"/>
  <c r="T93" i="2"/>
  <c r="B93" i="2"/>
  <c r="A93" i="2"/>
  <c r="AG92" i="2"/>
  <c r="AF92" i="2"/>
  <c r="AE92" i="2"/>
  <c r="AD92" i="2"/>
  <c r="AC92" i="2"/>
  <c r="AB92" i="2"/>
  <c r="AA92" i="2"/>
  <c r="Z92" i="2"/>
  <c r="Y92" i="2"/>
  <c r="X92" i="2"/>
  <c r="W92" i="2"/>
  <c r="V92" i="2"/>
  <c r="T92" i="2"/>
  <c r="B92" i="2"/>
  <c r="A92" i="2"/>
  <c r="AG91" i="2"/>
  <c r="AF91" i="2"/>
  <c r="AE91" i="2"/>
  <c r="AD91" i="2"/>
  <c r="AC91" i="2"/>
  <c r="AB91" i="2"/>
  <c r="AA91" i="2"/>
  <c r="Z91" i="2"/>
  <c r="Y91" i="2"/>
  <c r="X91" i="2"/>
  <c r="W91" i="2"/>
  <c r="V91" i="2"/>
  <c r="T91" i="2"/>
  <c r="B91" i="2"/>
  <c r="A91" i="2"/>
  <c r="AG90" i="2"/>
  <c r="AF90" i="2"/>
  <c r="AE90" i="2"/>
  <c r="AD90" i="2"/>
  <c r="AC90" i="2"/>
  <c r="AB90" i="2"/>
  <c r="AA90" i="2"/>
  <c r="Z90" i="2"/>
  <c r="Y90" i="2"/>
  <c r="X90" i="2"/>
  <c r="W90" i="2"/>
  <c r="V90" i="2"/>
  <c r="T90" i="2"/>
  <c r="B90" i="2"/>
  <c r="A90" i="2"/>
  <c r="AG89" i="2"/>
  <c r="AF89" i="2"/>
  <c r="AE89" i="2"/>
  <c r="AD89" i="2"/>
  <c r="AC89" i="2"/>
  <c r="AB89" i="2"/>
  <c r="AA89" i="2"/>
  <c r="Z89" i="2"/>
  <c r="Y89" i="2"/>
  <c r="X89" i="2"/>
  <c r="W89" i="2"/>
  <c r="V89" i="2"/>
  <c r="T89" i="2"/>
  <c r="B89" i="2"/>
  <c r="A89" i="2"/>
  <c r="AG88" i="2"/>
  <c r="AF88" i="2"/>
  <c r="AE88" i="2"/>
  <c r="AD88" i="2"/>
  <c r="AC88" i="2"/>
  <c r="AB88" i="2"/>
  <c r="AA88" i="2"/>
  <c r="Z88" i="2"/>
  <c r="Y88" i="2"/>
  <c r="X88" i="2"/>
  <c r="W88" i="2"/>
  <c r="V88" i="2"/>
  <c r="AH88" i="2" s="1"/>
  <c r="AI88" i="2" s="1"/>
  <c r="T88" i="2"/>
  <c r="B88" i="2"/>
  <c r="A88" i="2"/>
  <c r="AG87" i="2"/>
  <c r="AF87" i="2"/>
  <c r="AE87" i="2"/>
  <c r="AD87" i="2"/>
  <c r="AC87" i="2"/>
  <c r="AB87" i="2"/>
  <c r="AA87" i="2"/>
  <c r="Z87" i="2"/>
  <c r="Y87" i="2"/>
  <c r="X87" i="2"/>
  <c r="W87" i="2"/>
  <c r="V87" i="2"/>
  <c r="T87" i="2"/>
  <c r="B87" i="2"/>
  <c r="A87" i="2"/>
  <c r="AG86" i="2"/>
  <c r="AF86" i="2"/>
  <c r="AE86" i="2"/>
  <c r="AD86" i="2"/>
  <c r="AC86" i="2"/>
  <c r="AB86" i="2"/>
  <c r="AA86" i="2"/>
  <c r="Z86" i="2"/>
  <c r="Y86" i="2"/>
  <c r="X86" i="2"/>
  <c r="W86" i="2"/>
  <c r="V86" i="2"/>
  <c r="T86" i="2"/>
  <c r="B86" i="2"/>
  <c r="A86" i="2"/>
  <c r="AG85" i="2"/>
  <c r="AF85" i="2"/>
  <c r="AE85" i="2"/>
  <c r="AD85" i="2"/>
  <c r="AC85" i="2"/>
  <c r="AB85" i="2"/>
  <c r="AA85" i="2"/>
  <c r="Z85" i="2"/>
  <c r="Y85" i="2"/>
  <c r="X85" i="2"/>
  <c r="W85" i="2"/>
  <c r="V85" i="2"/>
  <c r="T85" i="2"/>
  <c r="B85" i="2"/>
  <c r="A85" i="2"/>
  <c r="AG84" i="2"/>
  <c r="AF84" i="2"/>
  <c r="AE84" i="2"/>
  <c r="AD84" i="2"/>
  <c r="AC84" i="2"/>
  <c r="AB84" i="2"/>
  <c r="AA84" i="2"/>
  <c r="Z84" i="2"/>
  <c r="Y84" i="2"/>
  <c r="X84" i="2"/>
  <c r="W84" i="2"/>
  <c r="V84" i="2"/>
  <c r="T84" i="2"/>
  <c r="B84" i="2"/>
  <c r="A84" i="2"/>
  <c r="AG83" i="2"/>
  <c r="AF83" i="2"/>
  <c r="AE83" i="2"/>
  <c r="AD83" i="2"/>
  <c r="AC83" i="2"/>
  <c r="AB83" i="2"/>
  <c r="AA83" i="2"/>
  <c r="Z83" i="2"/>
  <c r="Y83" i="2"/>
  <c r="X83" i="2"/>
  <c r="W83" i="2"/>
  <c r="V83" i="2"/>
  <c r="T83" i="2"/>
  <c r="B83" i="2"/>
  <c r="A83" i="2"/>
  <c r="AG82" i="2"/>
  <c r="AF82" i="2"/>
  <c r="AE82" i="2"/>
  <c r="AD82" i="2"/>
  <c r="AC82" i="2"/>
  <c r="AB82" i="2"/>
  <c r="AA82" i="2"/>
  <c r="Z82" i="2"/>
  <c r="Y82" i="2"/>
  <c r="X82" i="2"/>
  <c r="W82" i="2"/>
  <c r="V82" i="2"/>
  <c r="T82" i="2"/>
  <c r="B82" i="2"/>
  <c r="A82" i="2"/>
  <c r="AG81" i="2"/>
  <c r="AF81" i="2"/>
  <c r="AE81" i="2"/>
  <c r="AD81" i="2"/>
  <c r="AC81" i="2"/>
  <c r="AB81" i="2"/>
  <c r="AA81" i="2"/>
  <c r="Z81" i="2"/>
  <c r="Y81" i="2"/>
  <c r="X81" i="2"/>
  <c r="W81" i="2"/>
  <c r="V81" i="2"/>
  <c r="T81" i="2"/>
  <c r="B81" i="2"/>
  <c r="A81" i="2"/>
  <c r="AG80" i="2"/>
  <c r="AF80" i="2"/>
  <c r="AE80" i="2"/>
  <c r="AD80" i="2"/>
  <c r="AC80" i="2"/>
  <c r="AB80" i="2"/>
  <c r="AA80" i="2"/>
  <c r="Z80" i="2"/>
  <c r="Y80" i="2"/>
  <c r="X80" i="2"/>
  <c r="W80" i="2"/>
  <c r="V80" i="2"/>
  <c r="T80" i="2"/>
  <c r="B80" i="2"/>
  <c r="A80" i="2"/>
  <c r="AG79" i="2"/>
  <c r="AF79" i="2"/>
  <c r="AE79" i="2"/>
  <c r="AD79" i="2"/>
  <c r="AC79" i="2"/>
  <c r="AB79" i="2"/>
  <c r="AA79" i="2"/>
  <c r="Z79" i="2"/>
  <c r="Y79" i="2"/>
  <c r="X79" i="2"/>
  <c r="W79" i="2"/>
  <c r="V79" i="2"/>
  <c r="T79" i="2"/>
  <c r="B79" i="2"/>
  <c r="A79" i="2"/>
  <c r="AG78" i="2"/>
  <c r="AF78" i="2"/>
  <c r="AE78" i="2"/>
  <c r="AD78" i="2"/>
  <c r="AC78" i="2"/>
  <c r="AB78" i="2"/>
  <c r="AA78" i="2"/>
  <c r="Z78" i="2"/>
  <c r="Y78" i="2"/>
  <c r="X78" i="2"/>
  <c r="W78" i="2"/>
  <c r="V78" i="2"/>
  <c r="T78" i="2"/>
  <c r="B78" i="2"/>
  <c r="A78" i="2"/>
  <c r="AG77" i="2"/>
  <c r="AF77" i="2"/>
  <c r="AE77" i="2"/>
  <c r="AD77" i="2"/>
  <c r="AC77" i="2"/>
  <c r="AB77" i="2"/>
  <c r="AA77" i="2"/>
  <c r="Z77" i="2"/>
  <c r="Y77" i="2"/>
  <c r="X77" i="2"/>
  <c r="W77" i="2"/>
  <c r="V77" i="2"/>
  <c r="T77" i="2"/>
  <c r="B77" i="2"/>
  <c r="A77" i="2"/>
  <c r="AG76" i="2"/>
  <c r="AF76" i="2"/>
  <c r="AE76" i="2"/>
  <c r="AD76" i="2"/>
  <c r="AC76" i="2"/>
  <c r="AB76" i="2"/>
  <c r="AA76" i="2"/>
  <c r="Z76" i="2"/>
  <c r="Y76" i="2"/>
  <c r="X76" i="2"/>
  <c r="W76" i="2"/>
  <c r="V76" i="2"/>
  <c r="T76" i="2"/>
  <c r="B76" i="2"/>
  <c r="A76" i="2"/>
  <c r="AG75" i="2"/>
  <c r="AF75" i="2"/>
  <c r="AE75" i="2"/>
  <c r="AD75" i="2"/>
  <c r="AC75" i="2"/>
  <c r="AB75" i="2"/>
  <c r="AA75" i="2"/>
  <c r="Z75" i="2"/>
  <c r="Y75" i="2"/>
  <c r="X75" i="2"/>
  <c r="W75" i="2"/>
  <c r="V75" i="2"/>
  <c r="T75" i="2"/>
  <c r="B75" i="2"/>
  <c r="A75" i="2"/>
  <c r="AG74" i="2"/>
  <c r="AF74" i="2"/>
  <c r="AE74" i="2"/>
  <c r="AD74" i="2"/>
  <c r="AC74" i="2"/>
  <c r="AB74" i="2"/>
  <c r="AA74" i="2"/>
  <c r="Z74" i="2"/>
  <c r="Y74" i="2"/>
  <c r="X74" i="2"/>
  <c r="W74" i="2"/>
  <c r="V74" i="2"/>
  <c r="T74" i="2"/>
  <c r="B74" i="2"/>
  <c r="A74" i="2"/>
  <c r="Z73" i="2"/>
  <c r="Z195" i="2" s="1"/>
  <c r="E73" i="2"/>
  <c r="E71" i="2"/>
  <c r="S68" i="2"/>
  <c r="R68" i="2"/>
  <c r="Q68" i="2"/>
  <c r="P68" i="2"/>
  <c r="O68" i="2"/>
  <c r="N68" i="2"/>
  <c r="M68" i="2"/>
  <c r="L68" i="2"/>
  <c r="K68" i="2"/>
  <c r="J68" i="2"/>
  <c r="I68" i="2"/>
  <c r="H68" i="2"/>
  <c r="E68" i="2"/>
  <c r="AG66" i="2"/>
  <c r="AF66" i="2"/>
  <c r="AE66" i="2"/>
  <c r="AD66" i="2"/>
  <c r="AC66" i="2"/>
  <c r="AB66" i="2"/>
  <c r="AA66" i="2"/>
  <c r="Z66" i="2"/>
  <c r="Y66" i="2"/>
  <c r="X66" i="2"/>
  <c r="W66" i="2"/>
  <c r="V66" i="2"/>
  <c r="T66" i="2"/>
  <c r="B66" i="2"/>
  <c r="A66" i="2"/>
  <c r="AG65" i="2"/>
  <c r="AF65" i="2"/>
  <c r="AE65" i="2"/>
  <c r="AD65" i="2"/>
  <c r="AC65" i="2"/>
  <c r="AB65" i="2"/>
  <c r="AA65" i="2"/>
  <c r="Z65" i="2"/>
  <c r="Y65" i="2"/>
  <c r="X65" i="2"/>
  <c r="W65" i="2"/>
  <c r="V65" i="2"/>
  <c r="T65" i="2"/>
  <c r="B65" i="2"/>
  <c r="A65" i="2"/>
  <c r="AG64" i="2"/>
  <c r="AF64" i="2"/>
  <c r="AE64" i="2"/>
  <c r="AD64" i="2"/>
  <c r="AC64" i="2"/>
  <c r="AB64" i="2"/>
  <c r="AA64" i="2"/>
  <c r="Z64" i="2"/>
  <c r="Y64" i="2"/>
  <c r="X64" i="2"/>
  <c r="W64" i="2"/>
  <c r="V64" i="2"/>
  <c r="T64" i="2"/>
  <c r="B64" i="2"/>
  <c r="A64" i="2"/>
  <c r="AG63" i="2"/>
  <c r="AG68" i="2" s="1"/>
  <c r="AF63" i="2"/>
  <c r="AE63" i="2"/>
  <c r="AD63" i="2"/>
  <c r="AC63" i="2"/>
  <c r="AC68" i="2" s="1"/>
  <c r="AB63" i="2"/>
  <c r="AA63" i="2"/>
  <c r="Z63" i="2"/>
  <c r="Y63" i="2"/>
  <c r="Y68" i="2" s="1"/>
  <c r="X63" i="2"/>
  <c r="W63" i="2"/>
  <c r="V63" i="2"/>
  <c r="T63" i="2"/>
  <c r="B63" i="2"/>
  <c r="A63" i="2"/>
  <c r="AG62" i="2"/>
  <c r="AF62" i="2"/>
  <c r="AF68" i="2" s="1"/>
  <c r="AE62" i="2"/>
  <c r="AD62" i="2"/>
  <c r="AC62" i="2"/>
  <c r="AB62" i="2"/>
  <c r="AA62" i="2"/>
  <c r="Z62" i="2"/>
  <c r="Y62" i="2"/>
  <c r="X62" i="2"/>
  <c r="X68" i="2" s="1"/>
  <c r="W62" i="2"/>
  <c r="V62" i="2"/>
  <c r="T62" i="2"/>
  <c r="B62" i="2"/>
  <c r="A62" i="2"/>
  <c r="AG61" i="2"/>
  <c r="AF61" i="2"/>
  <c r="AE61" i="2"/>
  <c r="AD61" i="2"/>
  <c r="AC61" i="2"/>
  <c r="E61" i="2"/>
  <c r="AB61" i="2" s="1"/>
  <c r="Z58" i="2"/>
  <c r="S58" i="2"/>
  <c r="R58" i="2"/>
  <c r="Q58" i="2"/>
  <c r="P58" i="2"/>
  <c r="O58" i="2"/>
  <c r="N58" i="2"/>
  <c r="M58" i="2"/>
  <c r="L58" i="2"/>
  <c r="K58" i="2"/>
  <c r="J58" i="2"/>
  <c r="I58" i="2"/>
  <c r="H58" i="2"/>
  <c r="E58" i="2"/>
  <c r="AG56" i="2"/>
  <c r="AF56" i="2"/>
  <c r="AE56" i="2"/>
  <c r="AD56" i="2"/>
  <c r="AD58" i="2" s="1"/>
  <c r="AC56" i="2"/>
  <c r="AB56" i="2"/>
  <c r="AA56" i="2"/>
  <c r="Z56" i="2"/>
  <c r="Y56" i="2"/>
  <c r="X56" i="2"/>
  <c r="W56" i="2"/>
  <c r="V56" i="2"/>
  <c r="T56" i="2"/>
  <c r="B56" i="2"/>
  <c r="A56" i="2"/>
  <c r="AG55" i="2"/>
  <c r="AG58" i="2" s="1"/>
  <c r="AF55" i="2"/>
  <c r="AE55" i="2"/>
  <c r="AD55" i="2"/>
  <c r="AC55" i="2"/>
  <c r="AC58" i="2" s="1"/>
  <c r="AB55" i="2"/>
  <c r="AA55" i="2"/>
  <c r="AA58" i="2" s="1"/>
  <c r="Z55" i="2"/>
  <c r="Y55" i="2"/>
  <c r="Y58" i="2" s="1"/>
  <c r="X55" i="2"/>
  <c r="W55" i="2"/>
  <c r="V55" i="2"/>
  <c r="V58" i="2" s="1"/>
  <c r="T55" i="2"/>
  <c r="T58" i="2" s="1"/>
  <c r="B55" i="2"/>
  <c r="A55" i="2"/>
  <c r="AG54" i="2"/>
  <c r="AF54" i="2"/>
  <c r="AE54" i="2"/>
  <c r="AD54" i="2"/>
  <c r="AC54" i="2"/>
  <c r="AB54" i="2"/>
  <c r="AA54" i="2"/>
  <c r="Z54" i="2"/>
  <c r="Y54" i="2"/>
  <c r="X54" i="2"/>
  <c r="W54" i="2"/>
  <c r="V54" i="2"/>
  <c r="AH54" i="2" s="1"/>
  <c r="AI54" i="2" s="1"/>
  <c r="E54" i="2"/>
  <c r="G53" i="2"/>
  <c r="S52" i="2"/>
  <c r="R52" i="2"/>
  <c r="Q52" i="2"/>
  <c r="P52" i="2"/>
  <c r="P264" i="2" s="1"/>
  <c r="O52" i="2"/>
  <c r="N52" i="2"/>
  <c r="M52" i="2"/>
  <c r="L52" i="2"/>
  <c r="L264" i="2" s="1"/>
  <c r="K52" i="2"/>
  <c r="J52" i="2"/>
  <c r="I52" i="2"/>
  <c r="H52" i="2"/>
  <c r="H264" i="2" s="1"/>
  <c r="E52" i="2"/>
  <c r="AG51" i="2"/>
  <c r="AF51" i="2"/>
  <c r="AE51" i="2"/>
  <c r="AD51" i="2"/>
  <c r="AC51" i="2"/>
  <c r="AB51" i="2"/>
  <c r="AA51" i="2"/>
  <c r="Z51" i="2"/>
  <c r="Y51" i="2"/>
  <c r="X51" i="2"/>
  <c r="W51" i="2"/>
  <c r="V51" i="2"/>
  <c r="T51" i="2"/>
  <c r="B51" i="2"/>
  <c r="A51" i="2"/>
  <c r="AG50" i="2"/>
  <c r="AF50" i="2"/>
  <c r="AE50" i="2"/>
  <c r="AD50" i="2"/>
  <c r="AC50" i="2"/>
  <c r="AB50" i="2"/>
  <c r="AA50" i="2"/>
  <c r="Z50" i="2"/>
  <c r="Y50" i="2"/>
  <c r="X50" i="2"/>
  <c r="W50" i="2"/>
  <c r="V50" i="2"/>
  <c r="T50" i="2"/>
  <c r="B50" i="2"/>
  <c r="A50" i="2"/>
  <c r="AG49" i="2"/>
  <c r="AF49" i="2"/>
  <c r="AE49" i="2"/>
  <c r="AD49" i="2"/>
  <c r="AC49" i="2"/>
  <c r="AB49" i="2"/>
  <c r="AA49" i="2"/>
  <c r="Z49" i="2"/>
  <c r="Y49" i="2"/>
  <c r="X49" i="2"/>
  <c r="W49" i="2"/>
  <c r="V49" i="2"/>
  <c r="T49" i="2"/>
  <c r="B49" i="2"/>
  <c r="A49" i="2"/>
  <c r="AG48" i="2"/>
  <c r="AF48" i="2"/>
  <c r="AE48" i="2"/>
  <c r="AD48" i="2"/>
  <c r="AC48" i="2"/>
  <c r="AB48" i="2"/>
  <c r="AA48" i="2"/>
  <c r="Z48" i="2"/>
  <c r="Y48" i="2"/>
  <c r="X48" i="2"/>
  <c r="W48" i="2"/>
  <c r="V48" i="2"/>
  <c r="AH48" i="2" s="1"/>
  <c r="AI48" i="2" s="1"/>
  <c r="T48" i="2"/>
  <c r="B48" i="2"/>
  <c r="A48" i="2"/>
  <c r="AG47" i="2"/>
  <c r="AF47" i="2"/>
  <c r="AE47" i="2"/>
  <c r="AD47" i="2"/>
  <c r="AC47" i="2"/>
  <c r="AB47" i="2"/>
  <c r="AA47" i="2"/>
  <c r="Z47" i="2"/>
  <c r="Y47" i="2"/>
  <c r="X47" i="2"/>
  <c r="W47" i="2"/>
  <c r="V47" i="2"/>
  <c r="T47" i="2"/>
  <c r="B47" i="2"/>
  <c r="A47" i="2"/>
  <c r="AG46" i="2"/>
  <c r="AF46" i="2"/>
  <c r="AE46" i="2"/>
  <c r="AD46" i="2"/>
  <c r="AC46" i="2"/>
  <c r="AB46" i="2"/>
  <c r="AA46" i="2"/>
  <c r="Z46" i="2"/>
  <c r="Y46" i="2"/>
  <c r="X46" i="2"/>
  <c r="W46" i="2"/>
  <c r="V46" i="2"/>
  <c r="T46" i="2"/>
  <c r="B46" i="2"/>
  <c r="A46" i="2"/>
  <c r="AG45" i="2"/>
  <c r="AF45" i="2"/>
  <c r="AE45" i="2"/>
  <c r="AD45" i="2"/>
  <c r="AC45" i="2"/>
  <c r="AB45" i="2"/>
  <c r="AA45" i="2"/>
  <c r="Z45" i="2"/>
  <c r="Y45" i="2"/>
  <c r="X45" i="2"/>
  <c r="W45" i="2"/>
  <c r="V45" i="2"/>
  <c r="T45" i="2"/>
  <c r="B45" i="2"/>
  <c r="A45" i="2"/>
  <c r="AG44" i="2"/>
  <c r="AF44" i="2"/>
  <c r="AE44" i="2"/>
  <c r="AD44" i="2"/>
  <c r="AC44" i="2"/>
  <c r="AB44" i="2"/>
  <c r="AA44" i="2"/>
  <c r="Z44" i="2"/>
  <c r="Y44" i="2"/>
  <c r="X44" i="2"/>
  <c r="W44" i="2"/>
  <c r="V44" i="2"/>
  <c r="T44" i="2"/>
  <c r="B44" i="2"/>
  <c r="A44" i="2"/>
  <c r="AG43" i="2"/>
  <c r="AF43" i="2"/>
  <c r="AE43" i="2"/>
  <c r="AD43" i="2"/>
  <c r="AC43" i="2"/>
  <c r="AB43" i="2"/>
  <c r="AA43" i="2"/>
  <c r="Z43" i="2"/>
  <c r="Y43" i="2"/>
  <c r="X43" i="2"/>
  <c r="W43" i="2"/>
  <c r="V43" i="2"/>
  <c r="T43" i="2"/>
  <c r="B43" i="2"/>
  <c r="A43" i="2"/>
  <c r="AG42" i="2"/>
  <c r="AF42" i="2"/>
  <c r="AE42" i="2"/>
  <c r="AD42" i="2"/>
  <c r="AC42" i="2"/>
  <c r="AB42" i="2"/>
  <c r="AA42" i="2"/>
  <c r="Z42" i="2"/>
  <c r="Y42" i="2"/>
  <c r="X42" i="2"/>
  <c r="W42" i="2"/>
  <c r="V42" i="2"/>
  <c r="T42" i="2"/>
  <c r="B42" i="2"/>
  <c r="A42" i="2"/>
  <c r="AG41" i="2"/>
  <c r="AF41" i="2"/>
  <c r="AE41" i="2"/>
  <c r="AD41" i="2"/>
  <c r="AC41" i="2"/>
  <c r="AB41" i="2"/>
  <c r="AA41" i="2"/>
  <c r="Z41" i="2"/>
  <c r="Y41" i="2"/>
  <c r="X41" i="2"/>
  <c r="W41" i="2"/>
  <c r="V41" i="2"/>
  <c r="T41" i="2"/>
  <c r="B41" i="2"/>
  <c r="A41" i="2"/>
  <c r="AG40" i="2"/>
  <c r="AF40" i="2"/>
  <c r="AE40" i="2"/>
  <c r="AD40" i="2"/>
  <c r="AC40" i="2"/>
  <c r="AB40" i="2"/>
  <c r="AA40" i="2"/>
  <c r="Z40" i="2"/>
  <c r="Y40" i="2"/>
  <c r="X40" i="2"/>
  <c r="W40" i="2"/>
  <c r="V40" i="2"/>
  <c r="AH40" i="2" s="1"/>
  <c r="AI40" i="2" s="1"/>
  <c r="AO40" i="2" s="1"/>
  <c r="T40" i="2"/>
  <c r="B40" i="2"/>
  <c r="A40" i="2"/>
  <c r="AG39" i="2"/>
  <c r="AF39" i="2"/>
  <c r="AE39" i="2"/>
  <c r="AD39" i="2"/>
  <c r="AC39" i="2"/>
  <c r="AB39" i="2"/>
  <c r="AA39" i="2"/>
  <c r="Z39" i="2"/>
  <c r="Y39" i="2"/>
  <c r="X39" i="2"/>
  <c r="W39" i="2"/>
  <c r="V39" i="2"/>
  <c r="T39" i="2"/>
  <c r="B39" i="2"/>
  <c r="A39" i="2"/>
  <c r="AG38" i="2"/>
  <c r="AF38" i="2"/>
  <c r="AE38" i="2"/>
  <c r="AD38" i="2"/>
  <c r="AC38" i="2"/>
  <c r="AB38" i="2"/>
  <c r="AA38" i="2"/>
  <c r="Z38" i="2"/>
  <c r="Y38" i="2"/>
  <c r="X38" i="2"/>
  <c r="W38" i="2"/>
  <c r="V38" i="2"/>
  <c r="T38" i="2"/>
  <c r="B38" i="2"/>
  <c r="A38" i="2"/>
  <c r="AG37" i="2"/>
  <c r="AF37" i="2"/>
  <c r="AE37" i="2"/>
  <c r="AD37" i="2"/>
  <c r="AC37" i="2"/>
  <c r="AB37" i="2"/>
  <c r="AA37" i="2"/>
  <c r="Z37" i="2"/>
  <c r="Y37" i="2"/>
  <c r="X37" i="2"/>
  <c r="W37" i="2"/>
  <c r="V37" i="2"/>
  <c r="T37" i="2"/>
  <c r="B37" i="2"/>
  <c r="A37" i="2"/>
  <c r="AG36" i="2"/>
  <c r="AF36" i="2"/>
  <c r="AE36" i="2"/>
  <c r="AD36" i="2"/>
  <c r="AC36" i="2"/>
  <c r="AB36" i="2"/>
  <c r="AA36" i="2"/>
  <c r="Z36" i="2"/>
  <c r="Y36" i="2"/>
  <c r="X36" i="2"/>
  <c r="W36" i="2"/>
  <c r="V36" i="2"/>
  <c r="T36" i="2"/>
  <c r="B36" i="2"/>
  <c r="A36" i="2"/>
  <c r="AG35" i="2"/>
  <c r="AF35" i="2"/>
  <c r="AE35" i="2"/>
  <c r="AD35" i="2"/>
  <c r="AC35" i="2"/>
  <c r="AB35" i="2"/>
  <c r="AA35" i="2"/>
  <c r="Z35" i="2"/>
  <c r="Y35" i="2"/>
  <c r="X35" i="2"/>
  <c r="W35" i="2"/>
  <c r="V35" i="2"/>
  <c r="T35" i="2"/>
  <c r="B35" i="2"/>
  <c r="A35" i="2"/>
  <c r="AG34" i="2"/>
  <c r="AF34" i="2"/>
  <c r="AE34" i="2"/>
  <c r="AD34" i="2"/>
  <c r="AC34" i="2"/>
  <c r="AB34" i="2"/>
  <c r="AA34" i="2"/>
  <c r="Z34" i="2"/>
  <c r="Y34" i="2"/>
  <c r="X34" i="2"/>
  <c r="W34" i="2"/>
  <c r="V34" i="2"/>
  <c r="T34" i="2"/>
  <c r="B34" i="2"/>
  <c r="A34" i="2"/>
  <c r="AG33" i="2"/>
  <c r="AF33" i="2"/>
  <c r="AE33" i="2"/>
  <c r="AD33" i="2"/>
  <c r="AC33" i="2"/>
  <c r="AB33" i="2"/>
  <c r="AA33" i="2"/>
  <c r="Z33" i="2"/>
  <c r="Y33" i="2"/>
  <c r="X33" i="2"/>
  <c r="W33" i="2"/>
  <c r="V33" i="2"/>
  <c r="T33" i="2"/>
  <c r="B33" i="2"/>
  <c r="A33" i="2"/>
  <c r="AG32" i="2"/>
  <c r="AF32" i="2"/>
  <c r="AE32" i="2"/>
  <c r="AD32" i="2"/>
  <c r="AC32" i="2"/>
  <c r="AB32" i="2"/>
  <c r="AA32" i="2"/>
  <c r="Z32" i="2"/>
  <c r="Y32" i="2"/>
  <c r="X32" i="2"/>
  <c r="W32" i="2"/>
  <c r="V32" i="2"/>
  <c r="AH32" i="2" s="1"/>
  <c r="AI32" i="2" s="1"/>
  <c r="AO32" i="2" s="1"/>
  <c r="T32" i="2"/>
  <c r="B32" i="2"/>
  <c r="A32" i="2"/>
  <c r="AG31" i="2"/>
  <c r="AF31" i="2"/>
  <c r="AE31" i="2"/>
  <c r="AD31" i="2"/>
  <c r="AC31" i="2"/>
  <c r="AB31" i="2"/>
  <c r="AA31" i="2"/>
  <c r="Z31" i="2"/>
  <c r="Y31" i="2"/>
  <c r="X31" i="2"/>
  <c r="W31" i="2"/>
  <c r="V31" i="2"/>
  <c r="T31" i="2"/>
  <c r="B31" i="2"/>
  <c r="A31" i="2"/>
  <c r="AG30" i="2"/>
  <c r="AF30" i="2"/>
  <c r="AE30" i="2"/>
  <c r="AD30" i="2"/>
  <c r="AC30" i="2"/>
  <c r="AB30" i="2"/>
  <c r="AA30" i="2"/>
  <c r="Z30" i="2"/>
  <c r="Y30" i="2"/>
  <c r="X30" i="2"/>
  <c r="W30" i="2"/>
  <c r="V30" i="2"/>
  <c r="T30" i="2"/>
  <c r="B30" i="2"/>
  <c r="A30" i="2"/>
  <c r="AG29" i="2"/>
  <c r="AF29" i="2"/>
  <c r="AE29" i="2"/>
  <c r="AD29" i="2"/>
  <c r="AC29" i="2"/>
  <c r="AB29" i="2"/>
  <c r="AA29" i="2"/>
  <c r="Z29" i="2"/>
  <c r="Y29" i="2"/>
  <c r="X29" i="2"/>
  <c r="W29" i="2"/>
  <c r="V29" i="2"/>
  <c r="T29" i="2"/>
  <c r="B29" i="2"/>
  <c r="A29" i="2"/>
  <c r="AG28" i="2"/>
  <c r="AF28" i="2"/>
  <c r="AE28" i="2"/>
  <c r="AD28" i="2"/>
  <c r="AC28" i="2"/>
  <c r="AB28" i="2"/>
  <c r="AA28" i="2"/>
  <c r="Z28" i="2"/>
  <c r="Y28" i="2"/>
  <c r="X28" i="2"/>
  <c r="W28" i="2"/>
  <c r="V28" i="2"/>
  <c r="T28" i="2"/>
  <c r="B28" i="2"/>
  <c r="A28" i="2"/>
  <c r="AG27" i="2"/>
  <c r="AF27" i="2"/>
  <c r="AE27" i="2"/>
  <c r="AD27" i="2"/>
  <c r="AC27" i="2"/>
  <c r="AB27" i="2"/>
  <c r="AA27" i="2"/>
  <c r="Z27" i="2"/>
  <c r="Y27" i="2"/>
  <c r="X27" i="2"/>
  <c r="W27" i="2"/>
  <c r="V27" i="2"/>
  <c r="T27" i="2"/>
  <c r="B27" i="2"/>
  <c r="A27" i="2"/>
  <c r="AG26" i="2"/>
  <c r="AF26" i="2"/>
  <c r="AE26" i="2"/>
  <c r="AD26" i="2"/>
  <c r="AC26" i="2"/>
  <c r="AB26" i="2"/>
  <c r="AA26" i="2"/>
  <c r="Z26" i="2"/>
  <c r="Y26" i="2"/>
  <c r="X26" i="2"/>
  <c r="W26" i="2"/>
  <c r="V26" i="2"/>
  <c r="T26" i="2"/>
  <c r="B26" i="2"/>
  <c r="A26" i="2"/>
  <c r="AG25" i="2"/>
  <c r="AF25" i="2"/>
  <c r="AE25" i="2"/>
  <c r="AD25" i="2"/>
  <c r="AC25" i="2"/>
  <c r="AB25" i="2"/>
  <c r="AA25" i="2"/>
  <c r="Z25" i="2"/>
  <c r="Y25" i="2"/>
  <c r="X25" i="2"/>
  <c r="W25" i="2"/>
  <c r="V25" i="2"/>
  <c r="T25" i="2"/>
  <c r="B25" i="2"/>
  <c r="A25" i="2"/>
  <c r="AG24" i="2"/>
  <c r="AF24" i="2"/>
  <c r="AE24" i="2"/>
  <c r="AD24" i="2"/>
  <c r="AC24" i="2"/>
  <c r="AB24" i="2"/>
  <c r="AA24" i="2"/>
  <c r="Z24" i="2"/>
  <c r="Y24" i="2"/>
  <c r="X24" i="2"/>
  <c r="W24" i="2"/>
  <c r="V24" i="2"/>
  <c r="AH24" i="2" s="1"/>
  <c r="AI24" i="2" s="1"/>
  <c r="T24" i="2"/>
  <c r="B24" i="2"/>
  <c r="A24" i="2"/>
  <c r="AG23" i="2"/>
  <c r="AF23" i="2"/>
  <c r="AE23" i="2"/>
  <c r="AD23" i="2"/>
  <c r="AC23" i="2"/>
  <c r="AB23" i="2"/>
  <c r="AA23" i="2"/>
  <c r="Z23" i="2"/>
  <c r="Y23" i="2"/>
  <c r="X23" i="2"/>
  <c r="W23" i="2"/>
  <c r="V23" i="2"/>
  <c r="T23" i="2"/>
  <c r="B23" i="2"/>
  <c r="A23" i="2"/>
  <c r="AG22" i="2"/>
  <c r="AF22" i="2"/>
  <c r="AE22" i="2"/>
  <c r="AD22" i="2"/>
  <c r="AC22" i="2"/>
  <c r="AB22" i="2"/>
  <c r="AA22" i="2"/>
  <c r="Z22" i="2"/>
  <c r="Y22" i="2"/>
  <c r="X22" i="2"/>
  <c r="W22" i="2"/>
  <c r="V22" i="2"/>
  <c r="T22" i="2"/>
  <c r="B22" i="2"/>
  <c r="A22" i="2"/>
  <c r="AG21" i="2"/>
  <c r="AF21" i="2"/>
  <c r="AE21" i="2"/>
  <c r="AD21" i="2"/>
  <c r="AC21" i="2"/>
  <c r="AB21" i="2"/>
  <c r="AA21" i="2"/>
  <c r="Z21" i="2"/>
  <c r="Y21" i="2"/>
  <c r="X21" i="2"/>
  <c r="W21" i="2"/>
  <c r="V21" i="2"/>
  <c r="T21" i="2"/>
  <c r="B21" i="2"/>
  <c r="A21" i="2"/>
  <c r="AG20" i="2"/>
  <c r="AF20" i="2"/>
  <c r="AE20" i="2"/>
  <c r="AD20" i="2"/>
  <c r="AC20" i="2"/>
  <c r="AB20" i="2"/>
  <c r="AA20" i="2"/>
  <c r="Z20" i="2"/>
  <c r="Y20" i="2"/>
  <c r="X20" i="2"/>
  <c r="W20" i="2"/>
  <c r="V20" i="2"/>
  <c r="T20" i="2"/>
  <c r="B20" i="2"/>
  <c r="A20" i="2"/>
  <c r="AG19" i="2"/>
  <c r="AF19" i="2"/>
  <c r="AE19" i="2"/>
  <c r="AD19" i="2"/>
  <c r="AC19" i="2"/>
  <c r="AB19" i="2"/>
  <c r="AA19" i="2"/>
  <c r="Z19" i="2"/>
  <c r="Y19" i="2"/>
  <c r="X19" i="2"/>
  <c r="W19" i="2"/>
  <c r="V19" i="2"/>
  <c r="T19" i="2"/>
  <c r="B19" i="2"/>
  <c r="A19" i="2"/>
  <c r="AG18" i="2"/>
  <c r="AF18" i="2"/>
  <c r="AE18" i="2"/>
  <c r="AD18" i="2"/>
  <c r="AC18" i="2"/>
  <c r="AB18" i="2"/>
  <c r="AA18" i="2"/>
  <c r="Z18" i="2"/>
  <c r="Y18" i="2"/>
  <c r="X18" i="2"/>
  <c r="W18" i="2"/>
  <c r="V18" i="2"/>
  <c r="AH18" i="2" s="1"/>
  <c r="AI18" i="2" s="1"/>
  <c r="T18" i="2"/>
  <c r="B18" i="2"/>
  <c r="A18" i="2"/>
  <c r="AG17" i="2"/>
  <c r="AF17" i="2"/>
  <c r="AE17" i="2"/>
  <c r="AD17" i="2"/>
  <c r="AC17" i="2"/>
  <c r="AB17" i="2"/>
  <c r="AA17" i="2"/>
  <c r="Z17" i="2"/>
  <c r="Y17" i="2"/>
  <c r="X17" i="2"/>
  <c r="W17" i="2"/>
  <c r="V17" i="2"/>
  <c r="T17" i="2"/>
  <c r="B17" i="2"/>
  <c r="A17" i="2"/>
  <c r="AG16" i="2"/>
  <c r="AF16" i="2"/>
  <c r="AE16" i="2"/>
  <c r="AD16" i="2"/>
  <c r="AC16" i="2"/>
  <c r="AB16" i="2"/>
  <c r="AA16" i="2"/>
  <c r="Z16" i="2"/>
  <c r="Y16" i="2"/>
  <c r="X16" i="2"/>
  <c r="W16" i="2"/>
  <c r="V16" i="2"/>
  <c r="T16" i="2"/>
  <c r="B16" i="2"/>
  <c r="A16" i="2"/>
  <c r="AG15" i="2"/>
  <c r="AF15" i="2"/>
  <c r="AE15" i="2"/>
  <c r="AD15" i="2"/>
  <c r="AC15" i="2"/>
  <c r="AB15" i="2"/>
  <c r="AA15" i="2"/>
  <c r="Z15" i="2"/>
  <c r="Y15" i="2"/>
  <c r="X15" i="2"/>
  <c r="W15" i="2"/>
  <c r="V15" i="2"/>
  <c r="T15" i="2"/>
  <c r="B15" i="2"/>
  <c r="A15" i="2"/>
  <c r="AG14" i="2"/>
  <c r="AF14" i="2"/>
  <c r="AE14" i="2"/>
  <c r="AD14" i="2"/>
  <c r="AC14" i="2"/>
  <c r="AB14" i="2"/>
  <c r="AA14" i="2"/>
  <c r="Z14" i="2"/>
  <c r="Y14" i="2"/>
  <c r="X14" i="2"/>
  <c r="W14" i="2"/>
  <c r="V14" i="2"/>
  <c r="T14" i="2"/>
  <c r="B14" i="2"/>
  <c r="A14" i="2"/>
  <c r="AG13" i="2"/>
  <c r="AF13" i="2"/>
  <c r="AE13" i="2"/>
  <c r="AD13" i="2"/>
  <c r="AC13" i="2"/>
  <c r="AB13" i="2"/>
  <c r="AA13" i="2"/>
  <c r="Z13" i="2"/>
  <c r="Y13" i="2"/>
  <c r="X13" i="2"/>
  <c r="W13" i="2"/>
  <c r="V13" i="2"/>
  <c r="T13" i="2"/>
  <c r="B13" i="2"/>
  <c r="A13" i="2"/>
  <c r="AG12" i="2"/>
  <c r="AF12" i="2"/>
  <c r="AE12" i="2"/>
  <c r="AD12" i="2"/>
  <c r="AC12" i="2"/>
  <c r="AB12" i="2"/>
  <c r="AA12" i="2"/>
  <c r="Z12" i="2"/>
  <c r="Y12" i="2"/>
  <c r="X12" i="2"/>
  <c r="W12" i="2"/>
  <c r="V12" i="2"/>
  <c r="T12" i="2"/>
  <c r="B12" i="2"/>
  <c r="A12" i="2"/>
  <c r="AG11" i="2"/>
  <c r="AF11" i="2"/>
  <c r="AE11" i="2"/>
  <c r="AD11" i="2"/>
  <c r="AC11" i="2"/>
  <c r="AB11" i="2"/>
  <c r="AA11" i="2"/>
  <c r="Z11" i="2"/>
  <c r="Y11" i="2"/>
  <c r="X11" i="2"/>
  <c r="W11" i="2"/>
  <c r="V11" i="2"/>
  <c r="T11" i="2"/>
  <c r="B11" i="2"/>
  <c r="A11" i="2"/>
  <c r="AG10" i="2"/>
  <c r="AF10" i="2"/>
  <c r="AE10" i="2"/>
  <c r="AD10" i="2"/>
  <c r="AC10" i="2"/>
  <c r="AB10" i="2"/>
  <c r="AA10" i="2"/>
  <c r="Z10" i="2"/>
  <c r="Y10" i="2"/>
  <c r="X10" i="2"/>
  <c r="W10" i="2"/>
  <c r="V10" i="2"/>
  <c r="T10" i="2"/>
  <c r="B10" i="2"/>
  <c r="A10" i="2"/>
  <c r="AG4" i="2"/>
  <c r="AF4" i="2"/>
  <c r="AE4" i="2"/>
  <c r="AD4" i="2"/>
  <c r="AC4" i="2"/>
  <c r="AB4" i="2"/>
  <c r="AA4" i="2"/>
  <c r="Z4" i="2"/>
  <c r="Y4" i="2"/>
  <c r="X4" i="2"/>
  <c r="W4" i="2"/>
  <c r="V4" i="2"/>
  <c r="BA3" i="2"/>
  <c r="BA4" i="2" s="1"/>
  <c r="D353" i="1"/>
  <c r="D352" i="1"/>
  <c r="D351" i="1"/>
  <c r="D350" i="1"/>
  <c r="D349" i="1"/>
  <c r="D348" i="1"/>
  <c r="D347" i="1"/>
  <c r="D344" i="1"/>
  <c r="D343" i="1"/>
  <c r="D342" i="1"/>
  <c r="D341" i="1"/>
  <c r="D340" i="1"/>
  <c r="D339" i="1"/>
  <c r="D338" i="1"/>
  <c r="C300" i="1"/>
  <c r="A1" i="1"/>
  <c r="B12" i="3" l="1"/>
  <c r="AH50" i="2"/>
  <c r="AI50" i="2" s="1"/>
  <c r="U58" i="2"/>
  <c r="AH80" i="2"/>
  <c r="AI80" i="2" s="1"/>
  <c r="AH17" i="2"/>
  <c r="AI17" i="2" s="1"/>
  <c r="AH49" i="2"/>
  <c r="AI49" i="2" s="1"/>
  <c r="W58" i="2"/>
  <c r="AE58" i="2"/>
  <c r="AE264" i="2" s="1"/>
  <c r="W68" i="2"/>
  <c r="AE68" i="2"/>
  <c r="AH87" i="2"/>
  <c r="AI87" i="2" s="1"/>
  <c r="AH134" i="2"/>
  <c r="AI134" i="2" s="1"/>
  <c r="AH142" i="2"/>
  <c r="AI142" i="2" s="1"/>
  <c r="AH165" i="2"/>
  <c r="AI165" i="2" s="1"/>
  <c r="AH183" i="2"/>
  <c r="AI183" i="2" s="1"/>
  <c r="AH191" i="2"/>
  <c r="AI191" i="2" s="1"/>
  <c r="Z246" i="2"/>
  <c r="AH212" i="2"/>
  <c r="AI212" i="2" s="1"/>
  <c r="AH220" i="2"/>
  <c r="AI220" i="2" s="1"/>
  <c r="AH228" i="2"/>
  <c r="AI228" i="2" s="1"/>
  <c r="AO228" i="2" s="1"/>
  <c r="AH236" i="2"/>
  <c r="AI236" i="2" s="1"/>
  <c r="AH244" i="2"/>
  <c r="AI244" i="2" s="1"/>
  <c r="AH255" i="2"/>
  <c r="AI255" i="2" s="1"/>
  <c r="AH16" i="2"/>
  <c r="AI16" i="2" s="1"/>
  <c r="AH86" i="2"/>
  <c r="AI86" i="2" s="1"/>
  <c r="AH94" i="2"/>
  <c r="AI94" i="2" s="1"/>
  <c r="AO94" i="2" s="1"/>
  <c r="AH95" i="2"/>
  <c r="AI95" i="2" s="1"/>
  <c r="AO95" i="2" s="1"/>
  <c r="AH96" i="2"/>
  <c r="AI96" i="2" s="1"/>
  <c r="AO96" i="2" s="1"/>
  <c r="AH97" i="2"/>
  <c r="AI97" i="2" s="1"/>
  <c r="AO97" i="2" s="1"/>
  <c r="AH98" i="2"/>
  <c r="AI98" i="2" s="1"/>
  <c r="AO98" i="2" s="1"/>
  <c r="AH100" i="2"/>
  <c r="AI100" i="2" s="1"/>
  <c r="AO100" i="2" s="1"/>
  <c r="AH101" i="2"/>
  <c r="AI101" i="2" s="1"/>
  <c r="AO101" i="2" s="1"/>
  <c r="AH102" i="2"/>
  <c r="AI102" i="2" s="1"/>
  <c r="AO102" i="2" s="1"/>
  <c r="AH103" i="2"/>
  <c r="AI103" i="2" s="1"/>
  <c r="AO103" i="2" s="1"/>
  <c r="AH104" i="2"/>
  <c r="AI104" i="2" s="1"/>
  <c r="AO104" i="2" s="1"/>
  <c r="AH106" i="2"/>
  <c r="AI106" i="2" s="1"/>
  <c r="AO106" i="2" s="1"/>
  <c r="AH107" i="2"/>
  <c r="AI107" i="2" s="1"/>
  <c r="AO107" i="2" s="1"/>
  <c r="AH110" i="2"/>
  <c r="AI110" i="2" s="1"/>
  <c r="AO110" i="2" s="1"/>
  <c r="AH111" i="2"/>
  <c r="AI111" i="2" s="1"/>
  <c r="AO111" i="2" s="1"/>
  <c r="AH112" i="2"/>
  <c r="AI112" i="2" s="1"/>
  <c r="AO112" i="2" s="1"/>
  <c r="AH113" i="2"/>
  <c r="AI113" i="2" s="1"/>
  <c r="AO113" i="2" s="1"/>
  <c r="AH114" i="2"/>
  <c r="AI114" i="2" s="1"/>
  <c r="AO114" i="2" s="1"/>
  <c r="AH115" i="2"/>
  <c r="AI115" i="2" s="1"/>
  <c r="AO115" i="2" s="1"/>
  <c r="AH116" i="2"/>
  <c r="AI116" i="2" s="1"/>
  <c r="AO116" i="2" s="1"/>
  <c r="AH117" i="2"/>
  <c r="AI117" i="2" s="1"/>
  <c r="AO117" i="2" s="1"/>
  <c r="AH118" i="2"/>
  <c r="AI118" i="2" s="1"/>
  <c r="AO118" i="2" s="1"/>
  <c r="AH119" i="2"/>
  <c r="AI119" i="2" s="1"/>
  <c r="AO119" i="2" s="1"/>
  <c r="AH120" i="2"/>
  <c r="AI120" i="2" s="1"/>
  <c r="AO120" i="2" s="1"/>
  <c r="AH121" i="2"/>
  <c r="AI121" i="2" s="1"/>
  <c r="AO121" i="2" s="1"/>
  <c r="AH122" i="2"/>
  <c r="AI122" i="2" s="1"/>
  <c r="AO122" i="2" s="1"/>
  <c r="AH123" i="2"/>
  <c r="AI123" i="2" s="1"/>
  <c r="AO123" i="2" s="1"/>
  <c r="AH124" i="2"/>
  <c r="AI124" i="2" s="1"/>
  <c r="AO124" i="2" s="1"/>
  <c r="AH125" i="2"/>
  <c r="AI125" i="2" s="1"/>
  <c r="AO125" i="2" s="1"/>
  <c r="AH126" i="2"/>
  <c r="AI126" i="2" s="1"/>
  <c r="AO126" i="2" s="1"/>
  <c r="AH127" i="2"/>
  <c r="AI127" i="2" s="1"/>
  <c r="AO127" i="2" s="1"/>
  <c r="AH128" i="2"/>
  <c r="AI128" i="2" s="1"/>
  <c r="AO128" i="2" s="1"/>
  <c r="AH129" i="2"/>
  <c r="AI129" i="2" s="1"/>
  <c r="AO129" i="2" s="1"/>
  <c r="AH130" i="2"/>
  <c r="AI130" i="2" s="1"/>
  <c r="AO130" i="2" s="1"/>
  <c r="AH131" i="2"/>
  <c r="AI131" i="2" s="1"/>
  <c r="AO131" i="2" s="1"/>
  <c r="AH132" i="2"/>
  <c r="AI132" i="2" s="1"/>
  <c r="AO132" i="2" s="1"/>
  <c r="AH133" i="2"/>
  <c r="AI133" i="2" s="1"/>
  <c r="AO133" i="2" s="1"/>
  <c r="AH141" i="2"/>
  <c r="AI141" i="2" s="1"/>
  <c r="AH206" i="2"/>
  <c r="AI206" i="2" s="1"/>
  <c r="AH211" i="2"/>
  <c r="AI211" i="2" s="1"/>
  <c r="AH219" i="2"/>
  <c r="AI219" i="2" s="1"/>
  <c r="AH227" i="2"/>
  <c r="AI227" i="2" s="1"/>
  <c r="AO227" i="2" s="1"/>
  <c r="AH235" i="2"/>
  <c r="AI235" i="2" s="1"/>
  <c r="X260" i="2"/>
  <c r="AF260" i="2"/>
  <c r="Y52" i="2"/>
  <c r="Z52" i="2"/>
  <c r="AH15" i="2"/>
  <c r="AI15" i="2" s="1"/>
  <c r="AH23" i="2"/>
  <c r="AI23" i="2" s="1"/>
  <c r="AO23" i="2" s="1"/>
  <c r="AH31" i="2"/>
  <c r="AI31" i="2" s="1"/>
  <c r="AO31" i="2" s="1"/>
  <c r="AH39" i="2"/>
  <c r="AI39" i="2" s="1"/>
  <c r="AO39" i="2" s="1"/>
  <c r="AH47" i="2"/>
  <c r="AI47" i="2" s="1"/>
  <c r="O264" i="2"/>
  <c r="AH77" i="2"/>
  <c r="AI77" i="2" s="1"/>
  <c r="AH85" i="2"/>
  <c r="AI85" i="2" s="1"/>
  <c r="AH93" i="2"/>
  <c r="AI93" i="2" s="1"/>
  <c r="AH140" i="2"/>
  <c r="AI140" i="2" s="1"/>
  <c r="AH163" i="2"/>
  <c r="AI163" i="2" s="1"/>
  <c r="AH171" i="2"/>
  <c r="AI171" i="2" s="1"/>
  <c r="AO171" i="2" s="1"/>
  <c r="AE172" i="2"/>
  <c r="AH181" i="2"/>
  <c r="AI181" i="2" s="1"/>
  <c r="AH189" i="2"/>
  <c r="AI189" i="2" s="1"/>
  <c r="AB246" i="2"/>
  <c r="AH210" i="2"/>
  <c r="AI210" i="2" s="1"/>
  <c r="AH218" i="2"/>
  <c r="AI218" i="2" s="1"/>
  <c r="AH226" i="2"/>
  <c r="AI226" i="2" s="1"/>
  <c r="AH234" i="2"/>
  <c r="AI234" i="2" s="1"/>
  <c r="AH242" i="2"/>
  <c r="AI242" i="2" s="1"/>
  <c r="AH248" i="2"/>
  <c r="AI248" i="2" s="1"/>
  <c r="Y260" i="2"/>
  <c r="AG260" i="2"/>
  <c r="AH241" i="2"/>
  <c r="AI241" i="2" s="1"/>
  <c r="AH46" i="2"/>
  <c r="AI46" i="2" s="1"/>
  <c r="AH84" i="2"/>
  <c r="AI84" i="2" s="1"/>
  <c r="AO84" i="2" s="1"/>
  <c r="AH92" i="2"/>
  <c r="AI92" i="2" s="1"/>
  <c r="AH13" i="2"/>
  <c r="AI13" i="2" s="1"/>
  <c r="AH21" i="2"/>
  <c r="AI21" i="2" s="1"/>
  <c r="AH45" i="2"/>
  <c r="AI45" i="2" s="1"/>
  <c r="AA68" i="2"/>
  <c r="T68" i="2"/>
  <c r="U68" i="2" s="1"/>
  <c r="U264" i="2" s="1"/>
  <c r="U266" i="2" s="1"/>
  <c r="T195" i="2"/>
  <c r="U195" i="2" s="1"/>
  <c r="AH75" i="2"/>
  <c r="AI75" i="2" s="1"/>
  <c r="AH91" i="2"/>
  <c r="AI91" i="2" s="1"/>
  <c r="AH138" i="2"/>
  <c r="AI138" i="2" s="1"/>
  <c r="AH161" i="2"/>
  <c r="AI161" i="2" s="1"/>
  <c r="AH169" i="2"/>
  <c r="AI169" i="2" s="1"/>
  <c r="AH179" i="2"/>
  <c r="AI179" i="2" s="1"/>
  <c r="AH187" i="2"/>
  <c r="AI187" i="2" s="1"/>
  <c r="U202" i="2"/>
  <c r="AH208" i="2"/>
  <c r="AD246" i="2"/>
  <c r="AH216" i="2"/>
  <c r="AI216" i="2" s="1"/>
  <c r="AH224" i="2"/>
  <c r="AI224" i="2" s="1"/>
  <c r="AH232" i="2"/>
  <c r="AI232" i="2" s="1"/>
  <c r="AH240" i="2"/>
  <c r="AI240" i="2" s="1"/>
  <c r="AH14" i="2"/>
  <c r="AI14" i="2" s="1"/>
  <c r="AH162" i="2"/>
  <c r="AI162" i="2" s="1"/>
  <c r="AH170" i="2"/>
  <c r="AI170" i="2" s="1"/>
  <c r="AH188" i="2"/>
  <c r="AI188" i="2" s="1"/>
  <c r="AH12" i="2"/>
  <c r="AI12" i="2" s="1"/>
  <c r="AH20" i="2"/>
  <c r="AI20" i="2" s="1"/>
  <c r="AH28" i="2"/>
  <c r="AI28" i="2" s="1"/>
  <c r="AO28" i="2" s="1"/>
  <c r="AH36" i="2"/>
  <c r="AI36" i="2" s="1"/>
  <c r="AO36" i="2" s="1"/>
  <c r="AH44" i="2"/>
  <c r="AI44" i="2" s="1"/>
  <c r="X61" i="2"/>
  <c r="AB68" i="2"/>
  <c r="AH64" i="2"/>
  <c r="AI64" i="2" s="1"/>
  <c r="AO64" i="2" s="1"/>
  <c r="AH74" i="2"/>
  <c r="AI74" i="2" s="1"/>
  <c r="AH90" i="2"/>
  <c r="AI90" i="2" s="1"/>
  <c r="AH137" i="2"/>
  <c r="AI137" i="2" s="1"/>
  <c r="AH145" i="2"/>
  <c r="AI145" i="2" s="1"/>
  <c r="AO145" i="2" s="1"/>
  <c r="AH146" i="2"/>
  <c r="AI146" i="2" s="1"/>
  <c r="AO146" i="2" s="1"/>
  <c r="AH147" i="2"/>
  <c r="AI147" i="2" s="1"/>
  <c r="AO147" i="2" s="1"/>
  <c r="AH148" i="2"/>
  <c r="AI148" i="2" s="1"/>
  <c r="AO148" i="2" s="1"/>
  <c r="AH149" i="2"/>
  <c r="AI149" i="2" s="1"/>
  <c r="AO149" i="2" s="1"/>
  <c r="AH150" i="2"/>
  <c r="AI150" i="2" s="1"/>
  <c r="AO150" i="2" s="1"/>
  <c r="AH151" i="2"/>
  <c r="AI151" i="2" s="1"/>
  <c r="AO151" i="2" s="1"/>
  <c r="AH152" i="2"/>
  <c r="AI152" i="2" s="1"/>
  <c r="AO152" i="2" s="1"/>
  <c r="AH153" i="2"/>
  <c r="AI153" i="2" s="1"/>
  <c r="AO153" i="2" s="1"/>
  <c r="AH154" i="2"/>
  <c r="AI154" i="2" s="1"/>
  <c r="AO154" i="2" s="1"/>
  <c r="AH155" i="2"/>
  <c r="AI155" i="2" s="1"/>
  <c r="AO155" i="2" s="1"/>
  <c r="AH156" i="2"/>
  <c r="AI156" i="2" s="1"/>
  <c r="AO156" i="2" s="1"/>
  <c r="AH157" i="2"/>
  <c r="AI157" i="2" s="1"/>
  <c r="AO157" i="2" s="1"/>
  <c r="AH158" i="2"/>
  <c r="AI158" i="2" s="1"/>
  <c r="AO158" i="2" s="1"/>
  <c r="AH159" i="2"/>
  <c r="AI159" i="2" s="1"/>
  <c r="AO159" i="2" s="1"/>
  <c r="AH160" i="2"/>
  <c r="AI160" i="2" s="1"/>
  <c r="AH168" i="2"/>
  <c r="AI168" i="2" s="1"/>
  <c r="AH178" i="2"/>
  <c r="AI178" i="2" s="1"/>
  <c r="AH186" i="2"/>
  <c r="AI186" i="2" s="1"/>
  <c r="AO186" i="2" s="1"/>
  <c r="AH205" i="2"/>
  <c r="AI205" i="2" s="1"/>
  <c r="AH207" i="2"/>
  <c r="AI207" i="2" s="1"/>
  <c r="W246" i="2"/>
  <c r="AE246" i="2"/>
  <c r="AH215" i="2"/>
  <c r="AI215" i="2" s="1"/>
  <c r="AH223" i="2"/>
  <c r="AI223" i="2" s="1"/>
  <c r="AH231" i="2"/>
  <c r="AI231" i="2" s="1"/>
  <c r="AO231" i="2" s="1"/>
  <c r="AH239" i="2"/>
  <c r="AI239" i="2" s="1"/>
  <c r="AB260" i="2"/>
  <c r="AH22" i="2"/>
  <c r="AI22" i="2" s="1"/>
  <c r="AH76" i="2"/>
  <c r="AH180" i="2"/>
  <c r="AI180" i="2" s="1"/>
  <c r="T52" i="2"/>
  <c r="AC52" i="2"/>
  <c r="AH11" i="2"/>
  <c r="AI11" i="2" s="1"/>
  <c r="AH19" i="2"/>
  <c r="AI19" i="2" s="1"/>
  <c r="AH27" i="2"/>
  <c r="AI27" i="2" s="1"/>
  <c r="AO27" i="2" s="1"/>
  <c r="AH35" i="2"/>
  <c r="AI35" i="2" s="1"/>
  <c r="AO35" i="2" s="1"/>
  <c r="AH43" i="2"/>
  <c r="AI43" i="2" s="1"/>
  <c r="AH51" i="2"/>
  <c r="AI51" i="2" s="1"/>
  <c r="K264" i="2"/>
  <c r="S264" i="2"/>
  <c r="Y61" i="2"/>
  <c r="AH63" i="2"/>
  <c r="AI63" i="2" s="1"/>
  <c r="AO63" i="2" s="1"/>
  <c r="AH81" i="2"/>
  <c r="AI81" i="2" s="1"/>
  <c r="AH89" i="2"/>
  <c r="AI89" i="2" s="1"/>
  <c r="AH136" i="2"/>
  <c r="AI136" i="2" s="1"/>
  <c r="AH144" i="2"/>
  <c r="AI144" i="2" s="1"/>
  <c r="AH167" i="2"/>
  <c r="AI167" i="2" s="1"/>
  <c r="AH173" i="2"/>
  <c r="AI173" i="2" s="1"/>
  <c r="AO173" i="2" s="1"/>
  <c r="AH174" i="2"/>
  <c r="AI174" i="2" s="1"/>
  <c r="AO174" i="2" s="1"/>
  <c r="AH175" i="2"/>
  <c r="AI175" i="2" s="1"/>
  <c r="AO175" i="2" s="1"/>
  <c r="AH176" i="2"/>
  <c r="AI176" i="2" s="1"/>
  <c r="AO176" i="2" s="1"/>
  <c r="AH177" i="2"/>
  <c r="AI177" i="2" s="1"/>
  <c r="AH185" i="2"/>
  <c r="AI185" i="2" s="1"/>
  <c r="AO185" i="2" s="1"/>
  <c r="X246" i="2"/>
  <c r="AF246" i="2"/>
  <c r="AH214" i="2"/>
  <c r="AI214" i="2" s="1"/>
  <c r="AH222" i="2"/>
  <c r="AI222" i="2" s="1"/>
  <c r="AH230" i="2"/>
  <c r="AI230" i="2" s="1"/>
  <c r="AO230" i="2" s="1"/>
  <c r="AH238" i="2"/>
  <c r="AI238" i="2" s="1"/>
  <c r="T260" i="2"/>
  <c r="AC260" i="2"/>
  <c r="AH135" i="2"/>
  <c r="AI135" i="2" s="1"/>
  <c r="AH143" i="2"/>
  <c r="AI143" i="2" s="1"/>
  <c r="AH166" i="2"/>
  <c r="AI166" i="2" s="1"/>
  <c r="AH184" i="2"/>
  <c r="AI184" i="2" s="1"/>
  <c r="Y246" i="2"/>
  <c r="Y262" i="2" s="1"/>
  <c r="AG246" i="2"/>
  <c r="AH213" i="2"/>
  <c r="AI213" i="2" s="1"/>
  <c r="AH221" i="2"/>
  <c r="AI221" i="2" s="1"/>
  <c r="AH229" i="2"/>
  <c r="AI229" i="2" s="1"/>
  <c r="AO229" i="2" s="1"/>
  <c r="AH237" i="2"/>
  <c r="AI237" i="2" s="1"/>
  <c r="AH256" i="2"/>
  <c r="AH257" i="2"/>
  <c r="AI257" i="2" s="1"/>
  <c r="AH258" i="2"/>
  <c r="AI258" i="2" s="1"/>
  <c r="B32" i="3"/>
  <c r="S6" i="5"/>
  <c r="AC17" i="4"/>
  <c r="AC21" i="4"/>
  <c r="AC14" i="4"/>
  <c r="S6" i="9"/>
  <c r="T6" i="9" s="1"/>
  <c r="AC13" i="4"/>
  <c r="J27" i="5"/>
  <c r="AO24" i="2"/>
  <c r="AO77" i="2"/>
  <c r="AI76" i="2"/>
  <c r="AH25" i="2"/>
  <c r="AI25" i="2" s="1"/>
  <c r="AO25" i="2" s="1"/>
  <c r="AH29" i="2"/>
  <c r="AI29" i="2" s="1"/>
  <c r="AO29" i="2" s="1"/>
  <c r="AH33" i="2"/>
  <c r="AI33" i="2" s="1"/>
  <c r="AO33" i="2" s="1"/>
  <c r="AH41" i="2"/>
  <c r="AI41" i="2" s="1"/>
  <c r="AO41" i="2" s="1"/>
  <c r="AH55" i="2"/>
  <c r="AF73" i="2"/>
  <c r="AB73" i="2"/>
  <c r="AB195" i="2" s="1"/>
  <c r="X73" i="2"/>
  <c r="X195" i="2" s="1"/>
  <c r="AE73" i="2"/>
  <c r="AE195" i="2" s="1"/>
  <c r="AA73" i="2"/>
  <c r="AA195" i="2" s="1"/>
  <c r="AA262" i="2" s="1"/>
  <c r="W73" i="2"/>
  <c r="W195" i="2" s="1"/>
  <c r="W262" i="2" s="1"/>
  <c r="AC73" i="2"/>
  <c r="W52" i="2"/>
  <c r="AA52" i="2"/>
  <c r="AE52" i="2"/>
  <c r="AH26" i="2"/>
  <c r="AI26" i="2" s="1"/>
  <c r="AO26" i="2" s="1"/>
  <c r="AH30" i="2"/>
  <c r="AI30" i="2" s="1"/>
  <c r="AO30" i="2" s="1"/>
  <c r="AH34" i="2"/>
  <c r="AI34" i="2" s="1"/>
  <c r="AO34" i="2" s="1"/>
  <c r="AH38" i="2"/>
  <c r="AI38" i="2" s="1"/>
  <c r="AO38" i="2" s="1"/>
  <c r="AH42" i="2"/>
  <c r="AI42" i="2" s="1"/>
  <c r="AO42" i="2" s="1"/>
  <c r="I264" i="2"/>
  <c r="M264" i="2"/>
  <c r="Q264" i="2"/>
  <c r="V52" i="2"/>
  <c r="AD52" i="2"/>
  <c r="AH56" i="2"/>
  <c r="AI56" i="2" s="1"/>
  <c r="AO56" i="2" s="1"/>
  <c r="AH65" i="2"/>
  <c r="AI65" i="2" s="1"/>
  <c r="V73" i="2"/>
  <c r="AD73" i="2"/>
  <c r="AD195" i="2" s="1"/>
  <c r="AH78" i="2"/>
  <c r="AI78" i="2" s="1"/>
  <c r="AO78" i="2" s="1"/>
  <c r="AH82" i="2"/>
  <c r="AI82" i="2" s="1"/>
  <c r="AH105" i="2"/>
  <c r="AI105" i="2" s="1"/>
  <c r="AO105" i="2" s="1"/>
  <c r="AI249" i="2"/>
  <c r="AI252" i="2" s="1"/>
  <c r="AH252" i="2"/>
  <c r="J262" i="2"/>
  <c r="N262" i="2"/>
  <c r="R262" i="2"/>
  <c r="AI13" i="3"/>
  <c r="AS13" i="3"/>
  <c r="AT13" i="3" s="1"/>
  <c r="AI16" i="3"/>
  <c r="AS16" i="3"/>
  <c r="AT16" i="3" s="1"/>
  <c r="AI20" i="3"/>
  <c r="AS20" i="3"/>
  <c r="AT20" i="3" s="1"/>
  <c r="AI24" i="3"/>
  <c r="AS24" i="3"/>
  <c r="AT24" i="3" s="1"/>
  <c r="AI29" i="3"/>
  <c r="AO29" i="3" s="1"/>
  <c r="AS29" i="3"/>
  <c r="AT29" i="3" s="1"/>
  <c r="AS41" i="3"/>
  <c r="AT41" i="3" s="1"/>
  <c r="AI41" i="3"/>
  <c r="AO41" i="3" s="1"/>
  <c r="X52" i="2"/>
  <c r="X264" i="2" s="1"/>
  <c r="AB52" i="2"/>
  <c r="AB264" i="2" s="1"/>
  <c r="AF52" i="2"/>
  <c r="J264" i="2"/>
  <c r="N264" i="2"/>
  <c r="R264" i="2"/>
  <c r="AG52" i="2"/>
  <c r="X58" i="2"/>
  <c r="AB58" i="2"/>
  <c r="AB262" i="2" s="1"/>
  <c r="AF58" i="2"/>
  <c r="AA61" i="2"/>
  <c r="AA264" i="2" s="1"/>
  <c r="W61" i="2"/>
  <c r="Z61" i="2"/>
  <c r="V61" i="2"/>
  <c r="AH62" i="2"/>
  <c r="Z68" i="2"/>
  <c r="AD68" i="2"/>
  <c r="AD262" i="2" s="1"/>
  <c r="AH66" i="2"/>
  <c r="AI66" i="2" s="1"/>
  <c r="Y73" i="2"/>
  <c r="Y195" i="2" s="1"/>
  <c r="AG73" i="2"/>
  <c r="AH79" i="2"/>
  <c r="AI79" i="2" s="1"/>
  <c r="AH83" i="2"/>
  <c r="AI83" i="2" s="1"/>
  <c r="AH99" i="2"/>
  <c r="AI99" i="2" s="1"/>
  <c r="AO99" i="2" s="1"/>
  <c r="AH108" i="2"/>
  <c r="AI108" i="2" s="1"/>
  <c r="AO108" i="2" s="1"/>
  <c r="AI246" i="2"/>
  <c r="AO226" i="2"/>
  <c r="K262" i="2"/>
  <c r="K266" i="2" s="1"/>
  <c r="O262" i="2"/>
  <c r="O266" i="2" s="1"/>
  <c r="S262" i="2"/>
  <c r="S266" i="2" s="1"/>
  <c r="AI19" i="3"/>
  <c r="AS19" i="3"/>
  <c r="AT19" i="3" s="1"/>
  <c r="AS26" i="3"/>
  <c r="AT26" i="3" s="1"/>
  <c r="AI26" i="3"/>
  <c r="AO26" i="3" s="1"/>
  <c r="AI256" i="2"/>
  <c r="AI260" i="2" s="1"/>
  <c r="H262" i="2"/>
  <c r="H266" i="2" s="1"/>
  <c r="L262" i="2"/>
  <c r="L266" i="2" s="1"/>
  <c r="P262" i="2"/>
  <c r="P266" i="2" s="1"/>
  <c r="AS12" i="3"/>
  <c r="AT12" i="3" s="1"/>
  <c r="AI12" i="3"/>
  <c r="AS18" i="3"/>
  <c r="AT18" i="3" s="1"/>
  <c r="AI18" i="3"/>
  <c r="AS22" i="3"/>
  <c r="AT22" i="3" s="1"/>
  <c r="AI22" i="3"/>
  <c r="AS35" i="3"/>
  <c r="AT35" i="3" s="1"/>
  <c r="AI35" i="3"/>
  <c r="AO35" i="3" s="1"/>
  <c r="AH10" i="2"/>
  <c r="AH37" i="2"/>
  <c r="AI37" i="2" s="1"/>
  <c r="AO37" i="2" s="1"/>
  <c r="AH109" i="2"/>
  <c r="AI109" i="2" s="1"/>
  <c r="AO109" i="2" s="1"/>
  <c r="AI208" i="2"/>
  <c r="I262" i="2"/>
  <c r="I266" i="2" s="1"/>
  <c r="M262" i="2"/>
  <c r="M266" i="2" s="1"/>
  <c r="Q262" i="2"/>
  <c r="Q266" i="2" s="1"/>
  <c r="AI14" i="3"/>
  <c r="AS14" i="3"/>
  <c r="AT14" i="3" s="1"/>
  <c r="AS17" i="3"/>
  <c r="AT17" i="3" s="1"/>
  <c r="AI17" i="3"/>
  <c r="AS21" i="3"/>
  <c r="AT21" i="3" s="1"/>
  <c r="AI21" i="3"/>
  <c r="AI34" i="3"/>
  <c r="AO34" i="3" s="1"/>
  <c r="AS34" i="3"/>
  <c r="AT34" i="3" s="1"/>
  <c r="V246" i="2"/>
  <c r="AS249" i="2"/>
  <c r="V252" i="2"/>
  <c r="V260" i="2"/>
  <c r="B11" i="3"/>
  <c r="B13" i="3"/>
  <c r="X15" i="3"/>
  <c r="AB15" i="3"/>
  <c r="B19" i="3"/>
  <c r="B23" i="3"/>
  <c r="AS23" i="3"/>
  <c r="AT23" i="3" s="1"/>
  <c r="W47" i="3"/>
  <c r="AA47" i="3"/>
  <c r="AE47" i="3"/>
  <c r="B28" i="3"/>
  <c r="AS28" i="3"/>
  <c r="AT28" i="3" s="1"/>
  <c r="AH32" i="3"/>
  <c r="AH33" i="3"/>
  <c r="AS46" i="3"/>
  <c r="AT46" i="3" s="1"/>
  <c r="AI46" i="3"/>
  <c r="AI58" i="3"/>
  <c r="AO58" i="3" s="1"/>
  <c r="AS58" i="3"/>
  <c r="AT58" i="3" s="1"/>
  <c r="AS60" i="3"/>
  <c r="AT60" i="3" s="1"/>
  <c r="AI60" i="3"/>
  <c r="AI66" i="3"/>
  <c r="AS66" i="3"/>
  <c r="AS70" i="3"/>
  <c r="AT70" i="3" s="1"/>
  <c r="AI70" i="3"/>
  <c r="AS74" i="3"/>
  <c r="AT74" i="3" s="1"/>
  <c r="AI74" i="3"/>
  <c r="AS77" i="3"/>
  <c r="AT77" i="3" s="1"/>
  <c r="AI77" i="3"/>
  <c r="AI81" i="3"/>
  <c r="AO81" i="3" s="1"/>
  <c r="AS81" i="3"/>
  <c r="AT81" i="3" s="1"/>
  <c r="AI85" i="3"/>
  <c r="AO85" i="3" s="1"/>
  <c r="AS85" i="3"/>
  <c r="AT85" i="3" s="1"/>
  <c r="AI89" i="3"/>
  <c r="AO89" i="3" s="1"/>
  <c r="AS89" i="3"/>
  <c r="AT89" i="3" s="1"/>
  <c r="AI93" i="3"/>
  <c r="AO93" i="3" s="1"/>
  <c r="AS93" i="3"/>
  <c r="AT93" i="3" s="1"/>
  <c r="AI97" i="3"/>
  <c r="AO97" i="3" s="1"/>
  <c r="AS97" i="3"/>
  <c r="AT97" i="3" s="1"/>
  <c r="AI101" i="3"/>
  <c r="AO101" i="3" s="1"/>
  <c r="AS101" i="3"/>
  <c r="AT101" i="3" s="1"/>
  <c r="AI105" i="3"/>
  <c r="AO105" i="3" s="1"/>
  <c r="AS105" i="3"/>
  <c r="AT105" i="3" s="1"/>
  <c r="AS108" i="3"/>
  <c r="AT108" i="3" s="1"/>
  <c r="AI108" i="3"/>
  <c r="AS112" i="3"/>
  <c r="AT112" i="3" s="1"/>
  <c r="AI112" i="3"/>
  <c r="AS116" i="3"/>
  <c r="AT116" i="3" s="1"/>
  <c r="AI116" i="3"/>
  <c r="AI120" i="3"/>
  <c r="AO120" i="3" s="1"/>
  <c r="AS120" i="3"/>
  <c r="AT120" i="3" s="1"/>
  <c r="AI124" i="3"/>
  <c r="AO124" i="3" s="1"/>
  <c r="AS124" i="3"/>
  <c r="AT124" i="3" s="1"/>
  <c r="AI128" i="3"/>
  <c r="AO128" i="3" s="1"/>
  <c r="AS128" i="3"/>
  <c r="AT128" i="3" s="1"/>
  <c r="AS132" i="3"/>
  <c r="AT132" i="3" s="1"/>
  <c r="AI132" i="3"/>
  <c r="AS136" i="3"/>
  <c r="AT136" i="3" s="1"/>
  <c r="AI136" i="3"/>
  <c r="AS142" i="3"/>
  <c r="AT142" i="3" s="1"/>
  <c r="AI142" i="3"/>
  <c r="AS145" i="3"/>
  <c r="AT145" i="3" s="1"/>
  <c r="AI145" i="3"/>
  <c r="AS147" i="3"/>
  <c r="AT147" i="3" s="1"/>
  <c r="AI147" i="3"/>
  <c r="AS149" i="3"/>
  <c r="AT149" i="3" s="1"/>
  <c r="AI149" i="3"/>
  <c r="AS151" i="3"/>
  <c r="AT151" i="3" s="1"/>
  <c r="AI151" i="3"/>
  <c r="AS164" i="3"/>
  <c r="AI164" i="3"/>
  <c r="AS168" i="3"/>
  <c r="AT168" i="3" s="1"/>
  <c r="AI168" i="3"/>
  <c r="AI172" i="3"/>
  <c r="AS172" i="3"/>
  <c r="AT172" i="3" s="1"/>
  <c r="AI176" i="3"/>
  <c r="AS176" i="3"/>
  <c r="AT176" i="3" s="1"/>
  <c r="AF172" i="2"/>
  <c r="Y198" i="2"/>
  <c r="T213" i="3"/>
  <c r="T47" i="3"/>
  <c r="AG213" i="3"/>
  <c r="Y15" i="3"/>
  <c r="AC15" i="3"/>
  <c r="B18" i="3"/>
  <c r="B24" i="3"/>
  <c r="X47" i="3"/>
  <c r="AB47" i="3"/>
  <c r="AF47" i="3"/>
  <c r="AH27" i="3"/>
  <c r="B29" i="3"/>
  <c r="B37" i="3"/>
  <c r="AS43" i="3"/>
  <c r="AT43" i="3" s="1"/>
  <c r="AI43" i="3"/>
  <c r="AI69" i="3"/>
  <c r="AS69" i="3"/>
  <c r="AT69" i="3" s="1"/>
  <c r="AI73" i="3"/>
  <c r="AS73" i="3"/>
  <c r="AT73" i="3" s="1"/>
  <c r="AI76" i="3"/>
  <c r="AS76" i="3"/>
  <c r="AT76" i="3" s="1"/>
  <c r="AI80" i="3"/>
  <c r="AO80" i="3" s="1"/>
  <c r="AS80" i="3"/>
  <c r="AT80" i="3" s="1"/>
  <c r="AI84" i="3"/>
  <c r="AO84" i="3" s="1"/>
  <c r="AS84" i="3"/>
  <c r="AT84" i="3" s="1"/>
  <c r="AI88" i="3"/>
  <c r="AO88" i="3" s="1"/>
  <c r="AS88" i="3"/>
  <c r="AT88" i="3" s="1"/>
  <c r="AI92" i="3"/>
  <c r="AO92" i="3" s="1"/>
  <c r="AS92" i="3"/>
  <c r="AT92" i="3" s="1"/>
  <c r="AI96" i="3"/>
  <c r="AO96" i="3" s="1"/>
  <c r="AS96" i="3"/>
  <c r="AT96" i="3" s="1"/>
  <c r="AI100" i="3"/>
  <c r="AO100" i="3" s="1"/>
  <c r="AS100" i="3"/>
  <c r="AT100" i="3" s="1"/>
  <c r="AI104" i="3"/>
  <c r="AO104" i="3" s="1"/>
  <c r="AS104" i="3"/>
  <c r="AT104" i="3" s="1"/>
  <c r="AS107" i="3"/>
  <c r="AT107" i="3" s="1"/>
  <c r="AI107" i="3"/>
  <c r="AS111" i="3"/>
  <c r="AT111" i="3" s="1"/>
  <c r="AI111" i="3"/>
  <c r="AS115" i="3"/>
  <c r="AT115" i="3" s="1"/>
  <c r="AI115" i="3"/>
  <c r="AI119" i="3"/>
  <c r="AO119" i="3" s="1"/>
  <c r="AS119" i="3"/>
  <c r="AT119" i="3" s="1"/>
  <c r="AI123" i="3"/>
  <c r="AO123" i="3" s="1"/>
  <c r="AS123" i="3"/>
  <c r="AT123" i="3" s="1"/>
  <c r="AI127" i="3"/>
  <c r="AO127" i="3" s="1"/>
  <c r="AS127" i="3"/>
  <c r="AT127" i="3" s="1"/>
  <c r="AI131" i="3"/>
  <c r="AS131" i="3"/>
  <c r="AT131" i="3" s="1"/>
  <c r="AI135" i="3"/>
  <c r="AS135" i="3"/>
  <c r="AT135" i="3" s="1"/>
  <c r="AI139" i="3"/>
  <c r="AO139" i="3" s="1"/>
  <c r="AS139" i="3"/>
  <c r="AT139" i="3" s="1"/>
  <c r="AI167" i="3"/>
  <c r="AS167" i="3"/>
  <c r="AT167" i="3" s="1"/>
  <c r="AI171" i="3"/>
  <c r="AS171" i="3"/>
  <c r="AT171" i="3" s="1"/>
  <c r="V68" i="2"/>
  <c r="AC172" i="2"/>
  <c r="AG172" i="2"/>
  <c r="AP172" i="2"/>
  <c r="V198" i="2"/>
  <c r="Z198" i="2"/>
  <c r="AS260" i="2"/>
  <c r="AH11" i="3"/>
  <c r="B15" i="3"/>
  <c r="B17" i="3"/>
  <c r="B26" i="3"/>
  <c r="AI30" i="3"/>
  <c r="AO30" i="3" s="1"/>
  <c r="AI36" i="3"/>
  <c r="AO36" i="3" s="1"/>
  <c r="AI42" i="3"/>
  <c r="AS42" i="3"/>
  <c r="AT42" i="3" s="1"/>
  <c r="AI45" i="3"/>
  <c r="AS45" i="3"/>
  <c r="AT45" i="3" s="1"/>
  <c r="AI51" i="3"/>
  <c r="AO51" i="3" s="1"/>
  <c r="AS51" i="3"/>
  <c r="AT51" i="3" s="1"/>
  <c r="AI57" i="3"/>
  <c r="AO57" i="3" s="1"/>
  <c r="AS57" i="3"/>
  <c r="AT57" i="3" s="1"/>
  <c r="AI59" i="3"/>
  <c r="AO59" i="3" s="1"/>
  <c r="AS59" i="3"/>
  <c r="AT59" i="3" s="1"/>
  <c r="AI154" i="3"/>
  <c r="AH153" i="3"/>
  <c r="AI67" i="3"/>
  <c r="AS67" i="3"/>
  <c r="AT67" i="3" s="1"/>
  <c r="AI68" i="3"/>
  <c r="AO68" i="3" s="1"/>
  <c r="AS68" i="3"/>
  <c r="AT68" i="3" s="1"/>
  <c r="AI72" i="3"/>
  <c r="AS72" i="3"/>
  <c r="AT72" i="3" s="1"/>
  <c r="AI79" i="3"/>
  <c r="AO79" i="3" s="1"/>
  <c r="AS79" i="3"/>
  <c r="AT79" i="3" s="1"/>
  <c r="AI83" i="3"/>
  <c r="AO83" i="3" s="1"/>
  <c r="AS83" i="3"/>
  <c r="AT83" i="3" s="1"/>
  <c r="AI87" i="3"/>
  <c r="AO87" i="3" s="1"/>
  <c r="AS87" i="3"/>
  <c r="AT87" i="3" s="1"/>
  <c r="AI91" i="3"/>
  <c r="AO91" i="3" s="1"/>
  <c r="AS91" i="3"/>
  <c r="AT91" i="3" s="1"/>
  <c r="AI95" i="3"/>
  <c r="AO95" i="3" s="1"/>
  <c r="AS95" i="3"/>
  <c r="AT95" i="3" s="1"/>
  <c r="AI99" i="3"/>
  <c r="AO99" i="3" s="1"/>
  <c r="AS99" i="3"/>
  <c r="AT99" i="3" s="1"/>
  <c r="AI103" i="3"/>
  <c r="AO103" i="3" s="1"/>
  <c r="AS103" i="3"/>
  <c r="AT103" i="3" s="1"/>
  <c r="AI110" i="3"/>
  <c r="AS110" i="3"/>
  <c r="AT110" i="3" s="1"/>
  <c r="AI114" i="3"/>
  <c r="AS114" i="3"/>
  <c r="AT114" i="3" s="1"/>
  <c r="AI118" i="3"/>
  <c r="AO118" i="3" s="1"/>
  <c r="AS118" i="3"/>
  <c r="AT118" i="3" s="1"/>
  <c r="AI122" i="3"/>
  <c r="AO122" i="3" s="1"/>
  <c r="AS122" i="3"/>
  <c r="AT122" i="3" s="1"/>
  <c r="AI126" i="3"/>
  <c r="AO126" i="3" s="1"/>
  <c r="AS126" i="3"/>
  <c r="AT126" i="3" s="1"/>
  <c r="AI130" i="3"/>
  <c r="AO130" i="3" s="1"/>
  <c r="AS130" i="3"/>
  <c r="AT130" i="3" s="1"/>
  <c r="AI134" i="3"/>
  <c r="AS134" i="3"/>
  <c r="AT134" i="3" s="1"/>
  <c r="AI138" i="3"/>
  <c r="AO138" i="3" s="1"/>
  <c r="AS138" i="3"/>
  <c r="AT138" i="3" s="1"/>
  <c r="AI141" i="3"/>
  <c r="AO141" i="3" s="1"/>
  <c r="AS141" i="3"/>
  <c r="AT141" i="3" s="1"/>
  <c r="AI144" i="3"/>
  <c r="AS144" i="3"/>
  <c r="AT144" i="3" s="1"/>
  <c r="AI146" i="3"/>
  <c r="AS146" i="3"/>
  <c r="AT146" i="3" s="1"/>
  <c r="AI148" i="3"/>
  <c r="AS148" i="3"/>
  <c r="AT148" i="3" s="1"/>
  <c r="AI150" i="3"/>
  <c r="AS150" i="3"/>
  <c r="AT150" i="3" s="1"/>
  <c r="AI166" i="3"/>
  <c r="AS166" i="3"/>
  <c r="AT166" i="3" s="1"/>
  <c r="AI170" i="3"/>
  <c r="AS170" i="3"/>
  <c r="AT170" i="3" s="1"/>
  <c r="AS174" i="3"/>
  <c r="AT174" i="3" s="1"/>
  <c r="AI174" i="3"/>
  <c r="AS178" i="3"/>
  <c r="AT178" i="3" s="1"/>
  <c r="AI178" i="3"/>
  <c r="W198" i="2"/>
  <c r="W264" i="2" s="1"/>
  <c r="AH199" i="2"/>
  <c r="B207" i="3"/>
  <c r="B206" i="3"/>
  <c r="B195" i="3"/>
  <c r="B186" i="3"/>
  <c r="B185" i="3"/>
  <c r="B181" i="3"/>
  <c r="B177" i="3"/>
  <c r="B173" i="3"/>
  <c r="B188" i="3"/>
  <c r="B187" i="3"/>
  <c r="B182" i="3"/>
  <c r="B178" i="3"/>
  <c r="B201" i="3"/>
  <c r="B193" i="3"/>
  <c r="B192" i="3"/>
  <c r="B191" i="3"/>
  <c r="B190" i="3"/>
  <c r="B189" i="3"/>
  <c r="B183" i="3"/>
  <c r="B194" i="3"/>
  <c r="B184" i="3"/>
  <c r="B180" i="3"/>
  <c r="B171" i="3"/>
  <c r="B167" i="3"/>
  <c r="B161" i="3"/>
  <c r="B159" i="3"/>
  <c r="B156" i="3"/>
  <c r="B155" i="3"/>
  <c r="B141" i="3"/>
  <c r="B140" i="3"/>
  <c r="B135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4" i="3"/>
  <c r="B110" i="3"/>
  <c r="B76" i="3"/>
  <c r="B73" i="3"/>
  <c r="B69" i="3"/>
  <c r="B68" i="3"/>
  <c r="B67" i="3"/>
  <c r="B43" i="3"/>
  <c r="B176" i="3"/>
  <c r="B172" i="3"/>
  <c r="B168" i="3"/>
  <c r="B164" i="3"/>
  <c r="B163" i="3"/>
  <c r="B151" i="3"/>
  <c r="B149" i="3"/>
  <c r="B147" i="3"/>
  <c r="B145" i="3"/>
  <c r="B142" i="3"/>
  <c r="B136" i="3"/>
  <c r="B132" i="3"/>
  <c r="B115" i="3"/>
  <c r="B111" i="3"/>
  <c r="B107" i="3"/>
  <c r="B77" i="3"/>
  <c r="B74" i="3"/>
  <c r="B70" i="3"/>
  <c r="B60" i="3"/>
  <c r="B59" i="3"/>
  <c r="B58" i="3"/>
  <c r="B57" i="3"/>
  <c r="B56" i="3"/>
  <c r="B55" i="3"/>
  <c r="B51" i="3"/>
  <c r="B50" i="3"/>
  <c r="B49" i="3"/>
  <c r="B46" i="3"/>
  <c r="B40" i="3"/>
  <c r="B39" i="3"/>
  <c r="B38" i="3"/>
  <c r="B33" i="3"/>
  <c r="B179" i="3"/>
  <c r="B175" i="3"/>
  <c r="B169" i="3"/>
  <c r="B165" i="3"/>
  <c r="B143" i="3"/>
  <c r="B137" i="3"/>
  <c r="B133" i="3"/>
  <c r="B116" i="3"/>
  <c r="B112" i="3"/>
  <c r="B108" i="3"/>
  <c r="B78" i="3"/>
  <c r="B75" i="3"/>
  <c r="B71" i="3"/>
  <c r="B63" i="3"/>
  <c r="B53" i="3"/>
  <c r="B44" i="3"/>
  <c r="B41" i="3"/>
  <c r="B35" i="3"/>
  <c r="B34" i="3"/>
  <c r="B174" i="3"/>
  <c r="B170" i="3"/>
  <c r="B166" i="3"/>
  <c r="B153" i="3"/>
  <c r="B150" i="3"/>
  <c r="B148" i="3"/>
  <c r="B146" i="3"/>
  <c r="B144" i="3"/>
  <c r="B139" i="3"/>
  <c r="B138" i="3"/>
  <c r="B134" i="3"/>
  <c r="B117" i="3"/>
  <c r="B113" i="3"/>
  <c r="B109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2" i="3"/>
  <c r="B66" i="3"/>
  <c r="B65" i="3"/>
  <c r="B61" i="3"/>
  <c r="B47" i="3"/>
  <c r="B45" i="3"/>
  <c r="B42" i="3"/>
  <c r="B36" i="3"/>
  <c r="B31" i="3"/>
  <c r="B30" i="3"/>
  <c r="B25" i="3"/>
  <c r="B21" i="3"/>
  <c r="AA213" i="3"/>
  <c r="AE213" i="3"/>
  <c r="B14" i="3"/>
  <c r="W15" i="3"/>
  <c r="AH15" i="3" s="1"/>
  <c r="B16" i="3"/>
  <c r="B20" i="3"/>
  <c r="B22" i="3"/>
  <c r="V47" i="3"/>
  <c r="Z47" i="3"/>
  <c r="Z213" i="3" s="1"/>
  <c r="AD47" i="3"/>
  <c r="AD213" i="3" s="1"/>
  <c r="AH25" i="3"/>
  <c r="B27" i="3"/>
  <c r="AI31" i="3"/>
  <c r="AO31" i="3" s="1"/>
  <c r="AI37" i="3"/>
  <c r="AO37" i="3" s="1"/>
  <c r="AS37" i="3"/>
  <c r="AT37" i="3" s="1"/>
  <c r="AH38" i="3"/>
  <c r="AH39" i="3"/>
  <c r="AH40" i="3"/>
  <c r="AS44" i="3"/>
  <c r="AT44" i="3" s="1"/>
  <c r="AI44" i="3"/>
  <c r="AH53" i="3"/>
  <c r="AI50" i="3"/>
  <c r="AS50" i="3"/>
  <c r="AS71" i="3"/>
  <c r="AT71" i="3" s="1"/>
  <c r="AI71" i="3"/>
  <c r="AS75" i="3"/>
  <c r="AT75" i="3" s="1"/>
  <c r="AI75" i="3"/>
  <c r="AS78" i="3"/>
  <c r="AT78" i="3" s="1"/>
  <c r="AI78" i="3"/>
  <c r="AI82" i="3"/>
  <c r="AO82" i="3" s="1"/>
  <c r="AS82" i="3"/>
  <c r="AT82" i="3" s="1"/>
  <c r="AI86" i="3"/>
  <c r="AO86" i="3" s="1"/>
  <c r="AS86" i="3"/>
  <c r="AT86" i="3" s="1"/>
  <c r="AI90" i="3"/>
  <c r="AO90" i="3" s="1"/>
  <c r="AS90" i="3"/>
  <c r="AT90" i="3" s="1"/>
  <c r="AI94" i="3"/>
  <c r="AO94" i="3" s="1"/>
  <c r="AS94" i="3"/>
  <c r="AT94" i="3" s="1"/>
  <c r="AI98" i="3"/>
  <c r="AO98" i="3" s="1"/>
  <c r="AS98" i="3"/>
  <c r="AT98" i="3" s="1"/>
  <c r="AI102" i="3"/>
  <c r="AO102" i="3" s="1"/>
  <c r="AS102" i="3"/>
  <c r="AT102" i="3" s="1"/>
  <c r="AI106" i="3"/>
  <c r="AS106" i="3"/>
  <c r="AT106" i="3" s="1"/>
  <c r="AI109" i="3"/>
  <c r="AS109" i="3"/>
  <c r="AT109" i="3" s="1"/>
  <c r="AI113" i="3"/>
  <c r="AS113" i="3"/>
  <c r="AT113" i="3" s="1"/>
  <c r="AI117" i="3"/>
  <c r="AS117" i="3"/>
  <c r="AT117" i="3" s="1"/>
  <c r="AI121" i="3"/>
  <c r="AO121" i="3" s="1"/>
  <c r="AS121" i="3"/>
  <c r="AT121" i="3" s="1"/>
  <c r="AI125" i="3"/>
  <c r="AO125" i="3" s="1"/>
  <c r="AS125" i="3"/>
  <c r="AT125" i="3" s="1"/>
  <c r="AI129" i="3"/>
  <c r="AO129" i="3" s="1"/>
  <c r="AS129" i="3"/>
  <c r="AT129" i="3" s="1"/>
  <c r="AS133" i="3"/>
  <c r="AT133" i="3" s="1"/>
  <c r="AI133" i="3"/>
  <c r="AS137" i="3"/>
  <c r="AT137" i="3" s="1"/>
  <c r="AI137" i="3"/>
  <c r="AI140" i="3"/>
  <c r="AO140" i="3" s="1"/>
  <c r="AS140" i="3"/>
  <c r="AT140" i="3" s="1"/>
  <c r="AS143" i="3"/>
  <c r="AT143" i="3" s="1"/>
  <c r="AI143" i="3"/>
  <c r="W159" i="3"/>
  <c r="W210" i="3" s="1"/>
  <c r="AS165" i="3"/>
  <c r="AT165" i="3" s="1"/>
  <c r="AI165" i="3"/>
  <c r="AS169" i="3"/>
  <c r="AT169" i="3" s="1"/>
  <c r="AI169" i="3"/>
  <c r="AS173" i="3"/>
  <c r="AT173" i="3" s="1"/>
  <c r="AI173" i="3"/>
  <c r="AI177" i="3"/>
  <c r="AS177" i="3"/>
  <c r="AT177" i="3" s="1"/>
  <c r="AH56" i="3"/>
  <c r="X157" i="3"/>
  <c r="X159" i="3" s="1"/>
  <c r="X210" i="3" s="1"/>
  <c r="AB157" i="3"/>
  <c r="AB159" i="3" s="1"/>
  <c r="AB210" i="3" s="1"/>
  <c r="AF157" i="3"/>
  <c r="AF159" i="3" s="1"/>
  <c r="AF210" i="3" s="1"/>
  <c r="AH180" i="3"/>
  <c r="AI184" i="3"/>
  <c r="AS184" i="3"/>
  <c r="AT184" i="3" s="1"/>
  <c r="AI187" i="3"/>
  <c r="AO187" i="3" s="1"/>
  <c r="AS187" i="3"/>
  <c r="AT187" i="3" s="1"/>
  <c r="AS191" i="3"/>
  <c r="AT191" i="3" s="1"/>
  <c r="AI191" i="3"/>
  <c r="AO191" i="3" s="1"/>
  <c r="AI195" i="3"/>
  <c r="AS195" i="3"/>
  <c r="AT195" i="3" s="1"/>
  <c r="J210" i="3"/>
  <c r="N210" i="3"/>
  <c r="R210" i="3"/>
  <c r="AH208" i="3"/>
  <c r="AS206" i="3"/>
  <c r="AI206" i="3"/>
  <c r="AI208" i="3" s="1"/>
  <c r="AG210" i="3"/>
  <c r="AG215" i="3" s="1"/>
  <c r="T6" i="4"/>
  <c r="U6" i="4" s="1"/>
  <c r="W6" i="4" s="1"/>
  <c r="X6" i="4" s="1"/>
  <c r="Z6" i="4" s="1"/>
  <c r="AH156" i="3"/>
  <c r="Y157" i="3"/>
  <c r="Y159" i="3" s="1"/>
  <c r="Y210" i="3" s="1"/>
  <c r="AC157" i="3"/>
  <c r="AC159" i="3" s="1"/>
  <c r="AC210" i="3" s="1"/>
  <c r="AS183" i="3"/>
  <c r="AT183" i="3" s="1"/>
  <c r="AI183" i="3"/>
  <c r="AI186" i="3"/>
  <c r="AH198" i="3"/>
  <c r="AS186" i="3"/>
  <c r="AT186" i="3" s="1"/>
  <c r="AS190" i="3"/>
  <c r="AT190" i="3" s="1"/>
  <c r="AI190" i="3"/>
  <c r="AO190" i="3" s="1"/>
  <c r="AI194" i="3"/>
  <c r="AS194" i="3"/>
  <c r="AT194" i="3" s="1"/>
  <c r="AH203" i="3"/>
  <c r="AS201" i="3"/>
  <c r="AI201" i="3"/>
  <c r="AI203" i="3" s="1"/>
  <c r="AA210" i="3"/>
  <c r="AA215" i="3" s="1"/>
  <c r="AE210" i="3"/>
  <c r="AE215" i="3" s="1"/>
  <c r="K210" i="3"/>
  <c r="O210" i="3"/>
  <c r="S210" i="3"/>
  <c r="I213" i="3"/>
  <c r="M213" i="3"/>
  <c r="Q213" i="3"/>
  <c r="V157" i="3"/>
  <c r="V159" i="3" s="1"/>
  <c r="Z157" i="3"/>
  <c r="Z159" i="3" s="1"/>
  <c r="Z210" i="3" s="1"/>
  <c r="AS182" i="3"/>
  <c r="AT182" i="3" s="1"/>
  <c r="AI182" i="3"/>
  <c r="AS189" i="3"/>
  <c r="AT189" i="3" s="1"/>
  <c r="AI189" i="3"/>
  <c r="AO189" i="3" s="1"/>
  <c r="AS193" i="3"/>
  <c r="AT193" i="3" s="1"/>
  <c r="AI193" i="3"/>
  <c r="AI196" i="3"/>
  <c r="AS196" i="3"/>
  <c r="AT196" i="3" s="1"/>
  <c r="AS207" i="3"/>
  <c r="AT207" i="3" s="1"/>
  <c r="AI207" i="3"/>
  <c r="H210" i="3"/>
  <c r="L210" i="3"/>
  <c r="P210" i="3"/>
  <c r="T210" i="3"/>
  <c r="T215" i="3" s="1"/>
  <c r="W157" i="3"/>
  <c r="AH175" i="3"/>
  <c r="AH179" i="3"/>
  <c r="AI181" i="3"/>
  <c r="AS181" i="3"/>
  <c r="AT181" i="3" s="1"/>
  <c r="AS188" i="3"/>
  <c r="AT188" i="3" s="1"/>
  <c r="AI188" i="3"/>
  <c r="AS192" i="3"/>
  <c r="AT192" i="3" s="1"/>
  <c r="AI192" i="3"/>
  <c r="AO192" i="3" s="1"/>
  <c r="AY208" i="3"/>
  <c r="I210" i="3"/>
  <c r="M210" i="3"/>
  <c r="Q210" i="3"/>
  <c r="AD210" i="3"/>
  <c r="V198" i="3"/>
  <c r="AY201" i="3"/>
  <c r="AY203" i="3" s="1"/>
  <c r="M27" i="4"/>
  <c r="K11" i="4" s="1"/>
  <c r="AC9" i="4"/>
  <c r="AC11" i="4"/>
  <c r="AC12" i="4"/>
  <c r="I26" i="4"/>
  <c r="J47" i="4"/>
  <c r="I16" i="5"/>
  <c r="K8" i="5"/>
  <c r="U6" i="5"/>
  <c r="W6" i="5" s="1"/>
  <c r="X6" i="5" s="1"/>
  <c r="Z6" i="5" s="1"/>
  <c r="L27" i="5"/>
  <c r="M27" i="5"/>
  <c r="K11" i="5" s="1"/>
  <c r="I16" i="4"/>
  <c r="AC39" i="4"/>
  <c r="AC38" i="4"/>
  <c r="AC36" i="4"/>
  <c r="J27" i="4"/>
  <c r="AC19" i="4"/>
  <c r="AC6" i="4"/>
  <c r="AC34" i="4"/>
  <c r="AC32" i="4"/>
  <c r="AC31" i="4"/>
  <c r="AC24" i="4"/>
  <c r="AC23" i="4"/>
  <c r="AC22" i="4"/>
  <c r="AC33" i="4"/>
  <c r="AC26" i="4"/>
  <c r="AC8" i="4"/>
  <c r="I9" i="4"/>
  <c r="AC16" i="4"/>
  <c r="AC18" i="4"/>
  <c r="T6" i="5"/>
  <c r="I9" i="5"/>
  <c r="AC38" i="5"/>
  <c r="AC37" i="5"/>
  <c r="AC29" i="5"/>
  <c r="AC28" i="5"/>
  <c r="AC27" i="5"/>
  <c r="I26" i="5"/>
  <c r="AC21" i="5"/>
  <c r="AC7" i="5"/>
  <c r="AC33" i="5"/>
  <c r="AC26" i="5"/>
  <c r="AC19" i="5"/>
  <c r="AC6" i="5"/>
  <c r="AC34" i="5"/>
  <c r="AC32" i="5"/>
  <c r="AC31" i="5"/>
  <c r="AC24" i="5"/>
  <c r="AC23" i="5"/>
  <c r="AC22" i="5"/>
  <c r="AC18" i="5"/>
  <c r="AC17" i="5"/>
  <c r="AC16" i="5"/>
  <c r="AC14" i="5"/>
  <c r="AC13" i="5"/>
  <c r="AC12" i="5"/>
  <c r="AC11" i="5"/>
  <c r="AC9" i="5"/>
  <c r="AC8" i="5"/>
  <c r="AC36" i="5"/>
  <c r="L27" i="6"/>
  <c r="V203" i="3"/>
  <c r="AC28" i="4"/>
  <c r="AC37" i="4"/>
  <c r="J19" i="4"/>
  <c r="S9" i="4"/>
  <c r="S8" i="4"/>
  <c r="S7" i="4"/>
  <c r="T7" i="5"/>
  <c r="U7" i="5" s="1"/>
  <c r="W7" i="5" s="1"/>
  <c r="X7" i="5" s="1"/>
  <c r="Z7" i="5" s="1"/>
  <c r="AA7" i="5" s="1"/>
  <c r="AB7" i="5" s="1"/>
  <c r="J47" i="5"/>
  <c r="S7" i="6"/>
  <c r="S6" i="6"/>
  <c r="J19" i="6"/>
  <c r="S9" i="6"/>
  <c r="S8" i="6"/>
  <c r="I9" i="6"/>
  <c r="I16" i="6"/>
  <c r="K38" i="5"/>
  <c r="Z67" i="5" s="1"/>
  <c r="AC37" i="6"/>
  <c r="AC29" i="6"/>
  <c r="AC28" i="6"/>
  <c r="AC27" i="6"/>
  <c r="I26" i="6"/>
  <c r="AC33" i="6"/>
  <c r="AC26" i="6"/>
  <c r="AC21" i="6"/>
  <c r="AC18" i="6"/>
  <c r="AC17" i="6"/>
  <c r="AC16" i="6"/>
  <c r="AC14" i="6"/>
  <c r="AC13" i="6"/>
  <c r="AC12" i="6"/>
  <c r="AC11" i="6"/>
  <c r="AC9" i="6"/>
  <c r="AC8" i="6"/>
  <c r="AC34" i="6"/>
  <c r="AC32" i="6"/>
  <c r="AC31" i="6"/>
  <c r="AC24" i="6"/>
  <c r="AC23" i="6"/>
  <c r="AC22" i="6"/>
  <c r="AC19" i="6"/>
  <c r="AC6" i="6"/>
  <c r="J27" i="6"/>
  <c r="M27" i="6" s="1"/>
  <c r="K11" i="6" s="1"/>
  <c r="Y67" i="6"/>
  <c r="K38" i="6"/>
  <c r="Z67" i="6" s="1"/>
  <c r="AC38" i="6"/>
  <c r="I16" i="7"/>
  <c r="K8" i="7"/>
  <c r="L27" i="7"/>
  <c r="S8" i="5"/>
  <c r="S9" i="5"/>
  <c r="J19" i="5"/>
  <c r="K8" i="6"/>
  <c r="AC39" i="6"/>
  <c r="AC36" i="6"/>
  <c r="S7" i="7"/>
  <c r="S6" i="7"/>
  <c r="J19" i="7"/>
  <c r="I9" i="7"/>
  <c r="S9" i="7"/>
  <c r="S8" i="7"/>
  <c r="J47" i="7"/>
  <c r="T9" i="8"/>
  <c r="U9" i="8" s="1"/>
  <c r="W9" i="8" s="1"/>
  <c r="X9" i="8" s="1"/>
  <c r="Z9" i="8" s="1"/>
  <c r="J47" i="6"/>
  <c r="AC33" i="7"/>
  <c r="AC26" i="7"/>
  <c r="AC21" i="7"/>
  <c r="AC18" i="7"/>
  <c r="AC17" i="7"/>
  <c r="AC16" i="7"/>
  <c r="AC39" i="7"/>
  <c r="AC38" i="7"/>
  <c r="AC36" i="7"/>
  <c r="J27" i="7"/>
  <c r="M27" i="7" s="1"/>
  <c r="K11" i="7" s="1"/>
  <c r="AC14" i="7"/>
  <c r="AC13" i="7"/>
  <c r="AC9" i="7"/>
  <c r="AC8" i="7"/>
  <c r="AC34" i="7"/>
  <c r="AC32" i="7"/>
  <c r="AC31" i="7"/>
  <c r="AC24" i="7"/>
  <c r="AC23" i="7"/>
  <c r="AC22" i="7"/>
  <c r="AC19" i="7"/>
  <c r="AC12" i="7"/>
  <c r="AC7" i="7"/>
  <c r="AC37" i="7"/>
  <c r="AC29" i="7"/>
  <c r="AC28" i="7"/>
  <c r="AC27" i="7"/>
  <c r="I26" i="7"/>
  <c r="AC11" i="7"/>
  <c r="AC6" i="7"/>
  <c r="Y67" i="7"/>
  <c r="K38" i="7"/>
  <c r="Z67" i="7" s="1"/>
  <c r="S8" i="8"/>
  <c r="J19" i="8"/>
  <c r="I9" i="8"/>
  <c r="S7" i="8"/>
  <c r="S6" i="8"/>
  <c r="AC33" i="8"/>
  <c r="AC26" i="8"/>
  <c r="AC19" i="8"/>
  <c r="AC12" i="8"/>
  <c r="AC7" i="8"/>
  <c r="AC39" i="8"/>
  <c r="AC38" i="8"/>
  <c r="AC36" i="8"/>
  <c r="J27" i="8"/>
  <c r="M27" i="8" s="1"/>
  <c r="K11" i="8" s="1"/>
  <c r="AC11" i="8"/>
  <c r="AC34" i="8"/>
  <c r="AC32" i="8"/>
  <c r="AC31" i="8"/>
  <c r="AC24" i="8"/>
  <c r="AC23" i="8"/>
  <c r="AC22" i="8"/>
  <c r="AC18" i="8"/>
  <c r="AC17" i="8"/>
  <c r="AC16" i="8"/>
  <c r="AC37" i="8"/>
  <c r="AC29" i="8"/>
  <c r="AC28" i="8"/>
  <c r="AC27" i="8"/>
  <c r="I26" i="8"/>
  <c r="AC21" i="8"/>
  <c r="AC14" i="8"/>
  <c r="AC13" i="8"/>
  <c r="AC9" i="8"/>
  <c r="AC8" i="8"/>
  <c r="L27" i="8"/>
  <c r="Y67" i="8"/>
  <c r="K38" i="8"/>
  <c r="Z67" i="8" s="1"/>
  <c r="T9" i="9"/>
  <c r="U9" i="9"/>
  <c r="W9" i="9" s="1"/>
  <c r="X9" i="9" s="1"/>
  <c r="Z9" i="9" s="1"/>
  <c r="K8" i="8"/>
  <c r="I16" i="8"/>
  <c r="J47" i="8"/>
  <c r="K8" i="9"/>
  <c r="I16" i="9"/>
  <c r="U6" i="9"/>
  <c r="W6" i="9" s="1"/>
  <c r="X6" i="9" s="1"/>
  <c r="Z6" i="9" s="1"/>
  <c r="S8" i="9"/>
  <c r="J19" i="9"/>
  <c r="I9" i="9"/>
  <c r="S7" i="9"/>
  <c r="AC34" i="9"/>
  <c r="AC32" i="9"/>
  <c r="AC31" i="9"/>
  <c r="AC37" i="9"/>
  <c r="AC33" i="9"/>
  <c r="AC39" i="9"/>
  <c r="AC38" i="9"/>
  <c r="AC36" i="9"/>
  <c r="AC29" i="9"/>
  <c r="J27" i="9"/>
  <c r="AC19" i="9"/>
  <c r="AC12" i="9"/>
  <c r="AC7" i="9"/>
  <c r="AC24" i="9"/>
  <c r="AC23" i="9"/>
  <c r="AC22" i="9"/>
  <c r="AC11" i="9"/>
  <c r="AC28" i="9"/>
  <c r="AC27" i="9"/>
  <c r="I26" i="9"/>
  <c r="AC18" i="9"/>
  <c r="AC17" i="9"/>
  <c r="AC16" i="9"/>
  <c r="AC26" i="9"/>
  <c r="AC21" i="9"/>
  <c r="AC14" i="9"/>
  <c r="AC13" i="9"/>
  <c r="AC9" i="9"/>
  <c r="AC8" i="9"/>
  <c r="M27" i="9"/>
  <c r="K11" i="9" s="1"/>
  <c r="L27" i="9"/>
  <c r="J19" i="10"/>
  <c r="S9" i="10"/>
  <c r="S8" i="10"/>
  <c r="I9" i="10"/>
  <c r="S7" i="10"/>
  <c r="S6" i="10"/>
  <c r="Y67" i="9"/>
  <c r="K38" i="9"/>
  <c r="Z67" i="9" s="1"/>
  <c r="I16" i="10"/>
  <c r="K8" i="10"/>
  <c r="J47" i="9"/>
  <c r="AC37" i="10"/>
  <c r="AC29" i="10"/>
  <c r="AC28" i="10"/>
  <c r="AC27" i="10"/>
  <c r="I26" i="10"/>
  <c r="AC33" i="10"/>
  <c r="AC26" i="10"/>
  <c r="AC39" i="10"/>
  <c r="AC38" i="10"/>
  <c r="AC36" i="10"/>
  <c r="J27" i="10"/>
  <c r="M27" i="10" s="1"/>
  <c r="K11" i="10" s="1"/>
  <c r="AC34" i="10"/>
  <c r="AC23" i="10"/>
  <c r="AC22" i="10"/>
  <c r="AC32" i="10"/>
  <c r="AC18" i="10"/>
  <c r="AC17" i="10"/>
  <c r="AC16" i="10"/>
  <c r="AC14" i="10"/>
  <c r="AC13" i="10"/>
  <c r="AC12" i="10"/>
  <c r="AC11" i="10"/>
  <c r="AC9" i="10"/>
  <c r="AC8" i="10"/>
  <c r="AC24" i="10"/>
  <c r="AC21" i="10"/>
  <c r="AC31" i="10"/>
  <c r="AC19" i="10"/>
  <c r="L27" i="10"/>
  <c r="AC6" i="10"/>
  <c r="J47" i="10"/>
  <c r="AH260" i="2" l="1"/>
  <c r="AL245" i="2"/>
  <c r="AL194" i="2"/>
  <c r="Z262" i="2"/>
  <c r="X262" i="2"/>
  <c r="X266" i="2" s="1"/>
  <c r="AD264" i="2"/>
  <c r="AE262" i="2"/>
  <c r="AE266" i="2" s="1"/>
  <c r="Z264" i="2"/>
  <c r="Y264" i="2"/>
  <c r="Y266" i="2" s="1"/>
  <c r="AH246" i="2"/>
  <c r="T264" i="2"/>
  <c r="H268" i="2" s="1"/>
  <c r="AB266" i="2"/>
  <c r="T262" i="2"/>
  <c r="AA9" i="9"/>
  <c r="AB9" i="9" s="1"/>
  <c r="AA9" i="8"/>
  <c r="AB9" i="8" s="1"/>
  <c r="AA6" i="4"/>
  <c r="AB6" i="4" s="1"/>
  <c r="V213" i="3"/>
  <c r="AI15" i="3"/>
  <c r="AS15" i="3"/>
  <c r="AT15" i="3" s="1"/>
  <c r="AF213" i="3"/>
  <c r="AF215" i="3" s="1"/>
  <c r="V210" i="3"/>
  <c r="V215" i="3" s="1"/>
  <c r="AC213" i="3"/>
  <c r="AC215" i="3" s="1"/>
  <c r="Z266" i="2"/>
  <c r="I11" i="10"/>
  <c r="M11" i="10"/>
  <c r="Z215" i="3"/>
  <c r="X215" i="3"/>
  <c r="AB213" i="3"/>
  <c r="AB215" i="3" s="1"/>
  <c r="I11" i="7"/>
  <c r="M11" i="7"/>
  <c r="X213" i="3"/>
  <c r="T9" i="10"/>
  <c r="U9" i="10" s="1"/>
  <c r="W9" i="10" s="1"/>
  <c r="X9" i="10" s="1"/>
  <c r="Z9" i="10" s="1"/>
  <c r="AA9" i="10" s="1"/>
  <c r="AB9" i="10" s="1"/>
  <c r="AD9" i="10" s="1"/>
  <c r="AE9" i="10" s="1"/>
  <c r="AF9" i="10" s="1"/>
  <c r="AG9" i="10" s="1"/>
  <c r="AH9" i="10" s="1"/>
  <c r="I28" i="7"/>
  <c r="J26" i="7"/>
  <c r="T6" i="7"/>
  <c r="U6" i="7" s="1"/>
  <c r="W6" i="7" s="1"/>
  <c r="X6" i="7" s="1"/>
  <c r="Z6" i="7" s="1"/>
  <c r="AA6" i="7" s="1"/>
  <c r="AB6" i="7" s="1"/>
  <c r="AD6" i="7" s="1"/>
  <c r="AE6" i="7" s="1"/>
  <c r="AF6" i="7" s="1"/>
  <c r="AG6" i="7" s="1"/>
  <c r="AH6" i="7" s="1"/>
  <c r="T9" i="6"/>
  <c r="U9" i="6" s="1"/>
  <c r="W9" i="6" s="1"/>
  <c r="X9" i="6" s="1"/>
  <c r="Z9" i="6" s="1"/>
  <c r="AA9" i="6" s="1"/>
  <c r="AB9" i="6" s="1"/>
  <c r="AD9" i="6" s="1"/>
  <c r="AE9" i="6" s="1"/>
  <c r="AF9" i="6" s="1"/>
  <c r="AG9" i="6" s="1"/>
  <c r="AH9" i="6" s="1"/>
  <c r="T7" i="4"/>
  <c r="U7" i="4" s="1"/>
  <c r="W7" i="4" s="1"/>
  <c r="X7" i="4" s="1"/>
  <c r="Z7" i="4" s="1"/>
  <c r="AA7" i="4" s="1"/>
  <c r="AB7" i="4" s="1"/>
  <c r="AD7" i="4" s="1"/>
  <c r="AE7" i="4" s="1"/>
  <c r="AF7" i="4" s="1"/>
  <c r="AG7" i="4" s="1"/>
  <c r="AH7" i="4" s="1"/>
  <c r="I11" i="4"/>
  <c r="M11" i="4"/>
  <c r="H215" i="3"/>
  <c r="H218" i="3"/>
  <c r="T9" i="7"/>
  <c r="U9" i="7" s="1"/>
  <c r="W9" i="7" s="1"/>
  <c r="X9" i="7" s="1"/>
  <c r="Z9" i="7" s="1"/>
  <c r="AA9" i="7" s="1"/>
  <c r="AB9" i="7" s="1"/>
  <c r="AD9" i="7" s="1"/>
  <c r="AE9" i="7" s="1"/>
  <c r="AF9" i="7" s="1"/>
  <c r="AG9" i="7" s="1"/>
  <c r="AH9" i="7" s="1"/>
  <c r="AI180" i="3"/>
  <c r="AS180" i="3"/>
  <c r="AT180" i="3" s="1"/>
  <c r="AO50" i="3"/>
  <c r="AK53" i="3" s="1"/>
  <c r="AI53" i="3"/>
  <c r="AI40" i="3"/>
  <c r="AO40" i="3" s="1"/>
  <c r="AS40" i="3"/>
  <c r="AT40" i="3" s="1"/>
  <c r="AI48" i="3"/>
  <c r="AI11" i="3"/>
  <c r="AS11" i="3"/>
  <c r="Y213" i="3"/>
  <c r="Y215" i="3" s="1"/>
  <c r="AS252" i="2"/>
  <c r="AT249" i="2"/>
  <c r="AT252" i="2" s="1"/>
  <c r="AD266" i="2"/>
  <c r="AH172" i="2"/>
  <c r="AI172" i="2" s="1"/>
  <c r="AO172" i="2" s="1"/>
  <c r="AL193" i="2" s="1"/>
  <c r="AG195" i="2"/>
  <c r="AG262" i="2" s="1"/>
  <c r="J268" i="2"/>
  <c r="I268" i="2"/>
  <c r="AF195" i="2"/>
  <c r="AL197" i="2"/>
  <c r="AL51" i="2"/>
  <c r="AO270" i="2" s="1"/>
  <c r="AK54" i="2"/>
  <c r="T8" i="10"/>
  <c r="U8" i="10" s="1"/>
  <c r="W8" i="10" s="1"/>
  <c r="X8" i="10" s="1"/>
  <c r="Z8" i="10" s="1"/>
  <c r="AA8" i="10" s="1"/>
  <c r="AB8" i="10" s="1"/>
  <c r="AD8" i="10" s="1"/>
  <c r="AE8" i="10" s="1"/>
  <c r="AF8" i="10" s="1"/>
  <c r="AG8" i="10" s="1"/>
  <c r="AH8" i="10" s="1"/>
  <c r="T7" i="10"/>
  <c r="U7" i="10" s="1"/>
  <c r="W7" i="10" s="1"/>
  <c r="X7" i="10" s="1"/>
  <c r="Z7" i="10" s="1"/>
  <c r="AA7" i="10" s="1"/>
  <c r="AB7" i="10" s="1"/>
  <c r="AD7" i="10" s="1"/>
  <c r="AE7" i="10" s="1"/>
  <c r="AF7" i="10" s="1"/>
  <c r="AG7" i="10" s="1"/>
  <c r="AH7" i="10" s="1"/>
  <c r="M11" i="8"/>
  <c r="I11" i="8"/>
  <c r="T7" i="8"/>
  <c r="U7" i="8" s="1"/>
  <c r="W7" i="8" s="1"/>
  <c r="X7" i="8" s="1"/>
  <c r="Z7" i="8" s="1"/>
  <c r="AA7" i="8" s="1"/>
  <c r="AB7" i="8" s="1"/>
  <c r="AD7" i="8" s="1"/>
  <c r="AE7" i="8" s="1"/>
  <c r="AF7" i="8" s="1"/>
  <c r="AG7" i="8" s="1"/>
  <c r="AH7" i="8" s="1"/>
  <c r="M11" i="6"/>
  <c r="I11" i="6"/>
  <c r="J26" i="5"/>
  <c r="I28" i="5"/>
  <c r="AA6" i="5"/>
  <c r="AB6" i="5" s="1"/>
  <c r="AI175" i="3"/>
  <c r="AS175" i="3"/>
  <c r="AT175" i="3" s="1"/>
  <c r="S218" i="3"/>
  <c r="S215" i="3"/>
  <c r="AI156" i="3"/>
  <c r="AS156" i="3"/>
  <c r="AS208" i="3"/>
  <c r="AT206" i="3"/>
  <c r="AT208" i="3" s="1"/>
  <c r="J218" i="3"/>
  <c r="J215" i="3"/>
  <c r="AS53" i="3"/>
  <c r="AT50" i="3"/>
  <c r="AT53" i="3" s="1"/>
  <c r="AH47" i="3"/>
  <c r="AS25" i="3"/>
  <c r="AT25" i="3" s="1"/>
  <c r="AI25" i="3"/>
  <c r="T8" i="9"/>
  <c r="U8" i="9" s="1"/>
  <c r="W8" i="9" s="1"/>
  <c r="X8" i="9" s="1"/>
  <c r="Z8" i="9" s="1"/>
  <c r="AA8" i="9" s="1"/>
  <c r="AB8" i="9" s="1"/>
  <c r="AD8" i="9" s="1"/>
  <c r="AE8" i="9" s="1"/>
  <c r="AF8" i="9" s="1"/>
  <c r="AG8" i="9" s="1"/>
  <c r="AH8" i="9" s="1"/>
  <c r="T7" i="7"/>
  <c r="U7" i="7" s="1"/>
  <c r="W7" i="7" s="1"/>
  <c r="X7" i="7" s="1"/>
  <c r="Z7" i="7" s="1"/>
  <c r="AA7" i="7" s="1"/>
  <c r="AB7" i="7" s="1"/>
  <c r="AD7" i="7" s="1"/>
  <c r="AE7" i="7" s="1"/>
  <c r="AF7" i="7" s="1"/>
  <c r="AG7" i="7" s="1"/>
  <c r="AH7" i="7" s="1"/>
  <c r="Q215" i="3"/>
  <c r="Q218" i="3"/>
  <c r="O218" i="3"/>
  <c r="O215" i="3"/>
  <c r="AD9" i="9"/>
  <c r="AE9" i="9" s="1"/>
  <c r="AF9" i="9" s="1"/>
  <c r="AG9" i="9" s="1"/>
  <c r="AH9" i="9" s="1"/>
  <c r="I28" i="9"/>
  <c r="J26" i="9"/>
  <c r="T7" i="9"/>
  <c r="U7" i="9" s="1"/>
  <c r="W7" i="9" s="1"/>
  <c r="X7" i="9" s="1"/>
  <c r="Z7" i="9" s="1"/>
  <c r="AA7" i="9" s="1"/>
  <c r="AB7" i="9" s="1"/>
  <c r="AD7" i="9" s="1"/>
  <c r="AE7" i="9" s="1"/>
  <c r="AF7" i="9" s="1"/>
  <c r="AG7" i="9" s="1"/>
  <c r="AH7" i="9" s="1"/>
  <c r="AA6" i="9"/>
  <c r="AB6" i="9" s="1"/>
  <c r="AD6" i="9" s="1"/>
  <c r="AE6" i="9" s="1"/>
  <c r="AF6" i="9" s="1"/>
  <c r="AG6" i="9" s="1"/>
  <c r="AH6" i="9" s="1"/>
  <c r="T9" i="5"/>
  <c r="U9" i="5"/>
  <c r="W9" i="5" s="1"/>
  <c r="X9" i="5" s="1"/>
  <c r="Z9" i="5" s="1"/>
  <c r="AA9" i="5" s="1"/>
  <c r="AB9" i="5" s="1"/>
  <c r="AD9" i="5" s="1"/>
  <c r="AE9" i="5" s="1"/>
  <c r="AF9" i="5" s="1"/>
  <c r="AG9" i="5" s="1"/>
  <c r="AH9" i="5" s="1"/>
  <c r="J26" i="6"/>
  <c r="I28" i="6"/>
  <c r="T6" i="6"/>
  <c r="U6" i="6" s="1"/>
  <c r="W6" i="6" s="1"/>
  <c r="X6" i="6" s="1"/>
  <c r="Z6" i="6" s="1"/>
  <c r="AA6" i="6" s="1"/>
  <c r="AB6" i="6" s="1"/>
  <c r="AD6" i="6" s="1"/>
  <c r="AE6" i="6" s="1"/>
  <c r="AF6" i="6" s="1"/>
  <c r="AG6" i="6" s="1"/>
  <c r="AH6" i="6" s="1"/>
  <c r="T8" i="4"/>
  <c r="U8" i="4" s="1"/>
  <c r="W8" i="4" s="1"/>
  <c r="X8" i="4" s="1"/>
  <c r="Z8" i="4" s="1"/>
  <c r="AA8" i="4" s="1"/>
  <c r="AB8" i="4" s="1"/>
  <c r="AD8" i="4" s="1"/>
  <c r="AE8" i="4" s="1"/>
  <c r="AF8" i="4" s="1"/>
  <c r="AG8" i="4" s="1"/>
  <c r="AH8" i="4" s="1"/>
  <c r="AD6" i="5"/>
  <c r="AE6" i="5" s="1"/>
  <c r="AF6" i="5" s="1"/>
  <c r="AG6" i="5" s="1"/>
  <c r="AH6" i="5" s="1"/>
  <c r="AD7" i="5"/>
  <c r="AE7" i="5" s="1"/>
  <c r="AF7" i="5" s="1"/>
  <c r="AG7" i="5" s="1"/>
  <c r="AH7" i="5" s="1"/>
  <c r="I11" i="5"/>
  <c r="M11" i="5"/>
  <c r="I28" i="4"/>
  <c r="J26" i="4"/>
  <c r="M215" i="3"/>
  <c r="M218" i="3"/>
  <c r="P215" i="3"/>
  <c r="P218" i="3"/>
  <c r="K218" i="3"/>
  <c r="K215" i="3"/>
  <c r="R218" i="3"/>
  <c r="R215" i="3"/>
  <c r="AK197" i="3"/>
  <c r="AH61" i="3"/>
  <c r="AI56" i="3"/>
  <c r="AS56" i="3"/>
  <c r="AI39" i="3"/>
  <c r="AO39" i="3" s="1"/>
  <c r="AS39" i="3"/>
  <c r="AT39" i="3" s="1"/>
  <c r="AH202" i="2"/>
  <c r="AI199" i="2"/>
  <c r="AH198" i="2"/>
  <c r="AI198" i="2" s="1"/>
  <c r="AT66" i="3"/>
  <c r="AT153" i="3" s="1"/>
  <c r="AS153" i="3"/>
  <c r="AI33" i="3"/>
  <c r="AO33" i="3" s="1"/>
  <c r="AS33" i="3"/>
  <c r="AT33" i="3" s="1"/>
  <c r="AI10" i="2"/>
  <c r="AH52" i="2"/>
  <c r="AH68" i="2"/>
  <c r="AI62" i="2"/>
  <c r="R266" i="2"/>
  <c r="V195" i="2"/>
  <c r="V264" i="2" s="1"/>
  <c r="AH73" i="2"/>
  <c r="AI52" i="2"/>
  <c r="AI195" i="2"/>
  <c r="AI53" i="2"/>
  <c r="AD9" i="8"/>
  <c r="AE9" i="8" s="1"/>
  <c r="AF9" i="8" s="1"/>
  <c r="AG9" i="8" s="1"/>
  <c r="AH9" i="8" s="1"/>
  <c r="I28" i="8"/>
  <c r="J26" i="8"/>
  <c r="T6" i="8"/>
  <c r="U6" i="8" s="1"/>
  <c r="W6" i="8" s="1"/>
  <c r="X6" i="8" s="1"/>
  <c r="Z6" i="8" s="1"/>
  <c r="AA6" i="8" s="1"/>
  <c r="AB6" i="8" s="1"/>
  <c r="AD6" i="8" s="1"/>
  <c r="AE6" i="8" s="1"/>
  <c r="AF6" i="8" s="1"/>
  <c r="AG6" i="8" s="1"/>
  <c r="AH6" i="8" s="1"/>
  <c r="T8" i="8"/>
  <c r="U8" i="8"/>
  <c r="W8" i="8" s="1"/>
  <c r="X8" i="8" s="1"/>
  <c r="Z8" i="8" s="1"/>
  <c r="AA8" i="8" s="1"/>
  <c r="AB8" i="8" s="1"/>
  <c r="AD8" i="8" s="1"/>
  <c r="AE8" i="8" s="1"/>
  <c r="AF8" i="8" s="1"/>
  <c r="AG8" i="8" s="1"/>
  <c r="AH8" i="8" s="1"/>
  <c r="T8" i="5"/>
  <c r="U8" i="5" s="1"/>
  <c r="W8" i="5" s="1"/>
  <c r="X8" i="5" s="1"/>
  <c r="Z8" i="5" s="1"/>
  <c r="AA8" i="5" s="1"/>
  <c r="AB8" i="5" s="1"/>
  <c r="AD8" i="5" s="1"/>
  <c r="AE8" i="5" s="1"/>
  <c r="AF8" i="5" s="1"/>
  <c r="AG8" i="5" s="1"/>
  <c r="AH8" i="5" s="1"/>
  <c r="T8" i="6"/>
  <c r="U8" i="6" s="1"/>
  <c r="W8" i="6" s="1"/>
  <c r="X8" i="6" s="1"/>
  <c r="Z8" i="6" s="1"/>
  <c r="AA8" i="6" s="1"/>
  <c r="AB8" i="6" s="1"/>
  <c r="AD8" i="6" s="1"/>
  <c r="AE8" i="6" s="1"/>
  <c r="AF8" i="6" s="1"/>
  <c r="AG8" i="6" s="1"/>
  <c r="AH8" i="6" s="1"/>
  <c r="T7" i="6"/>
  <c r="U7" i="6"/>
  <c r="W7" i="6" s="1"/>
  <c r="X7" i="6" s="1"/>
  <c r="Z7" i="6" s="1"/>
  <c r="AA7" i="6" s="1"/>
  <c r="AB7" i="6" s="1"/>
  <c r="AD7" i="6" s="1"/>
  <c r="AE7" i="6" s="1"/>
  <c r="AF7" i="6" s="1"/>
  <c r="AG7" i="6" s="1"/>
  <c r="AH7" i="6" s="1"/>
  <c r="T9" i="4"/>
  <c r="U9" i="4" s="1"/>
  <c r="W9" i="4" s="1"/>
  <c r="X9" i="4" s="1"/>
  <c r="Z9" i="4" s="1"/>
  <c r="AA9" i="4" s="1"/>
  <c r="AB9" i="4" s="1"/>
  <c r="AD9" i="4" s="1"/>
  <c r="AE9" i="4" s="1"/>
  <c r="AF9" i="4" s="1"/>
  <c r="AG9" i="4" s="1"/>
  <c r="AH9" i="4" s="1"/>
  <c r="AD6" i="4"/>
  <c r="AE6" i="4" s="1"/>
  <c r="AF6" i="4" s="1"/>
  <c r="AG6" i="4" s="1"/>
  <c r="AH6" i="4" s="1"/>
  <c r="AD215" i="3"/>
  <c r="I215" i="3"/>
  <c r="I218" i="3"/>
  <c r="AS179" i="3"/>
  <c r="AT179" i="3" s="1"/>
  <c r="AI179" i="3"/>
  <c r="L215" i="3"/>
  <c r="L218" i="3"/>
  <c r="AH157" i="3"/>
  <c r="AT201" i="3"/>
  <c r="AT203" i="3" s="1"/>
  <c r="AS203" i="3"/>
  <c r="AI198" i="3"/>
  <c r="N218" i="3"/>
  <c r="N215" i="3"/>
  <c r="AI38" i="3"/>
  <c r="AO38" i="3" s="1"/>
  <c r="AS38" i="3"/>
  <c r="AT38" i="3" s="1"/>
  <c r="W213" i="3"/>
  <c r="W215" i="3" s="1"/>
  <c r="AK153" i="3"/>
  <c r="AI153" i="3"/>
  <c r="AO67" i="3"/>
  <c r="AK152" i="3" s="1"/>
  <c r="AS27" i="3"/>
  <c r="AT27" i="3" s="1"/>
  <c r="AI27" i="3"/>
  <c r="AO27" i="3" s="1"/>
  <c r="AI32" i="3"/>
  <c r="AO32" i="3" s="1"/>
  <c r="AS32" i="3"/>
  <c r="AT32" i="3" s="1"/>
  <c r="V262" i="2"/>
  <c r="AA266" i="2"/>
  <c r="AH61" i="2"/>
  <c r="AI61" i="2" s="1"/>
  <c r="R268" i="2"/>
  <c r="N266" i="2"/>
  <c r="Q268" i="2"/>
  <c r="AC195" i="2"/>
  <c r="AC262" i="2" s="1"/>
  <c r="AI55" i="2"/>
  <c r="AH58" i="2"/>
  <c r="AL47" i="2"/>
  <c r="I28" i="10"/>
  <c r="J26" i="10"/>
  <c r="T6" i="10"/>
  <c r="U6" i="10" s="1"/>
  <c r="W6" i="10" s="1"/>
  <c r="X6" i="10" s="1"/>
  <c r="Z6" i="10" s="1"/>
  <c r="AA6" i="10" s="1"/>
  <c r="AB6" i="10" s="1"/>
  <c r="AD6" i="10" s="1"/>
  <c r="AE6" i="10" s="1"/>
  <c r="AF6" i="10" s="1"/>
  <c r="AG6" i="10" s="1"/>
  <c r="AH6" i="10" s="1"/>
  <c r="M11" i="9"/>
  <c r="I11" i="9"/>
  <c r="T8" i="7"/>
  <c r="U8" i="7" s="1"/>
  <c r="W8" i="7" s="1"/>
  <c r="X8" i="7" s="1"/>
  <c r="Z8" i="7" s="1"/>
  <c r="AA8" i="7" s="1"/>
  <c r="AB8" i="7" s="1"/>
  <c r="AD8" i="7" s="1"/>
  <c r="AE8" i="7" s="1"/>
  <c r="AF8" i="7" s="1"/>
  <c r="AG8" i="7" s="1"/>
  <c r="AH8" i="7" s="1"/>
  <c r="AS198" i="3"/>
  <c r="AT164" i="3"/>
  <c r="AT198" i="3" s="1"/>
  <c r="W266" i="2"/>
  <c r="T266" i="2"/>
  <c r="N268" i="2"/>
  <c r="J266" i="2"/>
  <c r="M268" i="2"/>
  <c r="P268" i="2" l="1"/>
  <c r="L268" i="2"/>
  <c r="K268" i="2"/>
  <c r="O268" i="2"/>
  <c r="S268" i="2"/>
  <c r="AS61" i="3"/>
  <c r="AT56" i="3"/>
  <c r="AT61" i="3" s="1"/>
  <c r="AF262" i="2"/>
  <c r="AF264" i="2"/>
  <c r="AI68" i="2"/>
  <c r="AO62" i="2"/>
  <c r="AK68" i="2" s="1"/>
  <c r="AI61" i="3"/>
  <c r="AO56" i="3"/>
  <c r="AK61" i="3" s="1"/>
  <c r="AI47" i="3"/>
  <c r="AO25" i="3"/>
  <c r="AS47" i="3"/>
  <c r="AT11" i="3"/>
  <c r="AT47" i="3" s="1"/>
  <c r="AO199" i="2"/>
  <c r="AK202" i="2" s="1"/>
  <c r="AI202" i="2"/>
  <c r="V266" i="2"/>
  <c r="AI157" i="3"/>
  <c r="AO157" i="3" s="1"/>
  <c r="AS157" i="3"/>
  <c r="AT157" i="3" s="1"/>
  <c r="AH195" i="2"/>
  <c r="AI73" i="2"/>
  <c r="AS159" i="3"/>
  <c r="AS210" i="3" s="1"/>
  <c r="AT156" i="3"/>
  <c r="AT159" i="3" s="1"/>
  <c r="AT210" i="3" s="1"/>
  <c r="AG264" i="2"/>
  <c r="AG266" i="2" s="1"/>
  <c r="AI58" i="2"/>
  <c r="AO55" i="2"/>
  <c r="AH159" i="3"/>
  <c r="AH210" i="3" s="1"/>
  <c r="AC264" i="2"/>
  <c r="AC266" i="2" s="1"/>
  <c r="AI262" i="2" l="1"/>
  <c r="AF266" i="2"/>
  <c r="AK58" i="2"/>
  <c r="AO269" i="2"/>
  <c r="AO271" i="2" s="1"/>
  <c r="AI159" i="3"/>
  <c r="AI210" i="3" s="1"/>
  <c r="AH215" i="3"/>
  <c r="AH262" i="2"/>
  <c r="AH264" i="2"/>
  <c r="AO215" i="3"/>
  <c r="AO217" i="3" s="1"/>
  <c r="AL47" i="3"/>
  <c r="AH213" i="3"/>
  <c r="AI213" i="3" l="1"/>
  <c r="AI215" i="3" s="1"/>
  <c r="AH266" i="2"/>
  <c r="BD10" i="3" l="1"/>
  <c r="BA2" i="3" l="1"/>
  <c r="BC2" i="3"/>
  <c r="BE2" i="3"/>
  <c r="BF2" i="3"/>
  <c r="BA3" i="3"/>
  <c r="BC3" i="3"/>
  <c r="BE3" i="3"/>
  <c r="BF3" i="3"/>
  <c r="BA4" i="3"/>
  <c r="BC4" i="3"/>
  <c r="BE4" i="3"/>
  <c r="BF4" i="3"/>
  <c r="BC7" i="3"/>
  <c r="BD7" i="3"/>
  <c r="BE7" i="3"/>
  <c r="BC8" i="3"/>
  <c r="BD8" i="3"/>
  <c r="BE8" i="3"/>
  <c r="BC9" i="3"/>
  <c r="BD9" i="3"/>
  <c r="BE9" i="3"/>
  <c r="AW10" i="3"/>
  <c r="AX10" i="3"/>
  <c r="AY10" i="3"/>
  <c r="BC10" i="3"/>
  <c r="BE10" i="3"/>
  <c r="AW11" i="3"/>
  <c r="AX11" i="3"/>
  <c r="AY11" i="3"/>
  <c r="AW12" i="3"/>
  <c r="AX12" i="3"/>
  <c r="AY12" i="3"/>
  <c r="AZ12" i="3"/>
  <c r="BA12" i="3"/>
  <c r="AW13" i="3"/>
  <c r="AX13" i="3"/>
  <c r="AY13" i="3"/>
  <c r="AZ13" i="3"/>
  <c r="BA13" i="3"/>
  <c r="AW14" i="3"/>
  <c r="AX14" i="3"/>
  <c r="AY14" i="3"/>
  <c r="AZ14" i="3"/>
  <c r="BA14" i="3"/>
  <c r="AW15" i="3"/>
  <c r="AX15" i="3"/>
  <c r="AY15" i="3"/>
  <c r="AZ15" i="3"/>
  <c r="BA15" i="3"/>
  <c r="AW16" i="3"/>
  <c r="AX16" i="3"/>
  <c r="AY16" i="3"/>
  <c r="AZ16" i="3"/>
  <c r="BA16" i="3"/>
  <c r="AW17" i="3"/>
  <c r="AX17" i="3"/>
  <c r="AY17" i="3"/>
  <c r="AZ17" i="3"/>
  <c r="BA17" i="3"/>
  <c r="AW18" i="3"/>
  <c r="AX18" i="3"/>
  <c r="AY18" i="3"/>
  <c r="AZ18" i="3"/>
  <c r="BA18" i="3"/>
  <c r="AW19" i="3"/>
  <c r="AX19" i="3"/>
  <c r="AY19" i="3"/>
  <c r="AZ19" i="3"/>
  <c r="BA19" i="3"/>
  <c r="AW20" i="3"/>
  <c r="AX20" i="3"/>
  <c r="AY20" i="3"/>
  <c r="AZ20" i="3"/>
  <c r="BA20" i="3"/>
  <c r="AW21" i="3"/>
  <c r="AX21" i="3"/>
  <c r="AY21" i="3"/>
  <c r="AZ21" i="3"/>
  <c r="BA21" i="3"/>
  <c r="AW22" i="3"/>
  <c r="AX22" i="3"/>
  <c r="AY22" i="3"/>
  <c r="AZ22" i="3"/>
  <c r="BA22" i="3"/>
  <c r="AW23" i="3"/>
  <c r="AX23" i="3"/>
  <c r="AY23" i="3"/>
  <c r="AZ23" i="3"/>
  <c r="BA23" i="3"/>
  <c r="AW24" i="3"/>
  <c r="AX24" i="3"/>
  <c r="AY24" i="3"/>
  <c r="AZ24" i="3"/>
  <c r="BA24" i="3"/>
  <c r="AW25" i="3"/>
  <c r="AX25" i="3"/>
  <c r="AY25" i="3"/>
  <c r="AZ25" i="3"/>
  <c r="BA25" i="3"/>
  <c r="AW26" i="3"/>
  <c r="AX26" i="3"/>
  <c r="AY26" i="3"/>
  <c r="AZ26" i="3"/>
  <c r="BA26" i="3"/>
  <c r="AW27" i="3"/>
  <c r="AX27" i="3"/>
  <c r="AY27" i="3"/>
  <c r="AZ27" i="3"/>
  <c r="BA27" i="3"/>
  <c r="AW28" i="3"/>
  <c r="AX28" i="3"/>
  <c r="AY28" i="3"/>
  <c r="AZ28" i="3"/>
  <c r="BA28" i="3"/>
  <c r="AW29" i="3"/>
  <c r="AX29" i="3"/>
  <c r="AY29" i="3"/>
  <c r="AZ29" i="3"/>
  <c r="BA29" i="3"/>
  <c r="AW30" i="3"/>
  <c r="AX30" i="3"/>
  <c r="AY30" i="3"/>
  <c r="AZ30" i="3"/>
  <c r="BA30" i="3"/>
  <c r="AW31" i="3"/>
  <c r="AX31" i="3"/>
  <c r="AY31" i="3"/>
  <c r="AZ31" i="3"/>
  <c r="BA31" i="3"/>
  <c r="AW32" i="3"/>
  <c r="AX32" i="3"/>
  <c r="AY32" i="3"/>
  <c r="AZ32" i="3"/>
  <c r="BA32" i="3"/>
  <c r="AW33" i="3"/>
  <c r="AX33" i="3"/>
  <c r="AY33" i="3"/>
  <c r="AZ33" i="3"/>
  <c r="BA33" i="3"/>
  <c r="AW34" i="3"/>
  <c r="AX34" i="3"/>
  <c r="AY34" i="3"/>
  <c r="AZ34" i="3"/>
  <c r="BA34" i="3"/>
  <c r="AW35" i="3"/>
  <c r="AX35" i="3"/>
  <c r="AY35" i="3"/>
  <c r="AZ35" i="3"/>
  <c r="BA35" i="3"/>
  <c r="AW36" i="3"/>
  <c r="AX36" i="3"/>
  <c r="AY36" i="3"/>
  <c r="AZ36" i="3"/>
  <c r="BA36" i="3"/>
  <c r="AW37" i="3"/>
  <c r="AX37" i="3"/>
  <c r="AY37" i="3"/>
  <c r="AZ37" i="3"/>
  <c r="BA37" i="3"/>
  <c r="AW38" i="3"/>
  <c r="AX38" i="3"/>
  <c r="AY38" i="3"/>
  <c r="AZ38" i="3"/>
  <c r="BA38" i="3"/>
  <c r="AW39" i="3"/>
  <c r="AX39" i="3"/>
  <c r="AY39" i="3"/>
  <c r="AZ39" i="3"/>
  <c r="BA39" i="3"/>
  <c r="AW40" i="3"/>
  <c r="AX40" i="3"/>
  <c r="AY40" i="3"/>
  <c r="AZ40" i="3"/>
  <c r="BA40" i="3"/>
  <c r="AW41" i="3"/>
  <c r="AX41" i="3"/>
  <c r="AY41" i="3"/>
  <c r="AZ41" i="3"/>
  <c r="BA41" i="3"/>
  <c r="AW42" i="3"/>
  <c r="AX42" i="3"/>
  <c r="AY42" i="3"/>
  <c r="AZ42" i="3"/>
  <c r="BA42" i="3"/>
  <c r="AW43" i="3"/>
  <c r="AX43" i="3"/>
  <c r="AY43" i="3"/>
  <c r="AZ43" i="3"/>
  <c r="BA43" i="3"/>
  <c r="AW44" i="3"/>
  <c r="AX44" i="3"/>
  <c r="AY44" i="3"/>
  <c r="AZ44" i="3"/>
  <c r="BA44" i="3"/>
  <c r="AW45" i="3"/>
  <c r="AX45" i="3"/>
  <c r="AY45" i="3"/>
  <c r="AZ45" i="3"/>
  <c r="BA45" i="3"/>
  <c r="AW46" i="3"/>
  <c r="AX46" i="3"/>
  <c r="AY46" i="3"/>
  <c r="AZ46" i="3"/>
  <c r="BA46" i="3"/>
  <c r="AX47" i="3"/>
  <c r="AY47" i="3"/>
  <c r="AZ47" i="3"/>
  <c r="BA47" i="3"/>
  <c r="AW50" i="3"/>
  <c r="AX50" i="3"/>
  <c r="AY50" i="3"/>
  <c r="AZ50" i="3"/>
  <c r="BA50" i="3"/>
  <c r="AW51" i="3"/>
  <c r="AX51" i="3"/>
  <c r="AY51" i="3"/>
  <c r="AZ51" i="3"/>
  <c r="BA51" i="3"/>
  <c r="AX53" i="3"/>
  <c r="AY53" i="3"/>
  <c r="AZ53" i="3"/>
  <c r="BA53" i="3"/>
  <c r="AW56" i="3"/>
  <c r="AX56" i="3"/>
  <c r="AY56" i="3"/>
  <c r="AZ56" i="3"/>
  <c r="BA56" i="3"/>
  <c r="AW57" i="3"/>
  <c r="AX57" i="3"/>
  <c r="AY57" i="3"/>
  <c r="AZ57" i="3"/>
  <c r="BA57" i="3"/>
  <c r="AW58" i="3"/>
  <c r="AX58" i="3"/>
  <c r="AY58" i="3"/>
  <c r="AZ58" i="3"/>
  <c r="BA58" i="3"/>
  <c r="AW59" i="3"/>
  <c r="AX59" i="3"/>
  <c r="AY59" i="3"/>
  <c r="AZ59" i="3"/>
  <c r="BA59" i="3"/>
  <c r="AW60" i="3"/>
  <c r="AX60" i="3"/>
  <c r="AY60" i="3"/>
  <c r="AZ60" i="3"/>
  <c r="BA60" i="3"/>
  <c r="AX61" i="3"/>
  <c r="AY61" i="3"/>
  <c r="AZ61" i="3"/>
  <c r="BA61" i="3"/>
  <c r="AW66" i="3"/>
  <c r="AX66" i="3"/>
  <c r="AY66" i="3"/>
  <c r="AZ66" i="3"/>
  <c r="BA66" i="3"/>
  <c r="AW67" i="3"/>
  <c r="AX67" i="3"/>
  <c r="AY67" i="3"/>
  <c r="AZ67" i="3"/>
  <c r="BA67" i="3"/>
  <c r="AW68" i="3"/>
  <c r="AX68" i="3"/>
  <c r="AY68" i="3"/>
  <c r="AZ68" i="3"/>
  <c r="BA68" i="3"/>
  <c r="AW69" i="3"/>
  <c r="AX69" i="3"/>
  <c r="AY69" i="3"/>
  <c r="AZ69" i="3"/>
  <c r="BA69" i="3"/>
  <c r="AW70" i="3"/>
  <c r="AX70" i="3"/>
  <c r="AY70" i="3"/>
  <c r="AZ70" i="3"/>
  <c r="BA70" i="3"/>
  <c r="AW71" i="3"/>
  <c r="AX71" i="3"/>
  <c r="AY71" i="3"/>
  <c r="AZ71" i="3"/>
  <c r="BA71" i="3"/>
  <c r="AW72" i="3"/>
  <c r="AX72" i="3"/>
  <c r="AY72" i="3"/>
  <c r="AZ72" i="3"/>
  <c r="BA72" i="3"/>
  <c r="AW73" i="3"/>
  <c r="AX73" i="3"/>
  <c r="AY73" i="3"/>
  <c r="AZ73" i="3"/>
  <c r="BA73" i="3"/>
  <c r="AW74" i="3"/>
  <c r="AX74" i="3"/>
  <c r="AY74" i="3"/>
  <c r="AZ74" i="3"/>
  <c r="BA74" i="3"/>
  <c r="AW75" i="3"/>
  <c r="AX75" i="3"/>
  <c r="AY75" i="3"/>
  <c r="AZ75" i="3"/>
  <c r="BA75" i="3"/>
  <c r="AW76" i="3"/>
  <c r="AX76" i="3"/>
  <c r="AY76" i="3"/>
  <c r="AZ76" i="3"/>
  <c r="BA76" i="3"/>
  <c r="AW77" i="3"/>
  <c r="AX77" i="3"/>
  <c r="AY77" i="3"/>
  <c r="AZ77" i="3"/>
  <c r="BA77" i="3"/>
  <c r="AW78" i="3"/>
  <c r="AX78" i="3"/>
  <c r="AY78" i="3"/>
  <c r="AZ78" i="3"/>
  <c r="BA78" i="3"/>
  <c r="AW79" i="3"/>
  <c r="AX79" i="3"/>
  <c r="AY79" i="3"/>
  <c r="AZ79" i="3"/>
  <c r="BA79" i="3"/>
  <c r="AW80" i="3"/>
  <c r="AX80" i="3"/>
  <c r="AY80" i="3"/>
  <c r="AZ80" i="3"/>
  <c r="BA80" i="3"/>
  <c r="AW81" i="3"/>
  <c r="AX81" i="3"/>
  <c r="AY81" i="3"/>
  <c r="AZ81" i="3"/>
  <c r="BA81" i="3"/>
  <c r="AW82" i="3"/>
  <c r="AX82" i="3"/>
  <c r="AY82" i="3"/>
  <c r="AZ82" i="3"/>
  <c r="BA82" i="3"/>
  <c r="AW83" i="3"/>
  <c r="AX83" i="3"/>
  <c r="AY83" i="3"/>
  <c r="AZ83" i="3"/>
  <c r="BA83" i="3"/>
  <c r="AW84" i="3"/>
  <c r="AX84" i="3"/>
  <c r="AY84" i="3"/>
  <c r="AZ84" i="3"/>
  <c r="BA84" i="3"/>
  <c r="AW85" i="3"/>
  <c r="AX85" i="3"/>
  <c r="AY85" i="3"/>
  <c r="AZ85" i="3"/>
  <c r="BA85" i="3"/>
  <c r="AW86" i="3"/>
  <c r="AX86" i="3"/>
  <c r="AY86" i="3"/>
  <c r="AZ86" i="3"/>
  <c r="BA86" i="3"/>
  <c r="AW87" i="3"/>
  <c r="AX87" i="3"/>
  <c r="AY87" i="3"/>
  <c r="AZ87" i="3"/>
  <c r="BA87" i="3"/>
  <c r="AW88" i="3"/>
  <c r="AX88" i="3"/>
  <c r="AY88" i="3"/>
  <c r="AZ88" i="3"/>
  <c r="BA88" i="3"/>
  <c r="AW89" i="3"/>
  <c r="AX89" i="3"/>
  <c r="AY89" i="3"/>
  <c r="AZ89" i="3"/>
  <c r="BA89" i="3"/>
  <c r="AW90" i="3"/>
  <c r="AX90" i="3"/>
  <c r="AY90" i="3"/>
  <c r="AZ90" i="3"/>
  <c r="BA90" i="3"/>
  <c r="AW91" i="3"/>
  <c r="AX91" i="3"/>
  <c r="AY91" i="3"/>
  <c r="AZ91" i="3"/>
  <c r="BA91" i="3"/>
  <c r="AW92" i="3"/>
  <c r="AX92" i="3"/>
  <c r="AY92" i="3"/>
  <c r="AZ92" i="3"/>
  <c r="BA92" i="3"/>
  <c r="AW93" i="3"/>
  <c r="AX93" i="3"/>
  <c r="AY93" i="3"/>
  <c r="AZ93" i="3"/>
  <c r="BA93" i="3"/>
  <c r="AW94" i="3"/>
  <c r="AX94" i="3"/>
  <c r="AY94" i="3"/>
  <c r="AZ94" i="3"/>
  <c r="BA94" i="3"/>
  <c r="AW95" i="3"/>
  <c r="AX95" i="3"/>
  <c r="AY95" i="3"/>
  <c r="AZ95" i="3"/>
  <c r="BA95" i="3"/>
  <c r="AW96" i="3"/>
  <c r="AX96" i="3"/>
  <c r="AY96" i="3"/>
  <c r="AZ96" i="3"/>
  <c r="BA96" i="3"/>
  <c r="AW97" i="3"/>
  <c r="AX97" i="3"/>
  <c r="AY97" i="3"/>
  <c r="AZ97" i="3"/>
  <c r="BA97" i="3"/>
  <c r="AW98" i="3"/>
  <c r="AX98" i="3"/>
  <c r="AY98" i="3"/>
  <c r="AZ98" i="3"/>
  <c r="BA98" i="3"/>
  <c r="AW99" i="3"/>
  <c r="AX99" i="3"/>
  <c r="AY99" i="3"/>
  <c r="AZ99" i="3"/>
  <c r="BA99" i="3"/>
  <c r="AW100" i="3"/>
  <c r="AX100" i="3"/>
  <c r="AY100" i="3"/>
  <c r="AZ100" i="3"/>
  <c r="BA100" i="3"/>
  <c r="AW101" i="3"/>
  <c r="AX101" i="3"/>
  <c r="AY101" i="3"/>
  <c r="AZ101" i="3"/>
  <c r="BA101" i="3"/>
  <c r="AW102" i="3"/>
  <c r="AX102" i="3"/>
  <c r="AY102" i="3"/>
  <c r="AZ102" i="3"/>
  <c r="BA102" i="3"/>
  <c r="AW103" i="3"/>
  <c r="AX103" i="3"/>
  <c r="AY103" i="3"/>
  <c r="AZ103" i="3"/>
  <c r="BA103" i="3"/>
  <c r="AW104" i="3"/>
  <c r="AX104" i="3"/>
  <c r="AY104" i="3"/>
  <c r="AZ104" i="3"/>
  <c r="BA104" i="3"/>
  <c r="AW105" i="3"/>
  <c r="AX105" i="3"/>
  <c r="AY105" i="3"/>
  <c r="AZ105" i="3"/>
  <c r="BA105" i="3"/>
  <c r="AW106" i="3"/>
  <c r="AX106" i="3"/>
  <c r="AY106" i="3"/>
  <c r="AZ106" i="3"/>
  <c r="BA106" i="3"/>
  <c r="AW107" i="3"/>
  <c r="AX107" i="3"/>
  <c r="AY107" i="3"/>
  <c r="AZ107" i="3"/>
  <c r="BA107" i="3"/>
  <c r="AW108" i="3"/>
  <c r="AX108" i="3"/>
  <c r="AY108" i="3"/>
  <c r="AZ108" i="3"/>
  <c r="BA108" i="3"/>
  <c r="AW109" i="3"/>
  <c r="AX109" i="3"/>
  <c r="AY109" i="3"/>
  <c r="AZ109" i="3"/>
  <c r="BA109" i="3"/>
  <c r="AW110" i="3"/>
  <c r="AX110" i="3"/>
  <c r="AY110" i="3"/>
  <c r="AZ110" i="3"/>
  <c r="BA110" i="3"/>
  <c r="AW111" i="3"/>
  <c r="AX111" i="3"/>
  <c r="AY111" i="3"/>
  <c r="AZ111" i="3"/>
  <c r="BA111" i="3"/>
  <c r="AW112" i="3"/>
  <c r="AX112" i="3"/>
  <c r="AY112" i="3"/>
  <c r="AZ112" i="3"/>
  <c r="BA112" i="3"/>
  <c r="AW113" i="3"/>
  <c r="AX113" i="3"/>
  <c r="AY113" i="3"/>
  <c r="AZ113" i="3"/>
  <c r="BA113" i="3"/>
  <c r="AW114" i="3"/>
  <c r="AX114" i="3"/>
  <c r="AY114" i="3"/>
  <c r="AZ114" i="3"/>
  <c r="BA114" i="3"/>
  <c r="AW115" i="3"/>
  <c r="AX115" i="3"/>
  <c r="AY115" i="3"/>
  <c r="AZ115" i="3"/>
  <c r="BA115" i="3"/>
  <c r="AW116" i="3"/>
  <c r="AX116" i="3"/>
  <c r="AY116" i="3"/>
  <c r="AZ116" i="3"/>
  <c r="BA116" i="3"/>
  <c r="AW117" i="3"/>
  <c r="AX117" i="3"/>
  <c r="AY117" i="3"/>
  <c r="AZ117" i="3"/>
  <c r="BA117" i="3"/>
  <c r="AW118" i="3"/>
  <c r="AX118" i="3"/>
  <c r="AY118" i="3"/>
  <c r="AZ118" i="3"/>
  <c r="BA118" i="3"/>
  <c r="AW119" i="3"/>
  <c r="AX119" i="3"/>
  <c r="AY119" i="3"/>
  <c r="AZ119" i="3"/>
  <c r="BA119" i="3"/>
  <c r="AW120" i="3"/>
  <c r="AX120" i="3"/>
  <c r="AY120" i="3"/>
  <c r="AZ120" i="3"/>
  <c r="BA120" i="3"/>
  <c r="AW121" i="3"/>
  <c r="AX121" i="3"/>
  <c r="AY121" i="3"/>
  <c r="AZ121" i="3"/>
  <c r="BA121" i="3"/>
  <c r="AW122" i="3"/>
  <c r="AX122" i="3"/>
  <c r="AY122" i="3"/>
  <c r="AZ122" i="3"/>
  <c r="BA122" i="3"/>
  <c r="AW123" i="3"/>
  <c r="AX123" i="3"/>
  <c r="AY123" i="3"/>
  <c r="AZ123" i="3"/>
  <c r="BA123" i="3"/>
  <c r="AW124" i="3"/>
  <c r="AX124" i="3"/>
  <c r="AY124" i="3"/>
  <c r="AZ124" i="3"/>
  <c r="BA124" i="3"/>
  <c r="AW125" i="3"/>
  <c r="AX125" i="3"/>
  <c r="AY125" i="3"/>
  <c r="AZ125" i="3"/>
  <c r="BA125" i="3"/>
  <c r="AW126" i="3"/>
  <c r="AX126" i="3"/>
  <c r="AY126" i="3"/>
  <c r="AZ126" i="3"/>
  <c r="BA126" i="3"/>
  <c r="AW127" i="3"/>
  <c r="AX127" i="3"/>
  <c r="AY127" i="3"/>
  <c r="AZ127" i="3"/>
  <c r="BA127" i="3"/>
  <c r="AW128" i="3"/>
  <c r="AX128" i="3"/>
  <c r="AY128" i="3"/>
  <c r="AZ128" i="3"/>
  <c r="BA128" i="3"/>
  <c r="AW129" i="3"/>
  <c r="AX129" i="3"/>
  <c r="AY129" i="3"/>
  <c r="AZ129" i="3"/>
  <c r="BA129" i="3"/>
  <c r="AW130" i="3"/>
  <c r="AX130" i="3"/>
  <c r="AY130" i="3"/>
  <c r="AZ130" i="3"/>
  <c r="BA130" i="3"/>
  <c r="AW131" i="3"/>
  <c r="AX131" i="3"/>
  <c r="AY131" i="3"/>
  <c r="AZ131" i="3"/>
  <c r="BA131" i="3"/>
  <c r="AW132" i="3"/>
  <c r="AX132" i="3"/>
  <c r="AY132" i="3"/>
  <c r="AZ132" i="3"/>
  <c r="BA132" i="3"/>
  <c r="AW133" i="3"/>
  <c r="AX133" i="3"/>
  <c r="AY133" i="3"/>
  <c r="AZ133" i="3"/>
  <c r="BA133" i="3"/>
  <c r="AW134" i="3"/>
  <c r="AX134" i="3"/>
  <c r="AY134" i="3"/>
  <c r="AZ134" i="3"/>
  <c r="BA134" i="3"/>
  <c r="AW135" i="3"/>
  <c r="AX135" i="3"/>
  <c r="AY135" i="3"/>
  <c r="AZ135" i="3"/>
  <c r="BA135" i="3"/>
  <c r="AW136" i="3"/>
  <c r="AX136" i="3"/>
  <c r="AY136" i="3"/>
  <c r="AZ136" i="3"/>
  <c r="BA136" i="3"/>
  <c r="AW137" i="3"/>
  <c r="AX137" i="3"/>
  <c r="AY137" i="3"/>
  <c r="AZ137" i="3"/>
  <c r="BA137" i="3"/>
  <c r="AW138" i="3"/>
  <c r="AX138" i="3"/>
  <c r="AY138" i="3"/>
  <c r="AZ138" i="3"/>
  <c r="BA138" i="3"/>
  <c r="AW139" i="3"/>
  <c r="AX139" i="3"/>
  <c r="AY139" i="3"/>
  <c r="AZ139" i="3"/>
  <c r="BA139" i="3"/>
  <c r="AW140" i="3"/>
  <c r="AX140" i="3"/>
  <c r="AY140" i="3"/>
  <c r="AZ140" i="3"/>
  <c r="BA140" i="3"/>
  <c r="AW141" i="3"/>
  <c r="AX141" i="3"/>
  <c r="AY141" i="3"/>
  <c r="AZ141" i="3"/>
  <c r="BA141" i="3"/>
  <c r="AW142" i="3"/>
  <c r="AX142" i="3"/>
  <c r="AY142" i="3"/>
  <c r="AZ142" i="3"/>
  <c r="BA142" i="3"/>
  <c r="AW143" i="3"/>
  <c r="AX143" i="3"/>
  <c r="AY143" i="3"/>
  <c r="AZ143" i="3"/>
  <c r="BA143" i="3"/>
  <c r="AW144" i="3"/>
  <c r="AX144" i="3"/>
  <c r="AY144" i="3"/>
  <c r="AZ144" i="3"/>
  <c r="BA144" i="3"/>
  <c r="AW145" i="3"/>
  <c r="AX145" i="3"/>
  <c r="AY145" i="3"/>
  <c r="AZ145" i="3"/>
  <c r="BA145" i="3"/>
  <c r="AW146" i="3"/>
  <c r="AX146" i="3"/>
  <c r="AY146" i="3"/>
  <c r="AZ146" i="3"/>
  <c r="BA146" i="3"/>
  <c r="AW147" i="3"/>
  <c r="AX147" i="3"/>
  <c r="AY147" i="3"/>
  <c r="AZ147" i="3"/>
  <c r="BA147" i="3"/>
  <c r="AW148" i="3"/>
  <c r="AX148" i="3"/>
  <c r="AY148" i="3"/>
  <c r="AZ148" i="3"/>
  <c r="BA148" i="3"/>
  <c r="AW149" i="3"/>
  <c r="AX149" i="3"/>
  <c r="AY149" i="3"/>
  <c r="AZ149" i="3"/>
  <c r="BA149" i="3"/>
  <c r="AW150" i="3"/>
  <c r="AX150" i="3"/>
  <c r="AY150" i="3"/>
  <c r="AZ150" i="3"/>
  <c r="BA150" i="3"/>
  <c r="AW151" i="3"/>
  <c r="AX151" i="3"/>
  <c r="AY151" i="3"/>
  <c r="AZ151" i="3"/>
  <c r="BA151" i="3"/>
  <c r="AW153" i="3"/>
  <c r="AX153" i="3"/>
  <c r="AY153" i="3"/>
  <c r="AZ153" i="3"/>
  <c r="BA153" i="3"/>
  <c r="AW157" i="3"/>
  <c r="AX157" i="3"/>
  <c r="AY157" i="3"/>
  <c r="AZ157" i="3"/>
  <c r="BA157" i="3"/>
  <c r="AX159" i="3"/>
  <c r="AY159" i="3"/>
  <c r="AW164" i="3"/>
  <c r="AX164" i="3"/>
  <c r="AY164" i="3"/>
  <c r="AZ164" i="3"/>
  <c r="BA164" i="3"/>
  <c r="AW165" i="3"/>
  <c r="AX165" i="3"/>
  <c r="AY165" i="3"/>
  <c r="AZ165" i="3"/>
  <c r="BA165" i="3"/>
  <c r="AW166" i="3"/>
  <c r="AX166" i="3"/>
  <c r="AY166" i="3"/>
  <c r="AZ166" i="3"/>
  <c r="BA166" i="3"/>
  <c r="AW167" i="3"/>
  <c r="AX167" i="3"/>
  <c r="AY167" i="3"/>
  <c r="AZ167" i="3"/>
  <c r="BA167" i="3"/>
  <c r="AW168" i="3"/>
  <c r="AX168" i="3"/>
  <c r="AY168" i="3"/>
  <c r="AZ168" i="3"/>
  <c r="BA168" i="3"/>
  <c r="AW169" i="3"/>
  <c r="AX169" i="3"/>
  <c r="AY169" i="3"/>
  <c r="AZ169" i="3"/>
  <c r="BA169" i="3"/>
  <c r="AW170" i="3"/>
  <c r="AX170" i="3"/>
  <c r="AY170" i="3"/>
  <c r="AZ170" i="3"/>
  <c r="BA170" i="3"/>
  <c r="AW171" i="3"/>
  <c r="AX171" i="3"/>
  <c r="AY171" i="3"/>
  <c r="AZ171" i="3"/>
  <c r="BA171" i="3"/>
  <c r="AW172" i="3"/>
  <c r="AX172" i="3"/>
  <c r="AY172" i="3"/>
  <c r="AZ172" i="3"/>
  <c r="BA172" i="3"/>
  <c r="AW173" i="3"/>
  <c r="AX173" i="3"/>
  <c r="AY173" i="3"/>
  <c r="AZ173" i="3"/>
  <c r="BA173" i="3"/>
  <c r="AW174" i="3"/>
  <c r="AX174" i="3"/>
  <c r="AY174" i="3"/>
  <c r="AZ174" i="3"/>
  <c r="BA174" i="3"/>
  <c r="AW175" i="3"/>
  <c r="AX175" i="3"/>
  <c r="AY175" i="3"/>
  <c r="AZ175" i="3"/>
  <c r="BA175" i="3"/>
  <c r="AW176" i="3"/>
  <c r="AX176" i="3"/>
  <c r="AY176" i="3"/>
  <c r="AZ176" i="3"/>
  <c r="BA176" i="3"/>
  <c r="AW177" i="3"/>
  <c r="AX177" i="3"/>
  <c r="AY177" i="3"/>
  <c r="AZ177" i="3"/>
  <c r="BA177" i="3"/>
  <c r="AW178" i="3"/>
  <c r="AX178" i="3"/>
  <c r="AY178" i="3"/>
  <c r="AZ178" i="3"/>
  <c r="BA178" i="3"/>
  <c r="AW179" i="3"/>
  <c r="AX179" i="3"/>
  <c r="AY179" i="3"/>
  <c r="AZ179" i="3"/>
  <c r="BA179" i="3"/>
  <c r="AW180" i="3"/>
  <c r="AX180" i="3"/>
  <c r="AY180" i="3"/>
  <c r="AZ180" i="3"/>
  <c r="BA180" i="3"/>
  <c r="AW181" i="3"/>
  <c r="AX181" i="3"/>
  <c r="AY181" i="3"/>
  <c r="AZ181" i="3"/>
  <c r="BA181" i="3"/>
  <c r="AW182" i="3"/>
  <c r="AX182" i="3"/>
  <c r="AY182" i="3"/>
  <c r="AZ182" i="3"/>
  <c r="BA182" i="3"/>
  <c r="AW183" i="3"/>
  <c r="AX183" i="3"/>
  <c r="AY183" i="3"/>
  <c r="AZ183" i="3"/>
  <c r="BA183" i="3"/>
  <c r="AW184" i="3"/>
  <c r="AX184" i="3"/>
  <c r="AY184" i="3"/>
  <c r="AZ184" i="3"/>
  <c r="BA184" i="3"/>
  <c r="AW185" i="3"/>
  <c r="AX185" i="3"/>
  <c r="AY185" i="3"/>
  <c r="AZ185" i="3"/>
  <c r="BA185" i="3"/>
  <c r="AW186" i="3"/>
  <c r="AX186" i="3"/>
  <c r="AY186" i="3"/>
  <c r="AZ186" i="3"/>
  <c r="BA186" i="3"/>
  <c r="AW187" i="3"/>
  <c r="AX187" i="3"/>
  <c r="AY187" i="3"/>
  <c r="AZ187" i="3"/>
  <c r="BA187" i="3"/>
  <c r="AW188" i="3"/>
  <c r="AX188" i="3"/>
  <c r="AY188" i="3"/>
  <c r="AZ188" i="3"/>
  <c r="BA188" i="3"/>
  <c r="AW189" i="3"/>
  <c r="AX189" i="3"/>
  <c r="AY189" i="3"/>
  <c r="AZ189" i="3"/>
  <c r="BA189" i="3"/>
  <c r="AW190" i="3"/>
  <c r="AX190" i="3"/>
  <c r="AY190" i="3"/>
  <c r="AZ190" i="3"/>
  <c r="BA190" i="3"/>
  <c r="AW191" i="3"/>
  <c r="AX191" i="3"/>
  <c r="AY191" i="3"/>
  <c r="AZ191" i="3"/>
  <c r="BA191" i="3"/>
  <c r="AW192" i="3"/>
  <c r="AX192" i="3"/>
  <c r="AY192" i="3"/>
  <c r="AZ192" i="3"/>
  <c r="BA192" i="3"/>
  <c r="AW193" i="3"/>
  <c r="AX193" i="3"/>
  <c r="AY193" i="3"/>
  <c r="AZ193" i="3"/>
  <c r="BA193" i="3"/>
  <c r="AW194" i="3"/>
  <c r="AX194" i="3"/>
  <c r="AY194" i="3"/>
  <c r="AZ194" i="3"/>
  <c r="BA194" i="3"/>
  <c r="AW195" i="3"/>
  <c r="AX195" i="3"/>
  <c r="AY195" i="3"/>
  <c r="AZ195" i="3"/>
  <c r="BA195" i="3"/>
  <c r="AW196" i="3"/>
  <c r="AX196" i="3"/>
  <c r="AY196" i="3"/>
  <c r="AX198" i="3"/>
  <c r="AY198" i="3"/>
  <c r="AZ198" i="3"/>
  <c r="BA198" i="3"/>
  <c r="AZ206" i="3"/>
  <c r="BA206" i="3"/>
  <c r="AZ207" i="3"/>
  <c r="BA207" i="3"/>
  <c r="AZ208" i="3"/>
  <c r="BA208" i="3"/>
  <c r="AW2" i="2"/>
  <c r="AZ2" i="2"/>
  <c r="BB2" i="2"/>
  <c r="BC2" i="2"/>
  <c r="AW3" i="2"/>
  <c r="AZ3" i="2"/>
  <c r="BB3" i="2"/>
  <c r="BC3" i="2"/>
  <c r="AW4" i="2"/>
  <c r="AZ4" i="2"/>
  <c r="BB4" i="2"/>
  <c r="BC4" i="2"/>
  <c r="AZ7" i="2"/>
  <c r="BA7" i="2"/>
  <c r="BB7" i="2"/>
  <c r="AZ8" i="2"/>
  <c r="BA8" i="2"/>
  <c r="BB8" i="2"/>
  <c r="AZ9" i="2"/>
  <c r="BA9" i="2"/>
  <c r="BB9" i="2"/>
  <c r="AR10" i="2"/>
  <c r="AS10" i="2"/>
  <c r="AT10" i="2"/>
  <c r="AV10" i="2"/>
  <c r="AW10" i="2"/>
  <c r="AZ10" i="2"/>
  <c r="BA10" i="2"/>
  <c r="BB10" i="2"/>
  <c r="AR11" i="2"/>
  <c r="AS11" i="2"/>
  <c r="AT11" i="2"/>
  <c r="AV11" i="2"/>
  <c r="AW11" i="2"/>
  <c r="AR12" i="2"/>
  <c r="AS12" i="2"/>
  <c r="AT12" i="2"/>
  <c r="AV12" i="2"/>
  <c r="AW12" i="2"/>
  <c r="AR13" i="2"/>
  <c r="AS13" i="2"/>
  <c r="AT13" i="2"/>
  <c r="AV13" i="2"/>
  <c r="AW13" i="2"/>
  <c r="AR14" i="2"/>
  <c r="AS14" i="2"/>
  <c r="AT14" i="2"/>
  <c r="AV14" i="2"/>
  <c r="AW14" i="2"/>
  <c r="AR15" i="2"/>
  <c r="AS15" i="2"/>
  <c r="AT15" i="2"/>
  <c r="AV15" i="2"/>
  <c r="AW15" i="2"/>
  <c r="AR16" i="2"/>
  <c r="AS16" i="2"/>
  <c r="AT16" i="2"/>
  <c r="AV16" i="2"/>
  <c r="AW16" i="2"/>
  <c r="AR17" i="2"/>
  <c r="AS17" i="2"/>
  <c r="AT17" i="2"/>
  <c r="AV17" i="2"/>
  <c r="AW17" i="2"/>
  <c r="AR18" i="2"/>
  <c r="AS18" i="2"/>
  <c r="AT18" i="2"/>
  <c r="AV18" i="2"/>
  <c r="AW18" i="2"/>
  <c r="AR19" i="2"/>
  <c r="AS19" i="2"/>
  <c r="AT19" i="2"/>
  <c r="AV19" i="2"/>
  <c r="AW19" i="2"/>
  <c r="AR20" i="2"/>
  <c r="AS20" i="2"/>
  <c r="AT20" i="2"/>
  <c r="AV20" i="2"/>
  <c r="AW20" i="2"/>
  <c r="AR21" i="2"/>
  <c r="AS21" i="2"/>
  <c r="AT21" i="2"/>
  <c r="AV21" i="2"/>
  <c r="AW21" i="2"/>
  <c r="AR22" i="2"/>
  <c r="AS22" i="2"/>
  <c r="AT22" i="2"/>
  <c r="AV22" i="2"/>
  <c r="AW22" i="2"/>
  <c r="AR23" i="2"/>
  <c r="AS23" i="2"/>
  <c r="AT23" i="2"/>
  <c r="AV23" i="2"/>
  <c r="AW23" i="2"/>
  <c r="AR24" i="2"/>
  <c r="AS24" i="2"/>
  <c r="AT24" i="2"/>
  <c r="AV24" i="2"/>
  <c r="AW24" i="2"/>
  <c r="AR25" i="2"/>
  <c r="AS25" i="2"/>
  <c r="AT25" i="2"/>
  <c r="AV25" i="2"/>
  <c r="AW25" i="2"/>
  <c r="AR26" i="2"/>
  <c r="AS26" i="2"/>
  <c r="AT26" i="2"/>
  <c r="AV26" i="2"/>
  <c r="AW26" i="2"/>
  <c r="AR27" i="2"/>
  <c r="AS27" i="2"/>
  <c r="AT27" i="2"/>
  <c r="AV27" i="2"/>
  <c r="AW27" i="2"/>
  <c r="AR28" i="2"/>
  <c r="AS28" i="2"/>
  <c r="AT28" i="2"/>
  <c r="AV28" i="2"/>
  <c r="AW28" i="2"/>
  <c r="AR29" i="2"/>
  <c r="AS29" i="2"/>
  <c r="AT29" i="2"/>
  <c r="AV29" i="2"/>
  <c r="AW29" i="2"/>
  <c r="AR30" i="2"/>
  <c r="AS30" i="2"/>
  <c r="AT30" i="2"/>
  <c r="AV30" i="2"/>
  <c r="AW30" i="2"/>
  <c r="AR31" i="2"/>
  <c r="AS31" i="2"/>
  <c r="AT31" i="2"/>
  <c r="AV31" i="2"/>
  <c r="AW31" i="2"/>
  <c r="AR32" i="2"/>
  <c r="AS32" i="2"/>
  <c r="AT32" i="2"/>
  <c r="AV32" i="2"/>
  <c r="AW32" i="2"/>
  <c r="AR33" i="2"/>
  <c r="AS33" i="2"/>
  <c r="AT33" i="2"/>
  <c r="AV33" i="2"/>
  <c r="AW33" i="2"/>
  <c r="AR34" i="2"/>
  <c r="AS34" i="2"/>
  <c r="AT34" i="2"/>
  <c r="AV34" i="2"/>
  <c r="AW34" i="2"/>
  <c r="AR35" i="2"/>
  <c r="AS35" i="2"/>
  <c r="AT35" i="2"/>
  <c r="AV35" i="2"/>
  <c r="AW35" i="2"/>
  <c r="AR36" i="2"/>
  <c r="AS36" i="2"/>
  <c r="AT36" i="2"/>
  <c r="AV36" i="2"/>
  <c r="AW36" i="2"/>
  <c r="AR37" i="2"/>
  <c r="AS37" i="2"/>
  <c r="AT37" i="2"/>
  <c r="AV37" i="2"/>
  <c r="AW37" i="2"/>
  <c r="AR38" i="2"/>
  <c r="AS38" i="2"/>
  <c r="AT38" i="2"/>
  <c r="AV38" i="2"/>
  <c r="AW38" i="2"/>
  <c r="AR39" i="2"/>
  <c r="AS39" i="2"/>
  <c r="AT39" i="2"/>
  <c r="AV39" i="2"/>
  <c r="AW39" i="2"/>
  <c r="AR40" i="2"/>
  <c r="AS40" i="2"/>
  <c r="AT40" i="2"/>
  <c r="AV40" i="2"/>
  <c r="AW40" i="2"/>
  <c r="AR41" i="2"/>
  <c r="AS41" i="2"/>
  <c r="AT41" i="2"/>
  <c r="AV41" i="2"/>
  <c r="AW41" i="2"/>
  <c r="AR42" i="2"/>
  <c r="AS42" i="2"/>
  <c r="AT42" i="2"/>
  <c r="AV42" i="2"/>
  <c r="AW42" i="2"/>
  <c r="AR43" i="2"/>
  <c r="AS43" i="2"/>
  <c r="AT43" i="2"/>
  <c r="AV43" i="2"/>
  <c r="AW43" i="2"/>
  <c r="AR44" i="2"/>
  <c r="AS44" i="2"/>
  <c r="AT44" i="2"/>
  <c r="AV44" i="2"/>
  <c r="AW44" i="2"/>
  <c r="AR45" i="2"/>
  <c r="AS45" i="2"/>
  <c r="AT45" i="2"/>
  <c r="AV45" i="2"/>
  <c r="AW45" i="2"/>
  <c r="AR46" i="2"/>
  <c r="AS46" i="2"/>
  <c r="AT46" i="2"/>
  <c r="AV46" i="2"/>
  <c r="AW46" i="2"/>
  <c r="AR47" i="2"/>
  <c r="AS47" i="2"/>
  <c r="AT47" i="2"/>
  <c r="AV47" i="2"/>
  <c r="AW47" i="2"/>
  <c r="AR48" i="2"/>
  <c r="AS48" i="2"/>
  <c r="AT48" i="2"/>
  <c r="AV48" i="2"/>
  <c r="AW48" i="2"/>
  <c r="AR49" i="2"/>
  <c r="AS49" i="2"/>
  <c r="AT49" i="2"/>
  <c r="AV49" i="2"/>
  <c r="AW49" i="2"/>
  <c r="AR50" i="2"/>
  <c r="AS50" i="2"/>
  <c r="AT50" i="2"/>
  <c r="AV50" i="2"/>
  <c r="AW50" i="2"/>
  <c r="AR51" i="2"/>
  <c r="AS51" i="2"/>
  <c r="AT51" i="2"/>
  <c r="AV51" i="2"/>
  <c r="AW51" i="2"/>
  <c r="AS52" i="2"/>
  <c r="AT52" i="2"/>
  <c r="AV52" i="2"/>
  <c r="AW52" i="2"/>
  <c r="AR55" i="2"/>
  <c r="AS55" i="2"/>
  <c r="AT55" i="2"/>
  <c r="AV55" i="2"/>
  <c r="AW55" i="2"/>
  <c r="AR56" i="2"/>
  <c r="AS56" i="2"/>
  <c r="AT56" i="2"/>
  <c r="AV56" i="2"/>
  <c r="AW56" i="2"/>
  <c r="AS58" i="2"/>
  <c r="AT58" i="2"/>
  <c r="AV58" i="2"/>
  <c r="AW58" i="2"/>
  <c r="AR62" i="2"/>
  <c r="AS62" i="2"/>
  <c r="AT62" i="2"/>
  <c r="AV62" i="2"/>
  <c r="AW62" i="2"/>
  <c r="AR63" i="2"/>
  <c r="AS63" i="2"/>
  <c r="AT63" i="2"/>
  <c r="AV63" i="2"/>
  <c r="AW63" i="2"/>
  <c r="AR64" i="2"/>
  <c r="AS64" i="2"/>
  <c r="AT64" i="2"/>
  <c r="AV64" i="2"/>
  <c r="AW64" i="2"/>
  <c r="AR65" i="2"/>
  <c r="AS65" i="2"/>
  <c r="AT65" i="2"/>
  <c r="AV65" i="2"/>
  <c r="AW65" i="2"/>
  <c r="AR66" i="2"/>
  <c r="AS66" i="2"/>
  <c r="AT66" i="2"/>
  <c r="AV66" i="2"/>
  <c r="AW66" i="2"/>
  <c r="AS68" i="2"/>
  <c r="AT68" i="2"/>
  <c r="AV68" i="2"/>
  <c r="AW68" i="2"/>
  <c r="AR73" i="2"/>
  <c r="AS73" i="2"/>
  <c r="AT73" i="2"/>
  <c r="AR74" i="2"/>
  <c r="AS74" i="2"/>
  <c r="AT74" i="2"/>
  <c r="AV74" i="2"/>
  <c r="AW74" i="2"/>
  <c r="AR75" i="2"/>
  <c r="AS75" i="2"/>
  <c r="AT75" i="2"/>
  <c r="AV75" i="2"/>
  <c r="AW75" i="2"/>
  <c r="AR76" i="2"/>
  <c r="AS76" i="2"/>
  <c r="AT76" i="2"/>
  <c r="AV76" i="2"/>
  <c r="AW76" i="2"/>
  <c r="AR77" i="2"/>
  <c r="AS77" i="2"/>
  <c r="AT77" i="2"/>
  <c r="AV77" i="2"/>
  <c r="AW77" i="2"/>
  <c r="AR78" i="2"/>
  <c r="AS78" i="2"/>
  <c r="AT78" i="2"/>
  <c r="AV78" i="2"/>
  <c r="AW78" i="2"/>
  <c r="AR79" i="2"/>
  <c r="AS79" i="2"/>
  <c r="AT79" i="2"/>
  <c r="AV79" i="2"/>
  <c r="AW79" i="2"/>
  <c r="AR80" i="2"/>
  <c r="AS80" i="2"/>
  <c r="AT80" i="2"/>
  <c r="AV80" i="2"/>
  <c r="AW80" i="2"/>
  <c r="AR81" i="2"/>
  <c r="AS81" i="2"/>
  <c r="AT81" i="2"/>
  <c r="AV81" i="2"/>
  <c r="AW81" i="2"/>
  <c r="AR82" i="2"/>
  <c r="AS82" i="2"/>
  <c r="AT82" i="2"/>
  <c r="AV82" i="2"/>
  <c r="AW82" i="2"/>
  <c r="AR83" i="2"/>
  <c r="AS83" i="2"/>
  <c r="AT83" i="2"/>
  <c r="AV83" i="2"/>
  <c r="AW83" i="2"/>
  <c r="AR84" i="2"/>
  <c r="AS84" i="2"/>
  <c r="AT84" i="2"/>
  <c r="AV84" i="2"/>
  <c r="AW84" i="2"/>
  <c r="AR85" i="2"/>
  <c r="AS85" i="2"/>
  <c r="AT85" i="2"/>
  <c r="AV85" i="2"/>
  <c r="AW85" i="2"/>
  <c r="AR86" i="2"/>
  <c r="AS86" i="2"/>
  <c r="AT86" i="2"/>
  <c r="AV86" i="2"/>
  <c r="AW86" i="2"/>
  <c r="AR87" i="2"/>
  <c r="AS87" i="2"/>
  <c r="AT87" i="2"/>
  <c r="AV87" i="2"/>
  <c r="AW87" i="2"/>
  <c r="AR88" i="2"/>
  <c r="AS88" i="2"/>
  <c r="AT88" i="2"/>
  <c r="AV88" i="2"/>
  <c r="AW88" i="2"/>
  <c r="AR89" i="2"/>
  <c r="AS89" i="2"/>
  <c r="AT89" i="2"/>
  <c r="AV89" i="2"/>
  <c r="AW89" i="2"/>
  <c r="AR90" i="2"/>
  <c r="AS90" i="2"/>
  <c r="AT90" i="2"/>
  <c r="AV90" i="2"/>
  <c r="AW90" i="2"/>
  <c r="AR91" i="2"/>
  <c r="AS91" i="2"/>
  <c r="AT91" i="2"/>
  <c r="AV91" i="2"/>
  <c r="AW91" i="2"/>
  <c r="AR92" i="2"/>
  <c r="AS92" i="2"/>
  <c r="AT92" i="2"/>
  <c r="AV92" i="2"/>
  <c r="AW92" i="2"/>
  <c r="AR93" i="2"/>
  <c r="AS93" i="2"/>
  <c r="AT93" i="2"/>
  <c r="AV93" i="2"/>
  <c r="AW93" i="2"/>
  <c r="AQ94" i="2"/>
  <c r="AR94" i="2"/>
  <c r="AS94" i="2"/>
  <c r="AT94" i="2"/>
  <c r="AV94" i="2"/>
  <c r="AW94" i="2"/>
  <c r="AQ95" i="2"/>
  <c r="AR95" i="2"/>
  <c r="AS95" i="2"/>
  <c r="AT95" i="2"/>
  <c r="AV95" i="2"/>
  <c r="AW95" i="2"/>
  <c r="AQ96" i="2"/>
  <c r="AR96" i="2"/>
  <c r="AS96" i="2"/>
  <c r="AT96" i="2"/>
  <c r="AV96" i="2"/>
  <c r="AW96" i="2"/>
  <c r="AQ97" i="2"/>
  <c r="AR97" i="2"/>
  <c r="AS97" i="2"/>
  <c r="AT97" i="2"/>
  <c r="AV97" i="2"/>
  <c r="AW97" i="2"/>
  <c r="AQ98" i="2"/>
  <c r="AR98" i="2"/>
  <c r="AS98" i="2"/>
  <c r="AT98" i="2"/>
  <c r="AV98" i="2"/>
  <c r="AW98" i="2"/>
  <c r="AQ99" i="2"/>
  <c r="AR99" i="2"/>
  <c r="AS99" i="2"/>
  <c r="AT99" i="2"/>
  <c r="AV99" i="2"/>
  <c r="AW99" i="2"/>
  <c r="AQ100" i="2"/>
  <c r="AR100" i="2"/>
  <c r="AS100" i="2"/>
  <c r="AT100" i="2"/>
  <c r="AV100" i="2"/>
  <c r="AW100" i="2"/>
  <c r="AQ101" i="2"/>
  <c r="AR101" i="2"/>
  <c r="AS101" i="2"/>
  <c r="AT101" i="2"/>
  <c r="AV101" i="2"/>
  <c r="AW101" i="2"/>
  <c r="AQ102" i="2"/>
  <c r="AR102" i="2"/>
  <c r="AS102" i="2"/>
  <c r="AT102" i="2"/>
  <c r="AV102" i="2"/>
  <c r="AW102" i="2"/>
  <c r="AQ103" i="2"/>
  <c r="AR103" i="2"/>
  <c r="AS103" i="2"/>
  <c r="AT103" i="2"/>
  <c r="AV103" i="2"/>
  <c r="AW103" i="2"/>
  <c r="AQ104" i="2"/>
  <c r="AR104" i="2"/>
  <c r="AS104" i="2"/>
  <c r="AT104" i="2"/>
  <c r="AV104" i="2"/>
  <c r="AW104" i="2"/>
  <c r="AQ105" i="2"/>
  <c r="AR105" i="2"/>
  <c r="AS105" i="2"/>
  <c r="AT105" i="2"/>
  <c r="AV105" i="2"/>
  <c r="AW105" i="2"/>
  <c r="AQ106" i="2"/>
  <c r="AR106" i="2"/>
  <c r="AS106" i="2"/>
  <c r="AT106" i="2"/>
  <c r="AV106" i="2"/>
  <c r="AW106" i="2"/>
  <c r="AQ107" i="2"/>
  <c r="AR107" i="2"/>
  <c r="AS107" i="2"/>
  <c r="AT107" i="2"/>
  <c r="AV107" i="2"/>
  <c r="AW107" i="2"/>
  <c r="AQ108" i="2"/>
  <c r="AR108" i="2"/>
  <c r="AS108" i="2"/>
  <c r="AT108" i="2"/>
  <c r="AV108" i="2"/>
  <c r="AW108" i="2"/>
  <c r="AQ109" i="2"/>
  <c r="AR109" i="2"/>
  <c r="AS109" i="2"/>
  <c r="AT109" i="2"/>
  <c r="AV109" i="2"/>
  <c r="AW109" i="2"/>
  <c r="AQ110" i="2"/>
  <c r="AR110" i="2"/>
  <c r="AS110" i="2"/>
  <c r="AT110" i="2"/>
  <c r="AV110" i="2"/>
  <c r="AW110" i="2"/>
  <c r="AQ111" i="2"/>
  <c r="AR111" i="2"/>
  <c r="AS111" i="2"/>
  <c r="AT111" i="2"/>
  <c r="AV111" i="2"/>
  <c r="AW111" i="2"/>
  <c r="AQ112" i="2"/>
  <c r="AR112" i="2"/>
  <c r="AS112" i="2"/>
  <c r="AT112" i="2"/>
  <c r="AV112" i="2"/>
  <c r="AW112" i="2"/>
  <c r="AQ113" i="2"/>
  <c r="AR113" i="2"/>
  <c r="AS113" i="2"/>
  <c r="AT113" i="2"/>
  <c r="AV113" i="2"/>
  <c r="AW113" i="2"/>
  <c r="AQ114" i="2"/>
  <c r="AR114" i="2"/>
  <c r="AS114" i="2"/>
  <c r="AT114" i="2"/>
  <c r="AV114" i="2"/>
  <c r="AW114" i="2"/>
  <c r="AQ115" i="2"/>
  <c r="AR115" i="2"/>
  <c r="AS115" i="2"/>
  <c r="AT115" i="2"/>
  <c r="AV115" i="2"/>
  <c r="AW115" i="2"/>
  <c r="AQ116" i="2"/>
  <c r="AR116" i="2"/>
  <c r="AS116" i="2"/>
  <c r="AT116" i="2"/>
  <c r="AV116" i="2"/>
  <c r="AW116" i="2"/>
  <c r="AQ117" i="2"/>
  <c r="AR117" i="2"/>
  <c r="AS117" i="2"/>
  <c r="AT117" i="2"/>
  <c r="AV117" i="2"/>
  <c r="AW117" i="2"/>
  <c r="AQ118" i="2"/>
  <c r="AR118" i="2"/>
  <c r="AS118" i="2"/>
  <c r="AT118" i="2"/>
  <c r="AV118" i="2"/>
  <c r="AW118" i="2"/>
  <c r="AQ119" i="2"/>
  <c r="AR119" i="2"/>
  <c r="AS119" i="2"/>
  <c r="AT119" i="2"/>
  <c r="AV119" i="2"/>
  <c r="AW119" i="2"/>
  <c r="AQ120" i="2"/>
  <c r="AR120" i="2"/>
  <c r="AS120" i="2"/>
  <c r="AT120" i="2"/>
  <c r="AV120" i="2"/>
  <c r="AW120" i="2"/>
  <c r="AQ121" i="2"/>
  <c r="AR121" i="2"/>
  <c r="AS121" i="2"/>
  <c r="AT121" i="2"/>
  <c r="AV121" i="2"/>
  <c r="AW121" i="2"/>
  <c r="AQ122" i="2"/>
  <c r="AR122" i="2"/>
  <c r="AS122" i="2"/>
  <c r="AT122" i="2"/>
  <c r="AV122" i="2"/>
  <c r="AW122" i="2"/>
  <c r="AQ123" i="2"/>
  <c r="AR123" i="2"/>
  <c r="AS123" i="2"/>
  <c r="AT123" i="2"/>
  <c r="AV123" i="2"/>
  <c r="AW123" i="2"/>
  <c r="AQ124" i="2"/>
  <c r="AR124" i="2"/>
  <c r="AS124" i="2"/>
  <c r="AT124" i="2"/>
  <c r="AV124" i="2"/>
  <c r="AW124" i="2"/>
  <c r="AQ125" i="2"/>
  <c r="AR125" i="2"/>
  <c r="AS125" i="2"/>
  <c r="AT125" i="2"/>
  <c r="AV125" i="2"/>
  <c r="AW125" i="2"/>
  <c r="AQ126" i="2"/>
  <c r="AR126" i="2"/>
  <c r="AS126" i="2"/>
  <c r="AT126" i="2"/>
  <c r="AV126" i="2"/>
  <c r="AW126" i="2"/>
  <c r="AQ127" i="2"/>
  <c r="AR127" i="2"/>
  <c r="AS127" i="2"/>
  <c r="AT127" i="2"/>
  <c r="AV127" i="2"/>
  <c r="AW127" i="2"/>
  <c r="AQ128" i="2"/>
  <c r="AR128" i="2"/>
  <c r="AS128" i="2"/>
  <c r="AT128" i="2"/>
  <c r="AV128" i="2"/>
  <c r="AW128" i="2"/>
  <c r="AQ129" i="2"/>
  <c r="AR129" i="2"/>
  <c r="AS129" i="2"/>
  <c r="AT129" i="2"/>
  <c r="AV129" i="2"/>
  <c r="AW129" i="2"/>
  <c r="AQ130" i="2"/>
  <c r="AR130" i="2"/>
  <c r="AS130" i="2"/>
  <c r="AT130" i="2"/>
  <c r="AV130" i="2"/>
  <c r="AW130" i="2"/>
  <c r="AQ131" i="2"/>
  <c r="AR131" i="2"/>
  <c r="AS131" i="2"/>
  <c r="AT131" i="2"/>
  <c r="AV131" i="2"/>
  <c r="AW131" i="2"/>
  <c r="AQ132" i="2"/>
  <c r="AR132" i="2"/>
  <c r="AS132" i="2"/>
  <c r="AT132" i="2"/>
  <c r="AV132" i="2"/>
  <c r="AW132" i="2"/>
  <c r="AR133" i="2"/>
  <c r="AS133" i="2"/>
  <c r="AT133" i="2"/>
  <c r="AV133" i="2"/>
  <c r="AW133" i="2"/>
  <c r="AR134" i="2"/>
  <c r="AS134" i="2"/>
  <c r="AT134" i="2"/>
  <c r="AV134" i="2"/>
  <c r="AW134" i="2"/>
  <c r="AR135" i="2"/>
  <c r="AS135" i="2"/>
  <c r="AT135" i="2"/>
  <c r="AV135" i="2"/>
  <c r="AW135" i="2"/>
  <c r="AR136" i="2"/>
  <c r="AS136" i="2"/>
  <c r="AT136" i="2"/>
  <c r="AV136" i="2"/>
  <c r="AW136" i="2"/>
  <c r="AR137" i="2"/>
  <c r="AS137" i="2"/>
  <c r="AT137" i="2"/>
  <c r="AV137" i="2"/>
  <c r="AW137" i="2"/>
  <c r="AR138" i="2"/>
  <c r="AS138" i="2"/>
  <c r="AT138" i="2"/>
  <c r="AV138" i="2"/>
  <c r="AW138" i="2"/>
  <c r="AR139" i="2"/>
  <c r="AS139" i="2"/>
  <c r="AT139" i="2"/>
  <c r="AV139" i="2"/>
  <c r="AW139" i="2"/>
  <c r="AR140" i="2"/>
  <c r="AS140" i="2"/>
  <c r="AT140" i="2"/>
  <c r="AV140" i="2"/>
  <c r="AW140" i="2"/>
  <c r="AR141" i="2"/>
  <c r="AS141" i="2"/>
  <c r="AT141" i="2"/>
  <c r="AV141" i="2"/>
  <c r="AW141" i="2"/>
  <c r="AR142" i="2"/>
  <c r="AS142" i="2"/>
  <c r="AT142" i="2"/>
  <c r="AV142" i="2"/>
  <c r="AW142" i="2"/>
  <c r="AR143" i="2"/>
  <c r="AS143" i="2"/>
  <c r="AT143" i="2"/>
  <c r="AV143" i="2"/>
  <c r="AW143" i="2"/>
  <c r="AR144" i="2"/>
  <c r="AS144" i="2"/>
  <c r="AT144" i="2"/>
  <c r="AV144" i="2"/>
  <c r="AW144" i="2"/>
  <c r="AQ145" i="2"/>
  <c r="AR145" i="2"/>
  <c r="AS145" i="2"/>
  <c r="AT145" i="2"/>
  <c r="AV145" i="2"/>
  <c r="AW145" i="2"/>
  <c r="AQ146" i="2"/>
  <c r="AR146" i="2"/>
  <c r="AS146" i="2"/>
  <c r="AT146" i="2"/>
  <c r="AV146" i="2"/>
  <c r="AW146" i="2"/>
  <c r="AQ147" i="2"/>
  <c r="AR147" i="2"/>
  <c r="AS147" i="2"/>
  <c r="AT147" i="2"/>
  <c r="AV147" i="2"/>
  <c r="AW147" i="2"/>
  <c r="AQ148" i="2"/>
  <c r="AR148" i="2"/>
  <c r="AS148" i="2"/>
  <c r="AT148" i="2"/>
  <c r="AV148" i="2"/>
  <c r="AW148" i="2"/>
  <c r="AQ149" i="2"/>
  <c r="AR149" i="2"/>
  <c r="AS149" i="2"/>
  <c r="AT149" i="2"/>
  <c r="AV149" i="2"/>
  <c r="AW149" i="2"/>
  <c r="AQ150" i="2"/>
  <c r="AR150" i="2"/>
  <c r="AS150" i="2"/>
  <c r="AT150" i="2"/>
  <c r="AV150" i="2"/>
  <c r="AW150" i="2"/>
  <c r="AQ151" i="2"/>
  <c r="AR151" i="2"/>
  <c r="AS151" i="2"/>
  <c r="AT151" i="2"/>
  <c r="AV151" i="2"/>
  <c r="AW151" i="2"/>
  <c r="AQ152" i="2"/>
  <c r="AR152" i="2"/>
  <c r="AS152" i="2"/>
  <c r="AT152" i="2"/>
  <c r="AV152" i="2"/>
  <c r="AW152" i="2"/>
  <c r="AQ153" i="2"/>
  <c r="AR153" i="2"/>
  <c r="AS153" i="2"/>
  <c r="AT153" i="2"/>
  <c r="AV153" i="2"/>
  <c r="AW153" i="2"/>
  <c r="AQ154" i="2"/>
  <c r="AR154" i="2"/>
  <c r="AS154" i="2"/>
  <c r="AT154" i="2"/>
  <c r="AV154" i="2"/>
  <c r="AW154" i="2"/>
  <c r="AQ155" i="2"/>
  <c r="AR155" i="2"/>
  <c r="AS155" i="2"/>
  <c r="AT155" i="2"/>
  <c r="AV155" i="2"/>
  <c r="AW155" i="2"/>
  <c r="AQ156" i="2"/>
  <c r="AR156" i="2"/>
  <c r="AS156" i="2"/>
  <c r="AT156" i="2"/>
  <c r="AV156" i="2"/>
  <c r="AW156" i="2"/>
  <c r="AQ157" i="2"/>
  <c r="AR157" i="2"/>
  <c r="AS157" i="2"/>
  <c r="AT157" i="2"/>
  <c r="AV157" i="2"/>
  <c r="AW157" i="2"/>
  <c r="AQ158" i="2"/>
  <c r="AR158" i="2"/>
  <c r="AS158" i="2"/>
  <c r="AT158" i="2"/>
  <c r="AV158" i="2"/>
  <c r="AW158" i="2"/>
  <c r="AQ159" i="2"/>
  <c r="AR159" i="2"/>
  <c r="AS159" i="2"/>
  <c r="AT159" i="2"/>
  <c r="AV159" i="2"/>
  <c r="AW159" i="2"/>
  <c r="AR160" i="2"/>
  <c r="AS160" i="2"/>
  <c r="AT160" i="2"/>
  <c r="AV160" i="2"/>
  <c r="AW160" i="2"/>
  <c r="AR161" i="2"/>
  <c r="AS161" i="2"/>
  <c r="AT161" i="2"/>
  <c r="AV161" i="2"/>
  <c r="AW161" i="2"/>
  <c r="AR162" i="2"/>
  <c r="AS162" i="2"/>
  <c r="AT162" i="2"/>
  <c r="AV162" i="2"/>
  <c r="AW162" i="2"/>
  <c r="AR163" i="2"/>
  <c r="AS163" i="2"/>
  <c r="AT163" i="2"/>
  <c r="AV163" i="2"/>
  <c r="AW163" i="2"/>
  <c r="AR164" i="2"/>
  <c r="AS164" i="2"/>
  <c r="AT164" i="2"/>
  <c r="AV164" i="2"/>
  <c r="AW164" i="2"/>
  <c r="AR165" i="2"/>
  <c r="AS165" i="2"/>
  <c r="AT165" i="2"/>
  <c r="AV165" i="2"/>
  <c r="AW165" i="2"/>
  <c r="AR166" i="2"/>
  <c r="AS166" i="2"/>
  <c r="AT166" i="2"/>
  <c r="AV166" i="2"/>
  <c r="AW166" i="2"/>
  <c r="AR167" i="2"/>
  <c r="AS167" i="2"/>
  <c r="AT167" i="2"/>
  <c r="AV167" i="2"/>
  <c r="AW167" i="2"/>
  <c r="AR168" i="2"/>
  <c r="AS168" i="2"/>
  <c r="AT168" i="2"/>
  <c r="AV168" i="2"/>
  <c r="AW168" i="2"/>
  <c r="AR169" i="2"/>
  <c r="AS169" i="2"/>
  <c r="AT169" i="2"/>
  <c r="AV169" i="2"/>
  <c r="AW169" i="2"/>
  <c r="AR170" i="2"/>
  <c r="AS170" i="2"/>
  <c r="AT170" i="2"/>
  <c r="AV170" i="2"/>
  <c r="AW170" i="2"/>
  <c r="AQ171" i="2"/>
  <c r="AR171" i="2"/>
  <c r="AS171" i="2"/>
  <c r="AT171" i="2"/>
  <c r="AV171" i="2"/>
  <c r="AW171" i="2"/>
  <c r="AQ172" i="2"/>
  <c r="AR172" i="2"/>
  <c r="AS172" i="2"/>
  <c r="AT172" i="2"/>
  <c r="AV172" i="2"/>
  <c r="AW172" i="2"/>
  <c r="AQ173" i="2"/>
  <c r="AR173" i="2"/>
  <c r="AS173" i="2"/>
  <c r="AT173" i="2"/>
  <c r="AV173" i="2"/>
  <c r="AW173" i="2"/>
  <c r="AQ174" i="2"/>
  <c r="AR174" i="2"/>
  <c r="AS174" i="2"/>
  <c r="AT174" i="2"/>
  <c r="AV174" i="2"/>
  <c r="AW174" i="2"/>
  <c r="AQ175" i="2"/>
  <c r="AR175" i="2"/>
  <c r="AS175" i="2"/>
  <c r="AT175" i="2"/>
  <c r="AV175" i="2"/>
  <c r="AW175" i="2"/>
  <c r="AQ176" i="2"/>
  <c r="AR176" i="2"/>
  <c r="AS176" i="2"/>
  <c r="AT176" i="2"/>
  <c r="AV176" i="2"/>
  <c r="AW176" i="2"/>
  <c r="AR177" i="2"/>
  <c r="AS177" i="2"/>
  <c r="AT177" i="2"/>
  <c r="AV177" i="2"/>
  <c r="AW177" i="2"/>
  <c r="AR178" i="2"/>
  <c r="AS178" i="2"/>
  <c r="AT178" i="2"/>
  <c r="AV178" i="2"/>
  <c r="AW178" i="2"/>
  <c r="AR179" i="2"/>
  <c r="AS179" i="2"/>
  <c r="AT179" i="2"/>
  <c r="AV179" i="2"/>
  <c r="AW179" i="2"/>
  <c r="AR180" i="2"/>
  <c r="AS180" i="2"/>
  <c r="AT180" i="2"/>
  <c r="AV180" i="2"/>
  <c r="AW180" i="2"/>
  <c r="AR181" i="2"/>
  <c r="AS181" i="2"/>
  <c r="AT181" i="2"/>
  <c r="AV181" i="2"/>
  <c r="AW181" i="2"/>
  <c r="AR182" i="2"/>
  <c r="AS182" i="2"/>
  <c r="AT182" i="2"/>
  <c r="AV182" i="2"/>
  <c r="AW182" i="2"/>
  <c r="AR183" i="2"/>
  <c r="AS183" i="2"/>
  <c r="AT183" i="2"/>
  <c r="AV183" i="2"/>
  <c r="AW183" i="2"/>
  <c r="AR184" i="2"/>
  <c r="AS184" i="2"/>
  <c r="AT184" i="2"/>
  <c r="AV184" i="2"/>
  <c r="AW184" i="2"/>
  <c r="AR185" i="2"/>
  <c r="AS185" i="2"/>
  <c r="AT185" i="2"/>
  <c r="AV185" i="2"/>
  <c r="AW185" i="2"/>
  <c r="AR186" i="2"/>
  <c r="AS186" i="2"/>
  <c r="AT186" i="2"/>
  <c r="AV186" i="2"/>
  <c r="AW186" i="2"/>
  <c r="AR187" i="2"/>
  <c r="AS187" i="2"/>
  <c r="AT187" i="2"/>
  <c r="AV187" i="2"/>
  <c r="AW187" i="2"/>
  <c r="AR188" i="2"/>
  <c r="AS188" i="2"/>
  <c r="AT188" i="2"/>
  <c r="AV188" i="2"/>
  <c r="AW188" i="2"/>
  <c r="AR189" i="2"/>
  <c r="AS189" i="2"/>
  <c r="AT189" i="2"/>
  <c r="AV189" i="2"/>
  <c r="AW189" i="2"/>
  <c r="AR190" i="2"/>
  <c r="AS190" i="2"/>
  <c r="AT190" i="2"/>
  <c r="AV190" i="2"/>
  <c r="AW190" i="2"/>
  <c r="AR191" i="2"/>
  <c r="AS191" i="2"/>
  <c r="AT191" i="2"/>
  <c r="AV191" i="2"/>
  <c r="AW191" i="2"/>
  <c r="AR195" i="2"/>
  <c r="AS195" i="2"/>
  <c r="AT195" i="2"/>
  <c r="AV195" i="2"/>
  <c r="AW195" i="2"/>
  <c r="AR199" i="2"/>
  <c r="AS199" i="2"/>
  <c r="AT199" i="2"/>
  <c r="AR202" i="2"/>
  <c r="AS202" i="2"/>
  <c r="AT202" i="2"/>
  <c r="AR208" i="2"/>
  <c r="AS208" i="2"/>
  <c r="AT208" i="2"/>
  <c r="AV208" i="2"/>
  <c r="AW208" i="2"/>
  <c r="AR209" i="2"/>
  <c r="AS209" i="2"/>
  <c r="AT209" i="2"/>
  <c r="AV209" i="2"/>
  <c r="AW209" i="2"/>
  <c r="AR210" i="2"/>
  <c r="AS210" i="2"/>
  <c r="AT210" i="2"/>
  <c r="AV210" i="2"/>
  <c r="AW210" i="2"/>
  <c r="AR211" i="2"/>
  <c r="AS211" i="2"/>
  <c r="AT211" i="2"/>
  <c r="AV211" i="2"/>
  <c r="AW211" i="2"/>
  <c r="AR212" i="2"/>
  <c r="AS212" i="2"/>
  <c r="AT212" i="2"/>
  <c r="AV212" i="2"/>
  <c r="AW212" i="2"/>
  <c r="AR213" i="2"/>
  <c r="AS213" i="2"/>
  <c r="AT213" i="2"/>
  <c r="AV213" i="2"/>
  <c r="AW213" i="2"/>
  <c r="AR214" i="2"/>
  <c r="AS214" i="2"/>
  <c r="AT214" i="2"/>
  <c r="AV214" i="2"/>
  <c r="AW214" i="2"/>
  <c r="AR215" i="2"/>
  <c r="AS215" i="2"/>
  <c r="AT215" i="2"/>
  <c r="AV215" i="2"/>
  <c r="AW215" i="2"/>
  <c r="AR216" i="2"/>
  <c r="AS216" i="2"/>
  <c r="AT216" i="2"/>
  <c r="AV216" i="2"/>
  <c r="AW216" i="2"/>
  <c r="AR217" i="2"/>
  <c r="AS217" i="2"/>
  <c r="AT217" i="2"/>
  <c r="AV217" i="2"/>
  <c r="AW217" i="2"/>
  <c r="AR218" i="2"/>
  <c r="AS218" i="2"/>
  <c r="AT218" i="2"/>
  <c r="AV218" i="2"/>
  <c r="AW218" i="2"/>
  <c r="AR219" i="2"/>
  <c r="AS219" i="2"/>
  <c r="AT219" i="2"/>
  <c r="AV219" i="2"/>
  <c r="AW219" i="2"/>
  <c r="AR220" i="2"/>
  <c r="AS220" i="2"/>
  <c r="AT220" i="2"/>
  <c r="AV220" i="2"/>
  <c r="AW220" i="2"/>
  <c r="AR221" i="2"/>
  <c r="AS221" i="2"/>
  <c r="AT221" i="2"/>
  <c r="AV221" i="2"/>
  <c r="AW221" i="2"/>
  <c r="AR222" i="2"/>
  <c r="AS222" i="2"/>
  <c r="AT222" i="2"/>
  <c r="AV222" i="2"/>
  <c r="AW222" i="2"/>
  <c r="AR223" i="2"/>
  <c r="AS223" i="2"/>
  <c r="AT223" i="2"/>
  <c r="AV223" i="2"/>
  <c r="AW223" i="2"/>
  <c r="AR224" i="2"/>
  <c r="AS224" i="2"/>
  <c r="AT224" i="2"/>
  <c r="AV224" i="2"/>
  <c r="AW224" i="2"/>
  <c r="AR225" i="2"/>
  <c r="AS225" i="2"/>
  <c r="AT225" i="2"/>
  <c r="AV225" i="2"/>
  <c r="AW225" i="2"/>
  <c r="AR226" i="2"/>
  <c r="AS226" i="2"/>
  <c r="AT226" i="2"/>
  <c r="AV226" i="2"/>
  <c r="AW226" i="2"/>
  <c r="AR227" i="2"/>
  <c r="AS227" i="2"/>
  <c r="AT227" i="2"/>
  <c r="AV227" i="2"/>
  <c r="AW227" i="2"/>
  <c r="AR228" i="2"/>
  <c r="AS228" i="2"/>
  <c r="AT228" i="2"/>
  <c r="AV228" i="2"/>
  <c r="AW228" i="2"/>
  <c r="AR229" i="2"/>
  <c r="AS229" i="2"/>
  <c r="AT229" i="2"/>
  <c r="AV229" i="2"/>
  <c r="AW229" i="2"/>
  <c r="AR230" i="2"/>
  <c r="AS230" i="2"/>
  <c r="AT230" i="2"/>
  <c r="AV230" i="2"/>
  <c r="AW230" i="2"/>
  <c r="AR231" i="2"/>
  <c r="AS231" i="2"/>
  <c r="AT231" i="2"/>
  <c r="AV231" i="2"/>
  <c r="AW231" i="2"/>
  <c r="AR232" i="2"/>
  <c r="AS232" i="2"/>
  <c r="AT232" i="2"/>
  <c r="AV232" i="2"/>
  <c r="AW232" i="2"/>
  <c r="AR233" i="2"/>
  <c r="AS233" i="2"/>
  <c r="AT233" i="2"/>
  <c r="AV233" i="2"/>
  <c r="AW233" i="2"/>
  <c r="AR234" i="2"/>
  <c r="AS234" i="2"/>
  <c r="AT234" i="2"/>
  <c r="AV234" i="2"/>
  <c r="AW234" i="2"/>
  <c r="AR235" i="2"/>
  <c r="AS235" i="2"/>
  <c r="AT235" i="2"/>
  <c r="AV235" i="2"/>
  <c r="AW235" i="2"/>
  <c r="AR236" i="2"/>
  <c r="AS236" i="2"/>
  <c r="AT236" i="2"/>
  <c r="AV236" i="2"/>
  <c r="AW236" i="2"/>
  <c r="AR237" i="2"/>
  <c r="AS237" i="2"/>
  <c r="AT237" i="2"/>
  <c r="AV237" i="2"/>
  <c r="AW237" i="2"/>
  <c r="AR238" i="2"/>
  <c r="AS238" i="2"/>
  <c r="AT238" i="2"/>
  <c r="AV238" i="2"/>
  <c r="AW238" i="2"/>
  <c r="AR239" i="2"/>
  <c r="AS239" i="2"/>
  <c r="AT239" i="2"/>
  <c r="AV239" i="2"/>
  <c r="AW239" i="2"/>
  <c r="AR240" i="2"/>
  <c r="AS240" i="2"/>
  <c r="AT240" i="2"/>
  <c r="AV240" i="2"/>
  <c r="AW240" i="2"/>
  <c r="AR241" i="2"/>
  <c r="AS241" i="2"/>
  <c r="AT241" i="2"/>
  <c r="AV241" i="2"/>
  <c r="AW241" i="2"/>
  <c r="AR242" i="2"/>
  <c r="AS242" i="2"/>
  <c r="AT242" i="2"/>
  <c r="AV242" i="2"/>
  <c r="AW242" i="2"/>
  <c r="AR243" i="2"/>
  <c r="AS243" i="2"/>
  <c r="AT243" i="2"/>
  <c r="AV243" i="2"/>
  <c r="AW243" i="2"/>
  <c r="AR244" i="2"/>
  <c r="AS244" i="2"/>
  <c r="AT244" i="2"/>
  <c r="AV244" i="2"/>
  <c r="AW244" i="2"/>
  <c r="AS246" i="2"/>
  <c r="AT246" i="2"/>
  <c r="AV246" i="2"/>
  <c r="AW246" i="2"/>
  <c r="AI6" i="8"/>
  <c r="AJ6" i="8"/>
  <c r="AK6" i="8"/>
  <c r="J7" i="8"/>
  <c r="K7" i="8"/>
  <c r="L7" i="8"/>
  <c r="M7" i="8"/>
  <c r="AI7" i="8"/>
  <c r="AJ7" i="8"/>
  <c r="AK7" i="8"/>
  <c r="L8" i="8"/>
  <c r="M8" i="8"/>
  <c r="AI8" i="8"/>
  <c r="AJ8" i="8"/>
  <c r="AK8" i="8"/>
  <c r="K9" i="8"/>
  <c r="M9" i="8"/>
  <c r="AI9" i="8"/>
  <c r="AJ9" i="8"/>
  <c r="AK9" i="8"/>
  <c r="S11" i="8"/>
  <c r="T11" i="8"/>
  <c r="U11" i="8"/>
  <c r="W11" i="8"/>
  <c r="X11" i="8"/>
  <c r="Z11" i="8"/>
  <c r="AA11" i="8"/>
  <c r="AB11" i="8"/>
  <c r="AD11" i="8"/>
  <c r="AE11" i="8"/>
  <c r="AF11" i="8"/>
  <c r="AG11" i="8"/>
  <c r="AH11" i="8"/>
  <c r="AI11" i="8"/>
  <c r="AJ11" i="8"/>
  <c r="AK11" i="8"/>
  <c r="I12" i="8"/>
  <c r="J12" i="8"/>
  <c r="K12" i="8"/>
  <c r="M12" i="8"/>
  <c r="S12" i="8"/>
  <c r="T12" i="8"/>
  <c r="U12" i="8"/>
  <c r="W12" i="8"/>
  <c r="X12" i="8"/>
  <c r="Z12" i="8"/>
  <c r="AA12" i="8"/>
  <c r="AB12" i="8"/>
  <c r="AD12" i="8"/>
  <c r="AE12" i="8"/>
  <c r="AF12" i="8"/>
  <c r="AG12" i="8"/>
  <c r="AH12" i="8"/>
  <c r="AI12" i="8"/>
  <c r="AJ12" i="8"/>
  <c r="AK12" i="8"/>
  <c r="S13" i="8"/>
  <c r="T13" i="8"/>
  <c r="U13" i="8"/>
  <c r="W13" i="8"/>
  <c r="X13" i="8"/>
  <c r="Z13" i="8"/>
  <c r="AA13" i="8"/>
  <c r="AB13" i="8"/>
  <c r="AD13" i="8"/>
  <c r="AE13" i="8"/>
  <c r="AF13" i="8"/>
  <c r="AG13" i="8"/>
  <c r="AH13" i="8"/>
  <c r="AI13" i="8"/>
  <c r="AJ13" i="8"/>
  <c r="AK13" i="8"/>
  <c r="I14" i="8"/>
  <c r="K14" i="8"/>
  <c r="M14" i="8"/>
  <c r="S14" i="8"/>
  <c r="T14" i="8"/>
  <c r="U14" i="8"/>
  <c r="W14" i="8"/>
  <c r="X14" i="8"/>
  <c r="Z14" i="8"/>
  <c r="AA14" i="8"/>
  <c r="AB14" i="8"/>
  <c r="AD14" i="8"/>
  <c r="AE14" i="8"/>
  <c r="AF14" i="8"/>
  <c r="AG14" i="8"/>
  <c r="AH14" i="8"/>
  <c r="AI14" i="8"/>
  <c r="AJ14" i="8"/>
  <c r="AK14" i="8"/>
  <c r="K16" i="8"/>
  <c r="M16" i="8"/>
  <c r="S16" i="8"/>
  <c r="T16" i="8"/>
  <c r="U16" i="8"/>
  <c r="W16" i="8"/>
  <c r="X16" i="8"/>
  <c r="Z16" i="8"/>
  <c r="AA16" i="8"/>
  <c r="AB16" i="8"/>
  <c r="AD16" i="8"/>
  <c r="AE16" i="8"/>
  <c r="AF16" i="8"/>
  <c r="AG16" i="8"/>
  <c r="AH16" i="8"/>
  <c r="AI16" i="8"/>
  <c r="AJ16" i="8"/>
  <c r="AK16" i="8"/>
  <c r="S17" i="8"/>
  <c r="T17" i="8"/>
  <c r="U17" i="8"/>
  <c r="W17" i="8"/>
  <c r="X17" i="8"/>
  <c r="Z17" i="8"/>
  <c r="AA17" i="8"/>
  <c r="AB17" i="8"/>
  <c r="AD17" i="8"/>
  <c r="AE17" i="8"/>
  <c r="AF17" i="8"/>
  <c r="AG17" i="8"/>
  <c r="AH17" i="8"/>
  <c r="AI17" i="8"/>
  <c r="AJ17" i="8"/>
  <c r="AK17" i="8"/>
  <c r="S18" i="8"/>
  <c r="T18" i="8"/>
  <c r="U18" i="8"/>
  <c r="W18" i="8"/>
  <c r="X18" i="8"/>
  <c r="Z18" i="8"/>
  <c r="AA18" i="8"/>
  <c r="AB18" i="8"/>
  <c r="AD18" i="8"/>
  <c r="AE18" i="8"/>
  <c r="AF18" i="8"/>
  <c r="AG18" i="8"/>
  <c r="AH18" i="8"/>
  <c r="AI18" i="8"/>
  <c r="AJ18" i="8"/>
  <c r="AK18" i="8"/>
  <c r="M19" i="8"/>
  <c r="S19" i="8"/>
  <c r="T19" i="8"/>
  <c r="U19" i="8"/>
  <c r="W19" i="8"/>
  <c r="X19" i="8"/>
  <c r="Z19" i="8"/>
  <c r="AA19" i="8"/>
  <c r="AB19" i="8"/>
  <c r="AD19" i="8"/>
  <c r="AE19" i="8"/>
  <c r="AF19" i="8"/>
  <c r="AG19" i="8"/>
  <c r="AH19" i="8"/>
  <c r="AI19" i="8"/>
  <c r="AJ19" i="8"/>
  <c r="AK19" i="8"/>
  <c r="J20" i="8"/>
  <c r="M20" i="8"/>
  <c r="J21" i="8"/>
  <c r="M21" i="8"/>
  <c r="S21" i="8"/>
  <c r="T21" i="8"/>
  <c r="U21" i="8"/>
  <c r="W21" i="8"/>
  <c r="X21" i="8"/>
  <c r="Z21" i="8"/>
  <c r="AA21" i="8"/>
  <c r="AB21" i="8"/>
  <c r="AD21" i="8"/>
  <c r="AE21" i="8"/>
  <c r="AF21" i="8"/>
  <c r="AG21" i="8"/>
  <c r="AH21" i="8"/>
  <c r="AI21" i="8"/>
  <c r="AJ21" i="8"/>
  <c r="AK21" i="8"/>
  <c r="K22" i="8"/>
  <c r="S22" i="8"/>
  <c r="T22" i="8"/>
  <c r="U22" i="8"/>
  <c r="W22" i="8"/>
  <c r="X22" i="8"/>
  <c r="Z22" i="8"/>
  <c r="AA22" i="8"/>
  <c r="AB22" i="8"/>
  <c r="AD22" i="8"/>
  <c r="AE22" i="8"/>
  <c r="AF22" i="8"/>
  <c r="AG22" i="8"/>
  <c r="AH22" i="8"/>
  <c r="AI22" i="8"/>
  <c r="AJ22" i="8"/>
  <c r="AK22" i="8"/>
  <c r="S23" i="8"/>
  <c r="T23" i="8"/>
  <c r="U23" i="8"/>
  <c r="W23" i="8"/>
  <c r="X23" i="8"/>
  <c r="Z23" i="8"/>
  <c r="AA23" i="8"/>
  <c r="AB23" i="8"/>
  <c r="AD23" i="8"/>
  <c r="AE23" i="8"/>
  <c r="AF23" i="8"/>
  <c r="AG23" i="8"/>
  <c r="AH23" i="8"/>
  <c r="AI23" i="8"/>
  <c r="AJ23" i="8"/>
  <c r="AK23" i="8"/>
  <c r="S24" i="8"/>
  <c r="T24" i="8"/>
  <c r="U24" i="8"/>
  <c r="W24" i="8"/>
  <c r="X24" i="8"/>
  <c r="Z24" i="8"/>
  <c r="AA24" i="8"/>
  <c r="AB24" i="8"/>
  <c r="AD24" i="8"/>
  <c r="AE24" i="8"/>
  <c r="AF24" i="8"/>
  <c r="AG24" i="8"/>
  <c r="AH24" i="8"/>
  <c r="AI24" i="8"/>
  <c r="AJ24" i="8"/>
  <c r="AK24" i="8"/>
  <c r="K26" i="8"/>
  <c r="L26" i="8"/>
  <c r="M26" i="8"/>
  <c r="S26" i="8"/>
  <c r="T26" i="8"/>
  <c r="U26" i="8"/>
  <c r="W26" i="8"/>
  <c r="X26" i="8"/>
  <c r="Z26" i="8"/>
  <c r="AA26" i="8"/>
  <c r="AB26" i="8"/>
  <c r="AD26" i="8"/>
  <c r="AE26" i="8"/>
  <c r="AF26" i="8"/>
  <c r="AG26" i="8"/>
  <c r="AH26" i="8"/>
  <c r="AI26" i="8"/>
  <c r="AJ26" i="8"/>
  <c r="AK26" i="8"/>
  <c r="S27" i="8"/>
  <c r="T27" i="8"/>
  <c r="U27" i="8"/>
  <c r="W27" i="8"/>
  <c r="X27" i="8"/>
  <c r="Z27" i="8"/>
  <c r="AA27" i="8"/>
  <c r="AB27" i="8"/>
  <c r="AD27" i="8"/>
  <c r="AE27" i="8"/>
  <c r="AF27" i="8"/>
  <c r="AG27" i="8"/>
  <c r="AH27" i="8"/>
  <c r="AI27" i="8"/>
  <c r="AJ27" i="8"/>
  <c r="AK27" i="8"/>
  <c r="L28" i="8"/>
  <c r="M28" i="8"/>
  <c r="S28" i="8"/>
  <c r="T28" i="8"/>
  <c r="U28" i="8"/>
  <c r="W28" i="8"/>
  <c r="X28" i="8"/>
  <c r="Z28" i="8"/>
  <c r="AA28" i="8"/>
  <c r="AB28" i="8"/>
  <c r="AD28" i="8"/>
  <c r="AE28" i="8"/>
  <c r="AF28" i="8"/>
  <c r="AG28" i="8"/>
  <c r="AH28" i="8"/>
  <c r="AI28" i="8"/>
  <c r="AJ28" i="8"/>
  <c r="AK28" i="8"/>
  <c r="S29" i="8"/>
  <c r="T29" i="8"/>
  <c r="U29" i="8"/>
  <c r="W29" i="8"/>
  <c r="X29" i="8"/>
  <c r="Z29" i="8"/>
  <c r="AA29" i="8"/>
  <c r="AB29" i="8"/>
  <c r="AD29" i="8"/>
  <c r="AE29" i="8"/>
  <c r="AF29" i="8"/>
  <c r="AG29" i="8"/>
  <c r="AH29" i="8"/>
  <c r="AI29" i="8"/>
  <c r="AJ29" i="8"/>
  <c r="AK29" i="8"/>
  <c r="S31" i="8"/>
  <c r="T31" i="8"/>
  <c r="U31" i="8"/>
  <c r="W31" i="8"/>
  <c r="X31" i="8"/>
  <c r="Z31" i="8"/>
  <c r="AA31" i="8"/>
  <c r="AB31" i="8"/>
  <c r="AD31" i="8"/>
  <c r="AE31" i="8"/>
  <c r="AF31" i="8"/>
  <c r="AG31" i="8"/>
  <c r="AH31" i="8"/>
  <c r="AI31" i="8"/>
  <c r="AJ31" i="8"/>
  <c r="AK31" i="8"/>
  <c r="S32" i="8"/>
  <c r="T32" i="8"/>
  <c r="U32" i="8"/>
  <c r="W32" i="8"/>
  <c r="X32" i="8"/>
  <c r="Z32" i="8"/>
  <c r="AA32" i="8"/>
  <c r="AB32" i="8"/>
  <c r="AD32" i="8"/>
  <c r="AE32" i="8"/>
  <c r="AF32" i="8"/>
  <c r="AG32" i="8"/>
  <c r="AH32" i="8"/>
  <c r="AI32" i="8"/>
  <c r="AJ32" i="8"/>
  <c r="AK32" i="8"/>
  <c r="J33" i="8"/>
  <c r="K33" i="8"/>
  <c r="S33" i="8"/>
  <c r="T33" i="8"/>
  <c r="U33" i="8"/>
  <c r="W33" i="8"/>
  <c r="X33" i="8"/>
  <c r="Z33" i="8"/>
  <c r="AA33" i="8"/>
  <c r="AB33" i="8"/>
  <c r="AD33" i="8"/>
  <c r="AE33" i="8"/>
  <c r="AF33" i="8"/>
  <c r="AG33" i="8"/>
  <c r="AH33" i="8"/>
  <c r="AI33" i="8"/>
  <c r="AJ33" i="8"/>
  <c r="AK33" i="8"/>
  <c r="J34" i="8"/>
  <c r="K34" i="8"/>
  <c r="S34" i="8"/>
  <c r="T34" i="8"/>
  <c r="U34" i="8"/>
  <c r="W34" i="8"/>
  <c r="X34" i="8"/>
  <c r="Z34" i="8"/>
  <c r="AA34" i="8"/>
  <c r="AB34" i="8"/>
  <c r="AD34" i="8"/>
  <c r="AE34" i="8"/>
  <c r="AF34" i="8"/>
  <c r="AG34" i="8"/>
  <c r="AH34" i="8"/>
  <c r="AI34" i="8"/>
  <c r="AJ34" i="8"/>
  <c r="AK34" i="8"/>
  <c r="J35" i="8"/>
  <c r="K35" i="8"/>
  <c r="J36" i="8"/>
  <c r="K36" i="8"/>
  <c r="S36" i="8"/>
  <c r="T36" i="8"/>
  <c r="U36" i="8"/>
  <c r="W36" i="8"/>
  <c r="X36" i="8"/>
  <c r="Z36" i="8"/>
  <c r="AA36" i="8"/>
  <c r="AB36" i="8"/>
  <c r="AD36" i="8"/>
  <c r="AE36" i="8"/>
  <c r="AF36" i="8"/>
  <c r="AG36" i="8"/>
  <c r="AH36" i="8"/>
  <c r="AI36" i="8"/>
  <c r="AJ36" i="8"/>
  <c r="AK36" i="8"/>
  <c r="J37" i="8"/>
  <c r="K37" i="8"/>
  <c r="S37" i="8"/>
  <c r="T37" i="8"/>
  <c r="U37" i="8"/>
  <c r="W37" i="8"/>
  <c r="X37" i="8"/>
  <c r="Z37" i="8"/>
  <c r="AA37" i="8"/>
  <c r="AB37" i="8"/>
  <c r="AD37" i="8"/>
  <c r="AE37" i="8"/>
  <c r="AF37" i="8"/>
  <c r="AG37" i="8"/>
  <c r="AH37" i="8"/>
  <c r="AI37" i="8"/>
  <c r="AJ37" i="8"/>
  <c r="AK37" i="8"/>
  <c r="S38" i="8"/>
  <c r="T38" i="8"/>
  <c r="U38" i="8"/>
  <c r="W38" i="8"/>
  <c r="X38" i="8"/>
  <c r="Z38" i="8"/>
  <c r="AA38" i="8"/>
  <c r="AB38" i="8"/>
  <c r="AD38" i="8"/>
  <c r="AE38" i="8"/>
  <c r="AF38" i="8"/>
  <c r="AG38" i="8"/>
  <c r="AH38" i="8"/>
  <c r="AI38" i="8"/>
  <c r="AJ38" i="8"/>
  <c r="AK38" i="8"/>
  <c r="S39" i="8"/>
  <c r="T39" i="8"/>
  <c r="U39" i="8"/>
  <c r="W39" i="8"/>
  <c r="X39" i="8"/>
  <c r="Z39" i="8"/>
  <c r="AA39" i="8"/>
  <c r="AB39" i="8"/>
  <c r="AD39" i="8"/>
  <c r="AE39" i="8"/>
  <c r="AF39" i="8"/>
  <c r="AG39" i="8"/>
  <c r="AH39" i="8"/>
  <c r="AI39" i="8"/>
  <c r="AJ39" i="8"/>
  <c r="AK39" i="8"/>
  <c r="K43" i="8"/>
  <c r="V43" i="8"/>
  <c r="K44" i="8"/>
  <c r="V44" i="8"/>
  <c r="K45" i="8"/>
  <c r="V45" i="8"/>
  <c r="K46" i="8"/>
  <c r="K47" i="8"/>
  <c r="R47" i="8"/>
  <c r="R48" i="8"/>
  <c r="J49" i="8"/>
  <c r="R50" i="8"/>
  <c r="Y62" i="8"/>
  <c r="Z62" i="8"/>
  <c r="Y63" i="8"/>
  <c r="Z63" i="8"/>
  <c r="Y64" i="8"/>
  <c r="Z64" i="8"/>
  <c r="Y65" i="8"/>
  <c r="Z65" i="8"/>
  <c r="Y66" i="8"/>
  <c r="Z66" i="8"/>
  <c r="AI6" i="9"/>
  <c r="AJ6" i="9"/>
  <c r="AK6" i="9"/>
  <c r="J7" i="9"/>
  <c r="K7" i="9"/>
  <c r="L7" i="9"/>
  <c r="M7" i="9"/>
  <c r="AI7" i="9"/>
  <c r="AJ7" i="9"/>
  <c r="AK7" i="9"/>
  <c r="L8" i="9"/>
  <c r="M8" i="9"/>
  <c r="AI8" i="9"/>
  <c r="AJ8" i="9"/>
  <c r="AK8" i="9"/>
  <c r="K9" i="9"/>
  <c r="M9" i="9"/>
  <c r="AI9" i="9"/>
  <c r="AJ9" i="9"/>
  <c r="AK9" i="9"/>
  <c r="S11" i="9"/>
  <c r="T11" i="9"/>
  <c r="U11" i="9"/>
  <c r="W11" i="9"/>
  <c r="X11" i="9"/>
  <c r="Z11" i="9"/>
  <c r="AA11" i="9"/>
  <c r="AB11" i="9"/>
  <c r="AD11" i="9"/>
  <c r="AE11" i="9"/>
  <c r="AF11" i="9"/>
  <c r="AG11" i="9"/>
  <c r="AH11" i="9"/>
  <c r="AI11" i="9"/>
  <c r="AJ11" i="9"/>
  <c r="AK11" i="9"/>
  <c r="I12" i="9"/>
  <c r="J12" i="9"/>
  <c r="K12" i="9"/>
  <c r="M12" i="9"/>
  <c r="S12" i="9"/>
  <c r="T12" i="9"/>
  <c r="U12" i="9"/>
  <c r="W12" i="9"/>
  <c r="X12" i="9"/>
  <c r="Z12" i="9"/>
  <c r="AA12" i="9"/>
  <c r="AB12" i="9"/>
  <c r="AD12" i="9"/>
  <c r="AE12" i="9"/>
  <c r="AF12" i="9"/>
  <c r="AG12" i="9"/>
  <c r="AH12" i="9"/>
  <c r="AI12" i="9"/>
  <c r="AJ12" i="9"/>
  <c r="AK12" i="9"/>
  <c r="S13" i="9"/>
  <c r="T13" i="9"/>
  <c r="U13" i="9"/>
  <c r="W13" i="9"/>
  <c r="X13" i="9"/>
  <c r="Z13" i="9"/>
  <c r="AA13" i="9"/>
  <c r="AB13" i="9"/>
  <c r="AD13" i="9"/>
  <c r="AE13" i="9"/>
  <c r="AF13" i="9"/>
  <c r="AG13" i="9"/>
  <c r="AH13" i="9"/>
  <c r="AI13" i="9"/>
  <c r="AJ13" i="9"/>
  <c r="AK13" i="9"/>
  <c r="I14" i="9"/>
  <c r="K14" i="9"/>
  <c r="M14" i="9"/>
  <c r="S14" i="9"/>
  <c r="T14" i="9"/>
  <c r="U14" i="9"/>
  <c r="W14" i="9"/>
  <c r="X14" i="9"/>
  <c r="Z14" i="9"/>
  <c r="AA14" i="9"/>
  <c r="AB14" i="9"/>
  <c r="AD14" i="9"/>
  <c r="AE14" i="9"/>
  <c r="AF14" i="9"/>
  <c r="AG14" i="9"/>
  <c r="AH14" i="9"/>
  <c r="AI14" i="9"/>
  <c r="AJ14" i="9"/>
  <c r="AK14" i="9"/>
  <c r="K16" i="9"/>
  <c r="M16" i="9"/>
  <c r="S16" i="9"/>
  <c r="T16" i="9"/>
  <c r="U16" i="9"/>
  <c r="W16" i="9"/>
  <c r="X16" i="9"/>
  <c r="Z16" i="9"/>
  <c r="AA16" i="9"/>
  <c r="AB16" i="9"/>
  <c r="AD16" i="9"/>
  <c r="AE16" i="9"/>
  <c r="AF16" i="9"/>
  <c r="AG16" i="9"/>
  <c r="AH16" i="9"/>
  <c r="AI16" i="9"/>
  <c r="AJ16" i="9"/>
  <c r="AK16" i="9"/>
  <c r="S17" i="9"/>
  <c r="T17" i="9"/>
  <c r="U17" i="9"/>
  <c r="W17" i="9"/>
  <c r="X17" i="9"/>
  <c r="Z17" i="9"/>
  <c r="AA17" i="9"/>
  <c r="AB17" i="9"/>
  <c r="AD17" i="9"/>
  <c r="AE17" i="9"/>
  <c r="AF17" i="9"/>
  <c r="AG17" i="9"/>
  <c r="AH17" i="9"/>
  <c r="AI17" i="9"/>
  <c r="AJ17" i="9"/>
  <c r="AK17" i="9"/>
  <c r="S18" i="9"/>
  <c r="T18" i="9"/>
  <c r="U18" i="9"/>
  <c r="W18" i="9"/>
  <c r="X18" i="9"/>
  <c r="Z18" i="9"/>
  <c r="AA18" i="9"/>
  <c r="AB18" i="9"/>
  <c r="AD18" i="9"/>
  <c r="AE18" i="9"/>
  <c r="AF18" i="9"/>
  <c r="AG18" i="9"/>
  <c r="AH18" i="9"/>
  <c r="AI18" i="9"/>
  <c r="AJ18" i="9"/>
  <c r="AK18" i="9"/>
  <c r="M19" i="9"/>
  <c r="S19" i="9"/>
  <c r="T19" i="9"/>
  <c r="U19" i="9"/>
  <c r="W19" i="9"/>
  <c r="X19" i="9"/>
  <c r="Z19" i="9"/>
  <c r="AA19" i="9"/>
  <c r="AB19" i="9"/>
  <c r="AD19" i="9"/>
  <c r="AE19" i="9"/>
  <c r="AF19" i="9"/>
  <c r="AG19" i="9"/>
  <c r="AH19" i="9"/>
  <c r="AI19" i="9"/>
  <c r="AJ19" i="9"/>
  <c r="AK19" i="9"/>
  <c r="J20" i="9"/>
  <c r="M20" i="9"/>
  <c r="J21" i="9"/>
  <c r="M21" i="9"/>
  <c r="S21" i="9"/>
  <c r="T21" i="9"/>
  <c r="U21" i="9"/>
  <c r="W21" i="9"/>
  <c r="X21" i="9"/>
  <c r="Z21" i="9"/>
  <c r="AA21" i="9"/>
  <c r="AB21" i="9"/>
  <c r="AD21" i="9"/>
  <c r="AE21" i="9"/>
  <c r="AF21" i="9"/>
  <c r="AG21" i="9"/>
  <c r="AH21" i="9"/>
  <c r="AI21" i="9"/>
  <c r="AJ21" i="9"/>
  <c r="AK21" i="9"/>
  <c r="E22" i="9"/>
  <c r="K22" i="9"/>
  <c r="S22" i="9"/>
  <c r="T22" i="9"/>
  <c r="U22" i="9"/>
  <c r="W22" i="9"/>
  <c r="X22" i="9"/>
  <c r="Z22" i="9"/>
  <c r="AA22" i="9"/>
  <c r="AB22" i="9"/>
  <c r="AD22" i="9"/>
  <c r="AE22" i="9"/>
  <c r="AF22" i="9"/>
  <c r="AG22" i="9"/>
  <c r="AH22" i="9"/>
  <c r="AI22" i="9"/>
  <c r="AJ22" i="9"/>
  <c r="AK22" i="9"/>
  <c r="S23" i="9"/>
  <c r="T23" i="9"/>
  <c r="U23" i="9"/>
  <c r="W23" i="9"/>
  <c r="X23" i="9"/>
  <c r="Z23" i="9"/>
  <c r="AA23" i="9"/>
  <c r="AB23" i="9"/>
  <c r="AD23" i="9"/>
  <c r="AE23" i="9"/>
  <c r="AF23" i="9"/>
  <c r="AG23" i="9"/>
  <c r="AH23" i="9"/>
  <c r="AI23" i="9"/>
  <c r="AJ23" i="9"/>
  <c r="AK23" i="9"/>
  <c r="S24" i="9"/>
  <c r="T24" i="9"/>
  <c r="U24" i="9"/>
  <c r="W24" i="9"/>
  <c r="X24" i="9"/>
  <c r="Z24" i="9"/>
  <c r="AA24" i="9"/>
  <c r="AB24" i="9"/>
  <c r="AD24" i="9"/>
  <c r="AE24" i="9"/>
  <c r="AF24" i="9"/>
  <c r="AG24" i="9"/>
  <c r="AH24" i="9"/>
  <c r="AI24" i="9"/>
  <c r="AJ24" i="9"/>
  <c r="AK24" i="9"/>
  <c r="K26" i="9"/>
  <c r="L26" i="9"/>
  <c r="M26" i="9"/>
  <c r="S26" i="9"/>
  <c r="T26" i="9"/>
  <c r="U26" i="9"/>
  <c r="W26" i="9"/>
  <c r="X26" i="9"/>
  <c r="Z26" i="9"/>
  <c r="AA26" i="9"/>
  <c r="AB26" i="9"/>
  <c r="AD26" i="9"/>
  <c r="AE26" i="9"/>
  <c r="AF26" i="9"/>
  <c r="AG26" i="9"/>
  <c r="AH26" i="9"/>
  <c r="AI26" i="9"/>
  <c r="AJ26" i="9"/>
  <c r="AK26" i="9"/>
  <c r="S27" i="9"/>
  <c r="T27" i="9"/>
  <c r="U27" i="9"/>
  <c r="W27" i="9"/>
  <c r="X27" i="9"/>
  <c r="Z27" i="9"/>
  <c r="AA27" i="9"/>
  <c r="AB27" i="9"/>
  <c r="AD27" i="9"/>
  <c r="AE27" i="9"/>
  <c r="AF27" i="9"/>
  <c r="AG27" i="9"/>
  <c r="AH27" i="9"/>
  <c r="AI27" i="9"/>
  <c r="AJ27" i="9"/>
  <c r="AK27" i="9"/>
  <c r="L28" i="9"/>
  <c r="M28" i="9"/>
  <c r="S28" i="9"/>
  <c r="T28" i="9"/>
  <c r="U28" i="9"/>
  <c r="W28" i="9"/>
  <c r="X28" i="9"/>
  <c r="Z28" i="9"/>
  <c r="AA28" i="9"/>
  <c r="AB28" i="9"/>
  <c r="AD28" i="9"/>
  <c r="AE28" i="9"/>
  <c r="AF28" i="9"/>
  <c r="AG28" i="9"/>
  <c r="AH28" i="9"/>
  <c r="AI28" i="9"/>
  <c r="AJ28" i="9"/>
  <c r="AK28" i="9"/>
  <c r="S29" i="9"/>
  <c r="T29" i="9"/>
  <c r="U29" i="9"/>
  <c r="W29" i="9"/>
  <c r="X29" i="9"/>
  <c r="Z29" i="9"/>
  <c r="AA29" i="9"/>
  <c r="AB29" i="9"/>
  <c r="AD29" i="9"/>
  <c r="AE29" i="9"/>
  <c r="AF29" i="9"/>
  <c r="AG29" i="9"/>
  <c r="AH29" i="9"/>
  <c r="AI29" i="9"/>
  <c r="AJ29" i="9"/>
  <c r="AK29" i="9"/>
  <c r="S31" i="9"/>
  <c r="T31" i="9"/>
  <c r="U31" i="9"/>
  <c r="W31" i="9"/>
  <c r="X31" i="9"/>
  <c r="Z31" i="9"/>
  <c r="AA31" i="9"/>
  <c r="AB31" i="9"/>
  <c r="AD31" i="9"/>
  <c r="AE31" i="9"/>
  <c r="AF31" i="9"/>
  <c r="AG31" i="9"/>
  <c r="AH31" i="9"/>
  <c r="AI31" i="9"/>
  <c r="AJ31" i="9"/>
  <c r="AK31" i="9"/>
  <c r="S32" i="9"/>
  <c r="T32" i="9"/>
  <c r="U32" i="9"/>
  <c r="W32" i="9"/>
  <c r="X32" i="9"/>
  <c r="Z32" i="9"/>
  <c r="AA32" i="9"/>
  <c r="AB32" i="9"/>
  <c r="AD32" i="9"/>
  <c r="AE32" i="9"/>
  <c r="AF32" i="9"/>
  <c r="AG32" i="9"/>
  <c r="AH32" i="9"/>
  <c r="AI32" i="9"/>
  <c r="AJ32" i="9"/>
  <c r="AK32" i="9"/>
  <c r="J33" i="9"/>
  <c r="K33" i="9"/>
  <c r="S33" i="9"/>
  <c r="T33" i="9"/>
  <c r="U33" i="9"/>
  <c r="W33" i="9"/>
  <c r="X33" i="9"/>
  <c r="Z33" i="9"/>
  <c r="AA33" i="9"/>
  <c r="AB33" i="9"/>
  <c r="AD33" i="9"/>
  <c r="AE33" i="9"/>
  <c r="AF33" i="9"/>
  <c r="AG33" i="9"/>
  <c r="AH33" i="9"/>
  <c r="AI33" i="9"/>
  <c r="AJ33" i="9"/>
  <c r="AK33" i="9"/>
  <c r="J34" i="9"/>
  <c r="K34" i="9"/>
  <c r="S34" i="9"/>
  <c r="T34" i="9"/>
  <c r="U34" i="9"/>
  <c r="W34" i="9"/>
  <c r="X34" i="9"/>
  <c r="Z34" i="9"/>
  <c r="AA34" i="9"/>
  <c r="AB34" i="9"/>
  <c r="AD34" i="9"/>
  <c r="AE34" i="9"/>
  <c r="AF34" i="9"/>
  <c r="AG34" i="9"/>
  <c r="AH34" i="9"/>
  <c r="AI34" i="9"/>
  <c r="AJ34" i="9"/>
  <c r="AK34" i="9"/>
  <c r="J35" i="9"/>
  <c r="K35" i="9"/>
  <c r="J36" i="9"/>
  <c r="K36" i="9"/>
  <c r="S36" i="9"/>
  <c r="T36" i="9"/>
  <c r="U36" i="9"/>
  <c r="W36" i="9"/>
  <c r="X36" i="9"/>
  <c r="Z36" i="9"/>
  <c r="AA36" i="9"/>
  <c r="AB36" i="9"/>
  <c r="AD36" i="9"/>
  <c r="AE36" i="9"/>
  <c r="AF36" i="9"/>
  <c r="AG36" i="9"/>
  <c r="AH36" i="9"/>
  <c r="AI36" i="9"/>
  <c r="AJ36" i="9"/>
  <c r="AK36" i="9"/>
  <c r="J37" i="9"/>
  <c r="K37" i="9"/>
  <c r="S37" i="9"/>
  <c r="T37" i="9"/>
  <c r="U37" i="9"/>
  <c r="W37" i="9"/>
  <c r="X37" i="9"/>
  <c r="Z37" i="9"/>
  <c r="AA37" i="9"/>
  <c r="AB37" i="9"/>
  <c r="AD37" i="9"/>
  <c r="AE37" i="9"/>
  <c r="AF37" i="9"/>
  <c r="AG37" i="9"/>
  <c r="AH37" i="9"/>
  <c r="AI37" i="9"/>
  <c r="AJ37" i="9"/>
  <c r="AK37" i="9"/>
  <c r="S38" i="9"/>
  <c r="T38" i="9"/>
  <c r="U38" i="9"/>
  <c r="W38" i="9"/>
  <c r="X38" i="9"/>
  <c r="Z38" i="9"/>
  <c r="AA38" i="9"/>
  <c r="AB38" i="9"/>
  <c r="AD38" i="9"/>
  <c r="AE38" i="9"/>
  <c r="AF38" i="9"/>
  <c r="AG38" i="9"/>
  <c r="AH38" i="9"/>
  <c r="AI38" i="9"/>
  <c r="AJ38" i="9"/>
  <c r="AK38" i="9"/>
  <c r="S39" i="9"/>
  <c r="T39" i="9"/>
  <c r="U39" i="9"/>
  <c r="W39" i="9"/>
  <c r="X39" i="9"/>
  <c r="Z39" i="9"/>
  <c r="AA39" i="9"/>
  <c r="AB39" i="9"/>
  <c r="AD39" i="9"/>
  <c r="AE39" i="9"/>
  <c r="AF39" i="9"/>
  <c r="AG39" i="9"/>
  <c r="AH39" i="9"/>
  <c r="AI39" i="9"/>
  <c r="AJ39" i="9"/>
  <c r="AK39" i="9"/>
  <c r="K43" i="9"/>
  <c r="V43" i="9"/>
  <c r="K44" i="9"/>
  <c r="V44" i="9"/>
  <c r="K45" i="9"/>
  <c r="V45" i="9"/>
  <c r="K46" i="9"/>
  <c r="K47" i="9"/>
  <c r="R47" i="9"/>
  <c r="R48" i="9"/>
  <c r="J49" i="9"/>
  <c r="R50" i="9"/>
  <c r="Y62" i="9"/>
  <c r="Z62" i="9"/>
  <c r="Y63" i="9"/>
  <c r="Z63" i="9"/>
  <c r="Y64" i="9"/>
  <c r="Z64" i="9"/>
  <c r="Y65" i="9"/>
  <c r="Z65" i="9"/>
  <c r="Y66" i="9"/>
  <c r="Z66" i="9"/>
  <c r="AI6" i="10"/>
  <c r="AJ6" i="10"/>
  <c r="AK6" i="10"/>
  <c r="J7" i="10"/>
  <c r="K7" i="10"/>
  <c r="L7" i="10"/>
  <c r="M7" i="10"/>
  <c r="AI7" i="10"/>
  <c r="AJ7" i="10"/>
  <c r="AK7" i="10"/>
  <c r="L8" i="10"/>
  <c r="M8" i="10"/>
  <c r="AI8" i="10"/>
  <c r="AJ8" i="10"/>
  <c r="AK8" i="10"/>
  <c r="K9" i="10"/>
  <c r="M9" i="10"/>
  <c r="AI9" i="10"/>
  <c r="AJ9" i="10"/>
  <c r="AK9" i="10"/>
  <c r="S11" i="10"/>
  <c r="T11" i="10"/>
  <c r="U11" i="10"/>
  <c r="W11" i="10"/>
  <c r="X11" i="10"/>
  <c r="Z11" i="10"/>
  <c r="AA11" i="10"/>
  <c r="AB11" i="10"/>
  <c r="AD11" i="10"/>
  <c r="AE11" i="10"/>
  <c r="AF11" i="10"/>
  <c r="AG11" i="10"/>
  <c r="AH11" i="10"/>
  <c r="AI11" i="10"/>
  <c r="AJ11" i="10"/>
  <c r="AK11" i="10"/>
  <c r="I12" i="10"/>
  <c r="J12" i="10"/>
  <c r="K12" i="10"/>
  <c r="M12" i="10"/>
  <c r="S12" i="10"/>
  <c r="T12" i="10"/>
  <c r="U12" i="10"/>
  <c r="W12" i="10"/>
  <c r="X12" i="10"/>
  <c r="Z12" i="10"/>
  <c r="AA12" i="10"/>
  <c r="AB12" i="10"/>
  <c r="AD12" i="10"/>
  <c r="AE12" i="10"/>
  <c r="AF12" i="10"/>
  <c r="AG12" i="10"/>
  <c r="AH12" i="10"/>
  <c r="AI12" i="10"/>
  <c r="AJ12" i="10"/>
  <c r="AK12" i="10"/>
  <c r="S13" i="10"/>
  <c r="T13" i="10"/>
  <c r="U13" i="10"/>
  <c r="W13" i="10"/>
  <c r="X13" i="10"/>
  <c r="Z13" i="10"/>
  <c r="AA13" i="10"/>
  <c r="AB13" i="10"/>
  <c r="AD13" i="10"/>
  <c r="AE13" i="10"/>
  <c r="AF13" i="10"/>
  <c r="AG13" i="10"/>
  <c r="AH13" i="10"/>
  <c r="AI13" i="10"/>
  <c r="AJ13" i="10"/>
  <c r="AK13" i="10"/>
  <c r="I14" i="10"/>
  <c r="K14" i="10"/>
  <c r="M14" i="10"/>
  <c r="S14" i="10"/>
  <c r="T14" i="10"/>
  <c r="U14" i="10"/>
  <c r="W14" i="10"/>
  <c r="X14" i="10"/>
  <c r="Z14" i="10"/>
  <c r="AA14" i="10"/>
  <c r="AB14" i="10"/>
  <c r="AD14" i="10"/>
  <c r="AE14" i="10"/>
  <c r="AF14" i="10"/>
  <c r="AG14" i="10"/>
  <c r="AH14" i="10"/>
  <c r="AI14" i="10"/>
  <c r="AJ14" i="10"/>
  <c r="AK14" i="10"/>
  <c r="K16" i="10"/>
  <c r="M16" i="10"/>
  <c r="S16" i="10"/>
  <c r="T16" i="10"/>
  <c r="U16" i="10"/>
  <c r="W16" i="10"/>
  <c r="X16" i="10"/>
  <c r="Z16" i="10"/>
  <c r="AA16" i="10"/>
  <c r="AB16" i="10"/>
  <c r="AD16" i="10"/>
  <c r="AE16" i="10"/>
  <c r="AF16" i="10"/>
  <c r="AG16" i="10"/>
  <c r="AH16" i="10"/>
  <c r="AI16" i="10"/>
  <c r="AJ16" i="10"/>
  <c r="AK16" i="10"/>
  <c r="S17" i="10"/>
  <c r="T17" i="10"/>
  <c r="U17" i="10"/>
  <c r="W17" i="10"/>
  <c r="X17" i="10"/>
  <c r="Z17" i="10"/>
  <c r="AA17" i="10"/>
  <c r="AB17" i="10"/>
  <c r="AD17" i="10"/>
  <c r="AE17" i="10"/>
  <c r="AF17" i="10"/>
  <c r="AG17" i="10"/>
  <c r="AH17" i="10"/>
  <c r="AI17" i="10"/>
  <c r="AJ17" i="10"/>
  <c r="AK17" i="10"/>
  <c r="S18" i="10"/>
  <c r="T18" i="10"/>
  <c r="U18" i="10"/>
  <c r="W18" i="10"/>
  <c r="X18" i="10"/>
  <c r="Z18" i="10"/>
  <c r="AA18" i="10"/>
  <c r="AB18" i="10"/>
  <c r="AD18" i="10"/>
  <c r="AE18" i="10"/>
  <c r="AF18" i="10"/>
  <c r="AG18" i="10"/>
  <c r="AH18" i="10"/>
  <c r="AI18" i="10"/>
  <c r="AJ18" i="10"/>
  <c r="AK18" i="10"/>
  <c r="M19" i="10"/>
  <c r="S19" i="10"/>
  <c r="T19" i="10"/>
  <c r="U19" i="10"/>
  <c r="W19" i="10"/>
  <c r="X19" i="10"/>
  <c r="Z19" i="10"/>
  <c r="AA19" i="10"/>
  <c r="AB19" i="10"/>
  <c r="AD19" i="10"/>
  <c r="AE19" i="10"/>
  <c r="AF19" i="10"/>
  <c r="AG19" i="10"/>
  <c r="AH19" i="10"/>
  <c r="AI19" i="10"/>
  <c r="AJ19" i="10"/>
  <c r="AK19" i="10"/>
  <c r="J20" i="10"/>
  <c r="M20" i="10"/>
  <c r="J21" i="10"/>
  <c r="M21" i="10"/>
  <c r="S21" i="10"/>
  <c r="T21" i="10"/>
  <c r="U21" i="10"/>
  <c r="W21" i="10"/>
  <c r="X21" i="10"/>
  <c r="Z21" i="10"/>
  <c r="AA21" i="10"/>
  <c r="AB21" i="10"/>
  <c r="AD21" i="10"/>
  <c r="AE21" i="10"/>
  <c r="AF21" i="10"/>
  <c r="AG21" i="10"/>
  <c r="AH21" i="10"/>
  <c r="AI21" i="10"/>
  <c r="AJ21" i="10"/>
  <c r="AK21" i="10"/>
  <c r="E22" i="10"/>
  <c r="K22" i="10"/>
  <c r="S22" i="10"/>
  <c r="T22" i="10"/>
  <c r="U22" i="10"/>
  <c r="W22" i="10"/>
  <c r="X22" i="10"/>
  <c r="Z22" i="10"/>
  <c r="AA22" i="10"/>
  <c r="AB22" i="10"/>
  <c r="AD22" i="10"/>
  <c r="AE22" i="10"/>
  <c r="AF22" i="10"/>
  <c r="AG22" i="10"/>
  <c r="AH22" i="10"/>
  <c r="AI22" i="10"/>
  <c r="AJ22" i="10"/>
  <c r="AK22" i="10"/>
  <c r="S23" i="10"/>
  <c r="T23" i="10"/>
  <c r="U23" i="10"/>
  <c r="W23" i="10"/>
  <c r="X23" i="10"/>
  <c r="Z23" i="10"/>
  <c r="AA23" i="10"/>
  <c r="AB23" i="10"/>
  <c r="AD23" i="10"/>
  <c r="AE23" i="10"/>
  <c r="AF23" i="10"/>
  <c r="AG23" i="10"/>
  <c r="AH23" i="10"/>
  <c r="AI23" i="10"/>
  <c r="AJ23" i="10"/>
  <c r="AK23" i="10"/>
  <c r="S24" i="10"/>
  <c r="T24" i="10"/>
  <c r="U24" i="10"/>
  <c r="W24" i="10"/>
  <c r="X24" i="10"/>
  <c r="Z24" i="10"/>
  <c r="AA24" i="10"/>
  <c r="AB24" i="10"/>
  <c r="AD24" i="10"/>
  <c r="AE24" i="10"/>
  <c r="AF24" i="10"/>
  <c r="AG24" i="10"/>
  <c r="AH24" i="10"/>
  <c r="AI24" i="10"/>
  <c r="AJ24" i="10"/>
  <c r="AK24" i="10"/>
  <c r="K26" i="10"/>
  <c r="L26" i="10"/>
  <c r="M26" i="10"/>
  <c r="S26" i="10"/>
  <c r="T26" i="10"/>
  <c r="U26" i="10"/>
  <c r="W26" i="10"/>
  <c r="X26" i="10"/>
  <c r="Z26" i="10"/>
  <c r="AA26" i="10"/>
  <c r="AB26" i="10"/>
  <c r="AD26" i="10"/>
  <c r="AE26" i="10"/>
  <c r="AF26" i="10"/>
  <c r="AG26" i="10"/>
  <c r="AH26" i="10"/>
  <c r="AI26" i="10"/>
  <c r="AJ26" i="10"/>
  <c r="AK26" i="10"/>
  <c r="S27" i="10"/>
  <c r="T27" i="10"/>
  <c r="U27" i="10"/>
  <c r="W27" i="10"/>
  <c r="X27" i="10"/>
  <c r="Z27" i="10"/>
  <c r="AA27" i="10"/>
  <c r="AB27" i="10"/>
  <c r="AD27" i="10"/>
  <c r="AE27" i="10"/>
  <c r="AF27" i="10"/>
  <c r="AG27" i="10"/>
  <c r="AH27" i="10"/>
  <c r="AI27" i="10"/>
  <c r="AJ27" i="10"/>
  <c r="AK27" i="10"/>
  <c r="L28" i="10"/>
  <c r="M28" i="10"/>
  <c r="S28" i="10"/>
  <c r="T28" i="10"/>
  <c r="U28" i="10"/>
  <c r="W28" i="10"/>
  <c r="X28" i="10"/>
  <c r="Z28" i="10"/>
  <c r="AA28" i="10"/>
  <c r="AB28" i="10"/>
  <c r="AD28" i="10"/>
  <c r="AE28" i="10"/>
  <c r="AF28" i="10"/>
  <c r="AG28" i="10"/>
  <c r="AH28" i="10"/>
  <c r="AI28" i="10"/>
  <c r="AJ28" i="10"/>
  <c r="AK28" i="10"/>
  <c r="S29" i="10"/>
  <c r="T29" i="10"/>
  <c r="U29" i="10"/>
  <c r="W29" i="10"/>
  <c r="X29" i="10"/>
  <c r="Z29" i="10"/>
  <c r="AA29" i="10"/>
  <c r="AB29" i="10"/>
  <c r="AD29" i="10"/>
  <c r="AE29" i="10"/>
  <c r="AF29" i="10"/>
  <c r="AG29" i="10"/>
  <c r="AH29" i="10"/>
  <c r="AI29" i="10"/>
  <c r="AJ29" i="10"/>
  <c r="AK29" i="10"/>
  <c r="S31" i="10"/>
  <c r="T31" i="10"/>
  <c r="U31" i="10"/>
  <c r="W31" i="10"/>
  <c r="X31" i="10"/>
  <c r="Z31" i="10"/>
  <c r="AA31" i="10"/>
  <c r="AB31" i="10"/>
  <c r="AD31" i="10"/>
  <c r="AE31" i="10"/>
  <c r="AF31" i="10"/>
  <c r="AG31" i="10"/>
  <c r="AH31" i="10"/>
  <c r="AI31" i="10"/>
  <c r="AJ31" i="10"/>
  <c r="AK31" i="10"/>
  <c r="S32" i="10"/>
  <c r="T32" i="10"/>
  <c r="U32" i="10"/>
  <c r="W32" i="10"/>
  <c r="X32" i="10"/>
  <c r="Z32" i="10"/>
  <c r="AA32" i="10"/>
  <c r="AB32" i="10"/>
  <c r="AD32" i="10"/>
  <c r="AE32" i="10"/>
  <c r="AF32" i="10"/>
  <c r="AG32" i="10"/>
  <c r="AH32" i="10"/>
  <c r="AI32" i="10"/>
  <c r="AJ32" i="10"/>
  <c r="AK32" i="10"/>
  <c r="J33" i="10"/>
  <c r="K33" i="10"/>
  <c r="S33" i="10"/>
  <c r="T33" i="10"/>
  <c r="U33" i="10"/>
  <c r="W33" i="10"/>
  <c r="X33" i="10"/>
  <c r="Z33" i="10"/>
  <c r="AA33" i="10"/>
  <c r="AB33" i="10"/>
  <c r="AD33" i="10"/>
  <c r="AE33" i="10"/>
  <c r="AF33" i="10"/>
  <c r="AG33" i="10"/>
  <c r="AH33" i="10"/>
  <c r="AI33" i="10"/>
  <c r="AJ33" i="10"/>
  <c r="AK33" i="10"/>
  <c r="J34" i="10"/>
  <c r="K34" i="10"/>
  <c r="S34" i="10"/>
  <c r="T34" i="10"/>
  <c r="U34" i="10"/>
  <c r="W34" i="10"/>
  <c r="X34" i="10"/>
  <c r="Z34" i="10"/>
  <c r="AA34" i="10"/>
  <c r="AB34" i="10"/>
  <c r="AD34" i="10"/>
  <c r="AE34" i="10"/>
  <c r="AF34" i="10"/>
  <c r="AG34" i="10"/>
  <c r="AH34" i="10"/>
  <c r="AI34" i="10"/>
  <c r="AJ34" i="10"/>
  <c r="AK34" i="10"/>
  <c r="J35" i="10"/>
  <c r="K35" i="10"/>
  <c r="J36" i="10"/>
  <c r="K36" i="10"/>
  <c r="S36" i="10"/>
  <c r="T36" i="10"/>
  <c r="U36" i="10"/>
  <c r="W36" i="10"/>
  <c r="X36" i="10"/>
  <c r="Z36" i="10"/>
  <c r="AA36" i="10"/>
  <c r="AB36" i="10"/>
  <c r="AD36" i="10"/>
  <c r="AE36" i="10"/>
  <c r="AF36" i="10"/>
  <c r="AG36" i="10"/>
  <c r="AH36" i="10"/>
  <c r="AI36" i="10"/>
  <c r="AJ36" i="10"/>
  <c r="AK36" i="10"/>
  <c r="J37" i="10"/>
  <c r="K37" i="10"/>
  <c r="S37" i="10"/>
  <c r="T37" i="10"/>
  <c r="U37" i="10"/>
  <c r="W37" i="10"/>
  <c r="X37" i="10"/>
  <c r="Z37" i="10"/>
  <c r="AA37" i="10"/>
  <c r="AB37" i="10"/>
  <c r="AD37" i="10"/>
  <c r="AE37" i="10"/>
  <c r="AF37" i="10"/>
  <c r="AG37" i="10"/>
  <c r="AH37" i="10"/>
  <c r="AI37" i="10"/>
  <c r="AJ37" i="10"/>
  <c r="AK37" i="10"/>
  <c r="S38" i="10"/>
  <c r="T38" i="10"/>
  <c r="U38" i="10"/>
  <c r="W38" i="10"/>
  <c r="X38" i="10"/>
  <c r="Z38" i="10"/>
  <c r="AA38" i="10"/>
  <c r="AB38" i="10"/>
  <c r="AD38" i="10"/>
  <c r="AE38" i="10"/>
  <c r="AF38" i="10"/>
  <c r="AG38" i="10"/>
  <c r="AH38" i="10"/>
  <c r="AI38" i="10"/>
  <c r="AJ38" i="10"/>
  <c r="AK38" i="10"/>
  <c r="S39" i="10"/>
  <c r="T39" i="10"/>
  <c r="U39" i="10"/>
  <c r="W39" i="10"/>
  <c r="X39" i="10"/>
  <c r="Z39" i="10"/>
  <c r="AA39" i="10"/>
  <c r="AB39" i="10"/>
  <c r="AD39" i="10"/>
  <c r="AE39" i="10"/>
  <c r="AF39" i="10"/>
  <c r="AG39" i="10"/>
  <c r="AH39" i="10"/>
  <c r="AI39" i="10"/>
  <c r="AJ39" i="10"/>
  <c r="AK39" i="10"/>
  <c r="K43" i="10"/>
  <c r="V43" i="10"/>
  <c r="K44" i="10"/>
  <c r="V44" i="10"/>
  <c r="K45" i="10"/>
  <c r="V45" i="10"/>
  <c r="K46" i="10"/>
  <c r="K47" i="10"/>
  <c r="R47" i="10"/>
  <c r="R48" i="10"/>
  <c r="J49" i="10"/>
  <c r="R50" i="10"/>
  <c r="Y62" i="10"/>
  <c r="Z62" i="10"/>
  <c r="Y63" i="10"/>
  <c r="Z63" i="10"/>
  <c r="Y64" i="10"/>
  <c r="Z64" i="10"/>
  <c r="Y65" i="10"/>
  <c r="Z65" i="10"/>
  <c r="Y66" i="10"/>
  <c r="Z66" i="10"/>
  <c r="AI6" i="4"/>
  <c r="AJ6" i="4"/>
  <c r="AK6" i="4"/>
  <c r="J7" i="4"/>
  <c r="K7" i="4"/>
  <c r="L7" i="4"/>
  <c r="M7" i="4"/>
  <c r="AI7" i="4"/>
  <c r="AJ7" i="4"/>
  <c r="AK7" i="4"/>
  <c r="L8" i="4"/>
  <c r="M8" i="4"/>
  <c r="AI8" i="4"/>
  <c r="AJ8" i="4"/>
  <c r="AK8" i="4"/>
  <c r="K9" i="4"/>
  <c r="M9" i="4"/>
  <c r="AI9" i="4"/>
  <c r="AJ9" i="4"/>
  <c r="AK9" i="4"/>
  <c r="S11" i="4"/>
  <c r="T11" i="4"/>
  <c r="U11" i="4"/>
  <c r="W11" i="4"/>
  <c r="X11" i="4"/>
  <c r="Z11" i="4"/>
  <c r="AA11" i="4"/>
  <c r="AB11" i="4"/>
  <c r="AD11" i="4"/>
  <c r="AE11" i="4"/>
  <c r="AF11" i="4"/>
  <c r="AG11" i="4"/>
  <c r="AH11" i="4"/>
  <c r="AI11" i="4"/>
  <c r="AJ11" i="4"/>
  <c r="AK11" i="4"/>
  <c r="I12" i="4"/>
  <c r="J12" i="4"/>
  <c r="K12" i="4"/>
  <c r="M12" i="4"/>
  <c r="S12" i="4"/>
  <c r="T12" i="4"/>
  <c r="U12" i="4"/>
  <c r="W12" i="4"/>
  <c r="X12" i="4"/>
  <c r="Z12" i="4"/>
  <c r="AA12" i="4"/>
  <c r="AB12" i="4"/>
  <c r="AD12" i="4"/>
  <c r="AE12" i="4"/>
  <c r="AF12" i="4"/>
  <c r="AG12" i="4"/>
  <c r="AH12" i="4"/>
  <c r="AI12" i="4"/>
  <c r="AJ12" i="4"/>
  <c r="AK12" i="4"/>
  <c r="S13" i="4"/>
  <c r="T13" i="4"/>
  <c r="U13" i="4"/>
  <c r="W13" i="4"/>
  <c r="X13" i="4"/>
  <c r="Z13" i="4"/>
  <c r="AA13" i="4"/>
  <c r="AB13" i="4"/>
  <c r="AD13" i="4"/>
  <c r="AE13" i="4"/>
  <c r="AF13" i="4"/>
  <c r="AG13" i="4"/>
  <c r="AH13" i="4"/>
  <c r="AI13" i="4"/>
  <c r="AJ13" i="4"/>
  <c r="AK13" i="4"/>
  <c r="I14" i="4"/>
  <c r="K14" i="4"/>
  <c r="M14" i="4"/>
  <c r="S14" i="4"/>
  <c r="T14" i="4"/>
  <c r="U14" i="4"/>
  <c r="W14" i="4"/>
  <c r="X14" i="4"/>
  <c r="Z14" i="4"/>
  <c r="AA14" i="4"/>
  <c r="AB14" i="4"/>
  <c r="AD14" i="4"/>
  <c r="AE14" i="4"/>
  <c r="AF14" i="4"/>
  <c r="AG14" i="4"/>
  <c r="AH14" i="4"/>
  <c r="AI14" i="4"/>
  <c r="AJ14" i="4"/>
  <c r="AK14" i="4"/>
  <c r="K16" i="4"/>
  <c r="M16" i="4"/>
  <c r="S16" i="4"/>
  <c r="T16" i="4"/>
  <c r="U16" i="4"/>
  <c r="W16" i="4"/>
  <c r="X16" i="4"/>
  <c r="Z16" i="4"/>
  <c r="AA16" i="4"/>
  <c r="AB16" i="4"/>
  <c r="AD16" i="4"/>
  <c r="AE16" i="4"/>
  <c r="AF16" i="4"/>
  <c r="AG16" i="4"/>
  <c r="AH16" i="4"/>
  <c r="AI16" i="4"/>
  <c r="AJ16" i="4"/>
  <c r="AK16" i="4"/>
  <c r="S17" i="4"/>
  <c r="T17" i="4"/>
  <c r="U17" i="4"/>
  <c r="W17" i="4"/>
  <c r="X17" i="4"/>
  <c r="Z17" i="4"/>
  <c r="AA17" i="4"/>
  <c r="AB17" i="4"/>
  <c r="AD17" i="4"/>
  <c r="AE17" i="4"/>
  <c r="AF17" i="4"/>
  <c r="AG17" i="4"/>
  <c r="AH17" i="4"/>
  <c r="AI17" i="4"/>
  <c r="AJ17" i="4"/>
  <c r="AK17" i="4"/>
  <c r="S18" i="4"/>
  <c r="T18" i="4"/>
  <c r="U18" i="4"/>
  <c r="W18" i="4"/>
  <c r="X18" i="4"/>
  <c r="Z18" i="4"/>
  <c r="AA18" i="4"/>
  <c r="AB18" i="4"/>
  <c r="AD18" i="4"/>
  <c r="AE18" i="4"/>
  <c r="AF18" i="4"/>
  <c r="AG18" i="4"/>
  <c r="AH18" i="4"/>
  <c r="AI18" i="4"/>
  <c r="AJ18" i="4"/>
  <c r="AK18" i="4"/>
  <c r="M19" i="4"/>
  <c r="S19" i="4"/>
  <c r="T19" i="4"/>
  <c r="U19" i="4"/>
  <c r="W19" i="4"/>
  <c r="X19" i="4"/>
  <c r="Z19" i="4"/>
  <c r="AA19" i="4"/>
  <c r="AB19" i="4"/>
  <c r="AD19" i="4"/>
  <c r="AE19" i="4"/>
  <c r="AF19" i="4"/>
  <c r="AG19" i="4"/>
  <c r="AH19" i="4"/>
  <c r="AI19" i="4"/>
  <c r="AJ19" i="4"/>
  <c r="AK19" i="4"/>
  <c r="J20" i="4"/>
  <c r="M20" i="4"/>
  <c r="J21" i="4"/>
  <c r="M21" i="4"/>
  <c r="O21" i="4"/>
  <c r="S21" i="4"/>
  <c r="T21" i="4"/>
  <c r="U21" i="4"/>
  <c r="W21" i="4"/>
  <c r="X21" i="4"/>
  <c r="Z21" i="4"/>
  <c r="AA21" i="4"/>
  <c r="AB21" i="4"/>
  <c r="AD21" i="4"/>
  <c r="AE21" i="4"/>
  <c r="AF21" i="4"/>
  <c r="AG21" i="4"/>
  <c r="AH21" i="4"/>
  <c r="AI21" i="4"/>
  <c r="AJ21" i="4"/>
  <c r="AK21" i="4"/>
  <c r="K22" i="4"/>
  <c r="S22" i="4"/>
  <c r="T22" i="4"/>
  <c r="U22" i="4"/>
  <c r="W22" i="4"/>
  <c r="X22" i="4"/>
  <c r="Z22" i="4"/>
  <c r="AA22" i="4"/>
  <c r="AB22" i="4"/>
  <c r="AD22" i="4"/>
  <c r="AE22" i="4"/>
  <c r="AF22" i="4"/>
  <c r="AG22" i="4"/>
  <c r="AH22" i="4"/>
  <c r="AI22" i="4"/>
  <c r="AJ22" i="4"/>
  <c r="AK22" i="4"/>
  <c r="S23" i="4"/>
  <c r="T23" i="4"/>
  <c r="U23" i="4"/>
  <c r="W23" i="4"/>
  <c r="X23" i="4"/>
  <c r="Z23" i="4"/>
  <c r="AA23" i="4"/>
  <c r="AB23" i="4"/>
  <c r="AD23" i="4"/>
  <c r="AE23" i="4"/>
  <c r="AF23" i="4"/>
  <c r="AG23" i="4"/>
  <c r="AH23" i="4"/>
  <c r="AI23" i="4"/>
  <c r="AJ23" i="4"/>
  <c r="AK23" i="4"/>
  <c r="S24" i="4"/>
  <c r="T24" i="4"/>
  <c r="U24" i="4"/>
  <c r="W24" i="4"/>
  <c r="X24" i="4"/>
  <c r="Z24" i="4"/>
  <c r="AA24" i="4"/>
  <c r="AB24" i="4"/>
  <c r="AD24" i="4"/>
  <c r="AE24" i="4"/>
  <c r="AF24" i="4"/>
  <c r="AG24" i="4"/>
  <c r="AH24" i="4"/>
  <c r="AI24" i="4"/>
  <c r="AJ24" i="4"/>
  <c r="AK24" i="4"/>
  <c r="K26" i="4"/>
  <c r="L26" i="4"/>
  <c r="M26" i="4"/>
  <c r="S26" i="4"/>
  <c r="T26" i="4"/>
  <c r="U26" i="4"/>
  <c r="W26" i="4"/>
  <c r="X26" i="4"/>
  <c r="Z26" i="4"/>
  <c r="AA26" i="4"/>
  <c r="AB26" i="4"/>
  <c r="AD26" i="4"/>
  <c r="AE26" i="4"/>
  <c r="AF26" i="4"/>
  <c r="AG26" i="4"/>
  <c r="AH26" i="4"/>
  <c r="AI26" i="4"/>
  <c r="AJ26" i="4"/>
  <c r="AK26" i="4"/>
  <c r="S27" i="4"/>
  <c r="T27" i="4"/>
  <c r="U27" i="4"/>
  <c r="W27" i="4"/>
  <c r="X27" i="4"/>
  <c r="Z27" i="4"/>
  <c r="AA27" i="4"/>
  <c r="AB27" i="4"/>
  <c r="AD27" i="4"/>
  <c r="AE27" i="4"/>
  <c r="AF27" i="4"/>
  <c r="AG27" i="4"/>
  <c r="AH27" i="4"/>
  <c r="AI27" i="4"/>
  <c r="AJ27" i="4"/>
  <c r="AK27" i="4"/>
  <c r="L28" i="4"/>
  <c r="M28" i="4"/>
  <c r="S28" i="4"/>
  <c r="T28" i="4"/>
  <c r="U28" i="4"/>
  <c r="W28" i="4"/>
  <c r="X28" i="4"/>
  <c r="Z28" i="4"/>
  <c r="AA28" i="4"/>
  <c r="AB28" i="4"/>
  <c r="AD28" i="4"/>
  <c r="AE28" i="4"/>
  <c r="AF28" i="4"/>
  <c r="AG28" i="4"/>
  <c r="AH28" i="4"/>
  <c r="AI28" i="4"/>
  <c r="AJ28" i="4"/>
  <c r="AK28" i="4"/>
  <c r="S29" i="4"/>
  <c r="T29" i="4"/>
  <c r="U29" i="4"/>
  <c r="W29" i="4"/>
  <c r="X29" i="4"/>
  <c r="Z29" i="4"/>
  <c r="AA29" i="4"/>
  <c r="AB29" i="4"/>
  <c r="AD29" i="4"/>
  <c r="AE29" i="4"/>
  <c r="AF29" i="4"/>
  <c r="AG29" i="4"/>
  <c r="AH29" i="4"/>
  <c r="AI29" i="4"/>
  <c r="AJ29" i="4"/>
  <c r="AK29" i="4"/>
  <c r="S31" i="4"/>
  <c r="T31" i="4"/>
  <c r="U31" i="4"/>
  <c r="W31" i="4"/>
  <c r="X31" i="4"/>
  <c r="Z31" i="4"/>
  <c r="AA31" i="4"/>
  <c r="AB31" i="4"/>
  <c r="AD31" i="4"/>
  <c r="AE31" i="4"/>
  <c r="AF31" i="4"/>
  <c r="AG31" i="4"/>
  <c r="AH31" i="4"/>
  <c r="AI31" i="4"/>
  <c r="AJ31" i="4"/>
  <c r="AK31" i="4"/>
  <c r="S32" i="4"/>
  <c r="T32" i="4"/>
  <c r="U32" i="4"/>
  <c r="W32" i="4"/>
  <c r="X32" i="4"/>
  <c r="Z32" i="4"/>
  <c r="AA32" i="4"/>
  <c r="AB32" i="4"/>
  <c r="AD32" i="4"/>
  <c r="AE32" i="4"/>
  <c r="AF32" i="4"/>
  <c r="AG32" i="4"/>
  <c r="AH32" i="4"/>
  <c r="AI32" i="4"/>
  <c r="AJ32" i="4"/>
  <c r="AK32" i="4"/>
  <c r="J33" i="4"/>
  <c r="K33" i="4"/>
  <c r="S33" i="4"/>
  <c r="T33" i="4"/>
  <c r="U33" i="4"/>
  <c r="W33" i="4"/>
  <c r="X33" i="4"/>
  <c r="Z33" i="4"/>
  <c r="AA33" i="4"/>
  <c r="AB33" i="4"/>
  <c r="AD33" i="4"/>
  <c r="AE33" i="4"/>
  <c r="AF33" i="4"/>
  <c r="AG33" i="4"/>
  <c r="AH33" i="4"/>
  <c r="AI33" i="4"/>
  <c r="AJ33" i="4"/>
  <c r="AK33" i="4"/>
  <c r="J34" i="4"/>
  <c r="K34" i="4"/>
  <c r="S34" i="4"/>
  <c r="T34" i="4"/>
  <c r="U34" i="4"/>
  <c r="W34" i="4"/>
  <c r="X34" i="4"/>
  <c r="Z34" i="4"/>
  <c r="AA34" i="4"/>
  <c r="AB34" i="4"/>
  <c r="AD34" i="4"/>
  <c r="AE34" i="4"/>
  <c r="AF34" i="4"/>
  <c r="AG34" i="4"/>
  <c r="AH34" i="4"/>
  <c r="AI34" i="4"/>
  <c r="AJ34" i="4"/>
  <c r="AK34" i="4"/>
  <c r="J35" i="4"/>
  <c r="K35" i="4"/>
  <c r="J36" i="4"/>
  <c r="K36" i="4"/>
  <c r="S36" i="4"/>
  <c r="T36" i="4"/>
  <c r="U36" i="4"/>
  <c r="W36" i="4"/>
  <c r="X36" i="4"/>
  <c r="Z36" i="4"/>
  <c r="AA36" i="4"/>
  <c r="AB36" i="4"/>
  <c r="AD36" i="4"/>
  <c r="AE36" i="4"/>
  <c r="AF36" i="4"/>
  <c r="AG36" i="4"/>
  <c r="AH36" i="4"/>
  <c r="AI36" i="4"/>
  <c r="AJ36" i="4"/>
  <c r="AK36" i="4"/>
  <c r="J37" i="4"/>
  <c r="K37" i="4"/>
  <c r="S37" i="4"/>
  <c r="T37" i="4"/>
  <c r="U37" i="4"/>
  <c r="W37" i="4"/>
  <c r="X37" i="4"/>
  <c r="Z37" i="4"/>
  <c r="AA37" i="4"/>
  <c r="AB37" i="4"/>
  <c r="AD37" i="4"/>
  <c r="AE37" i="4"/>
  <c r="AF37" i="4"/>
  <c r="AG37" i="4"/>
  <c r="AH37" i="4"/>
  <c r="AI37" i="4"/>
  <c r="AJ37" i="4"/>
  <c r="AK37" i="4"/>
  <c r="S38" i="4"/>
  <c r="T38" i="4"/>
  <c r="U38" i="4"/>
  <c r="W38" i="4"/>
  <c r="X38" i="4"/>
  <c r="Z38" i="4"/>
  <c r="AA38" i="4"/>
  <c r="AB38" i="4"/>
  <c r="AD38" i="4"/>
  <c r="AE38" i="4"/>
  <c r="AF38" i="4"/>
  <c r="AG38" i="4"/>
  <c r="AH38" i="4"/>
  <c r="AI38" i="4"/>
  <c r="AJ38" i="4"/>
  <c r="AK38" i="4"/>
  <c r="S39" i="4"/>
  <c r="T39" i="4"/>
  <c r="U39" i="4"/>
  <c r="W39" i="4"/>
  <c r="X39" i="4"/>
  <c r="Z39" i="4"/>
  <c r="AA39" i="4"/>
  <c r="AB39" i="4"/>
  <c r="AD39" i="4"/>
  <c r="AE39" i="4"/>
  <c r="AF39" i="4"/>
  <c r="AG39" i="4"/>
  <c r="AH39" i="4"/>
  <c r="AI39" i="4"/>
  <c r="AJ39" i="4"/>
  <c r="AK39" i="4"/>
  <c r="K43" i="4"/>
  <c r="V43" i="4"/>
  <c r="K44" i="4"/>
  <c r="V44" i="4"/>
  <c r="K45" i="4"/>
  <c r="V45" i="4"/>
  <c r="K46" i="4"/>
  <c r="K47" i="4"/>
  <c r="R47" i="4"/>
  <c r="R48" i="4"/>
  <c r="J49" i="4"/>
  <c r="R50" i="4"/>
  <c r="Y62" i="4"/>
  <c r="Z62" i="4"/>
  <c r="Y63" i="4"/>
  <c r="Z63" i="4"/>
  <c r="Y64" i="4"/>
  <c r="Z64" i="4"/>
  <c r="Y65" i="4"/>
  <c r="Z65" i="4"/>
  <c r="Y66" i="4"/>
  <c r="Z66" i="4"/>
  <c r="AI6" i="5"/>
  <c r="AJ6" i="5"/>
  <c r="AK6" i="5"/>
  <c r="J7" i="5"/>
  <c r="K7" i="5"/>
  <c r="L7" i="5"/>
  <c r="M7" i="5"/>
  <c r="AI7" i="5"/>
  <c r="AJ7" i="5"/>
  <c r="AK7" i="5"/>
  <c r="L8" i="5"/>
  <c r="M8" i="5"/>
  <c r="AI8" i="5"/>
  <c r="AJ8" i="5"/>
  <c r="AK8" i="5"/>
  <c r="K9" i="5"/>
  <c r="M9" i="5"/>
  <c r="AI9" i="5"/>
  <c r="AJ9" i="5"/>
  <c r="AK9" i="5"/>
  <c r="S11" i="5"/>
  <c r="T11" i="5"/>
  <c r="U11" i="5"/>
  <c r="W11" i="5"/>
  <c r="X11" i="5"/>
  <c r="Z11" i="5"/>
  <c r="AA11" i="5"/>
  <c r="AB11" i="5"/>
  <c r="AD11" i="5"/>
  <c r="AE11" i="5"/>
  <c r="AF11" i="5"/>
  <c r="AG11" i="5"/>
  <c r="AH11" i="5"/>
  <c r="AI11" i="5"/>
  <c r="AJ11" i="5"/>
  <c r="AK11" i="5"/>
  <c r="I12" i="5"/>
  <c r="J12" i="5"/>
  <c r="K12" i="5"/>
  <c r="M12" i="5"/>
  <c r="S12" i="5"/>
  <c r="T12" i="5"/>
  <c r="U12" i="5"/>
  <c r="W12" i="5"/>
  <c r="X12" i="5"/>
  <c r="Z12" i="5"/>
  <c r="AA12" i="5"/>
  <c r="AB12" i="5"/>
  <c r="AD12" i="5"/>
  <c r="AE12" i="5"/>
  <c r="AF12" i="5"/>
  <c r="AG12" i="5"/>
  <c r="AH12" i="5"/>
  <c r="AI12" i="5"/>
  <c r="AJ12" i="5"/>
  <c r="AK12" i="5"/>
  <c r="S13" i="5"/>
  <c r="T13" i="5"/>
  <c r="U13" i="5"/>
  <c r="W13" i="5"/>
  <c r="X13" i="5"/>
  <c r="Z13" i="5"/>
  <c r="AA13" i="5"/>
  <c r="AB13" i="5"/>
  <c r="AD13" i="5"/>
  <c r="AE13" i="5"/>
  <c r="AF13" i="5"/>
  <c r="AG13" i="5"/>
  <c r="AH13" i="5"/>
  <c r="AI13" i="5"/>
  <c r="AJ13" i="5"/>
  <c r="AK13" i="5"/>
  <c r="I14" i="5"/>
  <c r="K14" i="5"/>
  <c r="M14" i="5"/>
  <c r="S14" i="5"/>
  <c r="T14" i="5"/>
  <c r="U14" i="5"/>
  <c r="W14" i="5"/>
  <c r="X14" i="5"/>
  <c r="Z14" i="5"/>
  <c r="AA14" i="5"/>
  <c r="AB14" i="5"/>
  <c r="AD14" i="5"/>
  <c r="AE14" i="5"/>
  <c r="AF14" i="5"/>
  <c r="AG14" i="5"/>
  <c r="AH14" i="5"/>
  <c r="AI14" i="5"/>
  <c r="AJ14" i="5"/>
  <c r="AK14" i="5"/>
  <c r="K16" i="5"/>
  <c r="M16" i="5"/>
  <c r="S16" i="5"/>
  <c r="T16" i="5"/>
  <c r="U16" i="5"/>
  <c r="W16" i="5"/>
  <c r="X16" i="5"/>
  <c r="Z16" i="5"/>
  <c r="AA16" i="5"/>
  <c r="AB16" i="5"/>
  <c r="AD16" i="5"/>
  <c r="AE16" i="5"/>
  <c r="AF16" i="5"/>
  <c r="AG16" i="5"/>
  <c r="AH16" i="5"/>
  <c r="AI16" i="5"/>
  <c r="AJ16" i="5"/>
  <c r="AK16" i="5"/>
  <c r="S17" i="5"/>
  <c r="T17" i="5"/>
  <c r="U17" i="5"/>
  <c r="W17" i="5"/>
  <c r="X17" i="5"/>
  <c r="Z17" i="5"/>
  <c r="AA17" i="5"/>
  <c r="AB17" i="5"/>
  <c r="AD17" i="5"/>
  <c r="AE17" i="5"/>
  <c r="AF17" i="5"/>
  <c r="AG17" i="5"/>
  <c r="AH17" i="5"/>
  <c r="AI17" i="5"/>
  <c r="AJ17" i="5"/>
  <c r="AK17" i="5"/>
  <c r="S18" i="5"/>
  <c r="T18" i="5"/>
  <c r="U18" i="5"/>
  <c r="W18" i="5"/>
  <c r="X18" i="5"/>
  <c r="Z18" i="5"/>
  <c r="AA18" i="5"/>
  <c r="AB18" i="5"/>
  <c r="AD18" i="5"/>
  <c r="AE18" i="5"/>
  <c r="AF18" i="5"/>
  <c r="AG18" i="5"/>
  <c r="AH18" i="5"/>
  <c r="AI18" i="5"/>
  <c r="AJ18" i="5"/>
  <c r="AK18" i="5"/>
  <c r="M19" i="5"/>
  <c r="S19" i="5"/>
  <c r="T19" i="5"/>
  <c r="U19" i="5"/>
  <c r="W19" i="5"/>
  <c r="X19" i="5"/>
  <c r="Z19" i="5"/>
  <c r="AA19" i="5"/>
  <c r="AB19" i="5"/>
  <c r="AD19" i="5"/>
  <c r="AE19" i="5"/>
  <c r="AF19" i="5"/>
  <c r="AG19" i="5"/>
  <c r="AH19" i="5"/>
  <c r="AI19" i="5"/>
  <c r="AJ19" i="5"/>
  <c r="AK19" i="5"/>
  <c r="J20" i="5"/>
  <c r="M20" i="5"/>
  <c r="J21" i="5"/>
  <c r="M21" i="5"/>
  <c r="S21" i="5"/>
  <c r="T21" i="5"/>
  <c r="U21" i="5"/>
  <c r="W21" i="5"/>
  <c r="X21" i="5"/>
  <c r="Z21" i="5"/>
  <c r="AA21" i="5"/>
  <c r="AB21" i="5"/>
  <c r="AD21" i="5"/>
  <c r="AE21" i="5"/>
  <c r="AF21" i="5"/>
  <c r="AG21" i="5"/>
  <c r="AH21" i="5"/>
  <c r="AI21" i="5"/>
  <c r="AJ21" i="5"/>
  <c r="AK21" i="5"/>
  <c r="K22" i="5"/>
  <c r="S22" i="5"/>
  <c r="T22" i="5"/>
  <c r="U22" i="5"/>
  <c r="W22" i="5"/>
  <c r="X22" i="5"/>
  <c r="Z22" i="5"/>
  <c r="AA22" i="5"/>
  <c r="AB22" i="5"/>
  <c r="AD22" i="5"/>
  <c r="AE22" i="5"/>
  <c r="AF22" i="5"/>
  <c r="AG22" i="5"/>
  <c r="AH22" i="5"/>
  <c r="AI22" i="5"/>
  <c r="AJ22" i="5"/>
  <c r="AK22" i="5"/>
  <c r="S23" i="5"/>
  <c r="T23" i="5"/>
  <c r="U23" i="5"/>
  <c r="W23" i="5"/>
  <c r="X23" i="5"/>
  <c r="Z23" i="5"/>
  <c r="AA23" i="5"/>
  <c r="AB23" i="5"/>
  <c r="AD23" i="5"/>
  <c r="AE23" i="5"/>
  <c r="AF23" i="5"/>
  <c r="AG23" i="5"/>
  <c r="AH23" i="5"/>
  <c r="AI23" i="5"/>
  <c r="AJ23" i="5"/>
  <c r="AK23" i="5"/>
  <c r="S24" i="5"/>
  <c r="T24" i="5"/>
  <c r="U24" i="5"/>
  <c r="W24" i="5"/>
  <c r="X24" i="5"/>
  <c r="Z24" i="5"/>
  <c r="AA24" i="5"/>
  <c r="AB24" i="5"/>
  <c r="AD24" i="5"/>
  <c r="AE24" i="5"/>
  <c r="AF24" i="5"/>
  <c r="AG24" i="5"/>
  <c r="AH24" i="5"/>
  <c r="AI24" i="5"/>
  <c r="AJ24" i="5"/>
  <c r="AK24" i="5"/>
  <c r="K26" i="5"/>
  <c r="L26" i="5"/>
  <c r="M26" i="5"/>
  <c r="S26" i="5"/>
  <c r="T26" i="5"/>
  <c r="U26" i="5"/>
  <c r="W26" i="5"/>
  <c r="X26" i="5"/>
  <c r="Z26" i="5"/>
  <c r="AA26" i="5"/>
  <c r="AB26" i="5"/>
  <c r="AD26" i="5"/>
  <c r="AE26" i="5"/>
  <c r="AF26" i="5"/>
  <c r="AG26" i="5"/>
  <c r="AH26" i="5"/>
  <c r="AI26" i="5"/>
  <c r="AJ26" i="5"/>
  <c r="AK26" i="5"/>
  <c r="S27" i="5"/>
  <c r="T27" i="5"/>
  <c r="U27" i="5"/>
  <c r="W27" i="5"/>
  <c r="X27" i="5"/>
  <c r="Z27" i="5"/>
  <c r="AA27" i="5"/>
  <c r="AB27" i="5"/>
  <c r="AD27" i="5"/>
  <c r="AE27" i="5"/>
  <c r="AF27" i="5"/>
  <c r="AG27" i="5"/>
  <c r="AH27" i="5"/>
  <c r="AI27" i="5"/>
  <c r="AJ27" i="5"/>
  <c r="AK27" i="5"/>
  <c r="L28" i="5"/>
  <c r="M28" i="5"/>
  <c r="S28" i="5"/>
  <c r="T28" i="5"/>
  <c r="U28" i="5"/>
  <c r="W28" i="5"/>
  <c r="X28" i="5"/>
  <c r="Z28" i="5"/>
  <c r="AA28" i="5"/>
  <c r="AB28" i="5"/>
  <c r="AD28" i="5"/>
  <c r="AE28" i="5"/>
  <c r="AF28" i="5"/>
  <c r="AG28" i="5"/>
  <c r="AH28" i="5"/>
  <c r="AI28" i="5"/>
  <c r="AJ28" i="5"/>
  <c r="AK28" i="5"/>
  <c r="S29" i="5"/>
  <c r="T29" i="5"/>
  <c r="U29" i="5"/>
  <c r="W29" i="5"/>
  <c r="X29" i="5"/>
  <c r="Z29" i="5"/>
  <c r="AA29" i="5"/>
  <c r="AB29" i="5"/>
  <c r="AD29" i="5"/>
  <c r="AE29" i="5"/>
  <c r="AF29" i="5"/>
  <c r="AG29" i="5"/>
  <c r="AH29" i="5"/>
  <c r="AI29" i="5"/>
  <c r="AJ29" i="5"/>
  <c r="AK29" i="5"/>
  <c r="S31" i="5"/>
  <c r="T31" i="5"/>
  <c r="U31" i="5"/>
  <c r="W31" i="5"/>
  <c r="X31" i="5"/>
  <c r="Z31" i="5"/>
  <c r="AA31" i="5"/>
  <c r="AB31" i="5"/>
  <c r="AD31" i="5"/>
  <c r="AE31" i="5"/>
  <c r="AF31" i="5"/>
  <c r="AG31" i="5"/>
  <c r="AH31" i="5"/>
  <c r="AI31" i="5"/>
  <c r="AJ31" i="5"/>
  <c r="AK31" i="5"/>
  <c r="S32" i="5"/>
  <c r="T32" i="5"/>
  <c r="U32" i="5"/>
  <c r="W32" i="5"/>
  <c r="X32" i="5"/>
  <c r="Z32" i="5"/>
  <c r="AA32" i="5"/>
  <c r="AB32" i="5"/>
  <c r="AD32" i="5"/>
  <c r="AE32" i="5"/>
  <c r="AF32" i="5"/>
  <c r="AG32" i="5"/>
  <c r="AH32" i="5"/>
  <c r="AI32" i="5"/>
  <c r="AJ32" i="5"/>
  <c r="AK32" i="5"/>
  <c r="J33" i="5"/>
  <c r="K33" i="5"/>
  <c r="S33" i="5"/>
  <c r="T33" i="5"/>
  <c r="U33" i="5"/>
  <c r="W33" i="5"/>
  <c r="X33" i="5"/>
  <c r="Z33" i="5"/>
  <c r="AA33" i="5"/>
  <c r="AB33" i="5"/>
  <c r="AD33" i="5"/>
  <c r="AE33" i="5"/>
  <c r="AF33" i="5"/>
  <c r="AG33" i="5"/>
  <c r="AH33" i="5"/>
  <c r="AI33" i="5"/>
  <c r="AJ33" i="5"/>
  <c r="AK33" i="5"/>
  <c r="J34" i="5"/>
  <c r="K34" i="5"/>
  <c r="S34" i="5"/>
  <c r="T34" i="5"/>
  <c r="U34" i="5"/>
  <c r="W34" i="5"/>
  <c r="X34" i="5"/>
  <c r="Z34" i="5"/>
  <c r="AA34" i="5"/>
  <c r="AB34" i="5"/>
  <c r="AD34" i="5"/>
  <c r="AE34" i="5"/>
  <c r="AF34" i="5"/>
  <c r="AG34" i="5"/>
  <c r="AH34" i="5"/>
  <c r="AI34" i="5"/>
  <c r="AJ34" i="5"/>
  <c r="AK34" i="5"/>
  <c r="J35" i="5"/>
  <c r="K35" i="5"/>
  <c r="J36" i="5"/>
  <c r="K36" i="5"/>
  <c r="S36" i="5"/>
  <c r="T36" i="5"/>
  <c r="U36" i="5"/>
  <c r="W36" i="5"/>
  <c r="X36" i="5"/>
  <c r="Z36" i="5"/>
  <c r="AA36" i="5"/>
  <c r="AB36" i="5"/>
  <c r="AD36" i="5"/>
  <c r="AE36" i="5"/>
  <c r="AF36" i="5"/>
  <c r="AG36" i="5"/>
  <c r="AH36" i="5"/>
  <c r="AI36" i="5"/>
  <c r="AJ36" i="5"/>
  <c r="AK36" i="5"/>
  <c r="J37" i="5"/>
  <c r="K37" i="5"/>
  <c r="S37" i="5"/>
  <c r="T37" i="5"/>
  <c r="U37" i="5"/>
  <c r="W37" i="5"/>
  <c r="X37" i="5"/>
  <c r="Z37" i="5"/>
  <c r="AA37" i="5"/>
  <c r="AB37" i="5"/>
  <c r="AD37" i="5"/>
  <c r="AE37" i="5"/>
  <c r="AF37" i="5"/>
  <c r="AG37" i="5"/>
  <c r="AH37" i="5"/>
  <c r="AI37" i="5"/>
  <c r="AJ37" i="5"/>
  <c r="AK37" i="5"/>
  <c r="S38" i="5"/>
  <c r="T38" i="5"/>
  <c r="U38" i="5"/>
  <c r="W38" i="5"/>
  <c r="X38" i="5"/>
  <c r="Z38" i="5"/>
  <c r="AA38" i="5"/>
  <c r="AB38" i="5"/>
  <c r="AD38" i="5"/>
  <c r="AE38" i="5"/>
  <c r="AF38" i="5"/>
  <c r="AG38" i="5"/>
  <c r="AH38" i="5"/>
  <c r="AI38" i="5"/>
  <c r="AJ38" i="5"/>
  <c r="AK38" i="5"/>
  <c r="S39" i="5"/>
  <c r="T39" i="5"/>
  <c r="U39" i="5"/>
  <c r="W39" i="5"/>
  <c r="X39" i="5"/>
  <c r="Z39" i="5"/>
  <c r="AA39" i="5"/>
  <c r="AB39" i="5"/>
  <c r="AD39" i="5"/>
  <c r="AE39" i="5"/>
  <c r="AF39" i="5"/>
  <c r="AG39" i="5"/>
  <c r="AH39" i="5"/>
  <c r="AI39" i="5"/>
  <c r="AJ39" i="5"/>
  <c r="AK39" i="5"/>
  <c r="K43" i="5"/>
  <c r="V43" i="5"/>
  <c r="K44" i="5"/>
  <c r="V44" i="5"/>
  <c r="K45" i="5"/>
  <c r="V45" i="5"/>
  <c r="K46" i="5"/>
  <c r="K47" i="5"/>
  <c r="R47" i="5"/>
  <c r="R48" i="5"/>
  <c r="J49" i="5"/>
  <c r="R50" i="5"/>
  <c r="Y62" i="5"/>
  <c r="Z62" i="5"/>
  <c r="Y63" i="5"/>
  <c r="Z63" i="5"/>
  <c r="Y64" i="5"/>
  <c r="Z64" i="5"/>
  <c r="Y65" i="5"/>
  <c r="Z65" i="5"/>
  <c r="Y66" i="5"/>
  <c r="Z66" i="5"/>
  <c r="AI6" i="6"/>
  <c r="AJ6" i="6"/>
  <c r="AK6" i="6"/>
  <c r="J7" i="6"/>
  <c r="K7" i="6"/>
  <c r="L7" i="6"/>
  <c r="M7" i="6"/>
  <c r="AI7" i="6"/>
  <c r="AJ7" i="6"/>
  <c r="AK7" i="6"/>
  <c r="L8" i="6"/>
  <c r="M8" i="6"/>
  <c r="AI8" i="6"/>
  <c r="AJ8" i="6"/>
  <c r="AK8" i="6"/>
  <c r="K9" i="6"/>
  <c r="M9" i="6"/>
  <c r="AI9" i="6"/>
  <c r="AJ9" i="6"/>
  <c r="AK9" i="6"/>
  <c r="S11" i="6"/>
  <c r="T11" i="6"/>
  <c r="U11" i="6"/>
  <c r="W11" i="6"/>
  <c r="X11" i="6"/>
  <c r="Z11" i="6"/>
  <c r="AA11" i="6"/>
  <c r="AB11" i="6"/>
  <c r="AD11" i="6"/>
  <c r="AE11" i="6"/>
  <c r="AF11" i="6"/>
  <c r="AG11" i="6"/>
  <c r="AH11" i="6"/>
  <c r="AI11" i="6"/>
  <c r="AJ11" i="6"/>
  <c r="AK11" i="6"/>
  <c r="I12" i="6"/>
  <c r="J12" i="6"/>
  <c r="K12" i="6"/>
  <c r="M12" i="6"/>
  <c r="S12" i="6"/>
  <c r="T12" i="6"/>
  <c r="U12" i="6"/>
  <c r="W12" i="6"/>
  <c r="X12" i="6"/>
  <c r="Z12" i="6"/>
  <c r="AA12" i="6"/>
  <c r="AB12" i="6"/>
  <c r="AD12" i="6"/>
  <c r="AE12" i="6"/>
  <c r="AF12" i="6"/>
  <c r="AG12" i="6"/>
  <c r="AH12" i="6"/>
  <c r="AI12" i="6"/>
  <c r="AJ12" i="6"/>
  <c r="AK12" i="6"/>
  <c r="S13" i="6"/>
  <c r="T13" i="6"/>
  <c r="U13" i="6"/>
  <c r="W13" i="6"/>
  <c r="X13" i="6"/>
  <c r="Z13" i="6"/>
  <c r="AA13" i="6"/>
  <c r="AB13" i="6"/>
  <c r="AD13" i="6"/>
  <c r="AE13" i="6"/>
  <c r="AF13" i="6"/>
  <c r="AG13" i="6"/>
  <c r="AH13" i="6"/>
  <c r="AI13" i="6"/>
  <c r="AJ13" i="6"/>
  <c r="AK13" i="6"/>
  <c r="I14" i="6"/>
  <c r="K14" i="6"/>
  <c r="M14" i="6"/>
  <c r="S14" i="6"/>
  <c r="T14" i="6"/>
  <c r="U14" i="6"/>
  <c r="W14" i="6"/>
  <c r="X14" i="6"/>
  <c r="Z14" i="6"/>
  <c r="AA14" i="6"/>
  <c r="AB14" i="6"/>
  <c r="AD14" i="6"/>
  <c r="AE14" i="6"/>
  <c r="AF14" i="6"/>
  <c r="AG14" i="6"/>
  <c r="AH14" i="6"/>
  <c r="AI14" i="6"/>
  <c r="AJ14" i="6"/>
  <c r="AK14" i="6"/>
  <c r="K16" i="6"/>
  <c r="M16" i="6"/>
  <c r="S16" i="6"/>
  <c r="T16" i="6"/>
  <c r="U16" i="6"/>
  <c r="W16" i="6"/>
  <c r="X16" i="6"/>
  <c r="Z16" i="6"/>
  <c r="AA16" i="6"/>
  <c r="AB16" i="6"/>
  <c r="AD16" i="6"/>
  <c r="AE16" i="6"/>
  <c r="AF16" i="6"/>
  <c r="AG16" i="6"/>
  <c r="AH16" i="6"/>
  <c r="AI16" i="6"/>
  <c r="AJ16" i="6"/>
  <c r="AK16" i="6"/>
  <c r="S17" i="6"/>
  <c r="T17" i="6"/>
  <c r="U17" i="6"/>
  <c r="W17" i="6"/>
  <c r="X17" i="6"/>
  <c r="Z17" i="6"/>
  <c r="AA17" i="6"/>
  <c r="AB17" i="6"/>
  <c r="AD17" i="6"/>
  <c r="AE17" i="6"/>
  <c r="AF17" i="6"/>
  <c r="AG17" i="6"/>
  <c r="AH17" i="6"/>
  <c r="AI17" i="6"/>
  <c r="AJ17" i="6"/>
  <c r="AK17" i="6"/>
  <c r="S18" i="6"/>
  <c r="T18" i="6"/>
  <c r="U18" i="6"/>
  <c r="W18" i="6"/>
  <c r="X18" i="6"/>
  <c r="Z18" i="6"/>
  <c r="AA18" i="6"/>
  <c r="AB18" i="6"/>
  <c r="AD18" i="6"/>
  <c r="AE18" i="6"/>
  <c r="AF18" i="6"/>
  <c r="AG18" i="6"/>
  <c r="AH18" i="6"/>
  <c r="AI18" i="6"/>
  <c r="AJ18" i="6"/>
  <c r="AK18" i="6"/>
  <c r="M19" i="6"/>
  <c r="S19" i="6"/>
  <c r="T19" i="6"/>
  <c r="U19" i="6"/>
  <c r="W19" i="6"/>
  <c r="X19" i="6"/>
  <c r="Z19" i="6"/>
  <c r="AA19" i="6"/>
  <c r="AB19" i="6"/>
  <c r="AD19" i="6"/>
  <c r="AE19" i="6"/>
  <c r="AF19" i="6"/>
  <c r="AG19" i="6"/>
  <c r="AH19" i="6"/>
  <c r="AI19" i="6"/>
  <c r="AJ19" i="6"/>
  <c r="AK19" i="6"/>
  <c r="J20" i="6"/>
  <c r="M20" i="6"/>
  <c r="P20" i="6"/>
  <c r="J21" i="6"/>
  <c r="M21" i="6"/>
  <c r="S21" i="6"/>
  <c r="T21" i="6"/>
  <c r="U21" i="6"/>
  <c r="W21" i="6"/>
  <c r="X21" i="6"/>
  <c r="Z21" i="6"/>
  <c r="AA21" i="6"/>
  <c r="AB21" i="6"/>
  <c r="AD21" i="6"/>
  <c r="AE21" i="6"/>
  <c r="AF21" i="6"/>
  <c r="AG21" i="6"/>
  <c r="AH21" i="6"/>
  <c r="AI21" i="6"/>
  <c r="AJ21" i="6"/>
  <c r="AK21" i="6"/>
  <c r="E22" i="6"/>
  <c r="K22" i="6"/>
  <c r="S22" i="6"/>
  <c r="T22" i="6"/>
  <c r="U22" i="6"/>
  <c r="W22" i="6"/>
  <c r="X22" i="6"/>
  <c r="Z22" i="6"/>
  <c r="AA22" i="6"/>
  <c r="AB22" i="6"/>
  <c r="AD22" i="6"/>
  <c r="AE22" i="6"/>
  <c r="AF22" i="6"/>
  <c r="AG22" i="6"/>
  <c r="AH22" i="6"/>
  <c r="AI22" i="6"/>
  <c r="AJ22" i="6"/>
  <c r="AK22" i="6"/>
  <c r="S23" i="6"/>
  <c r="T23" i="6"/>
  <c r="U23" i="6"/>
  <c r="W23" i="6"/>
  <c r="X23" i="6"/>
  <c r="Z23" i="6"/>
  <c r="AA23" i="6"/>
  <c r="AB23" i="6"/>
  <c r="AD23" i="6"/>
  <c r="AE23" i="6"/>
  <c r="AF23" i="6"/>
  <c r="AG23" i="6"/>
  <c r="AH23" i="6"/>
  <c r="AI23" i="6"/>
  <c r="AJ23" i="6"/>
  <c r="AK23" i="6"/>
  <c r="S24" i="6"/>
  <c r="T24" i="6"/>
  <c r="U24" i="6"/>
  <c r="W24" i="6"/>
  <c r="X24" i="6"/>
  <c r="Z24" i="6"/>
  <c r="AA24" i="6"/>
  <c r="AB24" i="6"/>
  <c r="AD24" i="6"/>
  <c r="AE24" i="6"/>
  <c r="AF24" i="6"/>
  <c r="AG24" i="6"/>
  <c r="AH24" i="6"/>
  <c r="AI24" i="6"/>
  <c r="AJ24" i="6"/>
  <c r="AK24" i="6"/>
  <c r="K26" i="6"/>
  <c r="L26" i="6"/>
  <c r="M26" i="6"/>
  <c r="S26" i="6"/>
  <c r="T26" i="6"/>
  <c r="U26" i="6"/>
  <c r="W26" i="6"/>
  <c r="X26" i="6"/>
  <c r="Z26" i="6"/>
  <c r="AA26" i="6"/>
  <c r="AB26" i="6"/>
  <c r="AD26" i="6"/>
  <c r="AE26" i="6"/>
  <c r="AF26" i="6"/>
  <c r="AG26" i="6"/>
  <c r="AH26" i="6"/>
  <c r="AI26" i="6"/>
  <c r="AJ26" i="6"/>
  <c r="AK26" i="6"/>
  <c r="S27" i="6"/>
  <c r="T27" i="6"/>
  <c r="U27" i="6"/>
  <c r="W27" i="6"/>
  <c r="X27" i="6"/>
  <c r="Z27" i="6"/>
  <c r="AA27" i="6"/>
  <c r="AB27" i="6"/>
  <c r="AD27" i="6"/>
  <c r="AE27" i="6"/>
  <c r="AF27" i="6"/>
  <c r="AG27" i="6"/>
  <c r="AH27" i="6"/>
  <c r="AI27" i="6"/>
  <c r="AJ27" i="6"/>
  <c r="AK27" i="6"/>
  <c r="L28" i="6"/>
  <c r="M28" i="6"/>
  <c r="S28" i="6"/>
  <c r="T28" i="6"/>
  <c r="U28" i="6"/>
  <c r="W28" i="6"/>
  <c r="X28" i="6"/>
  <c r="Z28" i="6"/>
  <c r="AA28" i="6"/>
  <c r="AB28" i="6"/>
  <c r="AD28" i="6"/>
  <c r="AE28" i="6"/>
  <c r="AF28" i="6"/>
  <c r="AG28" i="6"/>
  <c r="AH28" i="6"/>
  <c r="AI28" i="6"/>
  <c r="AJ28" i="6"/>
  <c r="AK28" i="6"/>
  <c r="S29" i="6"/>
  <c r="T29" i="6"/>
  <c r="U29" i="6"/>
  <c r="W29" i="6"/>
  <c r="X29" i="6"/>
  <c r="Z29" i="6"/>
  <c r="AA29" i="6"/>
  <c r="AB29" i="6"/>
  <c r="AD29" i="6"/>
  <c r="AE29" i="6"/>
  <c r="AF29" i="6"/>
  <c r="AG29" i="6"/>
  <c r="AH29" i="6"/>
  <c r="AI29" i="6"/>
  <c r="AJ29" i="6"/>
  <c r="AK29" i="6"/>
  <c r="S31" i="6"/>
  <c r="T31" i="6"/>
  <c r="U31" i="6"/>
  <c r="W31" i="6"/>
  <c r="X31" i="6"/>
  <c r="Z31" i="6"/>
  <c r="AA31" i="6"/>
  <c r="AB31" i="6"/>
  <c r="AD31" i="6"/>
  <c r="AE31" i="6"/>
  <c r="AF31" i="6"/>
  <c r="AG31" i="6"/>
  <c r="AH31" i="6"/>
  <c r="AI31" i="6"/>
  <c r="AJ31" i="6"/>
  <c r="AK31" i="6"/>
  <c r="S32" i="6"/>
  <c r="T32" i="6"/>
  <c r="U32" i="6"/>
  <c r="W32" i="6"/>
  <c r="X32" i="6"/>
  <c r="Z32" i="6"/>
  <c r="AA32" i="6"/>
  <c r="AB32" i="6"/>
  <c r="AD32" i="6"/>
  <c r="AE32" i="6"/>
  <c r="AF32" i="6"/>
  <c r="AG32" i="6"/>
  <c r="AH32" i="6"/>
  <c r="AI32" i="6"/>
  <c r="AJ32" i="6"/>
  <c r="AK32" i="6"/>
  <c r="J33" i="6"/>
  <c r="K33" i="6"/>
  <c r="S33" i="6"/>
  <c r="T33" i="6"/>
  <c r="U33" i="6"/>
  <c r="W33" i="6"/>
  <c r="X33" i="6"/>
  <c r="Z33" i="6"/>
  <c r="AA33" i="6"/>
  <c r="AB33" i="6"/>
  <c r="AD33" i="6"/>
  <c r="AE33" i="6"/>
  <c r="AF33" i="6"/>
  <c r="AG33" i="6"/>
  <c r="AH33" i="6"/>
  <c r="AI33" i="6"/>
  <c r="AJ33" i="6"/>
  <c r="AK33" i="6"/>
  <c r="J34" i="6"/>
  <c r="K34" i="6"/>
  <c r="S34" i="6"/>
  <c r="T34" i="6"/>
  <c r="U34" i="6"/>
  <c r="W34" i="6"/>
  <c r="X34" i="6"/>
  <c r="Z34" i="6"/>
  <c r="AA34" i="6"/>
  <c r="AB34" i="6"/>
  <c r="AD34" i="6"/>
  <c r="AE34" i="6"/>
  <c r="AF34" i="6"/>
  <c r="AG34" i="6"/>
  <c r="AH34" i="6"/>
  <c r="AI34" i="6"/>
  <c r="AJ34" i="6"/>
  <c r="AK34" i="6"/>
  <c r="J35" i="6"/>
  <c r="K35" i="6"/>
  <c r="J36" i="6"/>
  <c r="K36" i="6"/>
  <c r="S36" i="6"/>
  <c r="T36" i="6"/>
  <c r="U36" i="6"/>
  <c r="W36" i="6"/>
  <c r="X36" i="6"/>
  <c r="Z36" i="6"/>
  <c r="AA36" i="6"/>
  <c r="AB36" i="6"/>
  <c r="AD36" i="6"/>
  <c r="AE36" i="6"/>
  <c r="AF36" i="6"/>
  <c r="AG36" i="6"/>
  <c r="AH36" i="6"/>
  <c r="AI36" i="6"/>
  <c r="AJ36" i="6"/>
  <c r="AK36" i="6"/>
  <c r="J37" i="6"/>
  <c r="K37" i="6"/>
  <c r="S37" i="6"/>
  <c r="T37" i="6"/>
  <c r="U37" i="6"/>
  <c r="W37" i="6"/>
  <c r="X37" i="6"/>
  <c r="Z37" i="6"/>
  <c r="AA37" i="6"/>
  <c r="AB37" i="6"/>
  <c r="AD37" i="6"/>
  <c r="AE37" i="6"/>
  <c r="AF37" i="6"/>
  <c r="AG37" i="6"/>
  <c r="AH37" i="6"/>
  <c r="AI37" i="6"/>
  <c r="AJ37" i="6"/>
  <c r="AK37" i="6"/>
  <c r="S38" i="6"/>
  <c r="T38" i="6"/>
  <c r="U38" i="6"/>
  <c r="W38" i="6"/>
  <c r="X38" i="6"/>
  <c r="Z38" i="6"/>
  <c r="AA38" i="6"/>
  <c r="AB38" i="6"/>
  <c r="AD38" i="6"/>
  <c r="AE38" i="6"/>
  <c r="AF38" i="6"/>
  <c r="AG38" i="6"/>
  <c r="AH38" i="6"/>
  <c r="AI38" i="6"/>
  <c r="AJ38" i="6"/>
  <c r="AK38" i="6"/>
  <c r="S39" i="6"/>
  <c r="T39" i="6"/>
  <c r="U39" i="6"/>
  <c r="W39" i="6"/>
  <c r="X39" i="6"/>
  <c r="Z39" i="6"/>
  <c r="AA39" i="6"/>
  <c r="AB39" i="6"/>
  <c r="AD39" i="6"/>
  <c r="AE39" i="6"/>
  <c r="AF39" i="6"/>
  <c r="AG39" i="6"/>
  <c r="AH39" i="6"/>
  <c r="AI39" i="6"/>
  <c r="AJ39" i="6"/>
  <c r="AK39" i="6"/>
  <c r="K43" i="6"/>
  <c r="V43" i="6"/>
  <c r="K44" i="6"/>
  <c r="V44" i="6"/>
  <c r="K45" i="6"/>
  <c r="V45" i="6"/>
  <c r="K46" i="6"/>
  <c r="K47" i="6"/>
  <c r="R47" i="6"/>
  <c r="R48" i="6"/>
  <c r="J49" i="6"/>
  <c r="R50" i="6"/>
  <c r="Y62" i="6"/>
  <c r="Z62" i="6"/>
  <c r="Y63" i="6"/>
  <c r="Z63" i="6"/>
  <c r="Y64" i="6"/>
  <c r="Z64" i="6"/>
  <c r="Y65" i="6"/>
  <c r="Z65" i="6"/>
  <c r="Y66" i="6"/>
  <c r="Z66" i="6"/>
  <c r="AI6" i="7"/>
  <c r="AJ6" i="7"/>
  <c r="AK6" i="7"/>
  <c r="J7" i="7"/>
  <c r="K7" i="7"/>
  <c r="L7" i="7"/>
  <c r="M7" i="7"/>
  <c r="AI7" i="7"/>
  <c r="AJ7" i="7"/>
  <c r="AK7" i="7"/>
  <c r="L8" i="7"/>
  <c r="M8" i="7"/>
  <c r="AI8" i="7"/>
  <c r="AJ8" i="7"/>
  <c r="AK8" i="7"/>
  <c r="K9" i="7"/>
  <c r="M9" i="7"/>
  <c r="AI9" i="7"/>
  <c r="AJ9" i="7"/>
  <c r="AK9" i="7"/>
  <c r="S11" i="7"/>
  <c r="T11" i="7"/>
  <c r="U11" i="7"/>
  <c r="W11" i="7"/>
  <c r="X11" i="7"/>
  <c r="Z11" i="7"/>
  <c r="AA11" i="7"/>
  <c r="AB11" i="7"/>
  <c r="AD11" i="7"/>
  <c r="AE11" i="7"/>
  <c r="AF11" i="7"/>
  <c r="AG11" i="7"/>
  <c r="AH11" i="7"/>
  <c r="AI11" i="7"/>
  <c r="AJ11" i="7"/>
  <c r="AK11" i="7"/>
  <c r="I12" i="7"/>
  <c r="J12" i="7"/>
  <c r="K12" i="7"/>
  <c r="M12" i="7"/>
  <c r="S12" i="7"/>
  <c r="T12" i="7"/>
  <c r="U12" i="7"/>
  <c r="W12" i="7"/>
  <c r="X12" i="7"/>
  <c r="Z12" i="7"/>
  <c r="AA12" i="7"/>
  <c r="AB12" i="7"/>
  <c r="AD12" i="7"/>
  <c r="AE12" i="7"/>
  <c r="AF12" i="7"/>
  <c r="AG12" i="7"/>
  <c r="AH12" i="7"/>
  <c r="AI12" i="7"/>
  <c r="AJ12" i="7"/>
  <c r="AK12" i="7"/>
  <c r="S13" i="7"/>
  <c r="T13" i="7"/>
  <c r="U13" i="7"/>
  <c r="W13" i="7"/>
  <c r="X13" i="7"/>
  <c r="Z13" i="7"/>
  <c r="AA13" i="7"/>
  <c r="AB13" i="7"/>
  <c r="AD13" i="7"/>
  <c r="AE13" i="7"/>
  <c r="AF13" i="7"/>
  <c r="AG13" i="7"/>
  <c r="AH13" i="7"/>
  <c r="AI13" i="7"/>
  <c r="AJ13" i="7"/>
  <c r="AK13" i="7"/>
  <c r="I14" i="7"/>
  <c r="K14" i="7"/>
  <c r="M14" i="7"/>
  <c r="S14" i="7"/>
  <c r="T14" i="7"/>
  <c r="U14" i="7"/>
  <c r="W14" i="7"/>
  <c r="X14" i="7"/>
  <c r="Z14" i="7"/>
  <c r="AA14" i="7"/>
  <c r="AB14" i="7"/>
  <c r="AD14" i="7"/>
  <c r="AE14" i="7"/>
  <c r="AF14" i="7"/>
  <c r="AG14" i="7"/>
  <c r="AH14" i="7"/>
  <c r="AI14" i="7"/>
  <c r="AJ14" i="7"/>
  <c r="AK14" i="7"/>
  <c r="K16" i="7"/>
  <c r="M16" i="7"/>
  <c r="S16" i="7"/>
  <c r="T16" i="7"/>
  <c r="U16" i="7"/>
  <c r="W16" i="7"/>
  <c r="X16" i="7"/>
  <c r="Z16" i="7"/>
  <c r="AA16" i="7"/>
  <c r="AB16" i="7"/>
  <c r="AD16" i="7"/>
  <c r="AE16" i="7"/>
  <c r="AF16" i="7"/>
  <c r="AG16" i="7"/>
  <c r="AH16" i="7"/>
  <c r="AI16" i="7"/>
  <c r="AJ16" i="7"/>
  <c r="AK16" i="7"/>
  <c r="S17" i="7"/>
  <c r="T17" i="7"/>
  <c r="U17" i="7"/>
  <c r="W17" i="7"/>
  <c r="X17" i="7"/>
  <c r="Z17" i="7"/>
  <c r="AA17" i="7"/>
  <c r="AB17" i="7"/>
  <c r="AD17" i="7"/>
  <c r="AE17" i="7"/>
  <c r="AF17" i="7"/>
  <c r="AG17" i="7"/>
  <c r="AH17" i="7"/>
  <c r="AI17" i="7"/>
  <c r="AJ17" i="7"/>
  <c r="AK17" i="7"/>
  <c r="S18" i="7"/>
  <c r="T18" i="7"/>
  <c r="U18" i="7"/>
  <c r="W18" i="7"/>
  <c r="X18" i="7"/>
  <c r="Z18" i="7"/>
  <c r="AA18" i="7"/>
  <c r="AB18" i="7"/>
  <c r="AD18" i="7"/>
  <c r="AE18" i="7"/>
  <c r="AF18" i="7"/>
  <c r="AG18" i="7"/>
  <c r="AH18" i="7"/>
  <c r="AI18" i="7"/>
  <c r="AJ18" i="7"/>
  <c r="AK18" i="7"/>
  <c r="M19" i="7"/>
  <c r="S19" i="7"/>
  <c r="T19" i="7"/>
  <c r="U19" i="7"/>
  <c r="W19" i="7"/>
  <c r="X19" i="7"/>
  <c r="Z19" i="7"/>
  <c r="AA19" i="7"/>
  <c r="AB19" i="7"/>
  <c r="AD19" i="7"/>
  <c r="AE19" i="7"/>
  <c r="AF19" i="7"/>
  <c r="AG19" i="7"/>
  <c r="AH19" i="7"/>
  <c r="AI19" i="7"/>
  <c r="AJ19" i="7"/>
  <c r="AK19" i="7"/>
  <c r="J20" i="7"/>
  <c r="M20" i="7"/>
  <c r="P20" i="7"/>
  <c r="J21" i="7"/>
  <c r="M21" i="7"/>
  <c r="S21" i="7"/>
  <c r="T21" i="7"/>
  <c r="U21" i="7"/>
  <c r="W21" i="7"/>
  <c r="X21" i="7"/>
  <c r="Z21" i="7"/>
  <c r="AA21" i="7"/>
  <c r="AB21" i="7"/>
  <c r="AD21" i="7"/>
  <c r="AE21" i="7"/>
  <c r="AF21" i="7"/>
  <c r="AG21" i="7"/>
  <c r="AH21" i="7"/>
  <c r="AI21" i="7"/>
  <c r="AJ21" i="7"/>
  <c r="AK21" i="7"/>
  <c r="E22" i="7"/>
  <c r="K22" i="7"/>
  <c r="S22" i="7"/>
  <c r="T22" i="7"/>
  <c r="U22" i="7"/>
  <c r="W22" i="7"/>
  <c r="X22" i="7"/>
  <c r="Z22" i="7"/>
  <c r="AA22" i="7"/>
  <c r="AB22" i="7"/>
  <c r="AD22" i="7"/>
  <c r="AE22" i="7"/>
  <c r="AF22" i="7"/>
  <c r="AG22" i="7"/>
  <c r="AH22" i="7"/>
  <c r="AI22" i="7"/>
  <c r="AJ22" i="7"/>
  <c r="AK22" i="7"/>
  <c r="S23" i="7"/>
  <c r="T23" i="7"/>
  <c r="U23" i="7"/>
  <c r="W23" i="7"/>
  <c r="X23" i="7"/>
  <c r="Z23" i="7"/>
  <c r="AA23" i="7"/>
  <c r="AB23" i="7"/>
  <c r="AD23" i="7"/>
  <c r="AE23" i="7"/>
  <c r="AF23" i="7"/>
  <c r="AG23" i="7"/>
  <c r="AH23" i="7"/>
  <c r="AI23" i="7"/>
  <c r="AJ23" i="7"/>
  <c r="AK23" i="7"/>
  <c r="S24" i="7"/>
  <c r="T24" i="7"/>
  <c r="U24" i="7"/>
  <c r="W24" i="7"/>
  <c r="X24" i="7"/>
  <c r="Z24" i="7"/>
  <c r="AA24" i="7"/>
  <c r="AB24" i="7"/>
  <c r="AD24" i="7"/>
  <c r="AE24" i="7"/>
  <c r="AF24" i="7"/>
  <c r="AG24" i="7"/>
  <c r="AH24" i="7"/>
  <c r="AI24" i="7"/>
  <c r="AJ24" i="7"/>
  <c r="AK24" i="7"/>
  <c r="K26" i="7"/>
  <c r="L26" i="7"/>
  <c r="M26" i="7"/>
  <c r="S26" i="7"/>
  <c r="T26" i="7"/>
  <c r="U26" i="7"/>
  <c r="W26" i="7"/>
  <c r="X26" i="7"/>
  <c r="Z26" i="7"/>
  <c r="AA26" i="7"/>
  <c r="AB26" i="7"/>
  <c r="AD26" i="7"/>
  <c r="AE26" i="7"/>
  <c r="AF26" i="7"/>
  <c r="AG26" i="7"/>
  <c r="AH26" i="7"/>
  <c r="AI26" i="7"/>
  <c r="AJ26" i="7"/>
  <c r="AK26" i="7"/>
  <c r="S27" i="7"/>
  <c r="T27" i="7"/>
  <c r="U27" i="7"/>
  <c r="W27" i="7"/>
  <c r="X27" i="7"/>
  <c r="Z27" i="7"/>
  <c r="AA27" i="7"/>
  <c r="AB27" i="7"/>
  <c r="AD27" i="7"/>
  <c r="AE27" i="7"/>
  <c r="AF27" i="7"/>
  <c r="AG27" i="7"/>
  <c r="AH27" i="7"/>
  <c r="AI27" i="7"/>
  <c r="AJ27" i="7"/>
  <c r="AK27" i="7"/>
  <c r="L28" i="7"/>
  <c r="M28" i="7"/>
  <c r="S28" i="7"/>
  <c r="T28" i="7"/>
  <c r="U28" i="7"/>
  <c r="W28" i="7"/>
  <c r="X28" i="7"/>
  <c r="Z28" i="7"/>
  <c r="AA28" i="7"/>
  <c r="AB28" i="7"/>
  <c r="AD28" i="7"/>
  <c r="AE28" i="7"/>
  <c r="AF28" i="7"/>
  <c r="AG28" i="7"/>
  <c r="AH28" i="7"/>
  <c r="AI28" i="7"/>
  <c r="AJ28" i="7"/>
  <c r="AK28" i="7"/>
  <c r="S29" i="7"/>
  <c r="T29" i="7"/>
  <c r="U29" i="7"/>
  <c r="W29" i="7"/>
  <c r="X29" i="7"/>
  <c r="Z29" i="7"/>
  <c r="AA29" i="7"/>
  <c r="AB29" i="7"/>
  <c r="AD29" i="7"/>
  <c r="AE29" i="7"/>
  <c r="AF29" i="7"/>
  <c r="AG29" i="7"/>
  <c r="AH29" i="7"/>
  <c r="AI29" i="7"/>
  <c r="AJ29" i="7"/>
  <c r="AK29" i="7"/>
  <c r="S31" i="7"/>
  <c r="T31" i="7"/>
  <c r="U31" i="7"/>
  <c r="W31" i="7"/>
  <c r="X31" i="7"/>
  <c r="Z31" i="7"/>
  <c r="AA31" i="7"/>
  <c r="AB31" i="7"/>
  <c r="AD31" i="7"/>
  <c r="AE31" i="7"/>
  <c r="AF31" i="7"/>
  <c r="AG31" i="7"/>
  <c r="AH31" i="7"/>
  <c r="AI31" i="7"/>
  <c r="AJ31" i="7"/>
  <c r="AK31" i="7"/>
  <c r="S32" i="7"/>
  <c r="T32" i="7"/>
  <c r="U32" i="7"/>
  <c r="W32" i="7"/>
  <c r="X32" i="7"/>
  <c r="Z32" i="7"/>
  <c r="AA32" i="7"/>
  <c r="AB32" i="7"/>
  <c r="AD32" i="7"/>
  <c r="AE32" i="7"/>
  <c r="AF32" i="7"/>
  <c r="AG32" i="7"/>
  <c r="AH32" i="7"/>
  <c r="AI32" i="7"/>
  <c r="AJ32" i="7"/>
  <c r="AK32" i="7"/>
  <c r="J33" i="7"/>
  <c r="K33" i="7"/>
  <c r="S33" i="7"/>
  <c r="T33" i="7"/>
  <c r="U33" i="7"/>
  <c r="W33" i="7"/>
  <c r="X33" i="7"/>
  <c r="Z33" i="7"/>
  <c r="AA33" i="7"/>
  <c r="AB33" i="7"/>
  <c r="AD33" i="7"/>
  <c r="AE33" i="7"/>
  <c r="AF33" i="7"/>
  <c r="AG33" i="7"/>
  <c r="AH33" i="7"/>
  <c r="AI33" i="7"/>
  <c r="AJ33" i="7"/>
  <c r="AK33" i="7"/>
  <c r="J34" i="7"/>
  <c r="K34" i="7"/>
  <c r="S34" i="7"/>
  <c r="T34" i="7"/>
  <c r="U34" i="7"/>
  <c r="W34" i="7"/>
  <c r="X34" i="7"/>
  <c r="Z34" i="7"/>
  <c r="AA34" i="7"/>
  <c r="AB34" i="7"/>
  <c r="AD34" i="7"/>
  <c r="AE34" i="7"/>
  <c r="AF34" i="7"/>
  <c r="AG34" i="7"/>
  <c r="AH34" i="7"/>
  <c r="AI34" i="7"/>
  <c r="AJ34" i="7"/>
  <c r="AK34" i="7"/>
  <c r="J35" i="7"/>
  <c r="K35" i="7"/>
  <c r="J36" i="7"/>
  <c r="K36" i="7"/>
  <c r="S36" i="7"/>
  <c r="T36" i="7"/>
  <c r="U36" i="7"/>
  <c r="W36" i="7"/>
  <c r="X36" i="7"/>
  <c r="Z36" i="7"/>
  <c r="AA36" i="7"/>
  <c r="AB36" i="7"/>
  <c r="AD36" i="7"/>
  <c r="AE36" i="7"/>
  <c r="AF36" i="7"/>
  <c r="AG36" i="7"/>
  <c r="AH36" i="7"/>
  <c r="AI36" i="7"/>
  <c r="AJ36" i="7"/>
  <c r="AK36" i="7"/>
  <c r="J37" i="7"/>
  <c r="K37" i="7"/>
  <c r="S37" i="7"/>
  <c r="T37" i="7"/>
  <c r="U37" i="7"/>
  <c r="W37" i="7"/>
  <c r="X37" i="7"/>
  <c r="Z37" i="7"/>
  <c r="AA37" i="7"/>
  <c r="AB37" i="7"/>
  <c r="AD37" i="7"/>
  <c r="AE37" i="7"/>
  <c r="AF37" i="7"/>
  <c r="AG37" i="7"/>
  <c r="AH37" i="7"/>
  <c r="AI37" i="7"/>
  <c r="AJ37" i="7"/>
  <c r="AK37" i="7"/>
  <c r="S38" i="7"/>
  <c r="T38" i="7"/>
  <c r="U38" i="7"/>
  <c r="W38" i="7"/>
  <c r="X38" i="7"/>
  <c r="Z38" i="7"/>
  <c r="AA38" i="7"/>
  <c r="AB38" i="7"/>
  <c r="AD38" i="7"/>
  <c r="AE38" i="7"/>
  <c r="AF38" i="7"/>
  <c r="AG38" i="7"/>
  <c r="AH38" i="7"/>
  <c r="AI38" i="7"/>
  <c r="AJ38" i="7"/>
  <c r="AK38" i="7"/>
  <c r="S39" i="7"/>
  <c r="T39" i="7"/>
  <c r="U39" i="7"/>
  <c r="W39" i="7"/>
  <c r="X39" i="7"/>
  <c r="Z39" i="7"/>
  <c r="AA39" i="7"/>
  <c r="AB39" i="7"/>
  <c r="AD39" i="7"/>
  <c r="AE39" i="7"/>
  <c r="AF39" i="7"/>
  <c r="AG39" i="7"/>
  <c r="AH39" i="7"/>
  <c r="AI39" i="7"/>
  <c r="AJ39" i="7"/>
  <c r="AK39" i="7"/>
  <c r="K43" i="7"/>
  <c r="V43" i="7"/>
  <c r="K44" i="7"/>
  <c r="V44" i="7"/>
  <c r="K45" i="7"/>
  <c r="V45" i="7"/>
  <c r="K46" i="7"/>
  <c r="K47" i="7"/>
  <c r="R47" i="7"/>
  <c r="R48" i="7"/>
  <c r="J49" i="7"/>
  <c r="R50" i="7"/>
  <c r="Y62" i="7"/>
  <c r="Z62" i="7"/>
  <c r="Y63" i="7"/>
  <c r="Z63" i="7"/>
  <c r="Y64" i="7"/>
  <c r="Z64" i="7"/>
  <c r="Y65" i="7"/>
  <c r="Z65" i="7"/>
  <c r="Y66" i="7"/>
  <c r="Z66" i="7"/>
  <c r="F5" i="1"/>
  <c r="F6" i="1"/>
  <c r="F7" i="1"/>
  <c r="F8" i="1"/>
  <c r="F9" i="1"/>
  <c r="F10" i="1"/>
  <c r="C17" i="1"/>
  <c r="D17" i="1"/>
  <c r="C20" i="1"/>
  <c r="D20" i="1"/>
  <c r="C23" i="1"/>
  <c r="D23" i="1"/>
  <c r="C27" i="1"/>
  <c r="D27" i="1"/>
  <c r="C28" i="1"/>
  <c r="D28" i="1"/>
  <c r="C29" i="1"/>
  <c r="D29" i="1"/>
  <c r="C30" i="1"/>
  <c r="D30" i="1"/>
  <c r="C31" i="1"/>
  <c r="D31" i="1"/>
  <c r="C35" i="1"/>
  <c r="D35" i="1"/>
  <c r="C39" i="1"/>
  <c r="D39" i="1"/>
  <c r="C40" i="1"/>
  <c r="D40" i="1"/>
  <c r="C41" i="1"/>
  <c r="D41" i="1"/>
  <c r="C42" i="1"/>
  <c r="D42" i="1"/>
  <c r="C43" i="1"/>
  <c r="D43" i="1"/>
  <c r="C46" i="1"/>
  <c r="D46" i="1"/>
  <c r="C50" i="1"/>
  <c r="D50" i="1"/>
  <c r="C51" i="1"/>
  <c r="D51" i="1"/>
  <c r="C54" i="1"/>
  <c r="D54" i="1"/>
  <c r="C58" i="1"/>
  <c r="D58" i="1"/>
  <c r="C59" i="1"/>
  <c r="D59" i="1"/>
  <c r="C63" i="1"/>
  <c r="D63" i="1"/>
  <c r="C64" i="1"/>
  <c r="D64" i="1"/>
  <c r="C65" i="1"/>
  <c r="D65" i="1"/>
  <c r="C66" i="1"/>
  <c r="D66" i="1"/>
  <c r="C70" i="1"/>
  <c r="D70" i="1"/>
  <c r="C71" i="1"/>
  <c r="D71" i="1"/>
  <c r="C72" i="1"/>
  <c r="D72" i="1"/>
  <c r="C73" i="1"/>
  <c r="D73" i="1"/>
  <c r="C78" i="1"/>
  <c r="D78" i="1"/>
  <c r="C79" i="1"/>
  <c r="D79" i="1"/>
  <c r="C81" i="1"/>
  <c r="D81" i="1"/>
  <c r="C82" i="1"/>
  <c r="D82" i="1"/>
  <c r="C86" i="1"/>
  <c r="D86" i="1"/>
  <c r="C87" i="1"/>
  <c r="D87" i="1"/>
  <c r="C90" i="1"/>
  <c r="D90" i="1"/>
  <c r="C91" i="1"/>
  <c r="D91" i="1"/>
  <c r="C96" i="1"/>
  <c r="D96" i="1"/>
  <c r="C97" i="1"/>
  <c r="D97" i="1"/>
  <c r="C99" i="1"/>
  <c r="D99" i="1"/>
  <c r="C100" i="1"/>
  <c r="D100" i="1"/>
  <c r="C104" i="1"/>
  <c r="D104" i="1"/>
  <c r="C105" i="1"/>
  <c r="D105" i="1"/>
  <c r="C108" i="1"/>
  <c r="D108" i="1"/>
  <c r="C109" i="1"/>
  <c r="D109" i="1"/>
  <c r="C113" i="1"/>
  <c r="D113" i="1"/>
  <c r="C114" i="1"/>
  <c r="D114" i="1"/>
  <c r="C115" i="1"/>
  <c r="D115" i="1"/>
  <c r="C116" i="1"/>
  <c r="D116" i="1"/>
  <c r="C119" i="1"/>
  <c r="D119" i="1"/>
  <c r="C120" i="1"/>
  <c r="D120" i="1"/>
  <c r="C121" i="1"/>
  <c r="D121" i="1"/>
  <c r="C122" i="1"/>
  <c r="D122" i="1"/>
  <c r="C126" i="1"/>
  <c r="D126" i="1"/>
  <c r="C127" i="1"/>
  <c r="D127" i="1"/>
  <c r="C128" i="1"/>
  <c r="D128" i="1"/>
  <c r="C129" i="1"/>
  <c r="D129" i="1"/>
  <c r="C132" i="1"/>
  <c r="D132" i="1"/>
  <c r="C133" i="1"/>
  <c r="D133" i="1"/>
  <c r="C134" i="1"/>
  <c r="D134" i="1"/>
  <c r="C135" i="1"/>
  <c r="D135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8" i="1"/>
  <c r="D148" i="1"/>
  <c r="C149" i="1"/>
  <c r="D149" i="1"/>
  <c r="C150" i="1"/>
  <c r="D150" i="1"/>
  <c r="C151" i="1"/>
  <c r="D151" i="1"/>
  <c r="C152" i="1"/>
  <c r="D152" i="1"/>
  <c r="C154" i="1"/>
  <c r="C158" i="1"/>
  <c r="D158" i="1"/>
  <c r="C159" i="1"/>
  <c r="D159" i="1"/>
  <c r="C160" i="1"/>
  <c r="D160" i="1"/>
  <c r="C161" i="1"/>
  <c r="D161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3" i="1"/>
  <c r="D173" i="1"/>
  <c r="C174" i="1"/>
  <c r="D174" i="1"/>
  <c r="C177" i="1"/>
  <c r="D177" i="1"/>
  <c r="C178" i="1"/>
  <c r="D178" i="1"/>
  <c r="C179" i="1"/>
  <c r="D179" i="1"/>
  <c r="C180" i="1"/>
  <c r="D180" i="1"/>
  <c r="C182" i="1"/>
  <c r="D182" i="1"/>
  <c r="C184" i="1"/>
  <c r="D184" i="1"/>
  <c r="C185" i="1"/>
  <c r="D185" i="1"/>
  <c r="C186" i="1"/>
  <c r="D186" i="1"/>
  <c r="C187" i="1"/>
  <c r="D187" i="1"/>
  <c r="C189" i="1"/>
  <c r="D189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5" i="1"/>
  <c r="D205" i="1"/>
  <c r="C206" i="1"/>
  <c r="D206" i="1"/>
  <c r="C209" i="1"/>
  <c r="D209" i="1"/>
  <c r="C210" i="1"/>
  <c r="D210" i="1"/>
  <c r="C211" i="1"/>
  <c r="D211" i="1"/>
  <c r="C212" i="1"/>
  <c r="D212" i="1"/>
  <c r="C214" i="1"/>
  <c r="D214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3" i="1"/>
  <c r="D223" i="1"/>
  <c r="C225" i="1"/>
  <c r="D225" i="1"/>
  <c r="C228" i="1"/>
  <c r="D228" i="1"/>
  <c r="C231" i="1"/>
  <c r="D231" i="1"/>
  <c r="C236" i="1"/>
  <c r="D236" i="1"/>
  <c r="C237" i="1"/>
  <c r="D237" i="1"/>
  <c r="C238" i="1"/>
  <c r="D238" i="1"/>
  <c r="C242" i="1"/>
  <c r="D242" i="1"/>
  <c r="C243" i="1"/>
  <c r="D243" i="1"/>
  <c r="C244" i="1"/>
  <c r="D244" i="1"/>
  <c r="C247" i="1"/>
  <c r="D247" i="1"/>
  <c r="C248" i="1"/>
  <c r="D248" i="1"/>
  <c r="C249" i="1"/>
  <c r="D249" i="1"/>
  <c r="C250" i="1"/>
  <c r="D250" i="1"/>
  <c r="C251" i="1"/>
  <c r="D251" i="1"/>
  <c r="C254" i="1"/>
  <c r="D254" i="1"/>
  <c r="C255" i="1"/>
  <c r="D255" i="1"/>
  <c r="C256" i="1"/>
  <c r="D256" i="1"/>
  <c r="C257" i="1"/>
  <c r="D257" i="1"/>
  <c r="C259" i="1"/>
  <c r="D259" i="1"/>
  <c r="C260" i="1"/>
  <c r="D260" i="1"/>
  <c r="C261" i="1"/>
  <c r="D261" i="1"/>
  <c r="C262" i="1"/>
  <c r="D262" i="1"/>
  <c r="C267" i="1"/>
  <c r="D267" i="1"/>
  <c r="C268" i="1"/>
  <c r="D268" i="1"/>
  <c r="C269" i="1"/>
  <c r="D269" i="1"/>
  <c r="C270" i="1"/>
  <c r="D270" i="1"/>
  <c r="C273" i="1"/>
  <c r="D273" i="1"/>
  <c r="C274" i="1"/>
  <c r="D274" i="1"/>
  <c r="C275" i="1"/>
  <c r="D275" i="1"/>
  <c r="C278" i="1"/>
  <c r="D278" i="1"/>
  <c r="C279" i="1"/>
  <c r="D279" i="1"/>
  <c r="C280" i="1"/>
  <c r="D280" i="1"/>
  <c r="C281" i="1"/>
  <c r="D281" i="1"/>
  <c r="C284" i="1"/>
  <c r="D284" i="1"/>
  <c r="C285" i="1"/>
  <c r="D285" i="1"/>
  <c r="C286" i="1"/>
  <c r="D286" i="1"/>
  <c r="C291" i="1"/>
  <c r="D291" i="1"/>
  <c r="C292" i="1"/>
  <c r="D292" i="1"/>
  <c r="C293" i="1"/>
  <c r="D293" i="1"/>
  <c r="C294" i="1"/>
  <c r="D294" i="1"/>
  <c r="C297" i="1"/>
  <c r="D297" i="1"/>
  <c r="C298" i="1"/>
  <c r="D298" i="1"/>
  <c r="C299" i="1"/>
  <c r="D299" i="1"/>
  <c r="C302" i="1"/>
  <c r="D302" i="1"/>
  <c r="C303" i="1"/>
  <c r="D303" i="1"/>
  <c r="C304" i="1"/>
  <c r="D304" i="1"/>
  <c r="C305" i="1"/>
  <c r="D305" i="1"/>
  <c r="C308" i="1"/>
  <c r="D308" i="1"/>
  <c r="C309" i="1"/>
  <c r="D309" i="1"/>
  <c r="C310" i="1"/>
  <c r="D310" i="1"/>
  <c r="C314" i="1"/>
  <c r="D314" i="1"/>
  <c r="C315" i="1"/>
  <c r="D315" i="1"/>
  <c r="C319" i="1"/>
  <c r="D319" i="1"/>
  <c r="C320" i="1"/>
  <c r="D320" i="1"/>
  <c r="C324" i="1"/>
  <c r="D324" i="1"/>
  <c r="C328" i="1"/>
  <c r="D328" i="1"/>
  <c r="C329" i="1"/>
  <c r="D329" i="1"/>
  <c r="C333" i="1"/>
  <c r="D333" i="1"/>
  <c r="C334" i="1"/>
  <c r="D334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6" i="1"/>
  <c r="D406" i="1"/>
  <c r="C408" i="1"/>
  <c r="D408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1" i="1"/>
  <c r="D461" i="1"/>
  <c r="C465" i="1"/>
  <c r="D465" i="1"/>
  <c r="C466" i="1"/>
  <c r="D466" i="1"/>
  <c r="C467" i="1"/>
  <c r="D467" i="1"/>
  <c r="C469" i="1"/>
  <c r="D469" i="1"/>
  <c r="C470" i="1"/>
  <c r="D470" i="1"/>
  <c r="C471" i="1"/>
  <c r="D471" i="1"/>
  <c r="C473" i="1"/>
  <c r="D473" i="1"/>
  <c r="C475" i="1"/>
  <c r="D475" i="1"/>
  <c r="C478" i="1"/>
  <c r="D478" i="1"/>
  <c r="C479" i="1"/>
  <c r="D479" i="1"/>
  <c r="C480" i="1"/>
  <c r="D480" i="1"/>
  <c r="C482" i="1"/>
  <c r="D482" i="1"/>
  <c r="C483" i="1"/>
  <c r="D483" i="1"/>
  <c r="C484" i="1"/>
  <c r="D484" i="1"/>
  <c r="C486" i="1"/>
  <c r="D486" i="1"/>
  <c r="C487" i="1"/>
  <c r="D487" i="1"/>
  <c r="C488" i="1"/>
  <c r="D488" i="1"/>
  <c r="C490" i="1"/>
  <c r="D490" i="1"/>
  <c r="C493" i="1"/>
  <c r="D493" i="1"/>
  <c r="C494" i="1"/>
  <c r="D494" i="1"/>
  <c r="C495" i="1"/>
  <c r="D495" i="1"/>
  <c r="C497" i="1"/>
  <c r="D497" i="1"/>
  <c r="C502" i="1"/>
  <c r="D502" i="1"/>
  <c r="C503" i="1"/>
  <c r="D503" i="1"/>
  <c r="C504" i="1"/>
  <c r="D504" i="1"/>
  <c r="C507" i="1"/>
  <c r="D507" i="1"/>
  <c r="C508" i="1"/>
  <c r="D508" i="1"/>
  <c r="C509" i="1"/>
  <c r="D509" i="1"/>
  <c r="C512" i="1"/>
  <c r="D512" i="1"/>
  <c r="C513" i="1"/>
  <c r="D513" i="1"/>
  <c r="C514" i="1"/>
  <c r="D514" i="1"/>
  <c r="C518" i="1"/>
  <c r="D518" i="1"/>
  <c r="C519" i="1"/>
  <c r="D519" i="1"/>
  <c r="C520" i="1"/>
  <c r="D520" i="1"/>
  <c r="C523" i="1"/>
  <c r="D523" i="1"/>
  <c r="C524" i="1"/>
  <c r="D524" i="1"/>
  <c r="C525" i="1"/>
  <c r="D525" i="1"/>
  <c r="C528" i="1"/>
  <c r="D528" i="1"/>
  <c r="C529" i="1"/>
  <c r="D529" i="1"/>
  <c r="C530" i="1"/>
  <c r="D530" i="1"/>
  <c r="C532" i="1"/>
  <c r="D532" i="1"/>
  <c r="C534" i="1"/>
  <c r="D534" i="1"/>
  <c r="C536" i="1"/>
  <c r="D536" i="1"/>
  <c r="C538" i="1"/>
  <c r="D538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50" i="1"/>
  <c r="D550" i="1"/>
  <c r="C551" i="1"/>
  <c r="D551" i="1"/>
  <c r="C552" i="1"/>
  <c r="D552" i="1"/>
  <c r="C556" i="1"/>
  <c r="D556" i="1"/>
  <c r="C557" i="1"/>
  <c r="D557" i="1"/>
  <c r="C558" i="1"/>
  <c r="D558" i="1"/>
  <c r="C559" i="1"/>
  <c r="D559" i="1"/>
  <c r="C562" i="1"/>
  <c r="D562" i="1"/>
  <c r="C563" i="1"/>
  <c r="D563" i="1"/>
  <c r="C564" i="1"/>
  <c r="D564" i="1"/>
  <c r="C565" i="1"/>
  <c r="D565" i="1"/>
  <c r="C568" i="1"/>
  <c r="D568" i="1"/>
  <c r="C569" i="1"/>
  <c r="D569" i="1"/>
  <c r="C570" i="1"/>
  <c r="D570" i="1"/>
  <c r="C571" i="1"/>
  <c r="D571" i="1"/>
  <c r="C575" i="1"/>
  <c r="D575" i="1"/>
  <c r="C576" i="1"/>
  <c r="D576" i="1"/>
  <c r="C577" i="1"/>
  <c r="D577" i="1"/>
  <c r="C578" i="1"/>
  <c r="D578" i="1"/>
  <c r="C581" i="1"/>
  <c r="D581" i="1"/>
  <c r="C582" i="1"/>
  <c r="D582" i="1"/>
  <c r="C583" i="1"/>
  <c r="D583" i="1"/>
  <c r="C584" i="1"/>
  <c r="D584" i="1"/>
  <c r="C587" i="1"/>
  <c r="D587" i="1"/>
  <c r="C588" i="1"/>
  <c r="D588" i="1"/>
  <c r="C589" i="1"/>
  <c r="D589" i="1"/>
  <c r="C590" i="1"/>
  <c r="D590" i="1"/>
  <c r="C592" i="1"/>
  <c r="D592" i="1"/>
  <c r="C594" i="1"/>
  <c r="D594" i="1"/>
  <c r="C596" i="1"/>
  <c r="D596" i="1"/>
  <c r="C598" i="1"/>
  <c r="D598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10" i="1"/>
  <c r="D610" i="1"/>
  <c r="C611" i="1"/>
  <c r="D611" i="1"/>
  <c r="C612" i="1"/>
  <c r="D6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WCNX</author>
  </authors>
  <commentList>
    <comment ref="D1" authorId="0" shapeId="0" xr:uid="{3E5F1CAA-B1CF-44D8-BA0D-EAFE69FA5510}">
      <text>
        <r>
          <rPr>
            <b/>
            <sz val="8"/>
            <color indexed="81"/>
            <rFont val="Tahoma"/>
            <family val="2"/>
          </rPr>
          <t>WCNX:</t>
        </r>
        <r>
          <rPr>
            <sz val="8"/>
            <color indexed="81"/>
            <rFont val="Tahoma"/>
            <family val="2"/>
          </rPr>
          <t xml:space="preserve">
Include bill areas: Butlers Cove, Lacey, Olympia, Summit Lake, Tumwater, and Contract. Contract is the Nisqually Tribe, which is non-regulated but because it's so small we include it in the Pacific regulated revenue.  Billed at Pacific Tariff rates.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WCNX</author>
  </authors>
  <commentList>
    <comment ref="D1" authorId="0" shapeId="0" xr:uid="{4F12A057-1C7A-44DA-A93D-BAD82459C89F}">
      <text>
        <r>
          <rPr>
            <b/>
            <sz val="8"/>
            <color indexed="81"/>
            <rFont val="Tahoma"/>
            <family val="2"/>
          </rPr>
          <t>WCNX:</t>
        </r>
        <r>
          <rPr>
            <sz val="8"/>
            <color indexed="81"/>
            <rFont val="Tahoma"/>
            <family val="2"/>
          </rPr>
          <t xml:space="preserve">
Includes Rural bill area. Billed at Rural Tariff rates.</t>
        </r>
      </text>
    </comment>
  </commentList>
</comments>
</file>

<file path=xl/sharedStrings.xml><?xml version="1.0" encoding="utf-8"?>
<sst xmlns="http://schemas.openxmlformats.org/spreadsheetml/2006/main" count="3120" uniqueCount="890">
  <si>
    <t>Rate Sheet</t>
  </si>
  <si>
    <t>Current Rate</t>
  </si>
  <si>
    <t>Item 50, Pg. 14 Lewis County</t>
  </si>
  <si>
    <t xml:space="preserve">Returned Check </t>
  </si>
  <si>
    <t>x</t>
  </si>
  <si>
    <t>Item 50, Pg. 14A Thurston County</t>
  </si>
  <si>
    <t>Restart Fee</t>
  </si>
  <si>
    <t>Redelivery Fees</t>
  </si>
  <si>
    <t xml:space="preserve">  Containers</t>
  </si>
  <si>
    <t xml:space="preserve">  Drop Box</t>
  </si>
  <si>
    <t xml:space="preserve">  Garbage Toters</t>
  </si>
  <si>
    <t xml:space="preserve">  Organic Waste Toters</t>
  </si>
  <si>
    <t xml:space="preserve">  Residential Recycling</t>
  </si>
  <si>
    <t>Oversized Container</t>
  </si>
  <si>
    <t>Overtime Periods</t>
  </si>
  <si>
    <t xml:space="preserve">  Charge per Hour</t>
  </si>
  <si>
    <t xml:space="preserve">  Minimum Charge</t>
  </si>
  <si>
    <t>Item 55, Pg. 16.1-A Thurston County</t>
  </si>
  <si>
    <t>Item 60, Pg. 16.1-A Thurston County</t>
  </si>
  <si>
    <t>Return Trip</t>
  </si>
  <si>
    <t xml:space="preserve">  Toter, can, unit etc.</t>
  </si>
  <si>
    <t xml:space="preserve">  Container</t>
  </si>
  <si>
    <t xml:space="preserve">  Recycling Container</t>
  </si>
  <si>
    <t>Carry-Out</t>
  </si>
  <si>
    <t xml:space="preserve"> Residential</t>
  </si>
  <si>
    <t xml:space="preserve">  5-25 Feet  </t>
  </si>
  <si>
    <t xml:space="preserve">  25+ or fraction of </t>
  </si>
  <si>
    <t xml:space="preserve"> Commercial</t>
  </si>
  <si>
    <t>Drive Ins</t>
  </si>
  <si>
    <t xml:space="preserve">  125-1000 feet</t>
  </si>
  <si>
    <t xml:space="preserve">  1/10 mile over 1/10 mile</t>
  </si>
  <si>
    <t xml:space="preserve">  Stairs</t>
  </si>
  <si>
    <t xml:space="preserve">  Overhead Obstruction</t>
  </si>
  <si>
    <t xml:space="preserve">  Sunken or elevated cans</t>
  </si>
  <si>
    <t xml:space="preserve">  Latching &amp; Unlatching</t>
  </si>
  <si>
    <t>Item 100, Pg. 21 Lewis County</t>
  </si>
  <si>
    <t>20 Gal Weekly</t>
  </si>
  <si>
    <t>65 Gal Weekly</t>
  </si>
  <si>
    <t>95 Gal Weekly</t>
  </si>
  <si>
    <t>65 Gal EOW</t>
  </si>
  <si>
    <t>95 Gal EOW</t>
  </si>
  <si>
    <t>65 Gal Monthly</t>
  </si>
  <si>
    <t>95 Gal Monthly</t>
  </si>
  <si>
    <t>Item 100, Pg. 22 Lewis County (except RSA1)</t>
  </si>
  <si>
    <t>32 Gal Extra</t>
  </si>
  <si>
    <t>Mini-Can</t>
  </si>
  <si>
    <t>65 Gal Extra</t>
  </si>
  <si>
    <t>95 Gal Extra</t>
  </si>
  <si>
    <t>Prepaid Bag</t>
  </si>
  <si>
    <t>Unreturned Cart Fee</t>
  </si>
  <si>
    <t>On Call 65 Galon</t>
  </si>
  <si>
    <t>On Call 95 Gallon</t>
  </si>
  <si>
    <t>Special 65 Gallon</t>
  </si>
  <si>
    <t>Special 95 Gallon</t>
  </si>
  <si>
    <t>Recycling</t>
  </si>
  <si>
    <t xml:space="preserve">  With Garbage Service</t>
  </si>
  <si>
    <t xml:space="preserve">  Recycle Only</t>
  </si>
  <si>
    <t>Unlocking/Unlatching</t>
  </si>
  <si>
    <t>35 Gal Weekly</t>
  </si>
  <si>
    <t>35 Gal EOW</t>
  </si>
  <si>
    <t>35 Gal Monthly</t>
  </si>
  <si>
    <t>On Call 35 Gallon</t>
  </si>
  <si>
    <t>Special 35 Gallon</t>
  </si>
  <si>
    <t>Roll Out Service</t>
  </si>
  <si>
    <t>Residential unit</t>
  </si>
  <si>
    <t>Yard Waste</t>
  </si>
  <si>
    <t xml:space="preserve">  EOW Service</t>
  </si>
  <si>
    <t xml:space="preserve">  Addl Pickup</t>
  </si>
  <si>
    <t xml:space="preserve">  Special Pickup</t>
  </si>
  <si>
    <t>Item 106, Pg. 30-A Thurston County</t>
  </si>
  <si>
    <t>Bulky/Loose Material 1-4yd</t>
  </si>
  <si>
    <t>Bulky/Loose Material per Yard</t>
  </si>
  <si>
    <t>Bulky/Loose Material Min Charge</t>
  </si>
  <si>
    <t>Carry Charge</t>
  </si>
  <si>
    <t>Carry Charge - Loose</t>
  </si>
  <si>
    <t>Bulky Material 1-4yd</t>
  </si>
  <si>
    <t>Bulky Material per Yard</t>
  </si>
  <si>
    <t>Bulky Material Min Charge</t>
  </si>
  <si>
    <t>Loose Material 1-4yd</t>
  </si>
  <si>
    <t>Loose Material per Yard</t>
  </si>
  <si>
    <t>Loose Material Min Charge</t>
  </si>
  <si>
    <t>Time Rates</t>
  </si>
  <si>
    <t xml:space="preserve"> Single Rear Drive</t>
  </si>
  <si>
    <t xml:space="preserve">  Non-Packer Truck</t>
  </si>
  <si>
    <t xml:space="preserve">  Packer Truck</t>
  </si>
  <si>
    <t xml:space="preserve">  Drop Box Truck</t>
  </si>
  <si>
    <t xml:space="preserve">  Extra Person</t>
  </si>
  <si>
    <t xml:space="preserve"> Minimum</t>
  </si>
  <si>
    <t xml:space="preserve"> Tandem Rear Drive</t>
  </si>
  <si>
    <t>Roll-Out</t>
  </si>
  <si>
    <t xml:space="preserve">  Automated Cart or Toter</t>
  </si>
  <si>
    <t>Item 207, Pg. 35</t>
  </si>
  <si>
    <t>Drop Box</t>
  </si>
  <si>
    <t xml:space="preserve">  Overfilled or Overweight</t>
  </si>
  <si>
    <t>Washing &amp; Sanitizing</t>
  </si>
  <si>
    <t xml:space="preserve">  Containers/Drop Box</t>
  </si>
  <si>
    <t>Item 230, Pg. 37</t>
  </si>
  <si>
    <t>Thurston County TS</t>
  </si>
  <si>
    <t xml:space="preserve">  MSW</t>
  </si>
  <si>
    <t xml:space="preserve">  Construction/Demolition</t>
  </si>
  <si>
    <t xml:space="preserve">  Roofing</t>
  </si>
  <si>
    <t xml:space="preserve">  Yard Debris</t>
  </si>
  <si>
    <t xml:space="preserve">  Tractor Tires</t>
  </si>
  <si>
    <t xml:space="preserve">  Refrigerated Appliances</t>
  </si>
  <si>
    <t xml:space="preserve">  Asbestos</t>
  </si>
  <si>
    <t>Lewis County Central TS</t>
  </si>
  <si>
    <t xml:space="preserve">  CDL/Wood Waste</t>
  </si>
  <si>
    <t xml:space="preserve">  White Goods/Appliances</t>
  </si>
  <si>
    <t xml:space="preserve">  Tires (car)</t>
  </si>
  <si>
    <t xml:space="preserve">  Tires with Rims (car)</t>
  </si>
  <si>
    <t xml:space="preserve">  Tires (truck)</t>
  </si>
  <si>
    <t>1 Yard - First PU</t>
  </si>
  <si>
    <t>1.5 Yard - First PU</t>
  </si>
  <si>
    <t>2 Yard - First PU</t>
  </si>
  <si>
    <t>3 Yard - First PU</t>
  </si>
  <si>
    <t>4 Yard - First PU</t>
  </si>
  <si>
    <t>5 Yard - First PU</t>
  </si>
  <si>
    <t>6 Yard - First PU</t>
  </si>
  <si>
    <t>1 Yard - Addt'l PU</t>
  </si>
  <si>
    <t>1.5 Yard - Addt'l PU</t>
  </si>
  <si>
    <t>2 Yard - Addt'l PU</t>
  </si>
  <si>
    <t>3 Yard - Addt'l PU</t>
  </si>
  <si>
    <t>4 Yard - Addt'l PU</t>
  </si>
  <si>
    <t>5 Yard - Addt'l PU</t>
  </si>
  <si>
    <t>6 Yard - Addt'l PU</t>
  </si>
  <si>
    <t>1 Yard - Special</t>
  </si>
  <si>
    <t>1.5 Yard - Special</t>
  </si>
  <si>
    <t>2 Yard - Special</t>
  </si>
  <si>
    <t>3 Yard - Special</t>
  </si>
  <si>
    <t>4 Yard - Special</t>
  </si>
  <si>
    <t>5 Yard - Special</t>
  </si>
  <si>
    <t>6 Yard - Special</t>
  </si>
  <si>
    <t>Initial Delivery</t>
  </si>
  <si>
    <t>1 Yard - Temp</t>
  </si>
  <si>
    <t>1.5 Yard - Temp</t>
  </si>
  <si>
    <t>2 Yard - Temp</t>
  </si>
  <si>
    <t>3 Yard - Temp</t>
  </si>
  <si>
    <t>4 Yard - Temp</t>
  </si>
  <si>
    <t>5 Yard - Temp</t>
  </si>
  <si>
    <t>6 Yard - Temp</t>
  </si>
  <si>
    <t xml:space="preserve">1 Yard - Temp PU </t>
  </si>
  <si>
    <t>1.5 Yard - Temp PU</t>
  </si>
  <si>
    <t>2 Yard - Temp PU</t>
  </si>
  <si>
    <t>3 Yard - Temp PU</t>
  </si>
  <si>
    <t>4 Yard - Temp PU</t>
  </si>
  <si>
    <t>5 Yard - Temp PU</t>
  </si>
  <si>
    <t>6 Yard - Temp PU</t>
  </si>
  <si>
    <t>Temporary Rent</t>
  </si>
  <si>
    <t>1 Yard</t>
  </si>
  <si>
    <t>1.5 Yard</t>
  </si>
  <si>
    <t>2 Yard</t>
  </si>
  <si>
    <t>3 Yard</t>
  </si>
  <si>
    <t>4 Yard</t>
  </si>
  <si>
    <t>5 Yard</t>
  </si>
  <si>
    <t>6 Yard</t>
  </si>
  <si>
    <t>Over-filled Container</t>
  </si>
  <si>
    <t>Unlock Fee</t>
  </si>
  <si>
    <t>65 Gal- Single</t>
  </si>
  <si>
    <t>65 Gal - Monthly Min</t>
  </si>
  <si>
    <t>Special Pick-Up</t>
  </si>
  <si>
    <t>95 Gal- Single</t>
  </si>
  <si>
    <t>95 Gal - Monthly Min</t>
  </si>
  <si>
    <t>Extra Can</t>
  </si>
  <si>
    <t>Unlocking Fee</t>
  </si>
  <si>
    <t>35 Gal - Single</t>
  </si>
  <si>
    <t>35 Gal - Monthly Min</t>
  </si>
  <si>
    <t>65 Gal - Single</t>
  </si>
  <si>
    <t>Per Unit Charges</t>
  </si>
  <si>
    <t>35 Gallon</t>
  </si>
  <si>
    <t>65 Gallon</t>
  </si>
  <si>
    <t>95 Gallon</t>
  </si>
  <si>
    <t>Permanent Service</t>
  </si>
  <si>
    <t>Monthly Rent</t>
  </si>
  <si>
    <t xml:space="preserve">  20 Yard</t>
  </si>
  <si>
    <t xml:space="preserve">  30 Yard</t>
  </si>
  <si>
    <t xml:space="preserve">  40 Yard</t>
  </si>
  <si>
    <t>First Pickup</t>
  </si>
  <si>
    <t>Addl Pickup</t>
  </si>
  <si>
    <t>Temporary Service</t>
  </si>
  <si>
    <t>Pickup Rate</t>
  </si>
  <si>
    <t>Rent per Day</t>
  </si>
  <si>
    <t>Mileage</t>
  </si>
  <si>
    <t>Tarping</t>
  </si>
  <si>
    <t>Lids</t>
  </si>
  <si>
    <t>Pickup</t>
  </si>
  <si>
    <t xml:space="preserve">  10 Yard</t>
  </si>
  <si>
    <t xml:space="preserve">  15 Yard</t>
  </si>
  <si>
    <t xml:space="preserve">  25 Yard</t>
  </si>
  <si>
    <t>Locking/Unlatching</t>
  </si>
  <si>
    <t>Connect/Disconnect</t>
  </si>
  <si>
    <t>Lewis County UTC</t>
  </si>
  <si>
    <t xml:space="preserve"> City Sanitary, Joe's Refuse, White Pass Garbage G-98 </t>
  </si>
  <si>
    <t>Increase per LG</t>
  </si>
  <si>
    <t>True-Up</t>
  </si>
  <si>
    <t>Total PI</t>
  </si>
  <si>
    <t>Diff From LG</t>
  </si>
  <si>
    <t>Lewis Co. Regulated - Price Out</t>
  </si>
  <si>
    <t>Lewis MSW</t>
  </si>
  <si>
    <t>Calendar Year Ended December 31, 2023</t>
  </si>
  <si>
    <t>Lewis Rec</t>
  </si>
  <si>
    <t>Tariff Rate</t>
  </si>
  <si>
    <t>Total</t>
  </si>
  <si>
    <t xml:space="preserve">Total </t>
  </si>
  <si>
    <t>Average</t>
  </si>
  <si>
    <t>Container Counts</t>
  </si>
  <si>
    <t>Proposed Tariff Rate</t>
  </si>
  <si>
    <t>Proposed Annual Revenue</t>
  </si>
  <si>
    <t>Change in Annual Revenue</t>
  </si>
  <si>
    <t>Lewis YW</t>
  </si>
  <si>
    <t>Service Code</t>
  </si>
  <si>
    <t>Service Code Description</t>
  </si>
  <si>
    <t>Tariff Page</t>
  </si>
  <si>
    <t>Revenue</t>
  </si>
  <si>
    <t>Customers</t>
  </si>
  <si>
    <t>Cart Size</t>
  </si>
  <si>
    <t>Can Size</t>
  </si>
  <si>
    <t>Container Size</t>
  </si>
  <si>
    <t>Quantity</t>
  </si>
  <si>
    <t>Count</t>
  </si>
  <si>
    <t>Per Price Out</t>
  </si>
  <si>
    <t>Revenue Req Per LG</t>
  </si>
  <si>
    <t>Difference</t>
  </si>
  <si>
    <t>RESIDENTIAL SERVICES</t>
  </si>
  <si>
    <t>Concatenate (Area &amp;LOB &amp; Service Code)</t>
  </si>
  <si>
    <t>Count (ensures no duplicates)</t>
  </si>
  <si>
    <t>RESIDENTIAL GARBAGE</t>
  </si>
  <si>
    <t>ACCESS-RES</t>
  </si>
  <si>
    <t>ACCESS FEE - RES</t>
  </si>
  <si>
    <t>20.1-A</t>
  </si>
  <si>
    <t>BULKY-RES</t>
  </si>
  <si>
    <t>BULKY ITEM PICK UP - RES</t>
  </si>
  <si>
    <t>31-A</t>
  </si>
  <si>
    <t>DISP-RES</t>
  </si>
  <si>
    <t>DISPOSAL FEE -RES</t>
  </si>
  <si>
    <t>37</t>
  </si>
  <si>
    <t>DRIVEIN1-RES</t>
  </si>
  <si>
    <t>DRIVE IN 1 - RES</t>
  </si>
  <si>
    <t>19-A</t>
  </si>
  <si>
    <t>EXTRA-RES</t>
  </si>
  <si>
    <t>EXTRA CAN, BAG, BOX - RES</t>
  </si>
  <si>
    <t>22-A</t>
  </si>
  <si>
    <t>PDBAG-RES</t>
  </si>
  <si>
    <t>PREPAID BAG - RES</t>
  </si>
  <si>
    <t>DRIVEIN2-RES</t>
  </si>
  <si>
    <t>DRIVE IN 2 - RES</t>
  </si>
  <si>
    <t>REDEL-RES</t>
  </si>
  <si>
    <t>REDELIVER FEE - RES</t>
  </si>
  <si>
    <t>15-A</t>
  </si>
  <si>
    <t>REINSTATE-RES</t>
  </si>
  <si>
    <t>REINSTATE FEE - RES</t>
  </si>
  <si>
    <t>ROLL1RES</t>
  </si>
  <si>
    <t>CART ROLL OUT 1 - RES</t>
  </si>
  <si>
    <t>34-A</t>
  </si>
  <si>
    <t>RTRNCART65-RES</t>
  </si>
  <si>
    <t>RETURN TRIP 65 GL - RES</t>
  </si>
  <si>
    <t>17.1-A</t>
  </si>
  <si>
    <t>RTRNCART95-RES</t>
  </si>
  <si>
    <t>RETURN TRIP 95 GL - RES</t>
  </si>
  <si>
    <t>RTRNCART-RES</t>
  </si>
  <si>
    <t>RETURN TRIP FEE CART - RE</t>
  </si>
  <si>
    <t>RL020.0G1W001</t>
  </si>
  <si>
    <t>20 GL 1X WK 1</t>
  </si>
  <si>
    <t>21-A</t>
  </si>
  <si>
    <t>SL065.0G1M002NOREC</t>
  </si>
  <si>
    <t>65 GL 1X MO NO RECY 2</t>
  </si>
  <si>
    <t>SL065.0G1M001NOREC</t>
  </si>
  <si>
    <t>65 GL 1X MO NO RECY 1</t>
  </si>
  <si>
    <t>SL065.0G1M001WREC</t>
  </si>
  <si>
    <t>65 GL 1X MO W/RECY 1</t>
  </si>
  <si>
    <t>SL065.0G1M002WREC</t>
  </si>
  <si>
    <t>65 GL 1X MO W/RECY 2</t>
  </si>
  <si>
    <t>SL065.0G1M003WREC</t>
  </si>
  <si>
    <t>65 GL 1X MO W/RECY 3</t>
  </si>
  <si>
    <t>SL065.0G1W001NOREC</t>
  </si>
  <si>
    <t>65 GL 1X WK NO RECY 1</t>
  </si>
  <si>
    <t>SL065.0G1W001WREC</t>
  </si>
  <si>
    <t>65 GL 1X WK W/RECY 1</t>
  </si>
  <si>
    <t>SL065.0G1W002WREC</t>
  </si>
  <si>
    <t>65 GL 1X WK W/RECY 2</t>
  </si>
  <si>
    <t>SL065.0GEO001NOREC</t>
  </si>
  <si>
    <t>65 GL EOW NO RECY 1</t>
  </si>
  <si>
    <t>SL065.0GEO001WREC</t>
  </si>
  <si>
    <t>65 GL EOW W/RECY 1</t>
  </si>
  <si>
    <t>SL065.0GEO002WREC</t>
  </si>
  <si>
    <t>65 GL EOW W/RECY 2</t>
  </si>
  <si>
    <t>SL065.0GEO003WREC</t>
  </si>
  <si>
    <t>65 GL EOW W/RECY 3</t>
  </si>
  <si>
    <t>SL095.0G1M001NOREC</t>
  </si>
  <si>
    <t>95 GL 1X MO NO RECY 1</t>
  </si>
  <si>
    <t>SL095.0G1M001WREC</t>
  </si>
  <si>
    <t>95 GL 1X MO W/RECY 1</t>
  </si>
  <si>
    <t>SL095.0G1W001NOREC</t>
  </si>
  <si>
    <t>95 GL 1X WK NO RECY 1</t>
  </si>
  <si>
    <t>SL095.0G1W001WREC</t>
  </si>
  <si>
    <t>95 GL 1X WK W/RECY 1</t>
  </si>
  <si>
    <t>SL095.0G1W002WREC</t>
  </si>
  <si>
    <t>95 GL 1X WK W/RECY 2</t>
  </si>
  <si>
    <t>SL095.0GEO001NOREC</t>
  </si>
  <si>
    <t>95 GL EOW NO RECY 1</t>
  </si>
  <si>
    <t>SL095.0GEO001WREC</t>
  </si>
  <si>
    <t>95 GL EOW W/RECY 1</t>
  </si>
  <si>
    <t>SP65-RES</t>
  </si>
  <si>
    <t>SPECIAL PICK UP 65 GL - R</t>
  </si>
  <si>
    <t>SP95-RES</t>
  </si>
  <si>
    <t>SPECIAL PICK UP 95 GL - R</t>
  </si>
  <si>
    <t>SPCL65-RES</t>
  </si>
  <si>
    <t>SPECIAL 65 GL - RES</t>
  </si>
  <si>
    <t>TIRESM-RES</t>
  </si>
  <si>
    <t>TIRE FEE SMALL - RES</t>
  </si>
  <si>
    <t>WI3-RES</t>
  </si>
  <si>
    <t>WALK IN 51-75 - RES</t>
  </si>
  <si>
    <t>19.1-A</t>
  </si>
  <si>
    <t>Carts</t>
  </si>
  <si>
    <t>ROLL1EOWRES</t>
  </si>
  <si>
    <t>CART ROLL OUT 1 EOW - RES</t>
  </si>
  <si>
    <t>ROLL1MTHRES</t>
  </si>
  <si>
    <t>CART ROLL OUT 1 MONTHLY - RES</t>
  </si>
  <si>
    <t>Containers</t>
  </si>
  <si>
    <t>SL65R-OC</t>
  </si>
  <si>
    <t>65 GL ON CALL - RES</t>
  </si>
  <si>
    <t>SL95R-OC</t>
  </si>
  <si>
    <t>95 GL ON CALL - RES</t>
  </si>
  <si>
    <t>cans</t>
  </si>
  <si>
    <t>TOTAL RESIDENTIAL GARBAGE</t>
  </si>
  <si>
    <t>W/ Recy</t>
  </si>
  <si>
    <t>RESIDENTIAL RECYCLING</t>
  </si>
  <si>
    <t>Disposal</t>
  </si>
  <si>
    <t>RECPROGADJ-RES</t>
  </si>
  <si>
    <t>RECYCLING PROGRAM ADJUSTM</t>
  </si>
  <si>
    <t>23-A</t>
  </si>
  <si>
    <t>RECBINONLYR</t>
  </si>
  <si>
    <t>RECYCLE SERVICE ONLY</t>
  </si>
  <si>
    <t>TOTAL RESIDENTIAL RECYCLING</t>
  </si>
  <si>
    <t>RESIDENTIAL YARD WASTE</t>
  </si>
  <si>
    <t>GWRES</t>
  </si>
  <si>
    <t>GREENWASTE SERVICE - RES</t>
  </si>
  <si>
    <t>30-A</t>
  </si>
  <si>
    <t>GW2RES</t>
  </si>
  <si>
    <t>GREENWASTE SVC 2 - RES</t>
  </si>
  <si>
    <t>GW3RES</t>
  </si>
  <si>
    <t>GREENWASTE SVC 3 - RES</t>
  </si>
  <si>
    <t>GW4RES</t>
  </si>
  <si>
    <t>GREENWASTE SVC 4 - RES</t>
  </si>
  <si>
    <t>REDELGW-RES</t>
  </si>
  <si>
    <t>REDELIVER FEE GW - RES</t>
  </si>
  <si>
    <t>TOTAL RESIDENTIAL YARD WASTE</t>
  </si>
  <si>
    <t xml:space="preserve">COMMERCIAL SERVICES </t>
  </si>
  <si>
    <t>COMMERCIAL GARBAGE</t>
  </si>
  <si>
    <t>ACCESS-COMM</t>
  </si>
  <si>
    <t>ACCESS FEE - COMM</t>
  </si>
  <si>
    <t>ACCESSEOW-COMM</t>
  </si>
  <si>
    <t>ACCESS FEE EOW - COMM</t>
  </si>
  <si>
    <t>20-A</t>
  </si>
  <si>
    <t>BULKY-COMM</t>
  </si>
  <si>
    <t>BULKY ITEM PICK UP - COMM</t>
  </si>
  <si>
    <t>CANCOUNT65-COMM</t>
  </si>
  <si>
    <t>CAN COUNT 65 GL - COMM</t>
  </si>
  <si>
    <t>40-A</t>
  </si>
  <si>
    <t>Can Count multiplied by 4.33</t>
  </si>
  <si>
    <t>CANCOUNT95-COMM</t>
  </si>
  <si>
    <t>CAN COUNT 95 GL - COMM</t>
  </si>
  <si>
    <t>CLEAN3-COMM</t>
  </si>
  <si>
    <t>CLEANING FEE 3 YD - COMM</t>
  </si>
  <si>
    <t>36-A</t>
  </si>
  <si>
    <t>CLEAN6-COMM</t>
  </si>
  <si>
    <t>CLEANING FEE 6 YD - COMM</t>
  </si>
  <si>
    <t>DEL1.5TEMP-COMM</t>
  </si>
  <si>
    <t>DELIVERY FEE 1.5 YD TEMP</t>
  </si>
  <si>
    <t>38-A</t>
  </si>
  <si>
    <t>DEL1TEMP-COMM</t>
  </si>
  <si>
    <t>DELIVERY FEE 1 YD TEMP -</t>
  </si>
  <si>
    <t>RTRNTRIP6-COMM</t>
  </si>
  <si>
    <t>RETURN TRIP 6 YD - COMM</t>
  </si>
  <si>
    <t>17-A</t>
  </si>
  <si>
    <t>FL005.0YEO001</t>
  </si>
  <si>
    <t>5 YD EOW 1</t>
  </si>
  <si>
    <t>DEL2TEMP-COMM</t>
  </si>
  <si>
    <t>DELIVERY FEE 2 YD TEMP -</t>
  </si>
  <si>
    <t>DEL3TEMP-COMM</t>
  </si>
  <si>
    <t>DELIVERY FEE 3 YD TEMP -</t>
  </si>
  <si>
    <t>DEL4TEMP-COMM</t>
  </si>
  <si>
    <t>DELIVERY FEE 4 YD TEMP -</t>
  </si>
  <si>
    <t>DEL5TEMP-COMM</t>
  </si>
  <si>
    <t>DELIVERY FEE 5 YD TEMP -</t>
  </si>
  <si>
    <t>DEL6TEMP-COMM</t>
  </si>
  <si>
    <t>DELIVERY FEE 6 YD TEMP -</t>
  </si>
  <si>
    <t>DISP-COMM</t>
  </si>
  <si>
    <t>DISPOSAL FEE - COMM</t>
  </si>
  <si>
    <t>DRIVEIN-COMM</t>
  </si>
  <si>
    <t>DRIVE IN SERVICE - COMM</t>
  </si>
  <si>
    <t>EXTRA-COMM</t>
  </si>
  <si>
    <t>EXTRA CAN, BAG, BOX - COM</t>
  </si>
  <si>
    <t>EXTRAYDG-COM</t>
  </si>
  <si>
    <t>EXTRA YARDAGE - COMM</t>
  </si>
  <si>
    <t>FL001.0Y1W001</t>
  </si>
  <si>
    <t>1 YD 1X WK 1</t>
  </si>
  <si>
    <t>FL001.0Y2W001</t>
  </si>
  <si>
    <t>1 YD 2X WK 1</t>
  </si>
  <si>
    <t>FL001.0Y3W001</t>
  </si>
  <si>
    <t>1 YD 3X WK 1</t>
  </si>
  <si>
    <t>FL001.0YEO001</t>
  </si>
  <si>
    <t>1 YD EOW 1</t>
  </si>
  <si>
    <t>FL001.5Y1W001</t>
  </si>
  <si>
    <t>1.5 YD 1X WK 1</t>
  </si>
  <si>
    <t>FL001.5Y5W001</t>
  </si>
  <si>
    <t>1.5 YD 5X WK 1</t>
  </si>
  <si>
    <t>FL001.5YEO001</t>
  </si>
  <si>
    <t>1.5 YD EOW 1</t>
  </si>
  <si>
    <t>FL002.0Y1W001</t>
  </si>
  <si>
    <t>2 YD 1X WK 1</t>
  </si>
  <si>
    <t>FL002.0Y2W001</t>
  </si>
  <si>
    <t>2 YD 2X WK 1</t>
  </si>
  <si>
    <t>FL002.0Y2W002</t>
  </si>
  <si>
    <t>2 YD 2X WK 2</t>
  </si>
  <si>
    <t>FL002.0Y3W001</t>
  </si>
  <si>
    <t>2 YD 3X WK 1</t>
  </si>
  <si>
    <t>FL002.0YEO001</t>
  </si>
  <si>
    <t>2 YD EOW 1</t>
  </si>
  <si>
    <t>FL003.0Y1W001</t>
  </si>
  <si>
    <t>3 YD 1X WK 1</t>
  </si>
  <si>
    <t>FL003.0Y2W001</t>
  </si>
  <si>
    <t>3 YD 2X WK 1</t>
  </si>
  <si>
    <t>FL003.0Y3W001</t>
  </si>
  <si>
    <t>3 YD 3X WK 1</t>
  </si>
  <si>
    <t>FL003.0Y4W001</t>
  </si>
  <si>
    <t>3 YD 4X WK 1</t>
  </si>
  <si>
    <t>FL003.0Y5W001</t>
  </si>
  <si>
    <t>3 YD 5X WK 1</t>
  </si>
  <si>
    <t>FL003.0YEO001</t>
  </si>
  <si>
    <t>3 YD EOW 1</t>
  </si>
  <si>
    <t>FL003.0YEO003</t>
  </si>
  <si>
    <t>3 YD EOW 3</t>
  </si>
  <si>
    <t>FL004.0Y1W001</t>
  </si>
  <si>
    <t>4 YD 1X WK 1</t>
  </si>
  <si>
    <t>FL004.0Y2W001</t>
  </si>
  <si>
    <t>4 YD 2X WK 1</t>
  </si>
  <si>
    <t>FL004.0Y2W002</t>
  </si>
  <si>
    <t>4 YD 2X WK 2</t>
  </si>
  <si>
    <t>FL004.0Y3W001</t>
  </si>
  <si>
    <t>4 YD 3X WK 1</t>
  </si>
  <si>
    <t>FL004.0Y4W001</t>
  </si>
  <si>
    <t>4 YD 4X WK 1</t>
  </si>
  <si>
    <t>FL004.0YEO001</t>
  </si>
  <si>
    <t>4 YD EOW 1</t>
  </si>
  <si>
    <t>FL005.0Y1W001</t>
  </si>
  <si>
    <t>5 YD 1X WK 1</t>
  </si>
  <si>
    <t>FL006.0Y1W001</t>
  </si>
  <si>
    <t>6 YD 1X WK 1</t>
  </si>
  <si>
    <t>FL006.0Y1W002</t>
  </si>
  <si>
    <t>6 YD 1X WK 2</t>
  </si>
  <si>
    <t>FL006.0Y2W001</t>
  </si>
  <si>
    <t>6 YD 2X WK 1</t>
  </si>
  <si>
    <t>FL006.0Y2W002</t>
  </si>
  <si>
    <t>6 YD 2X WK 2</t>
  </si>
  <si>
    <t>FL006.0Y3W001</t>
  </si>
  <si>
    <t>6 YD 3X WK 1</t>
  </si>
  <si>
    <t>FL006.0Y5W001</t>
  </si>
  <si>
    <t>6 YD 5X WK 1</t>
  </si>
  <si>
    <t>FL006.0YEO001</t>
  </si>
  <si>
    <t>6 YD EOW 1</t>
  </si>
  <si>
    <t>FL001.0YXX001TEMPC</t>
  </si>
  <si>
    <t>1 YD TEMP</t>
  </si>
  <si>
    <t>FL001.5YXX001TEMPC</t>
  </si>
  <si>
    <t>1.5 YD TEMP</t>
  </si>
  <si>
    <t>FL002.0YXX001TEMPC</t>
  </si>
  <si>
    <t>2 YD TEMP</t>
  </si>
  <si>
    <t>FL003.0YXX001TEMPC</t>
  </si>
  <si>
    <t>3 YD TEMP</t>
  </si>
  <si>
    <t>FL004.0YXX001TEMPC</t>
  </si>
  <si>
    <t>4 YD TEMP 1</t>
  </si>
  <si>
    <t>FL005.0YXX001TEMPC</t>
  </si>
  <si>
    <t>5 YD TEMP 1</t>
  </si>
  <si>
    <t>FL006.0YXX001TEMPC</t>
  </si>
  <si>
    <t>6 YD TEMP 1</t>
  </si>
  <si>
    <t>LCKCEOW</t>
  </si>
  <si>
    <t>LOCK CHARGE EOW - COMM</t>
  </si>
  <si>
    <t>LCKC</t>
  </si>
  <si>
    <t>LOCK CHARGE - COMM</t>
  </si>
  <si>
    <t>REDEL-COMM</t>
  </si>
  <si>
    <t>REDELIVER FEE LVL 1 - COM</t>
  </si>
  <si>
    <t>REINSTATE-COMM</t>
  </si>
  <si>
    <t>REINSTATE FEE - COMM</t>
  </si>
  <si>
    <t>RENT1.5TEMP-COMM</t>
  </si>
  <si>
    <t>RENT 1.5 YD TEMP - COMM</t>
  </si>
  <si>
    <t>RENT1TEMP-COMM</t>
  </si>
  <si>
    <t>RENT 1 YD TEMP - COMM</t>
  </si>
  <si>
    <t>RENT2TEMP-COMM</t>
  </si>
  <si>
    <t>RENT 2 YD TEMP - COMM</t>
  </si>
  <si>
    <t>RENT3TEMP-COMM</t>
  </si>
  <si>
    <t>RENT 3 YD TEMP - COMM</t>
  </si>
  <si>
    <t>RENT4TEMP-COMM</t>
  </si>
  <si>
    <t>RENT 4 YD TEMP - COMM</t>
  </si>
  <si>
    <t>RENT5TEMP-COMM</t>
  </si>
  <si>
    <t>RENT 5 YD TEMP - COMM</t>
  </si>
  <si>
    <t>RENT6TEMP-COMM</t>
  </si>
  <si>
    <t>RENT 6 YD TEMP - COMM</t>
  </si>
  <si>
    <t>RL001.0Y1W001</t>
  </si>
  <si>
    <t>RL001.0Y2W001</t>
  </si>
  <si>
    <t>RL001.0YEO001</t>
  </si>
  <si>
    <t>RL001.5Y1W001</t>
  </si>
  <si>
    <t>RL001.5Y2W001</t>
  </si>
  <si>
    <t>1.5 YD 2X WK 1</t>
  </si>
  <si>
    <t>RL001.5Y3W001</t>
  </si>
  <si>
    <t>1.5YD 3X WK 1</t>
  </si>
  <si>
    <t>RL001.5YEO001</t>
  </si>
  <si>
    <t>RL002.0Y1W001</t>
  </si>
  <si>
    <t>RL002.0Y1W003</t>
  </si>
  <si>
    <t>2 YD 1X WK 3</t>
  </si>
  <si>
    <t>RL002.0Y2W001</t>
  </si>
  <si>
    <t>RL002.0Y3W001</t>
  </si>
  <si>
    <t>RL002.0YEO001</t>
  </si>
  <si>
    <t>RL001.0YXX001TEMPC</t>
  </si>
  <si>
    <t>RL001.5YXX001TEMPC</t>
  </si>
  <si>
    <t>RL002.0YXX001TEMPC</t>
  </si>
  <si>
    <t>ROLL-COMM</t>
  </si>
  <si>
    <t>ROLL OUT CHARGE - COMM</t>
  </si>
  <si>
    <t>ROLL1W-COMM</t>
  </si>
  <si>
    <t>ROLL OUT 1X WK - COMM</t>
  </si>
  <si>
    <t>ROLLEOW-COMM</t>
  </si>
  <si>
    <t>ROLL OUT EOW - COMM</t>
  </si>
  <si>
    <t>RTRNCAN-COMM</t>
  </si>
  <si>
    <t>RETURN TRIP FEE CAN - COM</t>
  </si>
  <si>
    <t>RTRNCART65-COMM</t>
  </si>
  <si>
    <t>RETURN TRIP 65 GL - COMM</t>
  </si>
  <si>
    <t>RTRNCART95-COMM</t>
  </si>
  <si>
    <t>RETURN TRIP 95 GL - COMM</t>
  </si>
  <si>
    <t>RTRNTRIP1.5-COMM</t>
  </si>
  <si>
    <t>RETURN TRIP 1.5 YD - COMM</t>
  </si>
  <si>
    <t>RTRNTRIP1-COMM</t>
  </si>
  <si>
    <t>RETURN TRIP 1 YD - COMM</t>
  </si>
  <si>
    <t>RTRNTRIP2-COMM</t>
  </si>
  <si>
    <t>RETURN TRIP 2 YD - COMM</t>
  </si>
  <si>
    <t>RTRNTRIP3-COMM</t>
  </si>
  <si>
    <t>RETURN TRIP 3 YD - COMM</t>
  </si>
  <si>
    <t>RTRNTRIP4-COMM</t>
  </si>
  <si>
    <t>RETURN TRIP 4 YD - COMM</t>
  </si>
  <si>
    <t>SL065.0G1W001NORECC</t>
  </si>
  <si>
    <t>65 GL 1X WK NO RECY COMM</t>
  </si>
  <si>
    <t>SL065.0G1W002NORECC</t>
  </si>
  <si>
    <t>65 GL 1X WK NO REC COMM 2</t>
  </si>
  <si>
    <t>SL065.0GEO001NORECC</t>
  </si>
  <si>
    <t>65 GL EOW NO RECY COMM 1</t>
  </si>
  <si>
    <t>SL065.0GEO002NORECC</t>
  </si>
  <si>
    <t>65 GL EOW NO REC COMM 2</t>
  </si>
  <si>
    <t>SL095.0G1W001NORECC</t>
  </si>
  <si>
    <t>95 GL 1X WK NO RECY COMM</t>
  </si>
  <si>
    <t>SL095.0GEO001NORECC</t>
  </si>
  <si>
    <t>95 GL EOW NO RECY COMM 1</t>
  </si>
  <si>
    <t>SP1.5-COMM</t>
  </si>
  <si>
    <t>SPECIAL PICK UP 1.5 YD -</t>
  </si>
  <si>
    <t>SP1-COMM</t>
  </si>
  <si>
    <t>SPECIAL PICK UP 1 YD - CO</t>
  </si>
  <si>
    <t>SP2-COMM</t>
  </si>
  <si>
    <t>SPECIAL PICK UP 2 YD - CO</t>
  </si>
  <si>
    <t>SP3-COMM</t>
  </si>
  <si>
    <t>SPECIAL PICK UP 3 YD - CO</t>
  </si>
  <si>
    <t>SP4-COMM</t>
  </si>
  <si>
    <t>SPECIAL PICK UP 4 YD - CO</t>
  </si>
  <si>
    <t>SP6-COMM</t>
  </si>
  <si>
    <t>SPECIAL PICK UP 6 YD - CO</t>
  </si>
  <si>
    <t>SPCL65-COMM</t>
  </si>
  <si>
    <t>SPECIAL 65 GL - COMM</t>
  </si>
  <si>
    <t>SPCL95-COMM</t>
  </si>
  <si>
    <t>SPECIAL 95 GL - COMM</t>
  </si>
  <si>
    <t>FL006.0Y1W003</t>
  </si>
  <si>
    <t>6 YD 1X WK 3</t>
  </si>
  <si>
    <t>RL002.0Y2W003</t>
  </si>
  <si>
    <t>2 YD 2X WK 3</t>
  </si>
  <si>
    <t>TIMENP-COMM</t>
  </si>
  <si>
    <t>TIME FEE NON PACK - COMM</t>
  </si>
  <si>
    <t>32-A</t>
  </si>
  <si>
    <t>TIRE-COMM</t>
  </si>
  <si>
    <t>TIRE FEE - COMM</t>
  </si>
  <si>
    <t>UNRETURN-COMM</t>
  </si>
  <si>
    <t>CONTAINER UNRETURNED FEE</t>
  </si>
  <si>
    <t>WI1-COMM</t>
  </si>
  <si>
    <t>WALK IN 6-25 - COMM</t>
  </si>
  <si>
    <t>WI2-COMM</t>
  </si>
  <si>
    <t>WALK IN 26-50 - COMM</t>
  </si>
  <si>
    <t>TOTAL COMMERCIAL GARBAGE</t>
  </si>
  <si>
    <t>Cans</t>
  </si>
  <si>
    <t>Disposal Count</t>
  </si>
  <si>
    <t>COMMERCIAL RECYCLING</t>
  </si>
  <si>
    <t>MULTI FAMILY RECYCLING</t>
  </si>
  <si>
    <t>MFWBINS</t>
  </si>
  <si>
    <t>MULTI-FAMILY REC UNIT W/B</t>
  </si>
  <si>
    <t>29-A</t>
  </si>
  <si>
    <t>TOTAL MULTI-FAMILY RECYCLING</t>
  </si>
  <si>
    <t>DROP BOX SERVICES</t>
  </si>
  <si>
    <t>DROP BOX HAULS/RENTAL</t>
  </si>
  <si>
    <t>HAUL20-RO</t>
  </si>
  <si>
    <t>HAUL 20 YD - RO</t>
  </si>
  <si>
    <t>42-A</t>
  </si>
  <si>
    <t>FINAL20-RO</t>
  </si>
  <si>
    <t>FINAL PULL 20 YD - RO</t>
  </si>
  <si>
    <t>HAUL30-RO</t>
  </si>
  <si>
    <t>HAUL 30 YD - RO</t>
  </si>
  <si>
    <t>HAUL40-RO</t>
  </si>
  <si>
    <t>HAUL 40 YD - RO</t>
  </si>
  <si>
    <t>FINAL40-RO</t>
  </si>
  <si>
    <t>FINAL PULL 40 YD - RO</t>
  </si>
  <si>
    <t>FINAL30-RO</t>
  </si>
  <si>
    <t>FINAL PULL 30 YD - RO</t>
  </si>
  <si>
    <t>HAUL20TEMP-RO</t>
  </si>
  <si>
    <t>HAUL 20 YD TEMP - RO</t>
  </si>
  <si>
    <t>FINAL20TEMP-RO</t>
  </si>
  <si>
    <t>FINAL PULL 20 YD TEMP - R</t>
  </si>
  <si>
    <t>HAUL30TEMP-RO</t>
  </si>
  <si>
    <t>HAUL 30 YD TEMP - RO</t>
  </si>
  <si>
    <t>FINAL30TEMP-RO</t>
  </si>
  <si>
    <t>FINAL PULL 30 YD TEMP - R</t>
  </si>
  <si>
    <t>HAUL40TEMP-RO</t>
  </si>
  <si>
    <t>HAUL 40 YD TEMP - RO</t>
  </si>
  <si>
    <t>FINAL40TEMP-RO</t>
  </si>
  <si>
    <t>FINAL PULL 40 YD TEMP - R</t>
  </si>
  <si>
    <t>HAUL10-CP</t>
  </si>
  <si>
    <t>COMPACTOR HAUL 10 YD - RO</t>
  </si>
  <si>
    <t>43-A</t>
  </si>
  <si>
    <t>HAUL15-CP</t>
  </si>
  <si>
    <t>COMPACTOR HAUL 15 YD</t>
  </si>
  <si>
    <t>HAUL20-CP</t>
  </si>
  <si>
    <t>COMPACTOR HAUL 20 YD - RO</t>
  </si>
  <si>
    <t>HAUL25-CP</t>
  </si>
  <si>
    <t>COMPACTOR HAUL 25 YD - RO</t>
  </si>
  <si>
    <t>HAUL30-CP</t>
  </si>
  <si>
    <t>COMPACTOR HAUL 30 YD</t>
  </si>
  <si>
    <t>HAUL40-CP</t>
  </si>
  <si>
    <t>COMPACTOR HAUL 40 YD</t>
  </si>
  <si>
    <t>RENT20MO-RO</t>
  </si>
  <si>
    <t>RENTAL FEE 20 YD MONTHLY</t>
  </si>
  <si>
    <t>RENT30MO-RO</t>
  </si>
  <si>
    <t>RENTAL FEE 30 YD MONTHLY</t>
  </si>
  <si>
    <t>RENT40MO-RO</t>
  </si>
  <si>
    <t>RENTAL FEE 40 YD MONTHLY</t>
  </si>
  <si>
    <t>RENT20TEMP-RO</t>
  </si>
  <si>
    <t>RENTAL FEE 20 YD TEMP - R</t>
  </si>
  <si>
    <t>Divided total by 30</t>
  </si>
  <si>
    <t>RENT30TEMP-RO</t>
  </si>
  <si>
    <t>RENTAL FEE 30 YD TEMP - R</t>
  </si>
  <si>
    <t>RENT40TEMP-RO</t>
  </si>
  <si>
    <t>RENTAL FEE 40 YD TEMP - R</t>
  </si>
  <si>
    <t>RTRNTRIP-RO</t>
  </si>
  <si>
    <t>RETURN TRIP FEE - RO</t>
  </si>
  <si>
    <t>DEL20TEMP-RO</t>
  </si>
  <si>
    <t>DELIVERY FEE 20 YD TEMP -</t>
  </si>
  <si>
    <t>DEL30TEMP-RO</t>
  </si>
  <si>
    <t>DELIVERY FEE 30 YD TEMP -</t>
  </si>
  <si>
    <t>DEL40TEMP-RO</t>
  </si>
  <si>
    <t>DELIVERY FEE 40 YD TEMP -</t>
  </si>
  <si>
    <t>MILE-RO</t>
  </si>
  <si>
    <t>MILEAGE FEE - RO</t>
  </si>
  <si>
    <t>LIDRO</t>
  </si>
  <si>
    <t>LID CHARGE - RO</t>
  </si>
  <si>
    <t>REDEL-RO</t>
  </si>
  <si>
    <t>REDELIVER FEE - RO</t>
  </si>
  <si>
    <t>TIME-RO</t>
  </si>
  <si>
    <t>TIME FEE - RO</t>
  </si>
  <si>
    <t>EXWGHT-RO</t>
  </si>
  <si>
    <t>EXCESS WEIGHT - RO</t>
  </si>
  <si>
    <t>35</t>
  </si>
  <si>
    <t>DISCO-CP</t>
  </si>
  <si>
    <t>COMPACTOR DISCONNECT FEE</t>
  </si>
  <si>
    <t>TIMENP-RES</t>
  </si>
  <si>
    <t>TIME FEE NON PACK - RES</t>
  </si>
  <si>
    <t>LABOR-RO</t>
  </si>
  <si>
    <t>LABOR CHARGE - RO</t>
  </si>
  <si>
    <t>UNRETURN-RES</t>
  </si>
  <si>
    <t>Boxes</t>
  </si>
  <si>
    <t>TOTAL DROP BOX HAULS/RENTAL</t>
  </si>
  <si>
    <t>PASSTHROUGH DISPOSAL</t>
  </si>
  <si>
    <t>DISP-RO</t>
  </si>
  <si>
    <t>DISPOSAL CHARGE - RO</t>
  </si>
  <si>
    <t>TOTAL PASSTHROUGH DISPOSAL</t>
  </si>
  <si>
    <t>Service Charges</t>
  </si>
  <si>
    <t>FINCHG</t>
  </si>
  <si>
    <t>COLLFEE</t>
  </si>
  <si>
    <t>ADJ-FIN</t>
  </si>
  <si>
    <t>TOTAL SERVICE CHARGES</t>
  </si>
  <si>
    <t>TOTAL REVENUE</t>
  </si>
  <si>
    <t>Less: Can</t>
  </si>
  <si>
    <t>Adj Total</t>
  </si>
  <si>
    <t>Joes TC Refuse UTC</t>
  </si>
  <si>
    <t xml:space="preserve">Joe's Regulated - Price Out </t>
  </si>
  <si>
    <t>Joes MSW</t>
  </si>
  <si>
    <t>Joes Rec</t>
  </si>
  <si>
    <t>Change to Pacific Rates</t>
  </si>
  <si>
    <t>Joes YW</t>
  </si>
  <si>
    <t>Pacific's Tariff Rates</t>
  </si>
  <si>
    <t>Annual Revenue</t>
  </si>
  <si>
    <t>31.1-A</t>
  </si>
  <si>
    <t>26-A</t>
  </si>
  <si>
    <t>OC-RES</t>
  </si>
  <si>
    <t>ON CALL SERVICE - RES</t>
  </si>
  <si>
    <t>15.1-A</t>
  </si>
  <si>
    <t>25-A</t>
  </si>
  <si>
    <t>SL095.0G1W002NOREC</t>
  </si>
  <si>
    <t>95 GL 1X WK NO RECY 2</t>
  </si>
  <si>
    <t>32.1-A</t>
  </si>
  <si>
    <t>?</t>
  </si>
  <si>
    <t>Cart</t>
  </si>
  <si>
    <t>Disposal Ct</t>
  </si>
  <si>
    <t>41-A</t>
  </si>
  <si>
    <t>Divided by 4.33</t>
  </si>
  <si>
    <t>39-A</t>
  </si>
  <si>
    <t>RL002.0Y2W002</t>
  </si>
  <si>
    <t>34.1-A</t>
  </si>
  <si>
    <t>Container</t>
  </si>
  <si>
    <t>Commercial Recycle - Reg AreasMFWBINS</t>
  </si>
  <si>
    <t>28-A</t>
  </si>
  <si>
    <t>44-A</t>
  </si>
  <si>
    <t>45-A</t>
  </si>
  <si>
    <t>16.1-A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</si>
  <si>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</si>
  <si>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</si>
  <si>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</si>
  <si>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</si>
  <si>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</si>
  <si>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</si>
  <si>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</si>
  <si>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</si>
  <si>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</si>
  <si>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</si>
  <si>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</si>
  <si>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</si>
  <si>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</si>
  <si>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</si>
  <si>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</si>
  <si>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</si>
  <si>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</si>
  <si>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</si>
  <si>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</si>
  <si>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</si>
  <si>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</si>
  <si>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</si>
  <si>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</si>
  <si>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</si>
  <si>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</si>
  <si>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</si>
  <si>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</si>
  <si>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</si>
  <si>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</si>
  <si>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</si>
  <si>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</si>
  <si>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</si>
  <si>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</si>
  <si>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</si>
  <si>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</si>
  <si>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</si>
  <si>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</si>
  <si>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</si>
  <si>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</si>
  <si>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</si>
  <si>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</si>
  <si>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</si>
  <si>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</si>
  <si>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</si>
  <si>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</si>
  <si>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</si>
  <si>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</si>
  <si>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</si>
  <si>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</si>
  <si>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</si>
  <si>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</si>
  <si>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</si>
  <si>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</si>
  <si>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</si>
  <si>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</si>
  <si>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</si>
  <si>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</si>
  <si>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</si>
  <si>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</si>
  <si>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</si>
  <si>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</si>
  <si>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</si>
  <si>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</si>
  <si>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</si>
  <si>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</si>
  <si>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</si>
  <si>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</si>
  <si>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</si>
  <si>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</si>
  <si>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</si>
  <si>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Revenue Requirement</t>
  </si>
  <si>
    <t>For Intial input: Uncheck Checkbox Until Completed</t>
  </si>
  <si>
    <t>Historical Revenue</t>
  </si>
  <si>
    <t>Revenue Increase before taxes</t>
  </si>
  <si>
    <t>Rate Increase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</si>
  <si>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</si>
  <si>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</si>
  <si>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</si>
  <si>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</si>
  <si>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</si>
  <si>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</si>
  <si>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</si>
  <si>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</si>
  <si>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</si>
  <si>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</si>
  <si>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</si>
  <si>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</si>
  <si>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</si>
  <si>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</si>
  <si>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</si>
  <si>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</si>
  <si>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</si>
  <si>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</si>
  <si>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</si>
  <si>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</si>
  <si>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</si>
  <si>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</si>
  <si>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</si>
  <si>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</si>
  <si>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</si>
  <si>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</si>
  <si>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</si>
  <si>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</si>
  <si>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</si>
  <si>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</si>
  <si>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</si>
  <si>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</si>
  <si>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</si>
  <si>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</si>
  <si>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</si>
  <si>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</si>
  <si>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</si>
  <si>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</si>
  <si>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</si>
  <si>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</si>
  <si>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</si>
  <si>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</si>
  <si>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</si>
  <si>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</si>
  <si>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</si>
  <si>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</si>
  <si>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</si>
  <si>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</si>
  <si>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</si>
  <si>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</si>
  <si>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</si>
  <si>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</si>
  <si>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</si>
  <si>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</si>
  <si>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B&amp;O Increase Percentage</t>
  </si>
  <si>
    <t>Gross Up Factor</t>
  </si>
  <si>
    <t>Gross Up B&amp;O Increase Percentage</t>
  </si>
  <si>
    <t>Grossed Up for Lewis MSW</t>
  </si>
  <si>
    <t>Grossed Up for Lewis Recycling</t>
  </si>
  <si>
    <t>Grossed Up for Lewis YW</t>
  </si>
  <si>
    <t>Grossed Up for Joes Recycling</t>
  </si>
  <si>
    <t>Grossed Up for Joes MSW</t>
  </si>
  <si>
    <t>Grossed Up for Joes YW</t>
  </si>
  <si>
    <t>Rate Effective 10/1/2025</t>
  </si>
  <si>
    <t>Effective Date 10.1.2025</t>
  </si>
  <si>
    <t>Item 100, Pg. 23 Thurston County</t>
  </si>
  <si>
    <t>Item 100, Pg. 22 Lewis County</t>
  </si>
  <si>
    <t>Item 240, Pg. 41 Thurston County</t>
  </si>
  <si>
    <t>Item 240, Pg. 40 Lewis County</t>
  </si>
  <si>
    <t>Item 245, Pg. 42 Lewis County</t>
  </si>
  <si>
    <t>Item 255, Pg. 43 Thurston County</t>
  </si>
  <si>
    <t>Item 260, Pg. 44  Lewis County</t>
  </si>
  <si>
    <t>Item 260, Pg. 45 Thurston County</t>
  </si>
  <si>
    <t>Item 270, Pg. 46 Lewis County</t>
  </si>
  <si>
    <t>Item 270, Pg. 47 Thurston County</t>
  </si>
  <si>
    <t>Item 60, Pg. 16 Lewis County</t>
  </si>
  <si>
    <t>Item 55, Pg. 16 Lewis County</t>
  </si>
  <si>
    <t>Item 52, Pg. 15.1 Thurston County</t>
  </si>
  <si>
    <t>Item 51, Pg. 15.1 Thurston County</t>
  </si>
  <si>
    <t>Item 52, Pg. 15 Lewis County</t>
  </si>
  <si>
    <t>Item 51, Pg. 15 Lewis County</t>
  </si>
  <si>
    <t>Item 70, Pg. 17Lewis County</t>
  </si>
  <si>
    <t>Item 70, Pg. 17.1 Thurston County</t>
  </si>
  <si>
    <t>Item 80, Pg. 19 Lewis County</t>
  </si>
  <si>
    <t>Item 80, Pg. 19.1 Thurston County</t>
  </si>
  <si>
    <t>Item 90, Pg. 20 Lewis County</t>
  </si>
  <si>
    <t>Item 90, Pg. 20.1 Thurston County</t>
  </si>
  <si>
    <t>Item 100, Pg. 24 Thurston County</t>
  </si>
  <si>
    <t>Item 105, Pg. 25 Thurston County</t>
  </si>
  <si>
    <t>Item 106, Pg. 27 Lewis County (RSA1)</t>
  </si>
  <si>
    <t>Item 106, Pg. 28 Lewis County (RSA1)</t>
  </si>
  <si>
    <t>Item 150, Pg. 29, Lewis County</t>
  </si>
  <si>
    <t>Item 150, Pg. 30, Thurston County</t>
  </si>
  <si>
    <t>Item 160, Pg. 31, Lewis County</t>
  </si>
  <si>
    <t>Item 160, Pg. 32, Thurston County</t>
  </si>
  <si>
    <t>Item 205, Pg. 34, Lewis County</t>
  </si>
  <si>
    <t>Item 205, Pg. 35, Thurston County</t>
  </si>
  <si>
    <t>Item 210, Pg. 37 Lewis County</t>
  </si>
  <si>
    <t>Item 210, Pg. 38, Thurston County</t>
  </si>
  <si>
    <t>B&amp;O Increase W/ Gross Up</t>
  </si>
  <si>
    <t>Revenue Increase</t>
  </si>
  <si>
    <t>MSW</t>
  </si>
  <si>
    <t>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</si>
</sst>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General_)"/>
    <numFmt numFmtId="167" formatCode="#,##0.0000_);\(#,##0.0000\)"/>
    <numFmt numFmtId="168" formatCode="0.000%"/>
    <numFmt numFmtId="169" formatCode="#,##0.000_);\(#,##0.000\)"/>
    <numFmt numFmtId="170" formatCode="#,##0.00000_);\(#,##0.00000\)"/>
    <numFmt numFmtId="171" formatCode="0.00000"/>
    <numFmt numFmtId="172" formatCode="0.0000%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MS Sans Serif"/>
      <family val="2"/>
    </font>
    <font>
      <u/>
      <sz val="10"/>
      <color theme="1"/>
      <name val="Cambria"/>
      <family val="1"/>
      <scheme val="major"/>
    </font>
    <font>
      <sz val="11"/>
      <color indexed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9"/>
      <color indexed="8"/>
      <name val="Calibri"/>
      <family val="2"/>
    </font>
    <font>
      <b/>
      <sz val="9"/>
      <color indexed="5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name val="SWISS"/>
    </font>
    <font>
      <sz val="12"/>
      <color indexed="12"/>
      <name val="SWISS"/>
    </font>
    <font>
      <sz val="12"/>
      <name val="Helv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sz val="9"/>
      <name val="SWISS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  <xf numFmtId="0" fontId="32" fillId="17" borderId="0"/>
    <xf numFmtId="166" fontId="34" fillId="0" borderId="0"/>
    <xf numFmtId="0" fontId="3" fillId="2" borderId="0" applyNumberFormat="0" applyBorder="0" applyAlignment="0" applyProtection="0"/>
    <xf numFmtId="41" fontId="45" fillId="20" borderId="0">
      <alignment horizontal="left"/>
    </xf>
    <xf numFmtId="10" fontId="45" fillId="20" borderId="0"/>
    <xf numFmtId="9" fontId="34" fillId="0" borderId="0" applyFont="0" applyFill="0" applyBorder="0" applyAlignment="0" applyProtection="0"/>
    <xf numFmtId="0" fontId="4" fillId="0" borderId="0"/>
  </cellStyleXfs>
  <cellXfs count="407">
    <xf numFmtId="0" fontId="0" fillId="0" borderId="0" xfId="0"/>
    <xf numFmtId="0" fontId="5" fillId="0" borderId="0" xfId="4" applyFont="1"/>
    <xf numFmtId="43" fontId="6" fillId="0" borderId="0" xfId="5" applyFont="1"/>
    <xf numFmtId="43" fontId="6" fillId="0" borderId="0" xfId="4" applyNumberFormat="1" applyFont="1"/>
    <xf numFmtId="0" fontId="6" fillId="0" borderId="0" xfId="4" applyFont="1"/>
    <xf numFmtId="0" fontId="5" fillId="0" borderId="0" xfId="4" applyFont="1" applyAlignment="1">
      <alignment horizontal="center"/>
    </xf>
    <xf numFmtId="43" fontId="5" fillId="0" borderId="1" xfId="5" applyFont="1" applyBorder="1" applyAlignment="1">
      <alignment horizontal="center" wrapText="1"/>
    </xf>
    <xf numFmtId="43" fontId="5" fillId="0" borderId="1" xfId="4" applyNumberFormat="1" applyFont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43" fontId="5" fillId="0" borderId="0" xfId="5" applyFont="1" applyBorder="1" applyAlignment="1">
      <alignment horizontal="center" wrapText="1"/>
    </xf>
    <xf numFmtId="43" fontId="5" fillId="0" borderId="0" xfId="4" applyNumberFormat="1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5" fillId="3" borderId="0" xfId="4" applyFont="1" applyFill="1"/>
    <xf numFmtId="43" fontId="5" fillId="3" borderId="0" xfId="5" applyFont="1" applyFill="1" applyBorder="1" applyAlignment="1">
      <alignment horizontal="center" wrapText="1"/>
    </xf>
    <xf numFmtId="43" fontId="5" fillId="3" borderId="0" xfId="4" applyNumberFormat="1" applyFont="1" applyFill="1" applyAlignment="1">
      <alignment horizontal="center" wrapText="1"/>
    </xf>
    <xf numFmtId="0" fontId="5" fillId="3" borderId="0" xfId="4" applyFont="1" applyFill="1" applyAlignment="1">
      <alignment horizontal="center" wrapText="1"/>
    </xf>
    <xf numFmtId="43" fontId="6" fillId="0" borderId="0" xfId="5" applyFont="1" applyBorder="1" applyAlignment="1">
      <alignment horizontal="center" wrapText="1"/>
    </xf>
    <xf numFmtId="43" fontId="6" fillId="0" borderId="0" xfId="4" applyNumberFormat="1" applyFont="1" applyAlignment="1">
      <alignment horizontal="center" wrapText="1"/>
    </xf>
    <xf numFmtId="0" fontId="5" fillId="4" borderId="0" xfId="4" applyFont="1" applyFill="1"/>
    <xf numFmtId="43" fontId="6" fillId="4" borderId="0" xfId="5" applyFont="1" applyFill="1" applyBorder="1" applyAlignment="1">
      <alignment horizontal="center" wrapText="1"/>
    </xf>
    <xf numFmtId="43" fontId="5" fillId="4" borderId="0" xfId="4" applyNumberFormat="1" applyFont="1" applyFill="1" applyAlignment="1">
      <alignment horizontal="center" wrapText="1"/>
    </xf>
    <xf numFmtId="0" fontId="5" fillId="4" borderId="0" xfId="4" applyFont="1" applyFill="1" applyAlignment="1">
      <alignment horizontal="center" wrapText="1"/>
    </xf>
    <xf numFmtId="43" fontId="5" fillId="4" borderId="0" xfId="5" applyFont="1" applyFill="1" applyBorder="1" applyAlignment="1">
      <alignment horizontal="center" wrapText="1"/>
    </xf>
    <xf numFmtId="2" fontId="6" fillId="0" borderId="0" xfId="4" applyNumberFormat="1" applyFont="1"/>
    <xf numFmtId="43" fontId="6" fillId="3" borderId="0" xfId="5" applyFont="1" applyFill="1"/>
    <xf numFmtId="43" fontId="6" fillId="3" borderId="0" xfId="4" applyNumberFormat="1" applyFont="1" applyFill="1"/>
    <xf numFmtId="43" fontId="6" fillId="0" borderId="0" xfId="5" applyFont="1" applyFill="1"/>
    <xf numFmtId="0" fontId="6" fillId="3" borderId="0" xfId="4" applyFont="1" applyFill="1"/>
    <xf numFmtId="43" fontId="6" fillId="4" borderId="0" xfId="5" applyFont="1" applyFill="1"/>
    <xf numFmtId="43" fontId="6" fillId="4" borderId="0" xfId="4" applyNumberFormat="1" applyFont="1" applyFill="1"/>
    <xf numFmtId="0" fontId="6" fillId="4" borderId="0" xfId="4" applyFont="1" applyFill="1"/>
    <xf numFmtId="0" fontId="8" fillId="0" borderId="0" xfId="4" applyFont="1"/>
    <xf numFmtId="0" fontId="5" fillId="5" borderId="0" xfId="4" applyFont="1" applyFill="1"/>
    <xf numFmtId="43" fontId="6" fillId="5" borderId="0" xfId="5" applyFont="1" applyFill="1"/>
    <xf numFmtId="43" fontId="6" fillId="5" borderId="0" xfId="4" applyNumberFormat="1" applyFont="1" applyFill="1"/>
    <xf numFmtId="0" fontId="6" fillId="5" borderId="0" xfId="4" applyFont="1" applyFill="1"/>
    <xf numFmtId="0" fontId="10" fillId="6" borderId="0" xfId="6" applyFont="1" applyFill="1"/>
    <xf numFmtId="0" fontId="10" fillId="0" borderId="0" xfId="6" applyFont="1"/>
    <xf numFmtId="0" fontId="11" fillId="0" borderId="0" xfId="6" applyFont="1"/>
    <xf numFmtId="164" fontId="12" fillId="0" borderId="0" xfId="5" applyNumberFormat="1" applyFont="1"/>
    <xf numFmtId="0" fontId="11" fillId="7" borderId="0" xfId="6" applyFont="1" applyFill="1"/>
    <xf numFmtId="0" fontId="10" fillId="7" borderId="0" xfId="6" applyFont="1" applyFill="1" applyAlignment="1">
      <alignment horizontal="center" wrapText="1"/>
    </xf>
    <xf numFmtId="0" fontId="13" fillId="0" borderId="0" xfId="0" applyFont="1" applyAlignment="1">
      <alignment horizontal="right"/>
    </xf>
    <xf numFmtId="10" fontId="14" fillId="0" borderId="0" xfId="0" applyNumberFormat="1" applyFont="1"/>
    <xf numFmtId="10" fontId="15" fillId="0" borderId="0" xfId="7" applyNumberFormat="1" applyFont="1"/>
    <xf numFmtId="164" fontId="14" fillId="0" borderId="0" xfId="0" applyNumberFormat="1" applyFont="1"/>
    <xf numFmtId="0" fontId="0" fillId="0" borderId="0" xfId="0" applyAlignment="1">
      <alignment horizontal="left"/>
    </xf>
    <xf numFmtId="2" fontId="11" fillId="0" borderId="0" xfId="6" applyNumberFormat="1" applyFont="1"/>
    <xf numFmtId="0" fontId="10" fillId="0" borderId="0" xfId="6" applyFont="1" applyAlignment="1">
      <alignment horizontal="center" wrapText="1"/>
    </xf>
    <xf numFmtId="43" fontId="10" fillId="8" borderId="2" xfId="5" applyFont="1" applyFill="1" applyBorder="1" applyAlignment="1">
      <alignment horizontal="center"/>
    </xf>
    <xf numFmtId="43" fontId="10" fillId="0" borderId="2" xfId="5" applyFont="1" applyFill="1" applyBorder="1" applyAlignment="1">
      <alignment horizontal="center"/>
    </xf>
    <xf numFmtId="17" fontId="10" fillId="9" borderId="0" xfId="6" applyNumberFormat="1" applyFont="1" applyFill="1" applyAlignment="1">
      <alignment horizontal="center"/>
    </xf>
    <xf numFmtId="0" fontId="10" fillId="10" borderId="2" xfId="6" applyFont="1" applyFill="1" applyBorder="1" applyAlignment="1">
      <alignment horizontal="center" wrapText="1"/>
    </xf>
    <xf numFmtId="17" fontId="10" fillId="4" borderId="0" xfId="6" applyNumberFormat="1" applyFont="1" applyFill="1" applyAlignment="1">
      <alignment horizontal="center"/>
    </xf>
    <xf numFmtId="17" fontId="10" fillId="4" borderId="2" xfId="6" applyNumberFormat="1" applyFont="1" applyFill="1" applyBorder="1" applyAlignment="1">
      <alignment horizontal="center"/>
    </xf>
    <xf numFmtId="164" fontId="10" fillId="4" borderId="2" xfId="5" applyNumberFormat="1" applyFont="1" applyFill="1" applyBorder="1" applyAlignment="1">
      <alignment horizontal="center"/>
    </xf>
    <xf numFmtId="0" fontId="10" fillId="3" borderId="0" xfId="6" applyFont="1" applyFill="1" applyAlignment="1">
      <alignment horizontal="center"/>
    </xf>
    <xf numFmtId="0" fontId="16" fillId="11" borderId="0" xfId="6" applyFont="1" applyFill="1" applyAlignment="1">
      <alignment horizontal="center" wrapText="1"/>
    </xf>
    <xf numFmtId="164" fontId="16" fillId="11" borderId="0" xfId="8" applyNumberFormat="1" applyFont="1" applyFill="1" applyAlignment="1">
      <alignment horizontal="center" wrapText="1"/>
    </xf>
    <xf numFmtId="0" fontId="10" fillId="0" borderId="0" xfId="6" applyFont="1" applyAlignment="1">
      <alignment horizontal="center"/>
    </xf>
    <xf numFmtId="14" fontId="10" fillId="8" borderId="0" xfId="5" quotePrefix="1" applyNumberFormat="1" applyFont="1" applyFill="1" applyBorder="1" applyAlignment="1">
      <alignment horizontal="center" wrapText="1"/>
    </xf>
    <xf numFmtId="14" fontId="10" fillId="0" borderId="0" xfId="5" quotePrefix="1" applyNumberFormat="1" applyFont="1" applyFill="1" applyBorder="1" applyAlignment="1">
      <alignment horizontal="center" wrapText="1"/>
    </xf>
    <xf numFmtId="0" fontId="10" fillId="9" borderId="0" xfId="6" applyFont="1" applyFill="1" applyAlignment="1">
      <alignment horizontal="center" wrapText="1"/>
    </xf>
    <xf numFmtId="0" fontId="10" fillId="10" borderId="6" xfId="6" applyFont="1" applyFill="1" applyBorder="1" applyAlignment="1">
      <alignment horizontal="center" wrapText="1"/>
    </xf>
    <xf numFmtId="0" fontId="10" fillId="4" borderId="0" xfId="6" applyFont="1" applyFill="1" applyAlignment="1">
      <alignment horizontal="center" wrapText="1"/>
    </xf>
    <xf numFmtId="0" fontId="10" fillId="4" borderId="6" xfId="6" applyFont="1" applyFill="1" applyBorder="1" applyAlignment="1">
      <alignment horizontal="center" wrapText="1"/>
    </xf>
    <xf numFmtId="164" fontId="10" fillId="4" borderId="6" xfId="5" applyNumberFormat="1" applyFont="1" applyFill="1" applyBorder="1" applyAlignment="1">
      <alignment horizontal="center" wrapText="1"/>
    </xf>
    <xf numFmtId="0" fontId="10" fillId="0" borderId="7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43" fontId="11" fillId="0" borderId="0" xfId="5" applyFont="1" applyFill="1"/>
    <xf numFmtId="164" fontId="12" fillId="0" borderId="0" xfId="5" applyNumberFormat="1" applyFont="1" applyFill="1"/>
    <xf numFmtId="0" fontId="13" fillId="12" borderId="0" xfId="0" applyFont="1" applyFill="1"/>
    <xf numFmtId="0" fontId="2" fillId="12" borderId="0" xfId="0" applyFont="1" applyFill="1"/>
    <xf numFmtId="0" fontId="17" fillId="12" borderId="0" xfId="6" applyFont="1" applyFill="1"/>
    <xf numFmtId="0" fontId="18" fillId="0" borderId="0" xfId="6" applyFont="1" applyAlignment="1">
      <alignment horizontal="left"/>
    </xf>
    <xf numFmtId="43" fontId="18" fillId="0" borderId="0" xfId="5" applyFont="1" applyFill="1" applyAlignment="1">
      <alignment horizontal="left"/>
    </xf>
    <xf numFmtId="0" fontId="19" fillId="0" borderId="0" xfId="6" applyFont="1" applyAlignment="1">
      <alignment horizontal="center"/>
    </xf>
    <xf numFmtId="0" fontId="13" fillId="0" borderId="0" xfId="0" applyFont="1" applyAlignment="1">
      <alignment horizontal="left"/>
    </xf>
    <xf numFmtId="165" fontId="0" fillId="0" borderId="0" xfId="2" applyNumberFormat="1" applyFont="1" applyBorder="1"/>
    <xf numFmtId="165" fontId="20" fillId="12" borderId="0" xfId="2" applyNumberFormat="1" applyFont="1" applyFill="1" applyBorder="1"/>
    <xf numFmtId="0" fontId="18" fillId="0" borderId="0" xfId="6" applyFont="1" applyAlignment="1">
      <alignment horizontal="center"/>
    </xf>
    <xf numFmtId="43" fontId="18" fillId="0" borderId="0" xfId="5" applyFont="1" applyFill="1" applyAlignment="1">
      <alignment horizontal="center"/>
    </xf>
    <xf numFmtId="44" fontId="11" fillId="0" borderId="0" xfId="6" applyNumberFormat="1" applyFont="1"/>
    <xf numFmtId="41" fontId="11" fillId="0" borderId="0" xfId="6" applyNumberFormat="1" applyFont="1"/>
    <xf numFmtId="0" fontId="10" fillId="0" borderId="0" xfId="6" applyFont="1" applyAlignment="1">
      <alignment horizontal="left"/>
    </xf>
    <xf numFmtId="43" fontId="10" fillId="0" borderId="0" xfId="5" applyFont="1" applyFill="1" applyAlignment="1">
      <alignment horizontal="left"/>
    </xf>
    <xf numFmtId="164" fontId="11" fillId="0" borderId="0" xfId="6" applyNumberFormat="1" applyFont="1"/>
    <xf numFmtId="0" fontId="12" fillId="0" borderId="0" xfId="0" applyFont="1"/>
    <xf numFmtId="164" fontId="11" fillId="0" borderId="0" xfId="5" applyNumberFormat="1" applyFont="1" applyFill="1"/>
    <xf numFmtId="43" fontId="11" fillId="0" borderId="0" xfId="1" applyFont="1"/>
    <xf numFmtId="43" fontId="11" fillId="0" borderId="0" xfId="6" applyNumberFormat="1" applyFont="1"/>
    <xf numFmtId="0" fontId="11" fillId="0" borderId="8" xfId="6" applyFont="1" applyBorder="1"/>
    <xf numFmtId="165" fontId="11" fillId="0" borderId="8" xfId="6" applyNumberFormat="1" applyFont="1" applyBorder="1"/>
    <xf numFmtId="41" fontId="11" fillId="0" borderId="8" xfId="6" applyNumberFormat="1" applyFont="1" applyBorder="1"/>
    <xf numFmtId="165" fontId="20" fillId="12" borderId="8" xfId="2" applyNumberFormat="1" applyFont="1" applyFill="1" applyBorder="1"/>
    <xf numFmtId="164" fontId="11" fillId="13" borderId="0" xfId="6" applyNumberFormat="1" applyFont="1" applyFill="1"/>
    <xf numFmtId="43" fontId="11" fillId="0" borderId="0" xfId="5" quotePrefix="1" applyFont="1" applyFill="1"/>
    <xf numFmtId="0" fontId="11" fillId="0" borderId="0" xfId="9" applyFont="1"/>
    <xf numFmtId="0" fontId="11" fillId="5" borderId="0" xfId="6" applyFont="1" applyFill="1"/>
    <xf numFmtId="0" fontId="12" fillId="5" borderId="0" xfId="0" applyFont="1" applyFill="1"/>
    <xf numFmtId="43" fontId="11" fillId="5" borderId="0" xfId="5" applyFont="1" applyFill="1"/>
    <xf numFmtId="164" fontId="11" fillId="5" borderId="0" xfId="5" applyNumberFormat="1" applyFont="1" applyFill="1"/>
    <xf numFmtId="164" fontId="11" fillId="5" borderId="0" xfId="6" applyNumberFormat="1" applyFont="1" applyFill="1"/>
    <xf numFmtId="164" fontId="12" fillId="5" borderId="0" xfId="5" applyNumberFormat="1" applyFont="1" applyFill="1"/>
    <xf numFmtId="0" fontId="22" fillId="5" borderId="0" xfId="6" applyFont="1" applyFill="1"/>
    <xf numFmtId="0" fontId="22" fillId="5" borderId="0" xfId="9" applyFont="1" applyFill="1"/>
    <xf numFmtId="0" fontId="23" fillId="5" borderId="0" xfId="0" applyFont="1" applyFill="1"/>
    <xf numFmtId="43" fontId="22" fillId="5" borderId="0" xfId="5" applyFont="1" applyFill="1"/>
    <xf numFmtId="164" fontId="22" fillId="5" borderId="0" xfId="5" applyNumberFormat="1" applyFont="1" applyFill="1"/>
    <xf numFmtId="164" fontId="22" fillId="5" borderId="0" xfId="6" applyNumberFormat="1" applyFont="1" applyFill="1"/>
    <xf numFmtId="164" fontId="22" fillId="13" borderId="0" xfId="6" applyNumberFormat="1" applyFont="1" applyFill="1"/>
    <xf numFmtId="164" fontId="23" fillId="5" borderId="0" xfId="5" applyNumberFormat="1" applyFont="1" applyFill="1"/>
    <xf numFmtId="0" fontId="10" fillId="3" borderId="0" xfId="6" applyFont="1" applyFill="1"/>
    <xf numFmtId="164" fontId="10" fillId="3" borderId="0" xfId="6" applyNumberFormat="1" applyFont="1" applyFill="1"/>
    <xf numFmtId="0" fontId="10" fillId="0" borderId="0" xfId="6" applyFont="1" applyAlignment="1">
      <alignment horizontal="right"/>
    </xf>
    <xf numFmtId="44" fontId="24" fillId="0" borderId="4" xfId="10" applyFont="1" applyFill="1" applyBorder="1"/>
    <xf numFmtId="165" fontId="24" fillId="0" borderId="4" xfId="10" applyNumberFormat="1" applyFont="1" applyFill="1" applyBorder="1"/>
    <xf numFmtId="43" fontId="24" fillId="0" borderId="4" xfId="5" applyFont="1" applyFill="1" applyBorder="1"/>
    <xf numFmtId="164" fontId="24" fillId="0" borderId="4" xfId="5" applyNumberFormat="1" applyFont="1" applyFill="1" applyBorder="1"/>
    <xf numFmtId="164" fontId="24" fillId="5" borderId="4" xfId="5" applyNumberFormat="1" applyFont="1" applyFill="1" applyBorder="1"/>
    <xf numFmtId="44" fontId="25" fillId="0" borderId="0" xfId="10" applyFont="1" applyFill="1" applyBorder="1"/>
    <xf numFmtId="164" fontId="10" fillId="0" borderId="8" xfId="5" applyNumberFormat="1" applyFont="1" applyFill="1" applyBorder="1"/>
    <xf numFmtId="164" fontId="10" fillId="5" borderId="8" xfId="5" applyNumberFormat="1" applyFont="1" applyFill="1" applyBorder="1"/>
    <xf numFmtId="0" fontId="11" fillId="13" borderId="0" xfId="6" applyFont="1" applyFill="1"/>
    <xf numFmtId="0" fontId="11" fillId="14" borderId="0" xfId="6" applyFont="1" applyFill="1"/>
    <xf numFmtId="43" fontId="19" fillId="0" borderId="0" xfId="6" applyNumberFormat="1" applyFont="1" applyAlignment="1">
      <alignment horizontal="center"/>
    </xf>
    <xf numFmtId="164" fontId="12" fillId="13" borderId="0" xfId="5" applyNumberFormat="1" applyFont="1" applyFill="1"/>
    <xf numFmtId="0" fontId="11" fillId="5" borderId="0" xfId="9" applyFont="1" applyFill="1"/>
    <xf numFmtId="43" fontId="11" fillId="5" borderId="0" xfId="6" applyNumberFormat="1" applyFont="1" applyFill="1"/>
    <xf numFmtId="43" fontId="11" fillId="5" borderId="0" xfId="1" applyFont="1" applyFill="1"/>
    <xf numFmtId="43" fontId="25" fillId="0" borderId="0" xfId="5" applyFont="1" applyFill="1"/>
    <xf numFmtId="0" fontId="11" fillId="3" borderId="0" xfId="6" applyFont="1" applyFill="1"/>
    <xf numFmtId="164" fontId="11" fillId="3" borderId="0" xfId="6" applyNumberFormat="1" applyFont="1" applyFill="1"/>
    <xf numFmtId="43" fontId="0" fillId="0" borderId="0" xfId="0" applyNumberFormat="1"/>
    <xf numFmtId="44" fontId="11" fillId="0" borderId="0" xfId="10" applyFont="1" applyFill="1"/>
    <xf numFmtId="0" fontId="25" fillId="5" borderId="0" xfId="6" applyFont="1" applyFill="1"/>
    <xf numFmtId="0" fontId="25" fillId="5" borderId="0" xfId="9" applyFont="1" applyFill="1"/>
    <xf numFmtId="43" fontId="25" fillId="5" borderId="0" xfId="5" applyFont="1" applyFill="1"/>
    <xf numFmtId="164" fontId="25" fillId="5" borderId="0" xfId="5" applyNumberFormat="1" applyFont="1" applyFill="1"/>
    <xf numFmtId="164" fontId="25" fillId="5" borderId="0" xfId="6" applyNumberFormat="1" applyFont="1" applyFill="1"/>
    <xf numFmtId="164" fontId="26" fillId="5" borderId="0" xfId="5" applyNumberFormat="1" applyFont="1" applyFill="1"/>
    <xf numFmtId="43" fontId="11" fillId="3" borderId="0" xfId="6" applyNumberFormat="1" applyFont="1" applyFill="1"/>
    <xf numFmtId="43" fontId="10" fillId="0" borderId="0" xfId="5" applyFont="1" applyFill="1" applyAlignment="1">
      <alignment horizontal="right"/>
    </xf>
    <xf numFmtId="165" fontId="11" fillId="0" borderId="0" xfId="6" applyNumberFormat="1" applyFont="1"/>
    <xf numFmtId="165" fontId="24" fillId="0" borderId="4" xfId="5" applyNumberFormat="1" applyFont="1" applyFill="1" applyBorder="1"/>
    <xf numFmtId="165" fontId="11" fillId="0" borderId="0" xfId="5" applyNumberFormat="1" applyFont="1" applyFill="1"/>
    <xf numFmtId="44" fontId="10" fillId="0" borderId="9" xfId="6" applyNumberFormat="1" applyFont="1" applyBorder="1"/>
    <xf numFmtId="165" fontId="10" fillId="0" borderId="9" xfId="6" applyNumberFormat="1" applyFont="1" applyBorder="1"/>
    <xf numFmtId="165" fontId="10" fillId="0" borderId="0" xfId="6" applyNumberFormat="1" applyFont="1"/>
    <xf numFmtId="165" fontId="10" fillId="0" borderId="9" xfId="5" applyNumberFormat="1" applyFont="1" applyFill="1" applyBorder="1"/>
    <xf numFmtId="43" fontId="10" fillId="0" borderId="0" xfId="6" applyNumberFormat="1" applyFont="1"/>
    <xf numFmtId="43" fontId="10" fillId="0" borderId="0" xfId="5" applyFont="1" applyFill="1"/>
    <xf numFmtId="164" fontId="10" fillId="0" borderId="0" xfId="5" applyNumberFormat="1" applyFont="1" applyFill="1"/>
    <xf numFmtId="9" fontId="10" fillId="0" borderId="0" xfId="7" applyFont="1" applyAlignment="1">
      <alignment horizontal="right"/>
    </xf>
    <xf numFmtId="44" fontId="10" fillId="0" borderId="0" xfId="6" applyNumberFormat="1" applyFont="1" applyAlignment="1">
      <alignment horizontal="right"/>
    </xf>
    <xf numFmtId="164" fontId="10" fillId="0" borderId="0" xfId="6" applyNumberFormat="1" applyFont="1"/>
    <xf numFmtId="0" fontId="10" fillId="15" borderId="0" xfId="6" applyFont="1" applyFill="1"/>
    <xf numFmtId="164" fontId="11" fillId="0" borderId="0" xfId="5" applyNumberFormat="1" applyFont="1"/>
    <xf numFmtId="0" fontId="10" fillId="9" borderId="2" xfId="6" applyFont="1" applyFill="1" applyBorder="1" applyAlignment="1">
      <alignment horizontal="center" wrapText="1"/>
    </xf>
    <xf numFmtId="14" fontId="10" fillId="0" borderId="6" xfId="6" quotePrefix="1" applyNumberFormat="1" applyFont="1" applyBorder="1" applyAlignment="1">
      <alignment horizontal="center" wrapText="1"/>
    </xf>
    <xf numFmtId="14" fontId="10" fillId="8" borderId="10" xfId="5" quotePrefix="1" applyNumberFormat="1" applyFont="1" applyFill="1" applyBorder="1" applyAlignment="1">
      <alignment horizontal="center" wrapText="1"/>
    </xf>
    <xf numFmtId="0" fontId="10" fillId="9" borderId="6" xfId="6" applyFont="1" applyFill="1" applyBorder="1" applyAlignment="1">
      <alignment horizontal="center" wrapText="1"/>
    </xf>
    <xf numFmtId="43" fontId="10" fillId="0" borderId="7" xfId="5" applyFont="1" applyFill="1" applyBorder="1" applyAlignment="1">
      <alignment horizontal="center" wrapText="1"/>
    </xf>
    <xf numFmtId="164" fontId="10" fillId="0" borderId="7" xfId="5" applyNumberFormat="1" applyFont="1" applyFill="1" applyBorder="1" applyAlignment="1">
      <alignment horizontal="center" wrapText="1"/>
    </xf>
    <xf numFmtId="0" fontId="10" fillId="0" borderId="7" xfId="6" applyFont="1" applyBorder="1" applyAlignment="1">
      <alignment horizontal="center" wrapText="1"/>
    </xf>
    <xf numFmtId="0" fontId="29" fillId="0" borderId="0" xfId="6" applyFont="1"/>
    <xf numFmtId="43" fontId="29" fillId="0" borderId="0" xfId="5" applyFont="1" applyFill="1"/>
    <xf numFmtId="43" fontId="29" fillId="0" borderId="0" xfId="5" applyFont="1"/>
    <xf numFmtId="0" fontId="30" fillId="0" borderId="0" xfId="6" applyFont="1" applyAlignment="1">
      <alignment horizontal="left"/>
    </xf>
    <xf numFmtId="43" fontId="30" fillId="0" borderId="0" xfId="5" applyFont="1" applyFill="1" applyAlignment="1">
      <alignment horizontal="left"/>
    </xf>
    <xf numFmtId="0" fontId="30" fillId="0" borderId="0" xfId="6" applyFont="1" applyAlignment="1">
      <alignment horizontal="center"/>
    </xf>
    <xf numFmtId="43" fontId="30" fillId="0" borderId="0" xfId="5" applyFont="1" applyFill="1" applyAlignment="1">
      <alignment horizontal="center"/>
    </xf>
    <xf numFmtId="0" fontId="31" fillId="0" borderId="0" xfId="6" applyFont="1" applyAlignment="1">
      <alignment horizontal="left"/>
    </xf>
    <xf numFmtId="43" fontId="31" fillId="0" borderId="0" xfId="5" applyFont="1" applyFill="1" applyAlignment="1">
      <alignment horizontal="left"/>
    </xf>
    <xf numFmtId="43" fontId="29" fillId="0" borderId="0" xfId="5" applyFont="1" applyFill="1" applyAlignment="1">
      <alignment horizontal="left"/>
    </xf>
    <xf numFmtId="164" fontId="12" fillId="16" borderId="0" xfId="5" applyNumberFormat="1" applyFont="1" applyFill="1"/>
    <xf numFmtId="43" fontId="29" fillId="5" borderId="0" xfId="5" applyFont="1" applyFill="1" applyAlignment="1">
      <alignment horizontal="left"/>
    </xf>
    <xf numFmtId="43" fontId="23" fillId="5" borderId="0" xfId="5" applyFont="1" applyFill="1" applyAlignment="1">
      <alignment horizontal="left"/>
    </xf>
    <xf numFmtId="164" fontId="23" fillId="16" borderId="0" xfId="5" applyNumberFormat="1" applyFont="1" applyFill="1"/>
    <xf numFmtId="43" fontId="22" fillId="5" borderId="0" xfId="6" applyNumberFormat="1" applyFont="1" applyFill="1"/>
    <xf numFmtId="164" fontId="11" fillId="3" borderId="0" xfId="5" applyNumberFormat="1" applyFont="1" applyFill="1"/>
    <xf numFmtId="164" fontId="10" fillId="3" borderId="0" xfId="5" applyNumberFormat="1" applyFont="1" applyFill="1"/>
    <xf numFmtId="0" fontId="31" fillId="0" borderId="0" xfId="6" applyFont="1" applyAlignment="1">
      <alignment horizontal="right"/>
    </xf>
    <xf numFmtId="0" fontId="11" fillId="16" borderId="0" xfId="6" applyFont="1" applyFill="1"/>
    <xf numFmtId="164" fontId="11" fillId="16" borderId="0" xfId="6" applyNumberFormat="1" applyFont="1" applyFill="1"/>
    <xf numFmtId="0" fontId="31" fillId="0" borderId="0" xfId="6" applyFont="1"/>
    <xf numFmtId="164" fontId="11" fillId="16" borderId="0" xfId="5" applyNumberFormat="1" applyFont="1" applyFill="1"/>
    <xf numFmtId="165" fontId="11" fillId="3" borderId="0" xfId="6" applyNumberFormat="1" applyFont="1" applyFill="1"/>
    <xf numFmtId="164" fontId="0" fillId="0" borderId="0" xfId="5" applyNumberFormat="1" applyFont="1" applyFill="1"/>
    <xf numFmtId="0" fontId="23" fillId="5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0" fillId="0" borderId="9" xfId="5" applyNumberFormat="1" applyFont="1" applyFill="1" applyBorder="1"/>
    <xf numFmtId="43" fontId="29" fillId="0" borderId="0" xfId="5" applyFont="1" applyAlignment="1">
      <alignment horizontal="left"/>
    </xf>
    <xf numFmtId="9" fontId="11" fillId="0" borderId="0" xfId="7" applyFont="1"/>
    <xf numFmtId="0" fontId="32" fillId="18" borderId="0" xfId="11" applyFill="1"/>
    <xf numFmtId="0" fontId="33" fillId="18" borderId="0" xfId="11" applyFont="1" applyFill="1"/>
    <xf numFmtId="0" fontId="33" fillId="18" borderId="11" xfId="11" applyFont="1" applyFill="1" applyBorder="1"/>
    <xf numFmtId="0" fontId="33" fillId="0" borderId="12" xfId="11" applyFont="1" applyFill="1" applyBorder="1"/>
    <xf numFmtId="0" fontId="33" fillId="0" borderId="0" xfId="11" applyFont="1" applyFill="1" applyAlignment="1">
      <alignment horizontal="center"/>
    </xf>
    <xf numFmtId="0" fontId="33" fillId="0" borderId="0" xfId="11" applyFont="1" applyFill="1"/>
    <xf numFmtId="0" fontId="36" fillId="2" borderId="13" xfId="13" applyNumberFormat="1" applyFont="1" applyBorder="1" applyAlignment="1">
      <alignment horizontal="centerContinuous"/>
    </xf>
    <xf numFmtId="0" fontId="37" fillId="2" borderId="14" xfId="13" applyNumberFormat="1" applyFont="1" applyBorder="1" applyAlignment="1">
      <alignment horizontal="centerContinuous"/>
    </xf>
    <xf numFmtId="0" fontId="37" fillId="2" borderId="14" xfId="13" applyNumberFormat="1" applyFont="1" applyBorder="1" applyAlignment="1">
      <alignment horizontal="left"/>
    </xf>
    <xf numFmtId="0" fontId="38" fillId="2" borderId="15" xfId="13" applyNumberFormat="1" applyFont="1" applyBorder="1" applyAlignment="1">
      <alignment horizontal="centerContinuous"/>
    </xf>
    <xf numFmtId="0" fontId="32" fillId="17" borderId="0" xfId="11"/>
    <xf numFmtId="0" fontId="32" fillId="17" borderId="12" xfId="11" applyBorder="1"/>
    <xf numFmtId="0" fontId="39" fillId="17" borderId="3" xfId="11" applyFont="1" applyBorder="1" applyAlignment="1">
      <alignment horizontal="centerContinuous"/>
    </xf>
    <xf numFmtId="0" fontId="39" fillId="17" borderId="5" xfId="11" applyFont="1" applyBorder="1" applyAlignment="1">
      <alignment horizontal="centerContinuous"/>
    </xf>
    <xf numFmtId="0" fontId="32" fillId="17" borderId="5" xfId="11" applyBorder="1" applyAlignment="1">
      <alignment horizontal="centerContinuous"/>
    </xf>
    <xf numFmtId="0" fontId="40" fillId="17" borderId="16" xfId="11" applyFont="1" applyBorder="1"/>
    <xf numFmtId="0" fontId="40" fillId="17" borderId="0" xfId="11" applyFont="1"/>
    <xf numFmtId="0" fontId="41" fillId="19" borderId="0" xfId="11" applyFont="1" applyFill="1" applyAlignment="1">
      <alignment horizontal="center"/>
    </xf>
    <xf numFmtId="0" fontId="42" fillId="19" borderId="0" xfId="11" applyFont="1" applyFill="1" applyAlignment="1">
      <alignment horizontal="center"/>
    </xf>
    <xf numFmtId="0" fontId="32" fillId="17" borderId="0" xfId="11" applyAlignment="1">
      <alignment horizontal="center"/>
    </xf>
    <xf numFmtId="0" fontId="37" fillId="2" borderId="17" xfId="13" applyNumberFormat="1" applyFont="1" applyBorder="1" applyAlignment="1">
      <alignment horizontal="left"/>
    </xf>
    <xf numFmtId="0" fontId="32" fillId="15" borderId="0" xfId="11" applyFill="1"/>
    <xf numFmtId="0" fontId="40" fillId="17" borderId="12" xfId="11" applyFont="1" applyBorder="1"/>
    <xf numFmtId="0" fontId="43" fillId="18" borderId="0" xfId="11" applyFont="1" applyFill="1"/>
    <xf numFmtId="0" fontId="44" fillId="17" borderId="18" xfId="11" applyFont="1" applyBorder="1" applyAlignment="1">
      <alignment horizontal="right"/>
    </xf>
    <xf numFmtId="41" fontId="40" fillId="0" borderId="19" xfId="14" applyFont="1" applyFill="1" applyBorder="1">
      <alignment horizontal="left"/>
    </xf>
    <xf numFmtId="41" fontId="46" fillId="18" borderId="0" xfId="11" applyNumberFormat="1" applyFont="1" applyFill="1"/>
    <xf numFmtId="0" fontId="44" fillId="17" borderId="12" xfId="11" applyFont="1" applyBorder="1"/>
    <xf numFmtId="0" fontId="44" fillId="17" borderId="0" xfId="11" applyFont="1"/>
    <xf numFmtId="0" fontId="47" fillId="19" borderId="0" xfId="11" applyFont="1" applyFill="1" applyAlignment="1">
      <alignment horizontal="center"/>
    </xf>
    <xf numFmtId="0" fontId="47" fillId="19" borderId="0" xfId="12" applyNumberFormat="1" applyFont="1" applyFill="1" applyAlignment="1">
      <alignment horizontal="center"/>
    </xf>
    <xf numFmtId="41" fontId="32" fillId="18" borderId="0" xfId="11" applyNumberFormat="1" applyFill="1"/>
    <xf numFmtId="0" fontId="45" fillId="17" borderId="0" xfId="11" applyFont="1"/>
    <xf numFmtId="41" fontId="40" fillId="0" borderId="5" xfId="14" applyFont="1" applyFill="1" applyBorder="1">
      <alignment horizontal="left"/>
    </xf>
    <xf numFmtId="0" fontId="44" fillId="17" borderId="10" xfId="11" applyFont="1" applyBorder="1"/>
    <xf numFmtId="0" fontId="41" fillId="19" borderId="1" xfId="11" applyFont="1" applyFill="1" applyBorder="1"/>
    <xf numFmtId="0" fontId="47" fillId="19" borderId="1" xfId="11" applyFont="1" applyFill="1" applyBorder="1" applyAlignment="1">
      <alignment horizontal="center"/>
    </xf>
    <xf numFmtId="0" fontId="47" fillId="19" borderId="1" xfId="11" applyFont="1" applyFill="1" applyBorder="1"/>
    <xf numFmtId="0" fontId="32" fillId="17" borderId="20" xfId="11" applyBorder="1" applyAlignment="1">
      <alignment horizontal="center"/>
    </xf>
    <xf numFmtId="2" fontId="32" fillId="17" borderId="20" xfId="11" applyNumberFormat="1" applyBorder="1" applyAlignment="1">
      <alignment horizontal="center"/>
    </xf>
    <xf numFmtId="167" fontId="32" fillId="17" borderId="21" xfId="11" applyNumberFormat="1" applyBorder="1"/>
    <xf numFmtId="10" fontId="48" fillId="17" borderId="21" xfId="11" applyNumberFormat="1" applyFont="1" applyBorder="1"/>
    <xf numFmtId="41" fontId="32" fillId="17" borderId="22" xfId="11" applyNumberFormat="1" applyBorder="1"/>
    <xf numFmtId="41" fontId="32" fillId="17" borderId="20" xfId="11" applyNumberFormat="1" applyBorder="1"/>
    <xf numFmtId="41" fontId="32" fillId="17" borderId="21" xfId="11" applyNumberFormat="1" applyBorder="1"/>
    <xf numFmtId="0" fontId="44" fillId="17" borderId="2" xfId="11" applyFont="1" applyBorder="1" applyAlignment="1">
      <alignment horizontal="center"/>
    </xf>
    <xf numFmtId="0" fontId="44" fillId="17" borderId="0" xfId="11" applyFont="1" applyAlignment="1">
      <alignment horizontal="right"/>
    </xf>
    <xf numFmtId="41" fontId="44" fillId="17" borderId="0" xfId="11" applyNumberFormat="1" applyFont="1"/>
    <xf numFmtId="0" fontId="49" fillId="17" borderId="12" xfId="11" applyFont="1" applyBorder="1" applyAlignment="1">
      <alignment horizontal="center"/>
    </xf>
    <xf numFmtId="2" fontId="32" fillId="17" borderId="12" xfId="11" applyNumberFormat="1" applyBorder="1" applyAlignment="1">
      <alignment horizontal="center"/>
    </xf>
    <xf numFmtId="167" fontId="32" fillId="17" borderId="0" xfId="11" applyNumberFormat="1"/>
    <xf numFmtId="10" fontId="48" fillId="17" borderId="0" xfId="11" applyNumberFormat="1" applyFont="1"/>
    <xf numFmtId="41" fontId="32" fillId="17" borderId="23" xfId="11" applyNumberFormat="1" applyBorder="1"/>
    <xf numFmtId="41" fontId="32" fillId="17" borderId="12" xfId="11" applyNumberFormat="1" applyBorder="1"/>
    <xf numFmtId="41" fontId="32" fillId="17" borderId="0" xfId="11" applyNumberFormat="1"/>
    <xf numFmtId="10" fontId="40" fillId="0" borderId="5" xfId="15" applyFont="1" applyFill="1" applyBorder="1"/>
    <xf numFmtId="0" fontId="44" fillId="17" borderId="18" xfId="11" applyFont="1" applyBorder="1" applyAlignment="1">
      <alignment horizontal="center"/>
    </xf>
    <xf numFmtId="0" fontId="32" fillId="17" borderId="12" xfId="11" applyBorder="1" applyAlignment="1">
      <alignment horizontal="center"/>
    </xf>
    <xf numFmtId="41" fontId="44" fillId="17" borderId="4" xfId="11" applyNumberFormat="1" applyFont="1" applyBorder="1"/>
    <xf numFmtId="5" fontId="44" fillId="17" borderId="4" xfId="11" applyNumberFormat="1" applyFont="1" applyBorder="1"/>
    <xf numFmtId="0" fontId="32" fillId="17" borderId="10" xfId="11" applyBorder="1" applyAlignment="1">
      <alignment horizontal="center"/>
    </xf>
    <xf numFmtId="0" fontId="47" fillId="17" borderId="18" xfId="11" applyFont="1" applyBorder="1" applyAlignment="1">
      <alignment horizontal="right"/>
    </xf>
    <xf numFmtId="168" fontId="40" fillId="0" borderId="5" xfId="15" applyNumberFormat="1" applyFont="1" applyFill="1" applyBorder="1"/>
    <xf numFmtId="167" fontId="49" fillId="17" borderId="0" xfId="11" applyNumberFormat="1" applyFont="1"/>
    <xf numFmtId="0" fontId="44" fillId="17" borderId="6" xfId="11" applyFont="1" applyBorder="1" applyAlignment="1">
      <alignment horizontal="right"/>
    </xf>
    <xf numFmtId="41" fontId="44" fillId="17" borderId="24" xfId="11" applyNumberFormat="1" applyFont="1" applyBorder="1"/>
    <xf numFmtId="167" fontId="32" fillId="17" borderId="1" xfId="11" applyNumberFormat="1" applyBorder="1"/>
    <xf numFmtId="10" fontId="40" fillId="0" borderId="25" xfId="15" applyFont="1" applyFill="1" applyBorder="1"/>
    <xf numFmtId="41" fontId="40" fillId="17" borderId="0" xfId="11" applyNumberFormat="1" applyFont="1"/>
    <xf numFmtId="10" fontId="44" fillId="17" borderId="0" xfId="11" applyNumberFormat="1" applyFont="1" applyAlignment="1">
      <alignment horizontal="right"/>
    </xf>
    <xf numFmtId="41" fontId="40" fillId="20" borderId="0" xfId="14" applyFont="1" applyAlignment="1">
      <alignment horizontal="right"/>
    </xf>
    <xf numFmtId="0" fontId="32" fillId="17" borderId="0" xfId="11" applyAlignment="1">
      <alignment horizontal="right"/>
    </xf>
    <xf numFmtId="0" fontId="44" fillId="17" borderId="26" xfId="11" applyFont="1" applyBorder="1" applyAlignment="1">
      <alignment horizontal="right"/>
    </xf>
    <xf numFmtId="0" fontId="40" fillId="18" borderId="0" xfId="11" applyFont="1" applyFill="1"/>
    <xf numFmtId="0" fontId="41" fillId="19" borderId="20" xfId="11" applyFont="1" applyFill="1" applyBorder="1" applyAlignment="1">
      <alignment horizontal="left"/>
    </xf>
    <xf numFmtId="0" fontId="32" fillId="17" borderId="21" xfId="11" applyBorder="1"/>
    <xf numFmtId="0" fontId="32" fillId="17" borderId="22" xfId="11" applyBorder="1"/>
    <xf numFmtId="0" fontId="50" fillId="17" borderId="0" xfId="11" applyFont="1" applyAlignment="1">
      <alignment horizontal="left"/>
    </xf>
    <xf numFmtId="41" fontId="44" fillId="17" borderId="23" xfId="11" applyNumberFormat="1" applyFont="1" applyBorder="1"/>
    <xf numFmtId="10" fontId="50" fillId="17" borderId="0" xfId="16" applyNumberFormat="1" applyFont="1" applyFill="1" applyBorder="1" applyAlignment="1">
      <alignment horizontal="left"/>
    </xf>
    <xf numFmtId="0" fontId="47" fillId="17" borderId="0" xfId="11" applyFont="1" applyAlignment="1">
      <alignment horizontal="right"/>
    </xf>
    <xf numFmtId="41" fontId="47" fillId="17" borderId="9" xfId="11" applyNumberFormat="1" applyFont="1" applyBorder="1"/>
    <xf numFmtId="41" fontId="47" fillId="17" borderId="28" xfId="11" applyNumberFormat="1" applyFont="1" applyBorder="1"/>
    <xf numFmtId="165" fontId="32" fillId="18" borderId="0" xfId="2" applyNumberFormat="1" applyFont="1" applyFill="1"/>
    <xf numFmtId="0" fontId="32" fillId="17" borderId="10" xfId="11" applyBorder="1"/>
    <xf numFmtId="0" fontId="32" fillId="17" borderId="1" xfId="11" applyBorder="1"/>
    <xf numFmtId="0" fontId="44" fillId="17" borderId="1" xfId="11" applyFont="1" applyBorder="1" applyAlignment="1">
      <alignment horizontal="right" vertical="center"/>
    </xf>
    <xf numFmtId="10" fontId="47" fillId="17" borderId="1" xfId="11" applyNumberFormat="1" applyFont="1" applyBorder="1" applyAlignment="1">
      <alignment horizontal="center" vertical="center"/>
    </xf>
    <xf numFmtId="0" fontId="32" fillId="17" borderId="19" xfId="11" applyBorder="1"/>
    <xf numFmtId="0" fontId="51" fillId="18" borderId="0" xfId="12" applyNumberFormat="1" applyFont="1" applyFill="1"/>
    <xf numFmtId="0" fontId="34" fillId="18" borderId="0" xfId="12" applyNumberFormat="1" applyFill="1"/>
    <xf numFmtId="0" fontId="40" fillId="18" borderId="0" xfId="12" applyNumberFormat="1" applyFont="1" applyFill="1"/>
    <xf numFmtId="0" fontId="41" fillId="19" borderId="0" xfId="11" applyFont="1" applyFill="1" applyAlignment="1">
      <alignment horizontal="left"/>
    </xf>
    <xf numFmtId="0" fontId="41" fillId="20" borderId="0" xfId="11" applyFont="1" applyFill="1" applyAlignment="1">
      <alignment horizontal="centerContinuous"/>
    </xf>
    <xf numFmtId="0" fontId="52" fillId="17" borderId="0" xfId="11" applyFont="1" applyAlignment="1">
      <alignment horizontal="right"/>
    </xf>
    <xf numFmtId="41" fontId="52" fillId="17" borderId="0" xfId="11" applyNumberFormat="1" applyFont="1" applyAlignment="1">
      <alignment horizontal="center"/>
    </xf>
    <xf numFmtId="0" fontId="52" fillId="17" borderId="0" xfId="11" applyFont="1" applyAlignment="1">
      <alignment horizontal="center"/>
    </xf>
    <xf numFmtId="37" fontId="32" fillId="17" borderId="0" xfId="11" applyNumberFormat="1"/>
    <xf numFmtId="39" fontId="32" fillId="17" borderId="0" xfId="11" applyNumberFormat="1"/>
    <xf numFmtId="10" fontId="44" fillId="17" borderId="0" xfId="11" applyNumberFormat="1" applyFont="1" applyAlignment="1">
      <alignment horizontal="center"/>
    </xf>
    <xf numFmtId="41" fontId="44" fillId="17" borderId="0" xfId="11" applyNumberFormat="1" applyFont="1" applyProtection="1">
      <protection locked="0"/>
    </xf>
    <xf numFmtId="41" fontId="44" fillId="17" borderId="1" xfId="11" applyNumberFormat="1" applyFont="1" applyBorder="1" applyProtection="1">
      <protection locked="0"/>
    </xf>
    <xf numFmtId="41" fontId="44" fillId="17" borderId="29" xfId="11" applyNumberFormat="1" applyFont="1" applyBorder="1"/>
    <xf numFmtId="0" fontId="40" fillId="17" borderId="0" xfId="11" applyFont="1" applyAlignment="1">
      <alignment horizontal="right"/>
    </xf>
    <xf numFmtId="10" fontId="44" fillId="17" borderId="29" xfId="11" applyNumberFormat="1" applyFont="1" applyBorder="1" applyAlignment="1">
      <alignment horizontal="center"/>
    </xf>
    <xf numFmtId="5" fontId="32" fillId="18" borderId="0" xfId="11" applyNumberFormat="1" applyFill="1"/>
    <xf numFmtId="0" fontId="47" fillId="17" borderId="0" xfId="11" applyFont="1" applyAlignment="1">
      <alignment horizontal="center"/>
    </xf>
    <xf numFmtId="0" fontId="53" fillId="17" borderId="0" xfId="11" applyFont="1"/>
    <xf numFmtId="0" fontId="47" fillId="17" borderId="0" xfId="11" applyFont="1"/>
    <xf numFmtId="0" fontId="53" fillId="17" borderId="0" xfId="11" applyFont="1" applyAlignment="1">
      <alignment horizontal="right"/>
    </xf>
    <xf numFmtId="10" fontId="44" fillId="17" borderId="0" xfId="11" applyNumberFormat="1" applyFont="1"/>
    <xf numFmtId="10" fontId="32" fillId="18" borderId="0" xfId="11" applyNumberFormat="1" applyFill="1"/>
    <xf numFmtId="0" fontId="44" fillId="17" borderId="0" xfId="11" quotePrefix="1" applyFont="1" applyAlignment="1">
      <alignment horizontal="left"/>
    </xf>
    <xf numFmtId="169" fontId="32" fillId="17" borderId="0" xfId="11" applyNumberFormat="1"/>
    <xf numFmtId="0" fontId="54" fillId="17" borderId="0" xfId="11" applyFont="1"/>
    <xf numFmtId="39" fontId="44" fillId="17" borderId="0" xfId="11" applyNumberFormat="1" applyFont="1"/>
    <xf numFmtId="0" fontId="32" fillId="17" borderId="18" xfId="11" applyBorder="1"/>
    <xf numFmtId="0" fontId="55" fillId="17" borderId="0" xfId="11" applyFont="1"/>
    <xf numFmtId="0" fontId="32" fillId="17" borderId="20" xfId="11" applyBorder="1" applyAlignment="1">
      <alignment horizontal="centerContinuous"/>
    </xf>
    <xf numFmtId="0" fontId="32" fillId="17" borderId="22" xfId="11" applyBorder="1" applyAlignment="1">
      <alignment horizontal="centerContinuous"/>
    </xf>
    <xf numFmtId="10" fontId="45" fillId="20" borderId="0" xfId="15"/>
    <xf numFmtId="0" fontId="47" fillId="17" borderId="1" xfId="11" applyFont="1" applyBorder="1" applyAlignment="1">
      <alignment horizontal="right"/>
    </xf>
    <xf numFmtId="0" fontId="47" fillId="17" borderId="1" xfId="11" applyFont="1" applyBorder="1" applyAlignment="1">
      <alignment horizontal="center"/>
    </xf>
    <xf numFmtId="0" fontId="32" fillId="17" borderId="12" xfId="11" applyBorder="1" applyAlignment="1">
      <alignment horizontal="centerContinuous"/>
    </xf>
    <xf numFmtId="0" fontId="32" fillId="17" borderId="23" xfId="11" applyBorder="1" applyAlignment="1">
      <alignment horizontal="centerContinuous"/>
    </xf>
    <xf numFmtId="0" fontId="32" fillId="17" borderId="23" xfId="11" applyBorder="1"/>
    <xf numFmtId="0" fontId="56" fillId="17" borderId="0" xfId="11" applyFont="1"/>
    <xf numFmtId="168" fontId="44" fillId="17" borderId="0" xfId="11" applyNumberFormat="1" applyFont="1"/>
    <xf numFmtId="164" fontId="44" fillId="17" borderId="0" xfId="11" applyNumberFormat="1" applyFont="1" applyProtection="1">
      <protection locked="0"/>
    </xf>
    <xf numFmtId="0" fontId="32" fillId="17" borderId="23" xfId="11" applyBorder="1" applyAlignment="1">
      <alignment horizontal="center"/>
    </xf>
    <xf numFmtId="0" fontId="32" fillId="17" borderId="0" xfId="11" quotePrefix="1" applyAlignment="1">
      <alignment horizontal="right"/>
    </xf>
    <xf numFmtId="10" fontId="32" fillId="17" borderId="23" xfId="11" applyNumberFormat="1" applyBorder="1"/>
    <xf numFmtId="10" fontId="32" fillId="17" borderId="0" xfId="11" applyNumberFormat="1" applyAlignment="1">
      <alignment horizontal="center"/>
    </xf>
    <xf numFmtId="10" fontId="32" fillId="17" borderId="23" xfId="16" applyNumberFormat="1" applyFont="1" applyFill="1" applyBorder="1"/>
    <xf numFmtId="0" fontId="32" fillId="17" borderId="19" xfId="11" applyBorder="1" applyAlignment="1">
      <alignment horizontal="center"/>
    </xf>
    <xf numFmtId="168" fontId="44" fillId="17" borderId="29" xfId="11" applyNumberFormat="1" applyFont="1" applyBorder="1"/>
    <xf numFmtId="0" fontId="32" fillId="17" borderId="21" xfId="11" quotePrefix="1" applyBorder="1" applyAlignment="1">
      <alignment horizontal="left"/>
    </xf>
    <xf numFmtId="168" fontId="40" fillId="17" borderId="0" xfId="11" applyNumberFormat="1" applyFont="1"/>
    <xf numFmtId="0" fontId="32" fillId="17" borderId="0" xfId="11" quotePrefix="1" applyAlignment="1">
      <alignment horizontal="left"/>
    </xf>
    <xf numFmtId="0" fontId="57" fillId="18" borderId="0" xfId="11" applyFont="1" applyFill="1"/>
    <xf numFmtId="2" fontId="57" fillId="18" borderId="0" xfId="11" applyNumberFormat="1" applyFont="1" applyFill="1"/>
    <xf numFmtId="10" fontId="32" fillId="17" borderId="10" xfId="11" applyNumberFormat="1" applyBorder="1" applyAlignment="1">
      <alignment horizontal="center"/>
    </xf>
    <xf numFmtId="0" fontId="32" fillId="17" borderId="1" xfId="11" quotePrefix="1" applyBorder="1" applyAlignment="1">
      <alignment horizontal="left"/>
    </xf>
    <xf numFmtId="0" fontId="58" fillId="17" borderId="19" xfId="11" applyFont="1" applyBorder="1"/>
    <xf numFmtId="0" fontId="58" fillId="18" borderId="0" xfId="11" applyFont="1" applyFill="1"/>
    <xf numFmtId="170" fontId="32" fillId="17" borderId="0" xfId="11" applyNumberFormat="1"/>
    <xf numFmtId="0" fontId="35" fillId="17" borderId="0" xfId="11" applyFont="1" applyAlignment="1">
      <alignment horizontal="centerContinuous"/>
    </xf>
    <xf numFmtId="0" fontId="32" fillId="17" borderId="0" xfId="11" applyAlignment="1">
      <alignment horizontal="centerContinuous"/>
    </xf>
    <xf numFmtId="0" fontId="32" fillId="18" borderId="0" xfId="11" applyFill="1" applyAlignment="1">
      <alignment horizontal="right"/>
    </xf>
    <xf numFmtId="0" fontId="32" fillId="17" borderId="20" xfId="11" applyBorder="1"/>
    <xf numFmtId="0" fontId="59" fillId="17" borderId="21" xfId="11" applyFont="1" applyBorder="1" applyAlignment="1">
      <alignment horizontal="center"/>
    </xf>
    <xf numFmtId="0" fontId="59" fillId="17" borderId="22" xfId="11" applyFont="1" applyBorder="1" applyAlignment="1">
      <alignment horizontal="center"/>
    </xf>
    <xf numFmtId="0" fontId="32" fillId="17" borderId="20" xfId="11" applyBorder="1" applyAlignment="1">
      <alignment horizontal="left"/>
    </xf>
    <xf numFmtId="171" fontId="60" fillId="17" borderId="21" xfId="11" applyNumberFormat="1" applyFont="1" applyBorder="1" applyAlignment="1">
      <alignment horizontal="center"/>
    </xf>
    <xf numFmtId="0" fontId="32" fillId="17" borderId="21" xfId="11" applyBorder="1" applyAlignment="1">
      <alignment horizontal="left"/>
    </xf>
    <xf numFmtId="171" fontId="60" fillId="17" borderId="22" xfId="11" applyNumberFormat="1" applyFont="1" applyBorder="1" applyAlignment="1">
      <alignment horizontal="center"/>
    </xf>
    <xf numFmtId="10" fontId="32" fillId="17" borderId="23" xfId="11" applyNumberFormat="1" applyBorder="1" applyAlignment="1">
      <alignment horizontal="center"/>
    </xf>
    <xf numFmtId="0" fontId="32" fillId="17" borderId="12" xfId="11" applyBorder="1" applyAlignment="1">
      <alignment horizontal="left"/>
    </xf>
    <xf numFmtId="171" fontId="60" fillId="17" borderId="0" xfId="11" applyNumberFormat="1" applyFont="1" applyAlignment="1">
      <alignment horizontal="center"/>
    </xf>
    <xf numFmtId="0" fontId="32" fillId="17" borderId="0" xfId="11" applyAlignment="1">
      <alignment horizontal="left"/>
    </xf>
    <xf numFmtId="171" fontId="60" fillId="17" borderId="23" xfId="11" applyNumberFormat="1" applyFont="1" applyBorder="1" applyAlignment="1">
      <alignment horizontal="center"/>
    </xf>
    <xf numFmtId="0" fontId="61" fillId="17" borderId="0" xfId="11" applyFont="1" applyAlignment="1">
      <alignment horizontal="centerContinuous"/>
    </xf>
    <xf numFmtId="171" fontId="32" fillId="17" borderId="23" xfId="11" applyNumberFormat="1" applyBorder="1" applyAlignment="1">
      <alignment horizontal="center"/>
    </xf>
    <xf numFmtId="0" fontId="58" fillId="18" borderId="0" xfId="11" applyFont="1" applyFill="1" applyAlignment="1">
      <alignment horizontal="fill"/>
    </xf>
    <xf numFmtId="10" fontId="32" fillId="17" borderId="1" xfId="11" applyNumberFormat="1" applyBorder="1" applyAlignment="1">
      <alignment horizontal="center"/>
    </xf>
    <xf numFmtId="10" fontId="62" fillId="20" borderId="0" xfId="15" applyFont="1"/>
    <xf numFmtId="168" fontId="62" fillId="20" borderId="23" xfId="15" applyNumberFormat="1" applyFont="1" applyBorder="1"/>
    <xf numFmtId="0" fontId="32" fillId="17" borderId="1" xfId="11" applyBorder="1" applyAlignment="1">
      <alignment horizontal="right"/>
    </xf>
    <xf numFmtId="171" fontId="60" fillId="17" borderId="1" xfId="11" applyNumberFormat="1" applyFont="1" applyBorder="1" applyAlignment="1">
      <alignment horizontal="left"/>
    </xf>
    <xf numFmtId="171" fontId="32" fillId="17" borderId="19" xfId="11" applyNumberFormat="1" applyBorder="1" applyAlignment="1">
      <alignment horizontal="center"/>
    </xf>
    <xf numFmtId="10" fontId="62" fillId="20" borderId="1" xfId="15" applyFont="1" applyBorder="1"/>
    <xf numFmtId="10" fontId="62" fillId="20" borderId="19" xfId="15" applyFont="1" applyBorder="1"/>
    <xf numFmtId="171" fontId="32" fillId="17" borderId="0" xfId="11" applyNumberFormat="1"/>
    <xf numFmtId="0" fontId="63" fillId="17" borderId="0" xfId="11" applyFont="1"/>
    <xf numFmtId="0" fontId="32" fillId="17" borderId="21" xfId="11" quotePrefix="1" applyBorder="1" applyAlignment="1">
      <alignment horizontal="right"/>
    </xf>
    <xf numFmtId="0" fontId="32" fillId="17" borderId="22" xfId="11" quotePrefix="1" applyBorder="1" applyAlignment="1">
      <alignment horizontal="right"/>
    </xf>
    <xf numFmtId="0" fontId="64" fillId="17" borderId="0" xfId="11" applyFont="1"/>
    <xf numFmtId="0" fontId="64" fillId="17" borderId="23" xfId="11" applyFont="1" applyBorder="1"/>
    <xf numFmtId="0" fontId="32" fillId="20" borderId="0" xfId="11" applyFill="1"/>
    <xf numFmtId="0" fontId="32" fillId="17" borderId="1" xfId="11" quotePrefix="1" applyBorder="1" applyAlignment="1">
      <alignment horizontal="right"/>
    </xf>
    <xf numFmtId="10" fontId="32" fillId="17" borderId="19" xfId="11" applyNumberFormat="1" applyBorder="1"/>
    <xf numFmtId="0" fontId="39" fillId="17" borderId="30" xfId="11" applyFont="1" applyBorder="1" applyAlignment="1">
      <alignment horizontal="centerContinuous"/>
    </xf>
    <xf numFmtId="0" fontId="39" fillId="17" borderId="25" xfId="11" applyFont="1" applyBorder="1" applyAlignment="1">
      <alignment horizontal="centerContinuous"/>
    </xf>
    <xf numFmtId="0" fontId="32" fillId="17" borderId="25" xfId="11" applyBorder="1" applyAlignment="1">
      <alignment horizontal="centerContinuous"/>
    </xf>
    <xf numFmtId="41" fontId="40" fillId="0" borderId="25" xfId="14" applyFont="1" applyFill="1" applyBorder="1">
      <alignment horizontal="left"/>
    </xf>
    <xf numFmtId="0" fontId="44" fillId="17" borderId="31" xfId="11" applyFont="1" applyBorder="1" applyAlignment="1">
      <alignment horizontal="center"/>
    </xf>
    <xf numFmtId="41" fontId="44" fillId="17" borderId="27" xfId="11" applyNumberFormat="1" applyFont="1" applyBorder="1"/>
    <xf numFmtId="5" fontId="44" fillId="17" borderId="27" xfId="11" applyNumberFormat="1" applyFont="1" applyBorder="1"/>
    <xf numFmtId="168" fontId="40" fillId="0" borderId="25" xfId="15" applyNumberFormat="1" applyFont="1" applyFill="1" applyBorder="1"/>
    <xf numFmtId="44" fontId="32" fillId="18" borderId="0" xfId="2" applyFont="1" applyFill="1"/>
    <xf numFmtId="168" fontId="65" fillId="21" borderId="0" xfId="17" applyNumberFormat="1" applyFont="1" applyFill="1"/>
    <xf numFmtId="0" fontId="65" fillId="21" borderId="0" xfId="17" applyFont="1" applyFill="1"/>
    <xf numFmtId="172" fontId="65" fillId="21" borderId="0" xfId="7" applyNumberFormat="1" applyFont="1" applyFill="1" applyBorder="1"/>
    <xf numFmtId="0" fontId="10" fillId="3" borderId="3" xfId="6" applyFont="1" applyFill="1" applyBorder="1" applyAlignment="1">
      <alignment horizontal="center"/>
    </xf>
    <xf numFmtId="0" fontId="10" fillId="3" borderId="4" xfId="6" applyFont="1" applyFill="1" applyBorder="1" applyAlignment="1">
      <alignment horizontal="center"/>
    </xf>
    <xf numFmtId="0" fontId="10" fillId="3" borderId="5" xfId="6" applyFont="1" applyFill="1" applyBorder="1" applyAlignment="1">
      <alignment horizontal="center"/>
    </xf>
    <xf numFmtId="0" fontId="10" fillId="3" borderId="0" xfId="6" applyFont="1" applyFill="1" applyAlignment="1">
      <alignment horizontal="center"/>
    </xf>
    <xf numFmtId="43" fontId="10" fillId="3" borderId="7" xfId="5" applyFont="1" applyFill="1" applyBorder="1" applyAlignment="1">
      <alignment horizontal="center"/>
    </xf>
    <xf numFmtId="0" fontId="35" fillId="18" borderId="0" xfId="12" applyNumberFormat="1" applyFont="1" applyFill="1" applyAlignment="1">
      <alignment horizontal="center"/>
    </xf>
    <xf numFmtId="0" fontId="32" fillId="17" borderId="13" xfId="11" applyBorder="1" applyAlignment="1">
      <alignment horizontal="center"/>
    </xf>
    <xf numFmtId="0" fontId="32" fillId="17" borderId="14" xfId="11" applyBorder="1" applyAlignment="1">
      <alignment horizontal="center"/>
    </xf>
    <xf numFmtId="0" fontId="32" fillId="17" borderId="15" xfId="11" applyBorder="1" applyAlignment="1">
      <alignment horizontal="center"/>
    </xf>
    <xf numFmtId="0" fontId="40" fillId="18" borderId="0" xfId="12" applyNumberFormat="1" applyFont="1" applyFill="1" applyAlignment="1">
      <alignment horizontal="center"/>
    </xf>
    <xf numFmtId="0" fontId="40" fillId="18" borderId="27" xfId="12" applyNumberFormat="1" applyFont="1" applyFill="1" applyBorder="1" applyAlignment="1">
      <alignment horizontal="center"/>
    </xf>
    <xf numFmtId="0" fontId="53" fillId="17" borderId="0" xfId="11" applyFont="1" applyAlignment="1">
      <alignment horizontal="center"/>
    </xf>
    <xf numFmtId="0" fontId="11" fillId="12" borderId="0" xfId="6" applyFont="1" applyFill="1"/>
    <xf numFmtId="0" fontId="10" fillId="12" borderId="0" xfId="6" applyFont="1" applyFill="1"/>
    <xf numFmtId="10" fontId="11" fillId="12" borderId="0" xfId="3" applyNumberFormat="1" applyFont="1" applyFill="1"/>
    <xf numFmtId="43" fontId="11" fillId="12" borderId="0" xfId="6" applyNumberFormat="1" applyFont="1" applyFill="1"/>
    <xf numFmtId="44" fontId="11" fillId="12" borderId="0" xfId="2" applyFont="1" applyFill="1"/>
    <xf numFmtId="164" fontId="24" fillId="12" borderId="4" xfId="5" applyNumberFormat="1" applyFont="1" applyFill="1" applyBorder="1"/>
    <xf numFmtId="44" fontId="24" fillId="12" borderId="4" xfId="2" applyFont="1" applyFill="1" applyBorder="1"/>
    <xf numFmtId="165" fontId="24" fillId="12" borderId="4" xfId="10" applyNumberFormat="1" applyFont="1" applyFill="1" applyBorder="1"/>
  </cellXfs>
  <cellStyles count="18">
    <cellStyle name="Accent5 2 2" xfId="13" xr:uid="{65C0460A-CF74-4D68-A6BC-3D72DC0A9224}"/>
    <cellStyle name="Comma" xfId="1" builtinId="3"/>
    <cellStyle name="Comma 10" xfId="5" xr:uid="{21F10EDE-7688-474F-8C41-735C93435819}"/>
    <cellStyle name="Comma 19" xfId="8" xr:uid="{04286C94-1CB0-4E60-B07C-A009504168A8}"/>
    <cellStyle name="Comma 2 8" xfId="14" xr:uid="{EAA03CAF-43D8-464C-96F8-1E16FC5C84CE}"/>
    <cellStyle name="Currency" xfId="2" builtinId="4"/>
    <cellStyle name="Currency 10 5" xfId="10" xr:uid="{6FC64B27-7BB0-47B7-BFAD-2112258AA3C6}"/>
    <cellStyle name="Normal" xfId="0" builtinId="0"/>
    <cellStyle name="Normal 10 2" xfId="4" xr:uid="{A9BBBF87-FD98-44E0-9BB4-7BC4DDC4EA1C}"/>
    <cellStyle name="Normal 2 11 2" xfId="11" xr:uid="{762A4ABF-B33A-49F3-8ADF-9D140BACC131}"/>
    <cellStyle name="Normal 2 2 13" xfId="12" xr:uid="{601ED648-7430-4020-A039-6221A987D5E1}"/>
    <cellStyle name="Normal_2183 Regulated Price Out Final 6-7-2012" xfId="9" xr:uid="{1AB2A906-C02D-42E0-A0EB-4777DD13D015}"/>
    <cellStyle name="Normal_M-A DF Calculation 3-1-2013-Final" xfId="17" xr:uid="{93AFF720-90AB-48BD-A022-75D9E623AD8B}"/>
    <cellStyle name="Normal_Regulated Price Out 9-6-2011 Final HL" xfId="6" xr:uid="{D65519B6-C4DB-4DF4-893D-7C7F86573FD9}"/>
    <cellStyle name="Percent" xfId="3" builtinId="5"/>
    <cellStyle name="Percent 10 2" xfId="16" xr:uid="{A8BA9CE1-EC09-42CE-BE8D-ABDB0FE11768}"/>
    <cellStyle name="Percent 11" xfId="7" xr:uid="{E6967FF6-A76E-479F-BD2C-87A352FBBC58}"/>
    <cellStyle name="Percent 2 4 2" xfId="15" xr:uid="{1138F180-BBFB-4559-890C-D798EB670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66" Type="http://schemas.openxmlformats.org/officeDocument/2006/relationships/externalLink" Target="externalLinks/externalLink56.xml"/><Relationship Id="rId74" Type="http://schemas.openxmlformats.org/officeDocument/2006/relationships/sharedStrings" Target="sharedStrings.xml"/><Relationship Id="rId79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1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17298873-7E32-427A-ABBA-AC5C9105ED3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0</xdr:rowOff>
    </xdr:to>
    <xdr:pic>
      <xdr:nvPicPr>
        <xdr:cNvPr id="3073" name="DataCompleted">
          <a:extLst>
            <a:ext uri="{FF2B5EF4-FFF2-40B4-BE49-F238E27FC236}">
              <a16:creationId xmlns:a16="http://schemas.microsoft.com/office/drawing/2014/main" id="{7E1E1A39-9516-C0F1-2A19-A3A04349E5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305175"/>
          <a:ext cx="228600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17</xdr:row>
      <xdr:rowOff>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3025"/>
            </a:ext>
            <a:ext uri="{FF2B5EF4-FFF2-40B4-BE49-F238E27FC236}">
              <a16:creationId xmlns:a16="http://schemas.microsoft.com/office/drawing/2014/main" id="{19985EF7-AA5A-4290-B60D-118F0B04AE03}"/>
            </a:ext>
          </a:extLst>
        </xdr:cNvPr>
        <xdr:cNvSpPr/>
      </xdr:nvSpPr>
      <xdr:spPr>
        <a:xfrm>
          <a:off x="2476500" y="3307080"/>
          <a:ext cx="228600" cy="217170"/>
        </a:xfrm>
        <a:prstGeom prst="rect">
          <a:avLst/>
        </a:prstGeom>
      </xdr:spPr>
    </xdr:sp>
    <xdr:clientData/>
  </xdr:twoCellAnchor>
  <xdr:twoCellAnchor editAs="oneCell">
    <xdr:from>
      <xdr:col>2</xdr:col>
      <xdr:colOff>142875</xdr:colOff>
      <xdr:row>15</xdr:row>
      <xdr:rowOff>228600</xdr:rowOff>
    </xdr:from>
    <xdr:to>
      <xdr:col>2</xdr:col>
      <xdr:colOff>428625</xdr:colOff>
      <xdr:row>17</xdr:row>
      <xdr:rowOff>0</xdr:rowOff>
    </xdr:to>
    <xdr:pic>
      <xdr:nvPicPr>
        <xdr:cNvPr id="3" name="DataCompleted">
          <a:extLst>
            <a:ext uri="{FF2B5EF4-FFF2-40B4-BE49-F238E27FC236}">
              <a16:creationId xmlns:a16="http://schemas.microsoft.com/office/drawing/2014/main" id="{AEF33D5C-7824-4E46-AAD9-9DCBA490EE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324225"/>
          <a:ext cx="285750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16</xdr:row>
      <xdr:rowOff>198782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4049"/>
            </a:ext>
            <a:ext uri="{FF2B5EF4-FFF2-40B4-BE49-F238E27FC236}">
              <a16:creationId xmlns:a16="http://schemas.microsoft.com/office/drawing/2014/main" id="{0D54E8EE-09E6-4AA0-AB2D-7382897527F9}"/>
            </a:ext>
          </a:extLst>
        </xdr:cNvPr>
        <xdr:cNvSpPr/>
      </xdr:nvSpPr>
      <xdr:spPr>
        <a:xfrm>
          <a:off x="2476500" y="3307080"/>
          <a:ext cx="228600" cy="215927"/>
        </a:xfrm>
        <a:prstGeom prst="rect">
          <a:avLst/>
        </a:prstGeom>
      </xdr:spPr>
    </xdr:sp>
    <xdr:clientData/>
  </xdr:twoCellAnchor>
  <xdr:twoCellAnchor editAs="oneCell">
    <xdr:from>
      <xdr:col>2</xdr:col>
      <xdr:colOff>142875</xdr:colOff>
      <xdr:row>15</xdr:row>
      <xdr:rowOff>228600</xdr:rowOff>
    </xdr:from>
    <xdr:to>
      <xdr:col>2</xdr:col>
      <xdr:colOff>428625</xdr:colOff>
      <xdr:row>16</xdr:row>
      <xdr:rowOff>198782</xdr:rowOff>
    </xdr:to>
    <xdr:pic>
      <xdr:nvPicPr>
        <xdr:cNvPr id="3" name="DataCompleted">
          <a:extLst>
            <a:ext uri="{FF2B5EF4-FFF2-40B4-BE49-F238E27FC236}">
              <a16:creationId xmlns:a16="http://schemas.microsoft.com/office/drawing/2014/main" id="{29D63C5F-88CF-4918-9A3C-CE8EAC5918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324225"/>
          <a:ext cx="285750" cy="19878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16</xdr:row>
      <xdr:rowOff>198782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4049"/>
            </a:ext>
            <a:ext uri="{FF2B5EF4-FFF2-40B4-BE49-F238E27FC236}">
              <a16:creationId xmlns:a16="http://schemas.microsoft.com/office/drawing/2014/main" id="{14F1992B-C809-41FE-9F27-AD9A3B3AC0F8}"/>
            </a:ext>
          </a:extLst>
        </xdr:cNvPr>
        <xdr:cNvSpPr/>
      </xdr:nvSpPr>
      <xdr:spPr>
        <a:xfrm>
          <a:off x="2476500" y="3307080"/>
          <a:ext cx="228600" cy="215927"/>
        </a:xfrm>
        <a:prstGeom prst="rect">
          <a:avLst/>
        </a:prstGeom>
      </xdr:spPr>
    </xdr:sp>
    <xdr:clientData/>
  </xdr:twoCellAnchor>
  <xdr:twoCellAnchor editAs="oneCell">
    <xdr:from>
      <xdr:col>2</xdr:col>
      <xdr:colOff>142875</xdr:colOff>
      <xdr:row>15</xdr:row>
      <xdr:rowOff>228600</xdr:rowOff>
    </xdr:from>
    <xdr:to>
      <xdr:col>2</xdr:col>
      <xdr:colOff>428625</xdr:colOff>
      <xdr:row>16</xdr:row>
      <xdr:rowOff>198782</xdr:rowOff>
    </xdr:to>
    <xdr:pic>
      <xdr:nvPicPr>
        <xdr:cNvPr id="3" name="DataCompleted">
          <a:extLst>
            <a:ext uri="{FF2B5EF4-FFF2-40B4-BE49-F238E27FC236}">
              <a16:creationId xmlns:a16="http://schemas.microsoft.com/office/drawing/2014/main" id="{6D001A5D-929A-4C11-9012-16CF874B71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324225"/>
          <a:ext cx="285750" cy="19878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16</xdr:row>
      <xdr:rowOff>190500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6097"/>
            </a:ext>
            <a:ext uri="{FF2B5EF4-FFF2-40B4-BE49-F238E27FC236}">
              <a16:creationId xmlns:a16="http://schemas.microsoft.com/office/drawing/2014/main" id="{7DCB8C27-F149-4A60-99D7-7E2DF01E5D5C}"/>
            </a:ext>
          </a:extLst>
        </xdr:cNvPr>
        <xdr:cNvSpPr/>
      </xdr:nvSpPr>
      <xdr:spPr>
        <a:xfrm>
          <a:off x="2476500" y="3307080"/>
          <a:ext cx="228600" cy="207645"/>
        </a:xfrm>
        <a:prstGeom prst="rect">
          <a:avLst/>
        </a:prstGeom>
      </xdr:spPr>
    </xdr:sp>
    <xdr:clientData/>
  </xdr:twoCellAnchor>
  <xdr:twoCellAnchor editAs="oneCell">
    <xdr:from>
      <xdr:col>2</xdr:col>
      <xdr:colOff>142875</xdr:colOff>
      <xdr:row>15</xdr:row>
      <xdr:rowOff>228600</xdr:rowOff>
    </xdr:from>
    <xdr:to>
      <xdr:col>2</xdr:col>
      <xdr:colOff>428625</xdr:colOff>
      <xdr:row>17</xdr:row>
      <xdr:rowOff>0</xdr:rowOff>
    </xdr:to>
    <xdr:pic>
      <xdr:nvPicPr>
        <xdr:cNvPr id="3" name="DataCompleted">
          <a:extLst>
            <a:ext uri="{FF2B5EF4-FFF2-40B4-BE49-F238E27FC236}">
              <a16:creationId xmlns:a16="http://schemas.microsoft.com/office/drawing/2014/main" id="{D59AF62F-EB8D-4414-9608-29BFC19394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324225"/>
          <a:ext cx="285750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16</xdr:row>
      <xdr:rowOff>190500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6097"/>
            </a:ext>
            <a:ext uri="{FF2B5EF4-FFF2-40B4-BE49-F238E27FC236}">
              <a16:creationId xmlns:a16="http://schemas.microsoft.com/office/drawing/2014/main" id="{9702710B-4EE8-490E-9002-72812AE0878C}"/>
            </a:ext>
          </a:extLst>
        </xdr:cNvPr>
        <xdr:cNvSpPr/>
      </xdr:nvSpPr>
      <xdr:spPr>
        <a:xfrm>
          <a:off x="2476500" y="3307080"/>
          <a:ext cx="228600" cy="207645"/>
        </a:xfrm>
        <a:prstGeom prst="rect">
          <a:avLst/>
        </a:prstGeom>
      </xdr:spPr>
    </xdr:sp>
    <xdr:clientData/>
  </xdr:twoCellAnchor>
  <xdr:twoCellAnchor editAs="oneCell">
    <xdr:from>
      <xdr:col>2</xdr:col>
      <xdr:colOff>142875</xdr:colOff>
      <xdr:row>15</xdr:row>
      <xdr:rowOff>228600</xdr:rowOff>
    </xdr:from>
    <xdr:to>
      <xdr:col>2</xdr:col>
      <xdr:colOff>428625</xdr:colOff>
      <xdr:row>17</xdr:row>
      <xdr:rowOff>0</xdr:rowOff>
    </xdr:to>
    <xdr:pic>
      <xdr:nvPicPr>
        <xdr:cNvPr id="3" name="DataCompleted">
          <a:extLst>
            <a:ext uri="{FF2B5EF4-FFF2-40B4-BE49-F238E27FC236}">
              <a16:creationId xmlns:a16="http://schemas.microsoft.com/office/drawing/2014/main" id="{92E729D8-15E5-4754-BDD2-3068BB0B77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324225"/>
          <a:ext cx="285750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16</xdr:row>
      <xdr:rowOff>190500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6097"/>
            </a:ext>
            <a:ext uri="{FF2B5EF4-FFF2-40B4-BE49-F238E27FC236}">
              <a16:creationId xmlns:a16="http://schemas.microsoft.com/office/drawing/2014/main" id="{A97050E2-38F8-41F8-B736-68F3BA309F08}"/>
            </a:ext>
          </a:extLst>
        </xdr:cNvPr>
        <xdr:cNvSpPr/>
      </xdr:nvSpPr>
      <xdr:spPr>
        <a:xfrm>
          <a:off x="2476500" y="3307080"/>
          <a:ext cx="228600" cy="207645"/>
        </a:xfrm>
        <a:prstGeom prst="rect">
          <a:avLst/>
        </a:prstGeom>
      </xdr:spPr>
    </xdr:sp>
    <xdr:clientData/>
  </xdr:twoCellAnchor>
  <xdr:twoCellAnchor editAs="oneCell">
    <xdr:from>
      <xdr:col>2</xdr:col>
      <xdr:colOff>142875</xdr:colOff>
      <xdr:row>15</xdr:row>
      <xdr:rowOff>228600</xdr:rowOff>
    </xdr:from>
    <xdr:to>
      <xdr:col>2</xdr:col>
      <xdr:colOff>428625</xdr:colOff>
      <xdr:row>17</xdr:row>
      <xdr:rowOff>0</xdr:rowOff>
    </xdr:to>
    <xdr:pic>
      <xdr:nvPicPr>
        <xdr:cNvPr id="3" name="DataCompleted">
          <a:extLst>
            <a:ext uri="{FF2B5EF4-FFF2-40B4-BE49-F238E27FC236}">
              <a16:creationId xmlns:a16="http://schemas.microsoft.com/office/drawing/2014/main" id="{29162C8C-5CD1-4630-946B-CC63EEA99E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324225"/>
          <a:ext cx="285750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T_SCH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me.utc.wa.gov/UTIL/TRANS/Waste%20Management%20-%20Filings/Ellensburg/Year%202009/TG-091472%20(GRC)/Staff/TG-091472%20WM%20of%20Ellensburg%20(Workpapers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db5_srv\SRC\User\REPORTS\STANDARD%20REPORTS\CUSTOM%20REPORTS\PL_ProjReviewV9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ronB\Local%20Settings\Temporary%20Internet%20Files\Content.Outlook\0NK9C84Y\AKWaste%2004%202012%20Invoi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LO\2012_Division\Accounting\xx%20Budgets%20xx\2013%20Budget\4105\4105%20Budget%20Workbook%2012_07_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me.utc.wa.gov/UTIL/TRANS/Chris%20M/Solid%20Waste/Waste%20Management/Sno-King/Year%202009/TG-091933/Staff/TG-091933%20WM%20of%20SnoKing%20GRC%20(Workpapers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ohnSpe\AppData\Local\Microsoft\Windows\Temporary%20Internet%20Files\Content.IE5\ELL0D4Y3\Proj-2184_2015-12_5728142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LeMay/2183-1%20Pacific%20Disp,%20Butlers%20Cove/Filing%20Possibly%202012/Filing/Audit/Final%20Outcome%208-14-2012/Pro%20Forma%20Pacific%20Disposal_Sta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dyca\My%20Documents\Tax_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2000%20Western%20Region%20Office/WUTC/WIP%20Files/LeMay%20Companies/2022/General%20Rate%20Filings/PCR%202022/2180_Price%20Out%20by%20Bill%20Area_June.21%20to%20May%2022%20-%20Deliverabl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ason/Rate%20Increase%201-1-2013/1%20Filing%2011-14-2012/Revised%202-21-2013/staff%20Mason%20Proforma%209-30-2012-Linked%20Cust%20Count%20Fix%2012-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_WASTE\SYS\ACCOUNT\CV2000\022000\2000_FEBRUARY_%20GL%20REC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estern%20Region\ControllerDir\JoeW\My%20Local%20Documents\OPF\Rate%20Reviews\2010\Clackamas%20County\Clackamas%20DCR%20WCI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_opf_joew\JoeW%20C%20Drive\Documents%20and%20Settings\joew\My%20Documents\OPF\Rate%20Reviews\2001\Gresham\Arrow\Gresham%202001%20DCR%202nd%20submi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file01\DistShares\Western%20Region\ControllerDir\KevinJ\South%20LeMay\Budget%20History\Budget%202019\2149%20Mason\2019%202149%20Budget%20Template%201.5%20pre%20division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utcfs2\grp_data\District\Joe_Garza\mark%20gregg\WUTC%20Files\Eastside\Eastside%20Rate%20Case%202006\Eastside%20RC%202006%20Filing%20Docs\Proforma%20Eastside%202005%204.17.06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cnx.org\Regions\Western%20Region\2000%20Western%20Region%20Office\WUTC\WUTC-LeMay\General%20Rate%20Filing\Lewis%20Filed%203-15-2024\Audit\Final\Staff%20TV%20workbook%20240180%20City%20Sanitary%20Joes%20White%20Pass%20(C)%20Pricing%2020240417.xlsx" TargetMode="External"/><Relationship Id="rId1" Type="http://schemas.openxmlformats.org/officeDocument/2006/relationships/externalLinkPath" Target="/Western%20Region/2000%20Western%20Region%20Office/WUTC/WUTC-LeMay/General%20Rate%20Filing/Lewis%20Filed%203-15-2024/Audit/Final/Staff%20TV%20workbook%20240180%20City%20Sanitary%20Joes%20White%20Pass%20(C)%20Pricing%20202404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effHons\AppData\Local\Interject\FileCache\YYYY-MM_DDDD_BSReconBook_v2.0.3_Blank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inf05\DistShares\WCNX%20Stuff\Excel\Financials\Excel%20Financials\ExcelFinanci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4%20Planning%20Requirements\5-20%20Submission\6%20Report%20Requirements\Reports%20Master%20List%20and%20Mockups%20V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cy\Tracy%20Docs\WINDOWS\DESKTOP\My%20Briefcase\PLT_ACT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ControllerDir/Brent_Blair_Kortney/PO%20Report%20by%20Division/PO%20Report_v3b%202013-08-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disnap\accounting\MODEST~1\203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Vashon\Rate%20Incr%201-1-2012\Vashon%20Pro%20Form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eports\Budget%20Reports\2011%20Budget%20Report%20Book%20v2J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WUTC/WIP%20Files/LeMay%20Companies/2018/Budget%20Pro%20formas/PCR%20Pro%20Forma%207.31.18/PCR%20Pro%20froma%207-31-2018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2000%20Western%20Region%20Office/WUTC/WIP%20Files/LeMay%20Companies/2024/Lewis/General%20Rate%20Filing/Disposal%20Breakdown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ts02\Clients\clients\H&amp;UClientFiles\Resource%20Tracy\APES%20I\2007%20Annual%20Reports%20-%20APES\Workpapers\Trial%20Balance%202007%20CAM%20R-5-Annual%20Repr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ControllerDir/JoeW/My%20Local%20Documents/OPF/Rate%20Reviews/2016/2016%20OPF%20Master%20DCR%20V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2000%20Western%20Region%20Office/ControllerDir/AaronB/Alaska/RCA/2023/General%20Rate%20Filing/2453/2453%20COSS%20Working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me.utc.wa.gov/Documents%20and%20Settings/cmickels/Desktop/Example%20of%20WM%20of%20SnoKing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elle\michellec\My%20Documents\United%20Utilities\Revenue%20Requirements\United\e-mail%20to%20Bonni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WUTC/WUTC-Murrey%20%202111/General%20Rate%20Filings/Rate%20Filing%201-1-2019/Fuel%20Sta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db5_srv\SRC\User\REPORTS\STANDARD%20REPORTS\CUSTOM%20REPORTS\PL_RollingTrend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Files\EugeneL\POLogAccrualReport_v2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share\sacshare\Data_Automation\DMS\RouteManagerReports\RM_MM001_Query_v4c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inf06\sacshare\Data_Automation\DMS\RouteManagerReports\RM_MM001_Query_v4c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ffler\AppData\Local\Interject\FileCache\Budget%20Capital%20Input%20v2.16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WUTC/WIP%20Files/2010%20Clark%20County-%202009%20Vancouver/12.31.2010%20Test%20Year/Proforma%20Clark%20County%20101231%20Filing-Draft-FINAL%20VERSION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celFinancials_v3b1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nual%20Reports\2180%20LeMay\2009\LeMay%20Annual%20Report%20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stern%20Region\WUTC\WIP%20Files\LeMay%20Companies\2014\Annual%20Report\District%20Schedules\North%20LeMay\N%20LeMay%20Annual%20Report%202013%20-%20with%20Heather's%20Not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stern%20Region\ControllerDir\JoeW\Budgets\Budgets%202009\2012\2009%202012%20Revi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RC%20Reports\SRC%20Format\Bonus%20Schedule\PNWR%20SRC%20Bonus%20Schedule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DB5_SRV\SRC\User\REPORTS\2009%20BUDGET%20REPORTS\2009%20Budget%20Report%20without%20insura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TIL\Migrated-TRANS\Company%20Filings%20-%20Solid%20Waste\Pullman%20Disposal%20Service,%20Inc.%20%20(G-42)\Rate%20Case\TG-130759%20GRC\Staff%20workpapers\STAFF%20TG-130759%20PDS_rop_Dec_1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nealjohnson\Downloads\SolidWaste-NonPublic%20LG%202018%20V5.0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May\Master%20Truck%20Schedule\South_LeMay%20Master%20Truck%20Schedule-Share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ControllerDir/MistyC/Current/DISTRICTS/2012%20-%20Cascade/Special%20Projects/Rate%20Reviews/2011/0912%202012%20Fixed%20Assets%20Depreciat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ffler\AppData\Local\Interject\FileCache\Budget%20Capital%20Input%20v2.20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111\share\frsx\D0536y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celFinancials_v3c1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63C24E\staff%20WCI%20Pro%20forma%2010-11-2013%20cos%20from%20meliss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me.utc.wa.gov/UTIL/TRANS/Chris%20M/Solid%20Waste/San%20Juan%20Sanitation%20Co/Year%202010/Staff/W_COMP/Rosario/2007%20rate%20case/Worksheets/070944%20Loan%20Recalcul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server\new%20share\windows\TEMP\Denver%20AWI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C%20Reports\SRC%20Format\Bonus%20Schedule\PNWR%20SRC%20Bonus%20Schedule%20200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ern%20Region/WUTC/WIP%20Files/2149%20Mason%20County/2021/General%20Rate%20Filing/.Mason%20Pro%20forma11.30.20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dget.wm.com/plan07/F2_24_Month_Condensed_Ops_PnL_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db5_srv\SRC\User\REPORTS\STANDARD%20REPORTS\CUSTOM%20REPORTS\PL_RollingTrend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ns-2674%20Ke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RC%20Reports/SRC%20Format/Bonus%20Schedule/PNWR%20SRC%20Bonus%20Schedu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5 Plt Mtr (Adj)"/>
      <sheetName val="95 Rsrv Mtr (UnAdj)"/>
      <sheetName val="94 Rsrv Mtr (UnAdj)"/>
      <sheetName val="CWIP (Adj)"/>
      <sheetName val="95 IP Rtrmts Tested"/>
      <sheetName val="95 OP Rtrmts Tested"/>
      <sheetName val="95 Plt Mtr (UnAdj)"/>
      <sheetName val="95 Rsrv Mtr (Adj)"/>
      <sheetName val="CWIP (UnAdj)"/>
    </sheetNames>
    <sheetDataSet>
      <sheetData sheetId="0">
        <row r="1">
          <cell r="A1" t="str">
            <v>Anchorage Telephone Utility</v>
          </cell>
        </row>
        <row r="2">
          <cell r="A2" t="str">
            <v>Plant Account Master Schedule</v>
          </cell>
        </row>
        <row r="3">
          <cell r="A3" t="str">
            <v>Year Ending December 31, 1995</v>
          </cell>
        </row>
        <row r="4">
          <cell r="A4" t="str">
            <v>(This schedule has been tied to the G/L Sum 95 YTD report)</v>
          </cell>
        </row>
        <row r="6">
          <cell r="A6" t="str">
            <v>Description</v>
          </cell>
          <cell r="B6" t="str">
            <v>Land</v>
          </cell>
          <cell r="C6" t="str">
            <v>Passenger</v>
          </cell>
          <cell r="D6" t="str">
            <v>Light Trucks</v>
          </cell>
          <cell r="E6" t="str">
            <v>Trucks</v>
          </cell>
          <cell r="F6" t="str">
            <v>Spec. Prpse</v>
          </cell>
          <cell r="G6" t="str">
            <v>Gar. Wk</v>
          </cell>
          <cell r="H6" t="str">
            <v>Other</v>
          </cell>
          <cell r="I6" t="str">
            <v>Small Value</v>
          </cell>
          <cell r="J6" t="str">
            <v>Buildings</v>
          </cell>
          <cell r="K6" t="str">
            <v>Furniture</v>
          </cell>
          <cell r="L6" t="str">
            <v>Small Value</v>
          </cell>
          <cell r="M6" t="str">
            <v>Off. Supp</v>
          </cell>
          <cell r="N6" t="str">
            <v>Co.Comm</v>
          </cell>
          <cell r="O6" t="str">
            <v>Co.Comm</v>
          </cell>
          <cell r="P6" t="str">
            <v>Co.Comm</v>
          </cell>
          <cell r="Q6" t="str">
            <v>Co.Comm</v>
          </cell>
          <cell r="R6" t="str">
            <v>Co.Comm</v>
          </cell>
          <cell r="S6" t="str">
            <v>Small Value</v>
          </cell>
          <cell r="T6" t="str">
            <v>Gen Prps</v>
          </cell>
          <cell r="U6" t="str">
            <v>Digital</v>
          </cell>
          <cell r="V6" t="str">
            <v>Small Value</v>
          </cell>
          <cell r="W6" t="str">
            <v>Operator</v>
          </cell>
          <cell r="X6" t="str">
            <v>Radio</v>
          </cell>
          <cell r="Y6" t="str">
            <v>Circuit</v>
          </cell>
          <cell r="Z6" t="str">
            <v>Payphone</v>
          </cell>
          <cell r="AA6" t="str">
            <v>Poles</v>
          </cell>
          <cell r="AB6" t="str">
            <v>Aerial</v>
          </cell>
          <cell r="AC6" t="str">
            <v>Aerial</v>
          </cell>
          <cell r="AD6" t="str">
            <v>Undrgrnd</v>
          </cell>
          <cell r="AE6" t="str">
            <v>Undrgrnd</v>
          </cell>
          <cell r="AF6" t="str">
            <v>Buried</v>
          </cell>
          <cell r="AG6" t="str">
            <v>Buried</v>
          </cell>
          <cell r="AH6" t="str">
            <v>Intrabldg</v>
          </cell>
          <cell r="AI6" t="str">
            <v>Intrabldg</v>
          </cell>
          <cell r="AJ6" t="str">
            <v>Aerial</v>
          </cell>
          <cell r="AK6" t="str">
            <v>Conduit</v>
          </cell>
          <cell r="AL6" t="str">
            <v>Leasehold</v>
          </cell>
          <cell r="AM6" t="str">
            <v>TOTAL</v>
          </cell>
        </row>
        <row r="7">
          <cell r="C7" t="str">
            <v>Cars</v>
          </cell>
          <cell r="F7" t="str">
            <v>Vehicles</v>
          </cell>
          <cell r="G7" t="str">
            <v>Eqpt</v>
          </cell>
          <cell r="H7" t="str">
            <v>Wk Eqpt</v>
          </cell>
          <cell r="I7" t="str">
            <v>Items</v>
          </cell>
          <cell r="L7" t="str">
            <v>Items</v>
          </cell>
          <cell r="M7" t="str">
            <v>Eqpt</v>
          </cell>
          <cell r="N7" t="str">
            <v>Data Eqpt</v>
          </cell>
          <cell r="O7" t="str">
            <v>PBX Eqpt</v>
          </cell>
          <cell r="P7" t="str">
            <v>St.App. Eqpt</v>
          </cell>
          <cell r="Q7" t="str">
            <v>Radio Eqpt</v>
          </cell>
          <cell r="R7" t="str">
            <v>Codex Eqpt</v>
          </cell>
          <cell r="S7" t="str">
            <v>Items</v>
          </cell>
          <cell r="T7" t="str">
            <v>Computer</v>
          </cell>
          <cell r="U7" t="str">
            <v>Switch</v>
          </cell>
          <cell r="V7" t="str">
            <v>Items</v>
          </cell>
          <cell r="W7" t="str">
            <v>System</v>
          </cell>
          <cell r="X7" t="str">
            <v>System</v>
          </cell>
          <cell r="Y7" t="str">
            <v>Eqpt</v>
          </cell>
          <cell r="AB7" t="str">
            <v>Cable</v>
          </cell>
          <cell r="AC7" t="str">
            <v>Cable</v>
          </cell>
          <cell r="AD7" t="str">
            <v>cable</v>
          </cell>
          <cell r="AE7" t="str">
            <v>cable</v>
          </cell>
          <cell r="AF7" t="str">
            <v>Cable</v>
          </cell>
          <cell r="AG7" t="str">
            <v>Cable</v>
          </cell>
          <cell r="AH7" t="str">
            <v>Cable</v>
          </cell>
          <cell r="AI7" t="str">
            <v>Cable</v>
          </cell>
          <cell r="AJ7" t="str">
            <v>Wire</v>
          </cell>
          <cell r="AK7" t="str">
            <v>Sys</v>
          </cell>
          <cell r="AL7" t="str">
            <v>Improvements</v>
          </cell>
        </row>
        <row r="8">
          <cell r="A8" t="str">
            <v>Account</v>
          </cell>
          <cell r="B8" t="str">
            <v>2111</v>
          </cell>
          <cell r="C8" t="str">
            <v>2112-100</v>
          </cell>
          <cell r="D8" t="str">
            <v>2112-200</v>
          </cell>
          <cell r="E8" t="str">
            <v>2112-300</v>
          </cell>
          <cell r="F8" t="str">
            <v>2114</v>
          </cell>
          <cell r="G8" t="str">
            <v>2115</v>
          </cell>
          <cell r="H8" t="str">
            <v>2116</v>
          </cell>
          <cell r="I8" t="str">
            <v>2116-600</v>
          </cell>
          <cell r="J8" t="str">
            <v>2121</v>
          </cell>
          <cell r="K8" t="str">
            <v>2122</v>
          </cell>
          <cell r="L8" t="str">
            <v>2122-600</v>
          </cell>
          <cell r="M8" t="str">
            <v>2123-100</v>
          </cell>
          <cell r="N8" t="str">
            <v>2123-210</v>
          </cell>
          <cell r="O8" t="str">
            <v>2123-220</v>
          </cell>
          <cell r="P8" t="str">
            <v>2123-230</v>
          </cell>
          <cell r="Q8" t="str">
            <v>2123-240</v>
          </cell>
          <cell r="R8" t="str">
            <v>2123-250</v>
          </cell>
          <cell r="S8" t="str">
            <v>2123-600</v>
          </cell>
          <cell r="T8" t="str">
            <v>2124</v>
          </cell>
          <cell r="U8" t="str">
            <v>2212</v>
          </cell>
          <cell r="V8" t="str">
            <v>2212-600</v>
          </cell>
          <cell r="W8" t="str">
            <v>2220</v>
          </cell>
          <cell r="X8" t="str">
            <v>2231</v>
          </cell>
          <cell r="Y8" t="str">
            <v>2232</v>
          </cell>
          <cell r="Z8" t="str">
            <v>2351</v>
          </cell>
          <cell r="AA8" t="str">
            <v>2411</v>
          </cell>
          <cell r="AB8" t="str">
            <v>2421-300</v>
          </cell>
          <cell r="AC8" t="str">
            <v>2421-400</v>
          </cell>
          <cell r="AD8" t="str">
            <v>2422-300</v>
          </cell>
          <cell r="AE8" t="str">
            <v>2422-400</v>
          </cell>
          <cell r="AF8" t="str">
            <v>2423-300</v>
          </cell>
          <cell r="AG8" t="str">
            <v>2423-400</v>
          </cell>
          <cell r="AH8" t="str">
            <v>2426-300</v>
          </cell>
          <cell r="AI8" t="str">
            <v>2426-400</v>
          </cell>
          <cell r="AJ8" t="str">
            <v>2431</v>
          </cell>
          <cell r="AK8" t="str">
            <v>2441</v>
          </cell>
          <cell r="AL8" t="str">
            <v>2682</v>
          </cell>
        </row>
        <row r="10">
          <cell r="A10" t="str">
            <v>Beginning Balance 1995</v>
          </cell>
          <cell r="B10">
            <v>5035284</v>
          </cell>
          <cell r="C10">
            <v>873881</v>
          </cell>
          <cell r="D10">
            <v>2179229</v>
          </cell>
          <cell r="E10">
            <v>1508182</v>
          </cell>
          <cell r="F10">
            <v>26257</v>
          </cell>
          <cell r="G10">
            <v>183770</v>
          </cell>
          <cell r="H10">
            <v>2857927</v>
          </cell>
          <cell r="I10">
            <v>132479</v>
          </cell>
          <cell r="J10">
            <v>42882483</v>
          </cell>
          <cell r="K10">
            <v>1423455</v>
          </cell>
          <cell r="L10">
            <v>520243</v>
          </cell>
          <cell r="M10">
            <v>887631</v>
          </cell>
          <cell r="N10">
            <v>423430</v>
          </cell>
          <cell r="O10">
            <v>0</v>
          </cell>
          <cell r="P10">
            <v>1168224</v>
          </cell>
          <cell r="Q10">
            <v>276642</v>
          </cell>
          <cell r="R10">
            <v>153185</v>
          </cell>
          <cell r="S10">
            <v>44681</v>
          </cell>
          <cell r="T10">
            <v>11055013</v>
          </cell>
          <cell r="U10">
            <v>83756318</v>
          </cell>
          <cell r="V10">
            <v>415223</v>
          </cell>
          <cell r="W10">
            <v>3616016</v>
          </cell>
          <cell r="X10">
            <v>596204</v>
          </cell>
          <cell r="Y10">
            <v>25262238</v>
          </cell>
          <cell r="Z10">
            <v>3435151</v>
          </cell>
          <cell r="AA10">
            <v>1625473</v>
          </cell>
          <cell r="AB10">
            <v>365104</v>
          </cell>
          <cell r="AC10">
            <v>27200396</v>
          </cell>
          <cell r="AD10">
            <v>2953508</v>
          </cell>
          <cell r="AE10">
            <v>22836078</v>
          </cell>
          <cell r="AF10">
            <v>2222425</v>
          </cell>
          <cell r="AG10">
            <v>68682190</v>
          </cell>
          <cell r="AH10">
            <v>212675</v>
          </cell>
          <cell r="AI10">
            <v>2271179</v>
          </cell>
          <cell r="AJ10">
            <v>91204</v>
          </cell>
          <cell r="AK10">
            <v>13862746</v>
          </cell>
          <cell r="AL10">
            <v>33988</v>
          </cell>
          <cell r="AM10">
            <v>331070112</v>
          </cell>
        </row>
        <row r="11">
          <cell r="A11" t="str">
            <v xml:space="preserve">  Plus:  Prior Year Work Order Adj.</v>
          </cell>
          <cell r="U11">
            <v>812328</v>
          </cell>
          <cell r="Y11">
            <v>353650</v>
          </cell>
          <cell r="AA11">
            <v>0</v>
          </cell>
          <cell r="AC11">
            <v>-41523</v>
          </cell>
          <cell r="AD11">
            <v>104648</v>
          </cell>
          <cell r="AE11">
            <v>-59633</v>
          </cell>
          <cell r="AF11">
            <v>0</v>
          </cell>
          <cell r="AG11">
            <v>61587</v>
          </cell>
          <cell r="AH11">
            <v>0</v>
          </cell>
          <cell r="AI11">
            <v>904</v>
          </cell>
          <cell r="AK11">
            <v>141225</v>
          </cell>
        </row>
        <row r="12">
          <cell r="A12" t="str">
            <v>Adjusted Beginning Balance 1995</v>
          </cell>
          <cell r="B12">
            <v>5035284</v>
          </cell>
          <cell r="C12">
            <v>873881</v>
          </cell>
          <cell r="D12">
            <v>2179229</v>
          </cell>
          <cell r="E12">
            <v>1508182</v>
          </cell>
          <cell r="F12">
            <v>26257</v>
          </cell>
          <cell r="G12">
            <v>183770</v>
          </cell>
          <cell r="H12">
            <v>2857927</v>
          </cell>
          <cell r="I12">
            <v>132479</v>
          </cell>
          <cell r="J12">
            <v>42882483</v>
          </cell>
          <cell r="K12">
            <v>1423455</v>
          </cell>
          <cell r="L12">
            <v>520243</v>
          </cell>
          <cell r="M12">
            <v>887631</v>
          </cell>
          <cell r="N12">
            <v>423430</v>
          </cell>
          <cell r="O12">
            <v>0</v>
          </cell>
          <cell r="P12">
            <v>1168224</v>
          </cell>
          <cell r="Q12">
            <v>276642</v>
          </cell>
          <cell r="R12">
            <v>153185</v>
          </cell>
          <cell r="S12">
            <v>44681</v>
          </cell>
          <cell r="T12">
            <v>11055013</v>
          </cell>
          <cell r="U12">
            <v>84568646</v>
          </cell>
          <cell r="V12">
            <v>415223</v>
          </cell>
          <cell r="W12">
            <v>3616016</v>
          </cell>
          <cell r="X12">
            <v>596204</v>
          </cell>
          <cell r="Y12">
            <v>25615888</v>
          </cell>
          <cell r="Z12">
            <v>3435151</v>
          </cell>
          <cell r="AA12">
            <v>1625473</v>
          </cell>
          <cell r="AB12">
            <v>365104</v>
          </cell>
          <cell r="AC12">
            <v>27158873</v>
          </cell>
          <cell r="AD12">
            <v>3058156</v>
          </cell>
          <cell r="AE12">
            <v>22776445</v>
          </cell>
          <cell r="AF12">
            <v>2222425</v>
          </cell>
          <cell r="AG12">
            <v>68743777</v>
          </cell>
          <cell r="AH12">
            <v>212675</v>
          </cell>
          <cell r="AI12">
            <v>2272083</v>
          </cell>
          <cell r="AJ12">
            <v>91204</v>
          </cell>
          <cell r="AK12">
            <v>14003971</v>
          </cell>
          <cell r="AL12">
            <v>33988</v>
          </cell>
          <cell r="AM12">
            <v>332443298</v>
          </cell>
        </row>
        <row r="13">
          <cell r="A13" t="str">
            <v xml:space="preserve">January </v>
          </cell>
        </row>
        <row r="14">
          <cell r="A14" t="str">
            <v xml:space="preserve">   Additions</v>
          </cell>
          <cell r="AM14">
            <v>0</v>
          </cell>
        </row>
        <row r="16">
          <cell r="A16" t="str">
            <v xml:space="preserve">   Retirements</v>
          </cell>
          <cell r="AM16">
            <v>0</v>
          </cell>
        </row>
        <row r="18">
          <cell r="A18" t="str">
            <v xml:space="preserve">   Adjustments</v>
          </cell>
          <cell r="AM18">
            <v>0</v>
          </cell>
        </row>
        <row r="20">
          <cell r="A20" t="str">
            <v xml:space="preserve">   Work Order/Retirement Adjustments</v>
          </cell>
          <cell r="U20">
            <v>55027</v>
          </cell>
          <cell r="Y20">
            <v>148216</v>
          </cell>
          <cell r="AA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39098</v>
          </cell>
          <cell r="AM20">
            <v>242341</v>
          </cell>
        </row>
        <row r="21">
          <cell r="A21" t="str">
            <v>January Balance</v>
          </cell>
          <cell r="B21">
            <v>5035284</v>
          </cell>
          <cell r="C21">
            <v>873881</v>
          </cell>
          <cell r="D21">
            <v>2179229</v>
          </cell>
          <cell r="E21">
            <v>1508182</v>
          </cell>
          <cell r="F21">
            <v>26257</v>
          </cell>
          <cell r="G21">
            <v>183770</v>
          </cell>
          <cell r="H21">
            <v>2857927</v>
          </cell>
          <cell r="I21">
            <v>132479</v>
          </cell>
          <cell r="J21">
            <v>42882483</v>
          </cell>
          <cell r="K21">
            <v>1423455</v>
          </cell>
          <cell r="L21">
            <v>520243</v>
          </cell>
          <cell r="M21">
            <v>887631</v>
          </cell>
          <cell r="N21">
            <v>423430</v>
          </cell>
          <cell r="O21">
            <v>0</v>
          </cell>
          <cell r="P21">
            <v>1168224</v>
          </cell>
          <cell r="Q21">
            <v>276642</v>
          </cell>
          <cell r="R21">
            <v>153185</v>
          </cell>
          <cell r="S21">
            <v>44681</v>
          </cell>
          <cell r="T21">
            <v>11055013</v>
          </cell>
          <cell r="U21">
            <v>84623673</v>
          </cell>
          <cell r="V21">
            <v>415223</v>
          </cell>
          <cell r="W21">
            <v>3616016</v>
          </cell>
          <cell r="X21">
            <v>596204</v>
          </cell>
          <cell r="Y21">
            <v>25764104</v>
          </cell>
          <cell r="Z21">
            <v>3435151</v>
          </cell>
          <cell r="AA21">
            <v>1625473</v>
          </cell>
          <cell r="AB21">
            <v>365104</v>
          </cell>
          <cell r="AC21">
            <v>27158873</v>
          </cell>
          <cell r="AD21">
            <v>3058156</v>
          </cell>
          <cell r="AE21">
            <v>22776445</v>
          </cell>
          <cell r="AF21">
            <v>2222425</v>
          </cell>
          <cell r="AG21">
            <v>68743777</v>
          </cell>
          <cell r="AH21">
            <v>212675</v>
          </cell>
          <cell r="AI21">
            <v>2272083</v>
          </cell>
          <cell r="AJ21">
            <v>91204</v>
          </cell>
          <cell r="AK21">
            <v>14043069</v>
          </cell>
          <cell r="AL21">
            <v>33988</v>
          </cell>
          <cell r="AM21">
            <v>332685639</v>
          </cell>
        </row>
        <row r="23">
          <cell r="A23" t="str">
            <v>February</v>
          </cell>
        </row>
        <row r="24">
          <cell r="A24" t="str">
            <v xml:space="preserve">   Additions</v>
          </cell>
          <cell r="AM24">
            <v>0</v>
          </cell>
        </row>
        <row r="26">
          <cell r="A26" t="str">
            <v xml:space="preserve">   Retirements</v>
          </cell>
          <cell r="AM26">
            <v>0</v>
          </cell>
        </row>
        <row r="28">
          <cell r="A28" t="str">
            <v xml:space="preserve">   Adjustments</v>
          </cell>
          <cell r="AM28">
            <v>0</v>
          </cell>
        </row>
        <row r="30">
          <cell r="A30" t="str">
            <v xml:space="preserve">   Work Order/Retirement Adjustments</v>
          </cell>
          <cell r="U30">
            <v>0</v>
          </cell>
          <cell r="Y30">
            <v>143690</v>
          </cell>
          <cell r="AA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</v>
          </cell>
          <cell r="AM30">
            <v>143690</v>
          </cell>
        </row>
        <row r="31">
          <cell r="A31" t="str">
            <v>February Balance</v>
          </cell>
          <cell r="B31">
            <v>5035284</v>
          </cell>
          <cell r="C31">
            <v>873881</v>
          </cell>
          <cell r="D31">
            <v>2179229</v>
          </cell>
          <cell r="E31">
            <v>1508182</v>
          </cell>
          <cell r="F31">
            <v>26257</v>
          </cell>
          <cell r="G31">
            <v>183770</v>
          </cell>
          <cell r="H31">
            <v>2857927</v>
          </cell>
          <cell r="I31">
            <v>132479</v>
          </cell>
          <cell r="J31">
            <v>42882483</v>
          </cell>
          <cell r="K31">
            <v>1423455</v>
          </cell>
          <cell r="L31">
            <v>520243</v>
          </cell>
          <cell r="M31">
            <v>887631</v>
          </cell>
          <cell r="N31">
            <v>423430</v>
          </cell>
          <cell r="O31">
            <v>0</v>
          </cell>
          <cell r="P31">
            <v>1168224</v>
          </cell>
          <cell r="Q31">
            <v>276642</v>
          </cell>
          <cell r="R31">
            <v>153185</v>
          </cell>
          <cell r="S31">
            <v>44681</v>
          </cell>
          <cell r="T31">
            <v>11055013</v>
          </cell>
          <cell r="U31">
            <v>84623673</v>
          </cell>
          <cell r="V31">
            <v>415223</v>
          </cell>
          <cell r="W31">
            <v>3616016</v>
          </cell>
          <cell r="X31">
            <v>596204</v>
          </cell>
          <cell r="Y31">
            <v>25907794</v>
          </cell>
          <cell r="Z31">
            <v>3435151</v>
          </cell>
          <cell r="AA31">
            <v>1625473</v>
          </cell>
          <cell r="AB31">
            <v>365104</v>
          </cell>
          <cell r="AC31">
            <v>27158873</v>
          </cell>
          <cell r="AD31">
            <v>3058156</v>
          </cell>
          <cell r="AE31">
            <v>22776445</v>
          </cell>
          <cell r="AF31">
            <v>2222425</v>
          </cell>
          <cell r="AG31">
            <v>68743777</v>
          </cell>
          <cell r="AH31">
            <v>212675</v>
          </cell>
          <cell r="AI31">
            <v>2272083</v>
          </cell>
          <cell r="AJ31">
            <v>91204</v>
          </cell>
          <cell r="AK31">
            <v>14043069</v>
          </cell>
          <cell r="AL31">
            <v>33988</v>
          </cell>
          <cell r="AM31">
            <v>332829329</v>
          </cell>
        </row>
        <row r="33">
          <cell r="A33" t="str">
            <v>March</v>
          </cell>
        </row>
        <row r="34">
          <cell r="A34" t="str">
            <v xml:space="preserve">   Additions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33663</v>
          </cell>
          <cell r="J34">
            <v>0</v>
          </cell>
          <cell r="K34">
            <v>-838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-2071</v>
          </cell>
          <cell r="U34">
            <v>0</v>
          </cell>
          <cell r="W34">
            <v>0</v>
          </cell>
          <cell r="X34">
            <v>0</v>
          </cell>
          <cell r="Y34">
            <v>255589</v>
          </cell>
          <cell r="Z34">
            <v>0</v>
          </cell>
          <cell r="AM34">
            <v>286343</v>
          </cell>
        </row>
        <row r="36">
          <cell r="A36" t="str">
            <v xml:space="preserve">   Retirements</v>
          </cell>
          <cell r="C36">
            <v>21355</v>
          </cell>
          <cell r="U36">
            <v>79791</v>
          </cell>
          <cell r="Y36">
            <v>183025</v>
          </cell>
          <cell r="AM36">
            <v>284171</v>
          </cell>
        </row>
        <row r="38">
          <cell r="A38" t="str">
            <v xml:space="preserve">   Adjustments</v>
          </cell>
          <cell r="G38">
            <v>3334</v>
          </cell>
          <cell r="H38">
            <v>-3334</v>
          </cell>
          <cell r="AM38">
            <v>0</v>
          </cell>
        </row>
        <row r="40">
          <cell r="A40" t="str">
            <v xml:space="preserve">   Work Order/Retirement Adjustments</v>
          </cell>
          <cell r="U40">
            <v>5806</v>
          </cell>
          <cell r="Y40">
            <v>-28092</v>
          </cell>
          <cell r="AA40">
            <v>-2588</v>
          </cell>
          <cell r="AC40">
            <v>82768</v>
          </cell>
          <cell r="AD40">
            <v>0</v>
          </cell>
          <cell r="AE40">
            <v>22311</v>
          </cell>
          <cell r="AF40">
            <v>0</v>
          </cell>
          <cell r="AG40">
            <v>220686</v>
          </cell>
          <cell r="AH40">
            <v>0</v>
          </cell>
          <cell r="AI40">
            <v>0</v>
          </cell>
          <cell r="AK40">
            <v>0</v>
          </cell>
          <cell r="AM40">
            <v>300891</v>
          </cell>
        </row>
        <row r="41">
          <cell r="A41" t="str">
            <v>March Balance</v>
          </cell>
          <cell r="B41">
            <v>5035284</v>
          </cell>
          <cell r="C41">
            <v>852526</v>
          </cell>
          <cell r="D41">
            <v>2179229</v>
          </cell>
          <cell r="E41">
            <v>1508182</v>
          </cell>
          <cell r="F41">
            <v>26257</v>
          </cell>
          <cell r="G41">
            <v>187104</v>
          </cell>
          <cell r="H41">
            <v>2888256</v>
          </cell>
          <cell r="I41">
            <v>132479</v>
          </cell>
          <cell r="J41">
            <v>42882483</v>
          </cell>
          <cell r="K41">
            <v>1422617</v>
          </cell>
          <cell r="L41">
            <v>520243</v>
          </cell>
          <cell r="M41">
            <v>887631</v>
          </cell>
          <cell r="N41">
            <v>423430</v>
          </cell>
          <cell r="O41">
            <v>0</v>
          </cell>
          <cell r="P41">
            <v>1168224</v>
          </cell>
          <cell r="Q41">
            <v>276642</v>
          </cell>
          <cell r="R41">
            <v>153185</v>
          </cell>
          <cell r="S41">
            <v>44681</v>
          </cell>
          <cell r="T41">
            <v>11052942</v>
          </cell>
          <cell r="U41">
            <v>84549688</v>
          </cell>
          <cell r="V41">
            <v>415223</v>
          </cell>
          <cell r="W41">
            <v>3616016</v>
          </cell>
          <cell r="X41">
            <v>596204</v>
          </cell>
          <cell r="Y41">
            <v>25952266</v>
          </cell>
          <cell r="Z41">
            <v>3435151</v>
          </cell>
          <cell r="AA41">
            <v>1622885</v>
          </cell>
          <cell r="AB41">
            <v>365104</v>
          </cell>
          <cell r="AC41">
            <v>27241641</v>
          </cell>
          <cell r="AD41">
            <v>3058156</v>
          </cell>
          <cell r="AE41">
            <v>22798756</v>
          </cell>
          <cell r="AF41">
            <v>2222425</v>
          </cell>
          <cell r="AG41">
            <v>68964463</v>
          </cell>
          <cell r="AH41">
            <v>212675</v>
          </cell>
          <cell r="AI41">
            <v>2272083</v>
          </cell>
          <cell r="AJ41">
            <v>91204</v>
          </cell>
          <cell r="AK41">
            <v>14043069</v>
          </cell>
          <cell r="AL41">
            <v>33988</v>
          </cell>
          <cell r="AM41">
            <v>333132392</v>
          </cell>
        </row>
        <row r="43">
          <cell r="A43" t="str">
            <v>April</v>
          </cell>
        </row>
        <row r="44">
          <cell r="A44" t="str">
            <v xml:space="preserve">   Additions</v>
          </cell>
          <cell r="H44">
            <v>1880</v>
          </cell>
          <cell r="J44">
            <v>52439</v>
          </cell>
          <cell r="P44">
            <v>2800</v>
          </cell>
          <cell r="Q44">
            <v>8950</v>
          </cell>
          <cell r="T44">
            <v>86664</v>
          </cell>
          <cell r="U44">
            <v>4975</v>
          </cell>
          <cell r="Y44">
            <v>3700</v>
          </cell>
          <cell r="AM44">
            <v>161408</v>
          </cell>
        </row>
        <row r="46">
          <cell r="A46" t="str">
            <v xml:space="preserve">   Retirements</v>
          </cell>
          <cell r="K46">
            <v>1707</v>
          </cell>
          <cell r="T46">
            <v>3721</v>
          </cell>
          <cell r="U46">
            <v>1231</v>
          </cell>
          <cell r="W46">
            <v>48868</v>
          </cell>
          <cell r="Y46">
            <v>642890</v>
          </cell>
          <cell r="AM46">
            <v>698417</v>
          </cell>
        </row>
        <row r="48">
          <cell r="A48" t="str">
            <v xml:space="preserve">   Adjustments</v>
          </cell>
          <cell r="H48">
            <v>-105387</v>
          </cell>
          <cell r="U48">
            <v>11534</v>
          </cell>
          <cell r="Y48">
            <v>93853</v>
          </cell>
          <cell r="AM48">
            <v>0</v>
          </cell>
        </row>
        <row r="50">
          <cell r="A50" t="str">
            <v xml:space="preserve">   Work Order/Retirement Adjustments</v>
          </cell>
          <cell r="U50">
            <v>10000</v>
          </cell>
          <cell r="Y50">
            <v>-3602</v>
          </cell>
          <cell r="AA50">
            <v>0</v>
          </cell>
          <cell r="AC50">
            <v>0</v>
          </cell>
          <cell r="AD50">
            <v>5513</v>
          </cell>
          <cell r="AE50">
            <v>224840</v>
          </cell>
          <cell r="AF50">
            <v>0</v>
          </cell>
          <cell r="AG50">
            <v>0</v>
          </cell>
          <cell r="AH50">
            <v>28</v>
          </cell>
          <cell r="AI50">
            <v>14546</v>
          </cell>
          <cell r="AK50">
            <v>0</v>
          </cell>
          <cell r="AM50">
            <v>251325</v>
          </cell>
        </row>
        <row r="51">
          <cell r="A51" t="str">
            <v>April Balance</v>
          </cell>
          <cell r="B51">
            <v>5035284</v>
          </cell>
          <cell r="C51">
            <v>852526</v>
          </cell>
          <cell r="D51">
            <v>2179229</v>
          </cell>
          <cell r="E51">
            <v>1508182</v>
          </cell>
          <cell r="F51">
            <v>26257</v>
          </cell>
          <cell r="G51">
            <v>187104</v>
          </cell>
          <cell r="H51">
            <v>2784749</v>
          </cell>
          <cell r="I51">
            <v>132479</v>
          </cell>
          <cell r="J51">
            <v>42934922</v>
          </cell>
          <cell r="K51">
            <v>1420910</v>
          </cell>
          <cell r="L51">
            <v>520243</v>
          </cell>
          <cell r="M51">
            <v>887631</v>
          </cell>
          <cell r="N51">
            <v>423430</v>
          </cell>
          <cell r="O51">
            <v>0</v>
          </cell>
          <cell r="P51">
            <v>1171024</v>
          </cell>
          <cell r="Q51">
            <v>285592</v>
          </cell>
          <cell r="R51">
            <v>153185</v>
          </cell>
          <cell r="S51">
            <v>44681</v>
          </cell>
          <cell r="T51">
            <v>11135885</v>
          </cell>
          <cell r="U51">
            <v>84574966</v>
          </cell>
          <cell r="V51">
            <v>415223</v>
          </cell>
          <cell r="W51">
            <v>3567148</v>
          </cell>
          <cell r="X51">
            <v>596204</v>
          </cell>
          <cell r="Y51">
            <v>25403327</v>
          </cell>
          <cell r="Z51">
            <v>3435151</v>
          </cell>
          <cell r="AA51">
            <v>1622885</v>
          </cell>
          <cell r="AB51">
            <v>365104</v>
          </cell>
          <cell r="AC51">
            <v>27241641</v>
          </cell>
          <cell r="AD51">
            <v>3063669</v>
          </cell>
          <cell r="AE51">
            <v>23023596</v>
          </cell>
          <cell r="AF51">
            <v>2222425</v>
          </cell>
          <cell r="AG51">
            <v>68964463</v>
          </cell>
          <cell r="AH51">
            <v>212703</v>
          </cell>
          <cell r="AI51">
            <v>2286629</v>
          </cell>
          <cell r="AJ51">
            <v>91204</v>
          </cell>
          <cell r="AK51">
            <v>14043069</v>
          </cell>
          <cell r="AL51">
            <v>33988</v>
          </cell>
          <cell r="AM51">
            <v>332846708</v>
          </cell>
        </row>
        <row r="53">
          <cell r="A53" t="str">
            <v>May</v>
          </cell>
        </row>
        <row r="54">
          <cell r="A54" t="str">
            <v xml:space="preserve">   Additions</v>
          </cell>
          <cell r="J54">
            <v>3687</v>
          </cell>
          <cell r="T54">
            <v>1686</v>
          </cell>
          <cell r="Y54">
            <v>5063</v>
          </cell>
          <cell r="AA54">
            <v>3392</v>
          </cell>
          <cell r="AB54">
            <v>0</v>
          </cell>
          <cell r="AC54">
            <v>29275</v>
          </cell>
          <cell r="AD54">
            <v>0</v>
          </cell>
          <cell r="AE54">
            <v>18175</v>
          </cell>
          <cell r="AF54">
            <v>0</v>
          </cell>
          <cell r="AG54">
            <v>134754</v>
          </cell>
          <cell r="AH54">
            <v>0</v>
          </cell>
          <cell r="AI54">
            <v>5570</v>
          </cell>
          <cell r="AJ54">
            <v>0</v>
          </cell>
          <cell r="AK54">
            <v>15050</v>
          </cell>
          <cell r="AM54">
            <v>216652</v>
          </cell>
        </row>
        <row r="56">
          <cell r="A56" t="str">
            <v xml:space="preserve">   Retirements</v>
          </cell>
          <cell r="C56">
            <v>238737</v>
          </cell>
          <cell r="D56">
            <v>30819</v>
          </cell>
          <cell r="H56">
            <v>839</v>
          </cell>
          <cell r="U56">
            <v>57993</v>
          </cell>
          <cell r="AM56">
            <v>328388</v>
          </cell>
        </row>
        <row r="58">
          <cell r="A58" t="str">
            <v xml:space="preserve">   Adjustments</v>
          </cell>
          <cell r="AM58">
            <v>0</v>
          </cell>
        </row>
        <row r="60">
          <cell r="A60" t="str">
            <v xml:space="preserve">   Work Order/Retirement Adjustments</v>
          </cell>
          <cell r="U60">
            <v>223190</v>
          </cell>
          <cell r="Y60">
            <v>193700</v>
          </cell>
          <cell r="AA60">
            <v>0</v>
          </cell>
          <cell r="AC60">
            <v>-13091</v>
          </cell>
          <cell r="AD60">
            <v>47670</v>
          </cell>
          <cell r="AE60">
            <v>7409</v>
          </cell>
          <cell r="AF60">
            <v>0</v>
          </cell>
          <cell r="AG60">
            <v>97910</v>
          </cell>
          <cell r="AH60">
            <v>99412</v>
          </cell>
          <cell r="AI60">
            <v>1765</v>
          </cell>
          <cell r="AK60">
            <v>179047</v>
          </cell>
          <cell r="AM60">
            <v>837012</v>
          </cell>
        </row>
        <row r="61">
          <cell r="A61" t="str">
            <v>May Balance</v>
          </cell>
          <cell r="B61">
            <v>5035284</v>
          </cell>
          <cell r="C61">
            <v>613789</v>
          </cell>
          <cell r="D61">
            <v>2148410</v>
          </cell>
          <cell r="E61">
            <v>1508182</v>
          </cell>
          <cell r="F61">
            <v>26257</v>
          </cell>
          <cell r="G61">
            <v>187104</v>
          </cell>
          <cell r="H61">
            <v>2783910</v>
          </cell>
          <cell r="I61">
            <v>132479</v>
          </cell>
          <cell r="J61">
            <v>42938609</v>
          </cell>
          <cell r="K61">
            <v>1420910</v>
          </cell>
          <cell r="L61">
            <v>520243</v>
          </cell>
          <cell r="M61">
            <v>887631</v>
          </cell>
          <cell r="N61">
            <v>423430</v>
          </cell>
          <cell r="O61">
            <v>0</v>
          </cell>
          <cell r="P61">
            <v>1171024</v>
          </cell>
          <cell r="Q61">
            <v>285592</v>
          </cell>
          <cell r="R61">
            <v>153185</v>
          </cell>
          <cell r="S61">
            <v>44681</v>
          </cell>
          <cell r="T61">
            <v>11137571</v>
          </cell>
          <cell r="U61">
            <v>84740163</v>
          </cell>
          <cell r="V61">
            <v>415223</v>
          </cell>
          <cell r="W61">
            <v>3567148</v>
          </cell>
          <cell r="X61">
            <v>596204</v>
          </cell>
          <cell r="Y61">
            <v>25602090</v>
          </cell>
          <cell r="Z61">
            <v>3435151</v>
          </cell>
          <cell r="AA61">
            <v>1626277</v>
          </cell>
          <cell r="AB61">
            <v>365104</v>
          </cell>
          <cell r="AC61">
            <v>27257825</v>
          </cell>
          <cell r="AD61">
            <v>3111339</v>
          </cell>
          <cell r="AE61">
            <v>23049180</v>
          </cell>
          <cell r="AF61">
            <v>2222425</v>
          </cell>
          <cell r="AG61">
            <v>69197127</v>
          </cell>
          <cell r="AH61">
            <v>312115</v>
          </cell>
          <cell r="AI61">
            <v>2293964</v>
          </cell>
          <cell r="AJ61">
            <v>91204</v>
          </cell>
          <cell r="AK61">
            <v>14237166</v>
          </cell>
          <cell r="AL61">
            <v>33988</v>
          </cell>
          <cell r="AM61">
            <v>333571984</v>
          </cell>
        </row>
        <row r="63">
          <cell r="A63" t="str">
            <v>June</v>
          </cell>
        </row>
        <row r="64">
          <cell r="A64" t="str">
            <v xml:space="preserve">   Additions</v>
          </cell>
          <cell r="H64">
            <v>6188</v>
          </cell>
          <cell r="J64">
            <v>18500</v>
          </cell>
          <cell r="K64">
            <v>1800</v>
          </cell>
          <cell r="P64">
            <v>849</v>
          </cell>
          <cell r="Q64">
            <v>2930</v>
          </cell>
          <cell r="T64">
            <v>67798</v>
          </cell>
          <cell r="Y64">
            <v>14424</v>
          </cell>
          <cell r="AA64">
            <v>1817</v>
          </cell>
          <cell r="AB64">
            <v>0</v>
          </cell>
          <cell r="AC64">
            <v>21915</v>
          </cell>
          <cell r="AD64">
            <v>3597</v>
          </cell>
          <cell r="AE64">
            <v>34378</v>
          </cell>
          <cell r="AF64">
            <v>-250</v>
          </cell>
          <cell r="AG64">
            <v>97889</v>
          </cell>
          <cell r="AH64">
            <v>0</v>
          </cell>
          <cell r="AI64">
            <v>1854</v>
          </cell>
          <cell r="AJ64">
            <v>0</v>
          </cell>
          <cell r="AK64">
            <v>-13350</v>
          </cell>
          <cell r="AM64">
            <v>260339</v>
          </cell>
        </row>
        <row r="66">
          <cell r="A66" t="str">
            <v xml:space="preserve">   Retirements</v>
          </cell>
          <cell r="K66">
            <v>13163</v>
          </cell>
          <cell r="P66">
            <v>11916</v>
          </cell>
          <cell r="T66">
            <v>54926</v>
          </cell>
          <cell r="U66">
            <v>2852</v>
          </cell>
          <cell r="Y66">
            <v>207072</v>
          </cell>
          <cell r="AA66">
            <v>17</v>
          </cell>
          <cell r="AC66">
            <v>12567</v>
          </cell>
          <cell r="AE66">
            <v>245</v>
          </cell>
          <cell r="AG66">
            <v>20134</v>
          </cell>
          <cell r="AI66">
            <v>4278</v>
          </cell>
          <cell r="AK66">
            <v>5</v>
          </cell>
          <cell r="AM66">
            <v>327175</v>
          </cell>
        </row>
        <row r="68">
          <cell r="A68" t="str">
            <v xml:space="preserve">   Adjustments</v>
          </cell>
          <cell r="P68">
            <v>-59560</v>
          </cell>
          <cell r="AB68">
            <v>-51747</v>
          </cell>
          <cell r="AC68">
            <v>51747</v>
          </cell>
          <cell r="AD68">
            <v>142993</v>
          </cell>
          <cell r="AE68">
            <v>-142993</v>
          </cell>
          <cell r="AF68">
            <v>-88619</v>
          </cell>
          <cell r="AG68">
            <v>88619</v>
          </cell>
          <cell r="AH68">
            <v>-16470</v>
          </cell>
          <cell r="AI68">
            <v>16470</v>
          </cell>
          <cell r="AM68">
            <v>-59560</v>
          </cell>
        </row>
        <row r="70">
          <cell r="A70" t="str">
            <v xml:space="preserve">   Work Order/Retirement Adjustments</v>
          </cell>
          <cell r="U70">
            <v>25177</v>
          </cell>
          <cell r="Y70">
            <v>0</v>
          </cell>
          <cell r="AA70">
            <v>3906</v>
          </cell>
          <cell r="AC70">
            <v>644929</v>
          </cell>
          <cell r="AD70">
            <v>0</v>
          </cell>
          <cell r="AE70">
            <v>168011</v>
          </cell>
          <cell r="AF70">
            <v>0</v>
          </cell>
          <cell r="AG70">
            <v>1449942</v>
          </cell>
          <cell r="AH70">
            <v>0</v>
          </cell>
          <cell r="AI70">
            <v>101626</v>
          </cell>
          <cell r="AK70">
            <v>46235</v>
          </cell>
          <cell r="AM70">
            <v>2439826</v>
          </cell>
        </row>
        <row r="71">
          <cell r="A71" t="str">
            <v>June Balance</v>
          </cell>
          <cell r="B71">
            <v>5035284</v>
          </cell>
          <cell r="C71">
            <v>613789</v>
          </cell>
          <cell r="D71">
            <v>2148410</v>
          </cell>
          <cell r="E71">
            <v>1508182</v>
          </cell>
          <cell r="F71">
            <v>26257</v>
          </cell>
          <cell r="G71">
            <v>187104</v>
          </cell>
          <cell r="H71">
            <v>2790098</v>
          </cell>
          <cell r="I71">
            <v>132479</v>
          </cell>
          <cell r="J71">
            <v>42957109</v>
          </cell>
          <cell r="K71">
            <v>1409547</v>
          </cell>
          <cell r="L71">
            <v>520243</v>
          </cell>
          <cell r="M71">
            <v>887631</v>
          </cell>
          <cell r="N71">
            <v>423430</v>
          </cell>
          <cell r="O71">
            <v>0</v>
          </cell>
          <cell r="P71">
            <v>1100397</v>
          </cell>
          <cell r="Q71">
            <v>288522</v>
          </cell>
          <cell r="R71">
            <v>153185</v>
          </cell>
          <cell r="S71">
            <v>44681</v>
          </cell>
          <cell r="T71">
            <v>11150443</v>
          </cell>
          <cell r="U71">
            <v>84762488</v>
          </cell>
          <cell r="V71">
            <v>415223</v>
          </cell>
          <cell r="W71">
            <v>3567148</v>
          </cell>
          <cell r="X71">
            <v>596204</v>
          </cell>
          <cell r="Y71">
            <v>25409442</v>
          </cell>
          <cell r="Z71">
            <v>3435151</v>
          </cell>
          <cell r="AA71">
            <v>1631983</v>
          </cell>
          <cell r="AB71">
            <v>313357</v>
          </cell>
          <cell r="AC71">
            <v>27963849</v>
          </cell>
          <cell r="AD71">
            <v>3257929</v>
          </cell>
          <cell r="AE71">
            <v>23108331</v>
          </cell>
          <cell r="AF71">
            <v>2133556</v>
          </cell>
          <cell r="AG71">
            <v>70813443</v>
          </cell>
          <cell r="AH71">
            <v>295645</v>
          </cell>
          <cell r="AI71">
            <v>2409636</v>
          </cell>
          <cell r="AJ71">
            <v>91204</v>
          </cell>
          <cell r="AK71">
            <v>14270046</v>
          </cell>
          <cell r="AL71">
            <v>33988</v>
          </cell>
          <cell r="AM71">
            <v>335885414</v>
          </cell>
        </row>
        <row r="73">
          <cell r="A73" t="str">
            <v>July</v>
          </cell>
        </row>
        <row r="74">
          <cell r="A74" t="str">
            <v xml:space="preserve">   Additions</v>
          </cell>
          <cell r="T74">
            <v>1116</v>
          </cell>
          <cell r="Y74">
            <v>437042</v>
          </cell>
          <cell r="AM74">
            <v>438158</v>
          </cell>
        </row>
        <row r="76">
          <cell r="A76" t="str">
            <v xml:space="preserve">   Retirements</v>
          </cell>
          <cell r="C76">
            <v>-21355</v>
          </cell>
          <cell r="D76">
            <v>16178</v>
          </cell>
          <cell r="E76">
            <v>414881</v>
          </cell>
          <cell r="H76">
            <v>24248</v>
          </cell>
          <cell r="AA76">
            <v>8207</v>
          </cell>
          <cell r="AC76">
            <v>92281</v>
          </cell>
          <cell r="AE76">
            <v>1203</v>
          </cell>
          <cell r="AG76">
            <v>46721</v>
          </cell>
          <cell r="AM76">
            <v>582364</v>
          </cell>
        </row>
        <row r="78">
          <cell r="A78" t="str">
            <v xml:space="preserve">   Adjustments</v>
          </cell>
          <cell r="AM78">
            <v>0</v>
          </cell>
        </row>
        <row r="80">
          <cell r="A80" t="str">
            <v xml:space="preserve">   Work Order/Retirement Adjustments</v>
          </cell>
          <cell r="U80">
            <v>465767</v>
          </cell>
          <cell r="Y80">
            <v>-214268</v>
          </cell>
          <cell r="AA80">
            <v>4258</v>
          </cell>
          <cell r="AC80">
            <v>80188</v>
          </cell>
          <cell r="AD80">
            <v>46591</v>
          </cell>
          <cell r="AE80">
            <v>17151</v>
          </cell>
          <cell r="AF80">
            <v>3136</v>
          </cell>
          <cell r="AG80">
            <v>279069</v>
          </cell>
          <cell r="AH80">
            <v>11270</v>
          </cell>
          <cell r="AI80">
            <v>3163</v>
          </cell>
          <cell r="AK80">
            <v>37247</v>
          </cell>
          <cell r="AM80">
            <v>733572</v>
          </cell>
        </row>
        <row r="81">
          <cell r="A81" t="str">
            <v>July Balance</v>
          </cell>
          <cell r="B81">
            <v>5035284</v>
          </cell>
          <cell r="C81">
            <v>635144</v>
          </cell>
          <cell r="D81">
            <v>2132232</v>
          </cell>
          <cell r="E81">
            <v>1093301</v>
          </cell>
          <cell r="F81">
            <v>26257</v>
          </cell>
          <cell r="G81">
            <v>187104</v>
          </cell>
          <cell r="H81">
            <v>2765850</v>
          </cell>
          <cell r="I81">
            <v>132479</v>
          </cell>
          <cell r="J81">
            <v>42957109</v>
          </cell>
          <cell r="K81">
            <v>1409547</v>
          </cell>
          <cell r="L81">
            <v>520243</v>
          </cell>
          <cell r="M81">
            <v>887631</v>
          </cell>
          <cell r="N81">
            <v>423430</v>
          </cell>
          <cell r="O81">
            <v>0</v>
          </cell>
          <cell r="P81">
            <v>1100397</v>
          </cell>
          <cell r="Q81">
            <v>288522</v>
          </cell>
          <cell r="R81">
            <v>153185</v>
          </cell>
          <cell r="S81">
            <v>44681</v>
          </cell>
          <cell r="T81">
            <v>11151559</v>
          </cell>
          <cell r="U81">
            <v>85228255</v>
          </cell>
          <cell r="V81">
            <v>415223</v>
          </cell>
          <cell r="W81">
            <v>3567148</v>
          </cell>
          <cell r="X81">
            <v>596204</v>
          </cell>
          <cell r="Y81">
            <v>25632216</v>
          </cell>
          <cell r="Z81">
            <v>3435151</v>
          </cell>
          <cell r="AA81">
            <v>1628034</v>
          </cell>
          <cell r="AB81">
            <v>313357</v>
          </cell>
          <cell r="AC81">
            <v>27951756</v>
          </cell>
          <cell r="AD81">
            <v>3304520</v>
          </cell>
          <cell r="AE81">
            <v>23124279</v>
          </cell>
          <cell r="AF81">
            <v>2136692</v>
          </cell>
          <cell r="AG81">
            <v>71045791</v>
          </cell>
          <cell r="AH81">
            <v>306915</v>
          </cell>
          <cell r="AI81">
            <v>2412799</v>
          </cell>
          <cell r="AJ81">
            <v>91204</v>
          </cell>
          <cell r="AK81">
            <v>14307293</v>
          </cell>
          <cell r="AL81">
            <v>33988</v>
          </cell>
          <cell r="AM81">
            <v>336474780</v>
          </cell>
        </row>
        <row r="83">
          <cell r="A83" t="str">
            <v>August</v>
          </cell>
        </row>
        <row r="84">
          <cell r="A84" t="str">
            <v xml:space="preserve">   Additions</v>
          </cell>
          <cell r="D84">
            <v>135928</v>
          </cell>
          <cell r="E84">
            <v>461082</v>
          </cell>
          <cell r="F84">
            <v>0</v>
          </cell>
          <cell r="G84">
            <v>0</v>
          </cell>
          <cell r="H84">
            <v>-4490</v>
          </cell>
          <cell r="J84">
            <v>93458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1069</v>
          </cell>
          <cell r="R84">
            <v>0</v>
          </cell>
          <cell r="T84">
            <v>0</v>
          </cell>
          <cell r="U84">
            <v>925467</v>
          </cell>
          <cell r="W84">
            <v>0</v>
          </cell>
          <cell r="X84">
            <v>0</v>
          </cell>
          <cell r="Y84">
            <v>90863</v>
          </cell>
          <cell r="AA84">
            <v>11841</v>
          </cell>
          <cell r="AB84">
            <v>0</v>
          </cell>
          <cell r="AC84">
            <v>178132</v>
          </cell>
          <cell r="AD84">
            <v>47670</v>
          </cell>
          <cell r="AE84">
            <v>64187</v>
          </cell>
          <cell r="AF84">
            <v>562</v>
          </cell>
          <cell r="AG84">
            <v>758675</v>
          </cell>
          <cell r="AH84">
            <v>57720</v>
          </cell>
          <cell r="AI84">
            <v>78843</v>
          </cell>
          <cell r="AJ84">
            <v>0</v>
          </cell>
          <cell r="AK84">
            <v>91858</v>
          </cell>
          <cell r="AM84">
            <v>2992865</v>
          </cell>
        </row>
        <row r="86">
          <cell r="A86" t="str">
            <v xml:space="preserve">   Retirements</v>
          </cell>
          <cell r="C86">
            <v>33801</v>
          </cell>
          <cell r="D86">
            <v>11076</v>
          </cell>
          <cell r="P86">
            <v>1020668</v>
          </cell>
          <cell r="T86">
            <v>-568</v>
          </cell>
          <cell r="U86">
            <v>5872264</v>
          </cell>
          <cell r="Y86">
            <v>-36212</v>
          </cell>
          <cell r="AM86">
            <v>6901029</v>
          </cell>
        </row>
        <row r="88">
          <cell r="A88" t="str">
            <v xml:space="preserve">   Adjustments</v>
          </cell>
          <cell r="AM88">
            <v>0</v>
          </cell>
        </row>
        <row r="90">
          <cell r="A90" t="str">
            <v xml:space="preserve">   Work Order/Retirement Adjustments</v>
          </cell>
          <cell r="U90">
            <v>202391</v>
          </cell>
          <cell r="Y90">
            <v>0</v>
          </cell>
          <cell r="AA90">
            <v>-7902</v>
          </cell>
          <cell r="AC90">
            <v>-121144</v>
          </cell>
          <cell r="AD90">
            <v>9250</v>
          </cell>
          <cell r="AE90">
            <v>10746</v>
          </cell>
          <cell r="AF90">
            <v>0</v>
          </cell>
          <cell r="AG90">
            <v>-537552</v>
          </cell>
          <cell r="AH90">
            <v>-46362</v>
          </cell>
          <cell r="AI90">
            <v>-34893</v>
          </cell>
          <cell r="AK90">
            <v>-59506</v>
          </cell>
          <cell r="AM90">
            <v>-584972</v>
          </cell>
        </row>
        <row r="91">
          <cell r="A91" t="str">
            <v>August Balance</v>
          </cell>
          <cell r="B91">
            <v>5035284</v>
          </cell>
          <cell r="C91">
            <v>601343</v>
          </cell>
          <cell r="D91">
            <v>2257084</v>
          </cell>
          <cell r="E91">
            <v>1554383</v>
          </cell>
          <cell r="F91">
            <v>26257</v>
          </cell>
          <cell r="G91">
            <v>187104</v>
          </cell>
          <cell r="H91">
            <v>2761360</v>
          </cell>
          <cell r="I91">
            <v>132479</v>
          </cell>
          <cell r="J91">
            <v>43050567</v>
          </cell>
          <cell r="K91">
            <v>1409547</v>
          </cell>
          <cell r="L91">
            <v>520243</v>
          </cell>
          <cell r="M91">
            <v>887631</v>
          </cell>
          <cell r="N91">
            <v>423430</v>
          </cell>
          <cell r="O91">
            <v>0</v>
          </cell>
          <cell r="P91">
            <v>79729</v>
          </cell>
          <cell r="Q91">
            <v>289591</v>
          </cell>
          <cell r="R91">
            <v>153185</v>
          </cell>
          <cell r="S91">
            <v>44681</v>
          </cell>
          <cell r="T91">
            <v>11152127</v>
          </cell>
          <cell r="U91">
            <v>80483849</v>
          </cell>
          <cell r="V91">
            <v>415223</v>
          </cell>
          <cell r="W91">
            <v>3567148</v>
          </cell>
          <cell r="X91">
            <v>596204</v>
          </cell>
          <cell r="Y91">
            <v>25759291</v>
          </cell>
          <cell r="Z91">
            <v>3435151</v>
          </cell>
          <cell r="AA91">
            <v>1631973</v>
          </cell>
          <cell r="AB91">
            <v>313357</v>
          </cell>
          <cell r="AC91">
            <v>28008744</v>
          </cell>
          <cell r="AD91">
            <v>3361440</v>
          </cell>
          <cell r="AE91">
            <v>23199212</v>
          </cell>
          <cell r="AF91">
            <v>2137254</v>
          </cell>
          <cell r="AG91">
            <v>71266914</v>
          </cell>
          <cell r="AH91">
            <v>318273</v>
          </cell>
          <cell r="AI91">
            <v>2456749</v>
          </cell>
          <cell r="AJ91">
            <v>91204</v>
          </cell>
          <cell r="AK91">
            <v>14339645</v>
          </cell>
          <cell r="AL91">
            <v>33988</v>
          </cell>
          <cell r="AM91">
            <v>331981644</v>
          </cell>
        </row>
        <row r="93">
          <cell r="A93" t="str">
            <v>September</v>
          </cell>
        </row>
        <row r="94">
          <cell r="A94" t="str">
            <v xml:space="preserve">   Additions</v>
          </cell>
          <cell r="C94">
            <v>0</v>
          </cell>
          <cell r="D94">
            <v>37633</v>
          </cell>
          <cell r="E94">
            <v>0</v>
          </cell>
          <cell r="F94">
            <v>0</v>
          </cell>
          <cell r="G94">
            <v>8980</v>
          </cell>
          <cell r="H94">
            <v>52637</v>
          </cell>
          <cell r="J94">
            <v>335706</v>
          </cell>
          <cell r="K94">
            <v>167549</v>
          </cell>
          <cell r="M94">
            <v>1577</v>
          </cell>
          <cell r="N94">
            <v>0</v>
          </cell>
          <cell r="O94">
            <v>0</v>
          </cell>
          <cell r="P94">
            <v>0</v>
          </cell>
          <cell r="Q94">
            <v>5257</v>
          </cell>
          <cell r="R94">
            <v>0</v>
          </cell>
          <cell r="T94">
            <v>130638</v>
          </cell>
          <cell r="U94">
            <v>439955</v>
          </cell>
          <cell r="W94">
            <v>0</v>
          </cell>
          <cell r="X94">
            <v>0</v>
          </cell>
          <cell r="Y94">
            <v>715830</v>
          </cell>
          <cell r="Z94">
            <v>46298</v>
          </cell>
          <cell r="AA94">
            <v>106800</v>
          </cell>
          <cell r="AB94">
            <v>0</v>
          </cell>
          <cell r="AC94">
            <v>17246</v>
          </cell>
          <cell r="AD94">
            <v>46591</v>
          </cell>
          <cell r="AE94">
            <v>225220</v>
          </cell>
          <cell r="AF94">
            <v>3136</v>
          </cell>
          <cell r="AG94">
            <v>70495</v>
          </cell>
          <cell r="AH94">
            <v>11270</v>
          </cell>
          <cell r="AI94">
            <v>19117</v>
          </cell>
          <cell r="AJ94">
            <v>0</v>
          </cell>
          <cell r="AK94">
            <v>61299</v>
          </cell>
          <cell r="AM94">
            <v>2503234</v>
          </cell>
        </row>
        <row r="96">
          <cell r="A96" t="str">
            <v xml:space="preserve">   Retirements</v>
          </cell>
          <cell r="U96">
            <v>417455</v>
          </cell>
          <cell r="Y96">
            <v>1348447</v>
          </cell>
          <cell r="AM96">
            <v>1765902</v>
          </cell>
        </row>
        <row r="98">
          <cell r="A98" t="str">
            <v xml:space="preserve">   Adjustments</v>
          </cell>
          <cell r="AM98">
            <v>0</v>
          </cell>
        </row>
        <row r="100">
          <cell r="A100" t="str">
            <v xml:space="preserve">   Work Order/Retirement Adjustments</v>
          </cell>
          <cell r="U100">
            <v>-274000</v>
          </cell>
          <cell r="Y100">
            <v>105841</v>
          </cell>
          <cell r="AA100">
            <v>-266</v>
          </cell>
          <cell r="AC100">
            <v>-6004</v>
          </cell>
          <cell r="AD100">
            <v>22376</v>
          </cell>
          <cell r="AE100">
            <v>-123508</v>
          </cell>
          <cell r="AF100">
            <v>-3136</v>
          </cell>
          <cell r="AG100">
            <v>342034</v>
          </cell>
          <cell r="AH100">
            <v>-11298</v>
          </cell>
          <cell r="AI100">
            <v>-6502</v>
          </cell>
          <cell r="AK100">
            <v>143462</v>
          </cell>
          <cell r="AM100">
            <v>188999</v>
          </cell>
        </row>
        <row r="101">
          <cell r="A101" t="str">
            <v>September Balance</v>
          </cell>
          <cell r="B101">
            <v>5035284</v>
          </cell>
          <cell r="C101">
            <v>601343</v>
          </cell>
          <cell r="D101">
            <v>2294717</v>
          </cell>
          <cell r="E101">
            <v>1554383</v>
          </cell>
          <cell r="F101">
            <v>26257</v>
          </cell>
          <cell r="G101">
            <v>196084</v>
          </cell>
          <cell r="H101">
            <v>2813997</v>
          </cell>
          <cell r="I101">
            <v>132479</v>
          </cell>
          <cell r="J101">
            <v>43386273</v>
          </cell>
          <cell r="K101">
            <v>1577096</v>
          </cell>
          <cell r="L101">
            <v>520243</v>
          </cell>
          <cell r="M101">
            <v>889208</v>
          </cell>
          <cell r="N101">
            <v>423430</v>
          </cell>
          <cell r="O101">
            <v>0</v>
          </cell>
          <cell r="P101">
            <v>79729</v>
          </cell>
          <cell r="Q101">
            <v>294848</v>
          </cell>
          <cell r="R101">
            <v>153185</v>
          </cell>
          <cell r="S101">
            <v>44681</v>
          </cell>
          <cell r="T101">
            <v>11282765</v>
          </cell>
          <cell r="U101">
            <v>80232349</v>
          </cell>
          <cell r="V101">
            <v>415223</v>
          </cell>
          <cell r="W101">
            <v>3567148</v>
          </cell>
          <cell r="X101">
            <v>596204</v>
          </cell>
          <cell r="Y101">
            <v>25232515</v>
          </cell>
          <cell r="Z101">
            <v>3481449</v>
          </cell>
          <cell r="AA101">
            <v>1738507</v>
          </cell>
          <cell r="AB101">
            <v>313357</v>
          </cell>
          <cell r="AC101">
            <v>28019986</v>
          </cell>
          <cell r="AD101">
            <v>3430407</v>
          </cell>
          <cell r="AE101">
            <v>23300924</v>
          </cell>
          <cell r="AF101">
            <v>2137254</v>
          </cell>
          <cell r="AG101">
            <v>71679443</v>
          </cell>
          <cell r="AH101">
            <v>318245</v>
          </cell>
          <cell r="AI101">
            <v>2469364</v>
          </cell>
          <cell r="AJ101">
            <v>91204</v>
          </cell>
          <cell r="AK101">
            <v>14544406</v>
          </cell>
          <cell r="AL101">
            <v>33988</v>
          </cell>
          <cell r="AM101">
            <v>332907975</v>
          </cell>
        </row>
        <row r="103">
          <cell r="A103" t="str">
            <v>October</v>
          </cell>
        </row>
        <row r="104">
          <cell r="A104" t="str">
            <v xml:space="preserve">   Additions</v>
          </cell>
          <cell r="H104">
            <v>-650</v>
          </cell>
          <cell r="T104">
            <v>16894</v>
          </cell>
          <cell r="U104">
            <v>18480</v>
          </cell>
          <cell r="Y104">
            <v>7741</v>
          </cell>
          <cell r="AA104">
            <v>4104</v>
          </cell>
          <cell r="AC104">
            <v>-967</v>
          </cell>
          <cell r="AD104">
            <v>1404</v>
          </cell>
          <cell r="AE104">
            <v>13161</v>
          </cell>
          <cell r="AG104">
            <v>43733</v>
          </cell>
          <cell r="AI104">
            <v>3883</v>
          </cell>
          <cell r="AK104">
            <v>87683</v>
          </cell>
          <cell r="AM104">
            <v>195466</v>
          </cell>
        </row>
        <row r="106">
          <cell r="A106" t="str">
            <v xml:space="preserve">   Retirements</v>
          </cell>
          <cell r="C106">
            <v>33801</v>
          </cell>
          <cell r="U106">
            <v>150448</v>
          </cell>
          <cell r="Y106">
            <v>367773</v>
          </cell>
          <cell r="AM106">
            <v>552022</v>
          </cell>
        </row>
        <row r="108">
          <cell r="A108" t="str">
            <v xml:space="preserve">   Adjustments</v>
          </cell>
          <cell r="U108">
            <v>18722</v>
          </cell>
          <cell r="Y108">
            <v>-18722</v>
          </cell>
          <cell r="AM108">
            <v>0</v>
          </cell>
        </row>
        <row r="110">
          <cell r="A110" t="str">
            <v xml:space="preserve">   Work Order/Retirement Adjustments</v>
          </cell>
          <cell r="U110">
            <v>0</v>
          </cell>
          <cell r="Y110">
            <v>21552</v>
          </cell>
          <cell r="AA110">
            <v>3474</v>
          </cell>
          <cell r="AC110">
            <v>34981</v>
          </cell>
          <cell r="AD110">
            <v>441652</v>
          </cell>
          <cell r="AE110">
            <v>5340</v>
          </cell>
          <cell r="AF110">
            <v>62355</v>
          </cell>
          <cell r="AG110">
            <v>205182</v>
          </cell>
          <cell r="AH110">
            <v>36487</v>
          </cell>
          <cell r="AI110">
            <v>-1675</v>
          </cell>
          <cell r="AK110">
            <v>-54866</v>
          </cell>
          <cell r="AM110">
            <v>754482</v>
          </cell>
        </row>
        <row r="111">
          <cell r="A111" t="str">
            <v>October Balance</v>
          </cell>
          <cell r="B111">
            <v>5035284</v>
          </cell>
          <cell r="C111">
            <v>567542</v>
          </cell>
          <cell r="D111">
            <v>2294717</v>
          </cell>
          <cell r="E111">
            <v>1554383</v>
          </cell>
          <cell r="F111">
            <v>26257</v>
          </cell>
          <cell r="G111">
            <v>196084</v>
          </cell>
          <cell r="H111">
            <v>2813347</v>
          </cell>
          <cell r="I111">
            <v>132479</v>
          </cell>
          <cell r="J111">
            <v>43386273</v>
          </cell>
          <cell r="K111">
            <v>1577096</v>
          </cell>
          <cell r="L111">
            <v>520243</v>
          </cell>
          <cell r="M111">
            <v>889208</v>
          </cell>
          <cell r="N111">
            <v>423430</v>
          </cell>
          <cell r="O111">
            <v>0</v>
          </cell>
          <cell r="P111">
            <v>79729</v>
          </cell>
          <cell r="Q111">
            <v>294848</v>
          </cell>
          <cell r="R111">
            <v>153185</v>
          </cell>
          <cell r="S111">
            <v>44681</v>
          </cell>
          <cell r="T111">
            <v>11299659</v>
          </cell>
          <cell r="U111">
            <v>80119103</v>
          </cell>
          <cell r="V111">
            <v>415223</v>
          </cell>
          <cell r="W111">
            <v>3567148</v>
          </cell>
          <cell r="X111">
            <v>596204</v>
          </cell>
          <cell r="Y111">
            <v>24875313</v>
          </cell>
          <cell r="Z111">
            <v>3481449</v>
          </cell>
          <cell r="AA111">
            <v>1746085</v>
          </cell>
          <cell r="AB111">
            <v>313357</v>
          </cell>
          <cell r="AC111">
            <v>28054000</v>
          </cell>
          <cell r="AD111">
            <v>3873463</v>
          </cell>
          <cell r="AE111">
            <v>23319425</v>
          </cell>
          <cell r="AF111">
            <v>2199609</v>
          </cell>
          <cell r="AG111">
            <v>71928358</v>
          </cell>
          <cell r="AH111">
            <v>354732</v>
          </cell>
          <cell r="AI111">
            <v>2471572</v>
          </cell>
          <cell r="AJ111">
            <v>91204</v>
          </cell>
          <cell r="AK111">
            <v>14577223</v>
          </cell>
          <cell r="AL111">
            <v>33988</v>
          </cell>
          <cell r="AM111">
            <v>333305901</v>
          </cell>
        </row>
        <row r="113">
          <cell r="A113" t="str">
            <v>November</v>
          </cell>
        </row>
        <row r="114">
          <cell r="A114" t="str">
            <v xml:space="preserve">   Additions</v>
          </cell>
          <cell r="E114">
            <v>6223</v>
          </cell>
          <cell r="G114">
            <v>-4490</v>
          </cell>
          <cell r="H114">
            <v>12078</v>
          </cell>
          <cell r="J114">
            <v>196623</v>
          </cell>
          <cell r="K114">
            <v>21308</v>
          </cell>
          <cell r="M114">
            <v>4090</v>
          </cell>
          <cell r="P114">
            <v>3090</v>
          </cell>
          <cell r="T114">
            <v>21715</v>
          </cell>
          <cell r="U114">
            <v>254744</v>
          </cell>
          <cell r="Y114">
            <v>289309</v>
          </cell>
          <cell r="AA114">
            <v>1253</v>
          </cell>
          <cell r="AC114">
            <v>166739</v>
          </cell>
          <cell r="AD114">
            <v>625596</v>
          </cell>
          <cell r="AE114">
            <v>181971</v>
          </cell>
          <cell r="AF114">
            <v>86090</v>
          </cell>
          <cell r="AG114">
            <v>966314</v>
          </cell>
          <cell r="AH114">
            <v>135577</v>
          </cell>
          <cell r="AI114">
            <v>-17961</v>
          </cell>
          <cell r="AK114">
            <v>129301</v>
          </cell>
          <cell r="AM114">
            <v>3079570</v>
          </cell>
        </row>
        <row r="116">
          <cell r="A116" t="str">
            <v xml:space="preserve">   Retirements</v>
          </cell>
          <cell r="J116">
            <v>242411</v>
          </cell>
          <cell r="K116">
            <v>35534</v>
          </cell>
          <cell r="T116">
            <v>234120</v>
          </cell>
          <cell r="U116">
            <v>136907</v>
          </cell>
          <cell r="AM116">
            <v>648972</v>
          </cell>
        </row>
        <row r="118">
          <cell r="A118" t="str">
            <v xml:space="preserve">   Adjustments</v>
          </cell>
          <cell r="AM118">
            <v>0</v>
          </cell>
        </row>
        <row r="120">
          <cell r="A120" t="str">
            <v xml:space="preserve">   Work Order/Retirement Adjustments</v>
          </cell>
          <cell r="U120">
            <v>-44155</v>
          </cell>
          <cell r="Y120">
            <v>106542</v>
          </cell>
          <cell r="AA120">
            <v>-3079</v>
          </cell>
          <cell r="AC120">
            <v>-119404</v>
          </cell>
          <cell r="AD120">
            <v>-622731</v>
          </cell>
          <cell r="AE120">
            <v>-137655</v>
          </cell>
          <cell r="AF120">
            <v>-62355</v>
          </cell>
          <cell r="AG120">
            <v>-370220</v>
          </cell>
          <cell r="AH120">
            <v>-86747</v>
          </cell>
          <cell r="AI120">
            <v>29475</v>
          </cell>
          <cell r="AK120">
            <v>-126507</v>
          </cell>
          <cell r="AM120">
            <v>-1436836</v>
          </cell>
        </row>
        <row r="121">
          <cell r="A121" t="str">
            <v>November Balance</v>
          </cell>
          <cell r="B121">
            <v>5035284</v>
          </cell>
          <cell r="C121">
            <v>567542</v>
          </cell>
          <cell r="D121">
            <v>2294717</v>
          </cell>
          <cell r="E121">
            <v>1560606</v>
          </cell>
          <cell r="F121">
            <v>26257</v>
          </cell>
          <cell r="G121">
            <v>191594</v>
          </cell>
          <cell r="H121">
            <v>2825425</v>
          </cell>
          <cell r="I121">
            <v>132479</v>
          </cell>
          <cell r="J121">
            <v>43340485</v>
          </cell>
          <cell r="K121">
            <v>1562870</v>
          </cell>
          <cell r="L121">
            <v>520243</v>
          </cell>
          <cell r="M121">
            <v>893298</v>
          </cell>
          <cell r="N121">
            <v>423430</v>
          </cell>
          <cell r="O121">
            <v>0</v>
          </cell>
          <cell r="P121">
            <v>82819</v>
          </cell>
          <cell r="Q121">
            <v>294848</v>
          </cell>
          <cell r="R121">
            <v>153185</v>
          </cell>
          <cell r="S121">
            <v>44681</v>
          </cell>
          <cell r="T121">
            <v>11087254</v>
          </cell>
          <cell r="U121">
            <v>80192785</v>
          </cell>
          <cell r="V121">
            <v>415223</v>
          </cell>
          <cell r="W121">
            <v>3567148</v>
          </cell>
          <cell r="X121">
            <v>596204</v>
          </cell>
          <cell r="Y121">
            <v>25271164</v>
          </cell>
          <cell r="Z121">
            <v>3481449</v>
          </cell>
          <cell r="AA121">
            <v>1744259</v>
          </cell>
          <cell r="AB121">
            <v>313357</v>
          </cell>
          <cell r="AC121">
            <v>28101335</v>
          </cell>
          <cell r="AD121">
            <v>3876328</v>
          </cell>
          <cell r="AE121">
            <v>23363741</v>
          </cell>
          <cell r="AF121">
            <v>2223344</v>
          </cell>
          <cell r="AG121">
            <v>72524452</v>
          </cell>
          <cell r="AH121">
            <v>403562</v>
          </cell>
          <cell r="AI121">
            <v>2483086</v>
          </cell>
          <cell r="AJ121">
            <v>91204</v>
          </cell>
          <cell r="AK121">
            <v>14580017</v>
          </cell>
          <cell r="AL121">
            <v>33988</v>
          </cell>
          <cell r="AM121">
            <v>334299663</v>
          </cell>
        </row>
        <row r="123">
          <cell r="A123" t="str">
            <v>December</v>
          </cell>
        </row>
        <row r="124">
          <cell r="A124" t="str">
            <v xml:space="preserve">   Additions</v>
          </cell>
          <cell r="D124">
            <v>65690</v>
          </cell>
          <cell r="E124">
            <v>7620</v>
          </cell>
          <cell r="H124">
            <v>4574</v>
          </cell>
          <cell r="J124">
            <v>117850</v>
          </cell>
          <cell r="K124">
            <v>18875</v>
          </cell>
          <cell r="M124">
            <v>10295</v>
          </cell>
          <cell r="Q124">
            <v>520</v>
          </cell>
          <cell r="T124">
            <v>375941</v>
          </cell>
          <cell r="U124">
            <v>1014043</v>
          </cell>
          <cell r="W124">
            <v>9804</v>
          </cell>
          <cell r="Y124">
            <v>1473419</v>
          </cell>
          <cell r="Z124">
            <v>496981</v>
          </cell>
          <cell r="AA124">
            <v>14</v>
          </cell>
          <cell r="AC124">
            <v>565057</v>
          </cell>
          <cell r="AD124">
            <v>54969</v>
          </cell>
          <cell r="AE124">
            <v>161917</v>
          </cell>
          <cell r="AG124">
            <v>1430235</v>
          </cell>
          <cell r="AH124">
            <v>2790</v>
          </cell>
          <cell r="AI124">
            <v>94099</v>
          </cell>
          <cell r="AK124">
            <v>137584</v>
          </cell>
          <cell r="AM124">
            <v>6042277</v>
          </cell>
        </row>
        <row r="126">
          <cell r="A126" t="str">
            <v xml:space="preserve">   Retirements</v>
          </cell>
          <cell r="U126">
            <v>-251</v>
          </cell>
          <cell r="Y126">
            <v>4709</v>
          </cell>
          <cell r="Z126">
            <v>301947</v>
          </cell>
          <cell r="AA126">
            <v>9077</v>
          </cell>
          <cell r="AC126">
            <v>31916</v>
          </cell>
          <cell r="AE126">
            <v>2918</v>
          </cell>
          <cell r="AG126">
            <v>44283</v>
          </cell>
          <cell r="AI126">
            <v>191</v>
          </cell>
          <cell r="AM126">
            <v>394790</v>
          </cell>
        </row>
        <row r="128">
          <cell r="A128" t="str">
            <v xml:space="preserve">   Adjustments</v>
          </cell>
          <cell r="AM128">
            <v>0</v>
          </cell>
        </row>
        <row r="130">
          <cell r="A130" t="str">
            <v xml:space="preserve">   Work Order/Retirement Adjustments</v>
          </cell>
          <cell r="U130">
            <v>-1481531</v>
          </cell>
          <cell r="Y130">
            <v>-827229</v>
          </cell>
          <cell r="AA130">
            <v>2197</v>
          </cell>
          <cell r="AC130">
            <v>-541700</v>
          </cell>
          <cell r="AD130">
            <v>-54969</v>
          </cell>
          <cell r="AE130">
            <v>-135012</v>
          </cell>
          <cell r="AF130">
            <v>0</v>
          </cell>
          <cell r="AG130">
            <v>-1748638</v>
          </cell>
          <cell r="AH130">
            <v>-2790</v>
          </cell>
          <cell r="AI130">
            <v>-108409</v>
          </cell>
          <cell r="AK130">
            <v>-345435</v>
          </cell>
          <cell r="AM130">
            <v>-5243516</v>
          </cell>
        </row>
        <row r="131">
          <cell r="A131" t="str">
            <v>December Balance</v>
          </cell>
          <cell r="B131">
            <v>5035284</v>
          </cell>
          <cell r="C131">
            <v>567542</v>
          </cell>
          <cell r="D131">
            <v>2360407</v>
          </cell>
          <cell r="E131">
            <v>1568226</v>
          </cell>
          <cell r="F131">
            <v>26257</v>
          </cell>
          <cell r="G131">
            <v>191594</v>
          </cell>
          <cell r="H131">
            <v>2829999</v>
          </cell>
          <cell r="I131">
            <v>132479</v>
          </cell>
          <cell r="J131">
            <v>43458335</v>
          </cell>
          <cell r="K131">
            <v>1581745</v>
          </cell>
          <cell r="L131">
            <v>520243</v>
          </cell>
          <cell r="M131">
            <v>903593</v>
          </cell>
          <cell r="N131">
            <v>423430</v>
          </cell>
          <cell r="O131">
            <v>0</v>
          </cell>
          <cell r="P131">
            <v>82819</v>
          </cell>
          <cell r="Q131">
            <v>295368</v>
          </cell>
          <cell r="R131">
            <v>153185</v>
          </cell>
          <cell r="S131">
            <v>44681</v>
          </cell>
          <cell r="T131">
            <v>11463195</v>
          </cell>
          <cell r="U131">
            <v>79725548</v>
          </cell>
          <cell r="V131">
            <v>415223</v>
          </cell>
          <cell r="W131">
            <v>3576952</v>
          </cell>
          <cell r="X131">
            <v>596204</v>
          </cell>
          <cell r="Y131">
            <v>25912645</v>
          </cell>
          <cell r="Z131">
            <v>3676483</v>
          </cell>
          <cell r="AA131">
            <v>1737393</v>
          </cell>
          <cell r="AB131">
            <v>313357</v>
          </cell>
          <cell r="AC131">
            <v>28092776</v>
          </cell>
          <cell r="AD131">
            <v>3876328</v>
          </cell>
          <cell r="AE131">
            <v>23387728</v>
          </cell>
          <cell r="AF131">
            <v>2223344</v>
          </cell>
          <cell r="AG131">
            <v>72161766</v>
          </cell>
          <cell r="AH131">
            <v>403562</v>
          </cell>
          <cell r="AI131">
            <v>2468585</v>
          </cell>
          <cell r="AJ131">
            <v>91204</v>
          </cell>
          <cell r="AK131">
            <v>14372166</v>
          </cell>
          <cell r="AL131">
            <v>33988</v>
          </cell>
          <cell r="AM131">
            <v>334703634</v>
          </cell>
        </row>
        <row r="133">
          <cell r="A133" t="str">
            <v xml:space="preserve">13th Month </v>
          </cell>
        </row>
        <row r="134">
          <cell r="A134" t="str">
            <v xml:space="preserve">   Additions</v>
          </cell>
          <cell r="H134">
            <v>26121</v>
          </cell>
          <cell r="J134">
            <v>177144</v>
          </cell>
          <cell r="K134">
            <v>11348</v>
          </cell>
          <cell r="M134">
            <v>11631</v>
          </cell>
          <cell r="T134">
            <v>324020</v>
          </cell>
          <cell r="U134">
            <v>1653922</v>
          </cell>
          <cell r="Y134">
            <v>1116229</v>
          </cell>
          <cell r="Z134">
            <v>-65924</v>
          </cell>
          <cell r="AA134">
            <v>-96783</v>
          </cell>
          <cell r="AC134">
            <v>72557</v>
          </cell>
          <cell r="AD134">
            <v>74865</v>
          </cell>
          <cell r="AE134">
            <v>78111</v>
          </cell>
          <cell r="AF134">
            <v>-24325</v>
          </cell>
          <cell r="AG134">
            <v>841242</v>
          </cell>
          <cell r="AH134">
            <v>-16060</v>
          </cell>
          <cell r="AI134">
            <v>10384</v>
          </cell>
          <cell r="AK134">
            <v>478015</v>
          </cell>
          <cell r="AM134">
            <v>4672497</v>
          </cell>
        </row>
        <row r="136">
          <cell r="A136" t="str">
            <v xml:space="preserve">   Retirements</v>
          </cell>
          <cell r="J136">
            <v>-42937</v>
          </cell>
          <cell r="U136">
            <v>9920</v>
          </cell>
          <cell r="Z136">
            <v>-76935</v>
          </cell>
          <cell r="AM136">
            <v>-109952</v>
          </cell>
        </row>
        <row r="138">
          <cell r="A138" t="str">
            <v xml:space="preserve">   Adjustments</v>
          </cell>
          <cell r="AM138">
            <v>0</v>
          </cell>
        </row>
        <row r="140">
          <cell r="A140" t="str">
            <v xml:space="preserve">   Work Order Adjustments</v>
          </cell>
          <cell r="AM140">
            <v>0</v>
          </cell>
        </row>
        <row r="141">
          <cell r="A141" t="str">
            <v>13th Month Balance</v>
          </cell>
          <cell r="B141">
            <v>5035284</v>
          </cell>
          <cell r="C141">
            <v>567542</v>
          </cell>
          <cell r="D141">
            <v>2360407</v>
          </cell>
          <cell r="E141">
            <v>1568226</v>
          </cell>
          <cell r="F141">
            <v>26257</v>
          </cell>
          <cell r="G141">
            <v>191594</v>
          </cell>
          <cell r="H141">
            <v>2856120</v>
          </cell>
          <cell r="I141">
            <v>132479</v>
          </cell>
          <cell r="J141">
            <v>43678416</v>
          </cell>
          <cell r="K141">
            <v>1593093</v>
          </cell>
          <cell r="L141">
            <v>520243</v>
          </cell>
          <cell r="M141">
            <v>915224</v>
          </cell>
          <cell r="N141">
            <v>423430</v>
          </cell>
          <cell r="O141">
            <v>0</v>
          </cell>
          <cell r="P141">
            <v>82819</v>
          </cell>
          <cell r="Q141">
            <v>295368</v>
          </cell>
          <cell r="R141">
            <v>153185</v>
          </cell>
          <cell r="S141">
            <v>44681</v>
          </cell>
          <cell r="T141">
            <v>11787215</v>
          </cell>
          <cell r="U141">
            <v>81369550</v>
          </cell>
          <cell r="V141">
            <v>415223</v>
          </cell>
          <cell r="W141">
            <v>3576952</v>
          </cell>
          <cell r="X141">
            <v>596204</v>
          </cell>
          <cell r="Y141">
            <v>27028874</v>
          </cell>
          <cell r="Z141">
            <v>3687494</v>
          </cell>
          <cell r="AA141">
            <v>1640610</v>
          </cell>
          <cell r="AB141">
            <v>313357</v>
          </cell>
          <cell r="AC141">
            <v>28165333</v>
          </cell>
          <cell r="AD141">
            <v>3951193</v>
          </cell>
          <cell r="AE141">
            <v>23465839</v>
          </cell>
          <cell r="AF141">
            <v>2199019</v>
          </cell>
          <cell r="AG141">
            <v>73003008</v>
          </cell>
          <cell r="AH141">
            <v>387502</v>
          </cell>
          <cell r="AI141">
            <v>2478969</v>
          </cell>
          <cell r="AJ141">
            <v>91204</v>
          </cell>
          <cell r="AK141">
            <v>14850181</v>
          </cell>
          <cell r="AL141">
            <v>33988</v>
          </cell>
          <cell r="AM141">
            <v>339486083</v>
          </cell>
        </row>
        <row r="143">
          <cell r="A143" t="str">
            <v xml:space="preserve">14th Month </v>
          </cell>
        </row>
        <row r="144">
          <cell r="A144" t="str">
            <v xml:space="preserve">   Additions</v>
          </cell>
          <cell r="H144">
            <v>8</v>
          </cell>
          <cell r="J144">
            <v>229</v>
          </cell>
          <cell r="K144">
            <v>913</v>
          </cell>
          <cell r="T144">
            <v>129373</v>
          </cell>
          <cell r="U144">
            <v>-218052</v>
          </cell>
          <cell r="Y144">
            <v>168155</v>
          </cell>
          <cell r="AA144">
            <v>4874</v>
          </cell>
          <cell r="AC144">
            <v>45516</v>
          </cell>
          <cell r="AE144">
            <v>5565</v>
          </cell>
          <cell r="AG144">
            <v>58453</v>
          </cell>
          <cell r="AH144">
            <v>16</v>
          </cell>
          <cell r="AI144">
            <v>7099</v>
          </cell>
          <cell r="AK144">
            <v>1065</v>
          </cell>
          <cell r="AM144">
            <v>203214</v>
          </cell>
        </row>
        <row r="146">
          <cell r="A146" t="str">
            <v xml:space="preserve">   Retirements</v>
          </cell>
          <cell r="U146">
            <v>-9418</v>
          </cell>
          <cell r="AA146">
            <v>10052</v>
          </cell>
          <cell r="AC146">
            <v>87342</v>
          </cell>
          <cell r="AE146">
            <v>919</v>
          </cell>
          <cell r="AG146">
            <v>75214</v>
          </cell>
          <cell r="AI146">
            <v>7312</v>
          </cell>
          <cell r="AM146">
            <v>171421</v>
          </cell>
        </row>
        <row r="148">
          <cell r="A148" t="str">
            <v xml:space="preserve">   Adjustments</v>
          </cell>
          <cell r="U148">
            <v>536833</v>
          </cell>
          <cell r="AM148">
            <v>536833</v>
          </cell>
        </row>
        <row r="150">
          <cell r="A150" t="str">
            <v xml:space="preserve">   Work Order Adjustments</v>
          </cell>
          <cell r="AM150">
            <v>0</v>
          </cell>
        </row>
        <row r="151">
          <cell r="A151" t="str">
            <v>14th Month Balance</v>
          </cell>
          <cell r="B151">
            <v>5035284</v>
          </cell>
          <cell r="C151">
            <v>567542</v>
          </cell>
          <cell r="D151">
            <v>2360407</v>
          </cell>
          <cell r="E151">
            <v>1568226</v>
          </cell>
          <cell r="F151">
            <v>26257</v>
          </cell>
          <cell r="G151">
            <v>191594</v>
          </cell>
          <cell r="H151">
            <v>2856128</v>
          </cell>
          <cell r="I151">
            <v>132479</v>
          </cell>
          <cell r="J151">
            <v>43678645</v>
          </cell>
          <cell r="K151">
            <v>1594006</v>
          </cell>
          <cell r="L151">
            <v>520243</v>
          </cell>
          <cell r="M151">
            <v>915224</v>
          </cell>
          <cell r="N151">
            <v>423430</v>
          </cell>
          <cell r="O151">
            <v>0</v>
          </cell>
          <cell r="P151">
            <v>82819</v>
          </cell>
          <cell r="Q151">
            <v>295368</v>
          </cell>
          <cell r="R151">
            <v>153185</v>
          </cell>
          <cell r="S151">
            <v>44681</v>
          </cell>
          <cell r="T151">
            <v>11916588</v>
          </cell>
          <cell r="U151">
            <v>81697749</v>
          </cell>
          <cell r="V151">
            <v>415223</v>
          </cell>
          <cell r="W151">
            <v>3576952</v>
          </cell>
          <cell r="X151">
            <v>596204</v>
          </cell>
          <cell r="Y151">
            <v>27197029</v>
          </cell>
          <cell r="Z151">
            <v>3687494</v>
          </cell>
          <cell r="AA151">
            <v>1635432</v>
          </cell>
          <cell r="AB151">
            <v>313357</v>
          </cell>
          <cell r="AC151">
            <v>28123507</v>
          </cell>
          <cell r="AD151">
            <v>3951193</v>
          </cell>
          <cell r="AE151">
            <v>23470485</v>
          </cell>
          <cell r="AF151">
            <v>2199019</v>
          </cell>
          <cell r="AG151">
            <v>72986247</v>
          </cell>
          <cell r="AH151">
            <v>387518</v>
          </cell>
          <cell r="AI151">
            <v>2478756</v>
          </cell>
          <cell r="AJ151">
            <v>91204</v>
          </cell>
          <cell r="AK151">
            <v>14851246</v>
          </cell>
          <cell r="AL151">
            <v>33988</v>
          </cell>
          <cell r="AM151">
            <v>340054709</v>
          </cell>
        </row>
        <row r="153">
          <cell r="A153" t="str">
            <v>Audit Adjustments</v>
          </cell>
        </row>
        <row r="154">
          <cell r="A154" t="str">
            <v xml:space="preserve">   Additions</v>
          </cell>
          <cell r="AM154">
            <v>0</v>
          </cell>
        </row>
        <row r="156">
          <cell r="A156" t="str">
            <v xml:space="preserve">   Retirements</v>
          </cell>
          <cell r="AM156">
            <v>0</v>
          </cell>
        </row>
        <row r="158">
          <cell r="A158" t="str">
            <v xml:space="preserve">   Adjustments</v>
          </cell>
          <cell r="AM158">
            <v>0</v>
          </cell>
        </row>
        <row r="160">
          <cell r="A160" t="str">
            <v xml:space="preserve">   Work Order Adjustments</v>
          </cell>
          <cell r="AM160">
            <v>0</v>
          </cell>
        </row>
        <row r="161">
          <cell r="A161" t="str">
            <v>Final Balance</v>
          </cell>
          <cell r="B161">
            <v>5035284</v>
          </cell>
          <cell r="C161">
            <v>567542</v>
          </cell>
          <cell r="D161">
            <v>2360407</v>
          </cell>
          <cell r="E161">
            <v>1568226</v>
          </cell>
          <cell r="F161">
            <v>26257</v>
          </cell>
          <cell r="G161">
            <v>191594</v>
          </cell>
          <cell r="H161">
            <v>2856128</v>
          </cell>
          <cell r="I161">
            <v>132479</v>
          </cell>
          <cell r="J161">
            <v>43678645</v>
          </cell>
          <cell r="K161">
            <v>1594006</v>
          </cell>
          <cell r="L161">
            <v>520243</v>
          </cell>
          <cell r="M161">
            <v>915224</v>
          </cell>
          <cell r="N161">
            <v>423430</v>
          </cell>
          <cell r="O161">
            <v>0</v>
          </cell>
          <cell r="P161">
            <v>82819</v>
          </cell>
          <cell r="Q161">
            <v>295368</v>
          </cell>
          <cell r="R161">
            <v>153185</v>
          </cell>
          <cell r="S161">
            <v>44681</v>
          </cell>
          <cell r="T161">
            <v>11916588</v>
          </cell>
          <cell r="U161">
            <v>81697749</v>
          </cell>
          <cell r="V161">
            <v>415223</v>
          </cell>
          <cell r="W161">
            <v>3576952</v>
          </cell>
          <cell r="X161">
            <v>596204</v>
          </cell>
          <cell r="Y161">
            <v>27197029</v>
          </cell>
          <cell r="Z161">
            <v>3687494</v>
          </cell>
          <cell r="AA161">
            <v>1635432</v>
          </cell>
          <cell r="AB161">
            <v>313357</v>
          </cell>
          <cell r="AC161">
            <v>28123507</v>
          </cell>
          <cell r="AD161">
            <v>3951193</v>
          </cell>
          <cell r="AE161">
            <v>23470485</v>
          </cell>
          <cell r="AF161">
            <v>2199019</v>
          </cell>
          <cell r="AG161">
            <v>72986247</v>
          </cell>
          <cell r="AH161">
            <v>387518</v>
          </cell>
          <cell r="AI161">
            <v>2478756</v>
          </cell>
          <cell r="AJ161">
            <v>91204</v>
          </cell>
          <cell r="AK161">
            <v>14851246</v>
          </cell>
          <cell r="AL161">
            <v>33988</v>
          </cell>
          <cell r="AM161">
            <v>340054709</v>
          </cell>
        </row>
        <row r="165">
          <cell r="A165" t="str">
            <v>Year-to-Date Totals:</v>
          </cell>
        </row>
        <row r="166">
          <cell r="A166" t="str">
            <v>Beginning Balance</v>
          </cell>
          <cell r="B166">
            <v>5035284</v>
          </cell>
          <cell r="C166">
            <v>873881</v>
          </cell>
          <cell r="D166">
            <v>2179229</v>
          </cell>
          <cell r="E166">
            <v>1508182</v>
          </cell>
          <cell r="F166">
            <v>26257</v>
          </cell>
          <cell r="G166">
            <v>183770</v>
          </cell>
          <cell r="H166">
            <v>2857927</v>
          </cell>
          <cell r="I166">
            <v>132479</v>
          </cell>
          <cell r="J166">
            <v>42882483</v>
          </cell>
          <cell r="K166">
            <v>1423455</v>
          </cell>
          <cell r="L166">
            <v>520243</v>
          </cell>
          <cell r="M166">
            <v>887631</v>
          </cell>
          <cell r="N166">
            <v>423430</v>
          </cell>
          <cell r="O166">
            <v>0</v>
          </cell>
          <cell r="P166">
            <v>1168224</v>
          </cell>
          <cell r="Q166">
            <v>276642</v>
          </cell>
          <cell r="R166">
            <v>153185</v>
          </cell>
          <cell r="S166">
            <v>44681</v>
          </cell>
          <cell r="T166">
            <v>11055013</v>
          </cell>
          <cell r="U166">
            <v>84568646</v>
          </cell>
          <cell r="V166">
            <v>415223</v>
          </cell>
          <cell r="W166">
            <v>3616016</v>
          </cell>
          <cell r="X166">
            <v>596204</v>
          </cell>
          <cell r="Y166">
            <v>25615888</v>
          </cell>
          <cell r="Z166">
            <v>3435151</v>
          </cell>
          <cell r="AA166">
            <v>1625473</v>
          </cell>
          <cell r="AB166">
            <v>365104</v>
          </cell>
          <cell r="AC166">
            <v>27158873</v>
          </cell>
          <cell r="AD166">
            <v>3058156</v>
          </cell>
          <cell r="AE166">
            <v>22776445</v>
          </cell>
          <cell r="AF166">
            <v>2222425</v>
          </cell>
          <cell r="AG166">
            <v>68743777</v>
          </cell>
          <cell r="AH166">
            <v>212675</v>
          </cell>
          <cell r="AI166">
            <v>2272083</v>
          </cell>
          <cell r="AJ166">
            <v>91204</v>
          </cell>
          <cell r="AK166">
            <v>14003971</v>
          </cell>
          <cell r="AL166">
            <v>33988</v>
          </cell>
          <cell r="AM166">
            <v>332443298</v>
          </cell>
        </row>
        <row r="168">
          <cell r="A168" t="str">
            <v xml:space="preserve">   Additions</v>
          </cell>
          <cell r="B168">
            <v>0</v>
          </cell>
          <cell r="C168">
            <v>0</v>
          </cell>
          <cell r="D168">
            <v>239251</v>
          </cell>
          <cell r="E168">
            <v>474925</v>
          </cell>
          <cell r="F168">
            <v>0</v>
          </cell>
          <cell r="G168">
            <v>4490</v>
          </cell>
          <cell r="H168">
            <v>132009</v>
          </cell>
          <cell r="I168">
            <v>0</v>
          </cell>
          <cell r="J168">
            <v>995636</v>
          </cell>
          <cell r="K168">
            <v>220955</v>
          </cell>
          <cell r="L168">
            <v>0</v>
          </cell>
          <cell r="M168">
            <v>27593</v>
          </cell>
          <cell r="N168">
            <v>0</v>
          </cell>
          <cell r="O168">
            <v>0</v>
          </cell>
          <cell r="P168">
            <v>6739</v>
          </cell>
          <cell r="Q168">
            <v>18726</v>
          </cell>
          <cell r="R168">
            <v>0</v>
          </cell>
          <cell r="S168">
            <v>0</v>
          </cell>
          <cell r="T168">
            <v>1153774</v>
          </cell>
          <cell r="U168">
            <v>4093534</v>
          </cell>
          <cell r="V168">
            <v>0</v>
          </cell>
          <cell r="W168">
            <v>9804</v>
          </cell>
          <cell r="X168">
            <v>0</v>
          </cell>
          <cell r="Y168">
            <v>4577364</v>
          </cell>
          <cell r="Z168">
            <v>477355</v>
          </cell>
          <cell r="AA168">
            <v>37312</v>
          </cell>
          <cell r="AB168">
            <v>0</v>
          </cell>
          <cell r="AC168">
            <v>1095470</v>
          </cell>
          <cell r="AD168">
            <v>854692</v>
          </cell>
          <cell r="AE168">
            <v>782685</v>
          </cell>
          <cell r="AF168">
            <v>65213</v>
          </cell>
          <cell r="AG168">
            <v>4401790</v>
          </cell>
          <cell r="AH168">
            <v>191313</v>
          </cell>
          <cell r="AI168">
            <v>202888</v>
          </cell>
          <cell r="AJ168">
            <v>0</v>
          </cell>
          <cell r="AK168">
            <v>988505</v>
          </cell>
          <cell r="AL168">
            <v>0</v>
          </cell>
          <cell r="AM168">
            <v>21052023</v>
          </cell>
        </row>
        <row r="170">
          <cell r="A170" t="str">
            <v xml:space="preserve">   Retirements</v>
          </cell>
          <cell r="B170">
            <v>0</v>
          </cell>
          <cell r="C170">
            <v>306339</v>
          </cell>
          <cell r="D170">
            <v>58073</v>
          </cell>
          <cell r="E170">
            <v>414881</v>
          </cell>
          <cell r="F170">
            <v>0</v>
          </cell>
          <cell r="G170">
            <v>0</v>
          </cell>
          <cell r="H170">
            <v>25087</v>
          </cell>
          <cell r="I170">
            <v>0</v>
          </cell>
          <cell r="J170">
            <v>199474</v>
          </cell>
          <cell r="K170">
            <v>50404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1032584</v>
          </cell>
          <cell r="Q170">
            <v>0</v>
          </cell>
          <cell r="R170">
            <v>0</v>
          </cell>
          <cell r="S170">
            <v>0</v>
          </cell>
          <cell r="T170">
            <v>292199</v>
          </cell>
          <cell r="U170">
            <v>6719192</v>
          </cell>
          <cell r="V170">
            <v>0</v>
          </cell>
          <cell r="W170">
            <v>48868</v>
          </cell>
          <cell r="X170">
            <v>0</v>
          </cell>
          <cell r="Y170">
            <v>2717704</v>
          </cell>
          <cell r="Z170">
            <v>225012</v>
          </cell>
          <cell r="AA170">
            <v>27353</v>
          </cell>
          <cell r="AB170">
            <v>0</v>
          </cell>
          <cell r="AC170">
            <v>224106</v>
          </cell>
          <cell r="AD170">
            <v>0</v>
          </cell>
          <cell r="AE170">
            <v>5285</v>
          </cell>
          <cell r="AF170">
            <v>0</v>
          </cell>
          <cell r="AG170">
            <v>186352</v>
          </cell>
          <cell r="AH170">
            <v>0</v>
          </cell>
          <cell r="AI170">
            <v>11781</v>
          </cell>
          <cell r="AJ170">
            <v>0</v>
          </cell>
          <cell r="AK170">
            <v>5</v>
          </cell>
          <cell r="AL170">
            <v>0</v>
          </cell>
          <cell r="AM170">
            <v>12544699</v>
          </cell>
        </row>
        <row r="172">
          <cell r="A172" t="str">
            <v xml:space="preserve">   Adjustments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3334</v>
          </cell>
          <cell r="H172">
            <v>-108721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-59560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567089</v>
          </cell>
          <cell r="V172">
            <v>0</v>
          </cell>
          <cell r="W172">
            <v>0</v>
          </cell>
          <cell r="X172">
            <v>0</v>
          </cell>
          <cell r="Y172">
            <v>75131</v>
          </cell>
          <cell r="Z172">
            <v>0</v>
          </cell>
          <cell r="AA172">
            <v>0</v>
          </cell>
          <cell r="AB172">
            <v>-51747</v>
          </cell>
          <cell r="AC172">
            <v>51747</v>
          </cell>
          <cell r="AD172">
            <v>142993</v>
          </cell>
          <cell r="AE172">
            <v>-142993</v>
          </cell>
          <cell r="AF172">
            <v>-88619</v>
          </cell>
          <cell r="AG172">
            <v>88619</v>
          </cell>
          <cell r="AH172">
            <v>-16470</v>
          </cell>
          <cell r="AI172">
            <v>16470</v>
          </cell>
          <cell r="AJ172">
            <v>0</v>
          </cell>
          <cell r="AK172">
            <v>0</v>
          </cell>
          <cell r="AL172">
            <v>0</v>
          </cell>
          <cell r="AM172">
            <v>477273</v>
          </cell>
        </row>
        <row r="174">
          <cell r="A174" t="str">
            <v xml:space="preserve">   Work Order Adjustments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-812328</v>
          </cell>
          <cell r="V174">
            <v>0</v>
          </cell>
          <cell r="W174">
            <v>0</v>
          </cell>
          <cell r="X174">
            <v>0</v>
          </cell>
          <cell r="Y174">
            <v>-353650</v>
          </cell>
          <cell r="Z174">
            <v>0</v>
          </cell>
          <cell r="AA174">
            <v>0</v>
          </cell>
          <cell r="AB174">
            <v>0</v>
          </cell>
          <cell r="AC174">
            <v>41523</v>
          </cell>
          <cell r="AD174">
            <v>-104648</v>
          </cell>
          <cell r="AE174">
            <v>59633</v>
          </cell>
          <cell r="AF174">
            <v>0</v>
          </cell>
          <cell r="AG174">
            <v>-61587</v>
          </cell>
          <cell r="AH174">
            <v>0</v>
          </cell>
          <cell r="AI174">
            <v>-904</v>
          </cell>
          <cell r="AJ174">
            <v>0</v>
          </cell>
          <cell r="AK174">
            <v>-141225</v>
          </cell>
          <cell r="AL174">
            <v>0</v>
          </cell>
          <cell r="AM174">
            <v>-1373186</v>
          </cell>
        </row>
        <row r="175">
          <cell r="A175" t="str">
            <v>Year-to-Date Totals:</v>
          </cell>
          <cell r="B175">
            <v>5035284</v>
          </cell>
          <cell r="C175">
            <v>567542</v>
          </cell>
          <cell r="D175">
            <v>2360407</v>
          </cell>
          <cell r="E175">
            <v>1568226</v>
          </cell>
          <cell r="F175">
            <v>26257</v>
          </cell>
          <cell r="G175">
            <v>191594</v>
          </cell>
          <cell r="H175">
            <v>2856128</v>
          </cell>
          <cell r="I175">
            <v>132479</v>
          </cell>
          <cell r="J175">
            <v>43678645</v>
          </cell>
          <cell r="K175">
            <v>1594006</v>
          </cell>
          <cell r="L175">
            <v>520243</v>
          </cell>
          <cell r="M175">
            <v>915224</v>
          </cell>
          <cell r="N175">
            <v>423430</v>
          </cell>
          <cell r="O175">
            <v>0</v>
          </cell>
          <cell r="P175">
            <v>82819</v>
          </cell>
          <cell r="Q175">
            <v>295368</v>
          </cell>
          <cell r="R175">
            <v>153185</v>
          </cell>
          <cell r="S175">
            <v>44681</v>
          </cell>
          <cell r="T175">
            <v>11916588</v>
          </cell>
          <cell r="U175">
            <v>81697749</v>
          </cell>
          <cell r="V175">
            <v>415223</v>
          </cell>
          <cell r="W175">
            <v>3576952</v>
          </cell>
          <cell r="X175">
            <v>596204</v>
          </cell>
          <cell r="Y175">
            <v>27197029</v>
          </cell>
          <cell r="Z175">
            <v>3687494</v>
          </cell>
          <cell r="AA175">
            <v>1635432</v>
          </cell>
          <cell r="AB175">
            <v>313357</v>
          </cell>
          <cell r="AC175">
            <v>28123507</v>
          </cell>
          <cell r="AD175">
            <v>3951193</v>
          </cell>
          <cell r="AE175">
            <v>23470485</v>
          </cell>
          <cell r="AF175">
            <v>2199019</v>
          </cell>
          <cell r="AG175">
            <v>72986247</v>
          </cell>
          <cell r="AH175">
            <v>387518</v>
          </cell>
          <cell r="AI175">
            <v>2478756</v>
          </cell>
          <cell r="AJ175">
            <v>91204</v>
          </cell>
          <cell r="AK175">
            <v>14851246</v>
          </cell>
          <cell r="AL175">
            <v>33988</v>
          </cell>
          <cell r="AM175">
            <v>340054709</v>
          </cell>
        </row>
        <row r="178">
          <cell r="A178" t="str">
            <v>Work Order Adjustments Check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</row>
        <row r="180">
          <cell r="A180" t="str">
            <v>Outside Plant Additions</v>
          </cell>
          <cell r="AA180">
            <v>37312</v>
          </cell>
          <cell r="AB180">
            <v>0</v>
          </cell>
          <cell r="AC180">
            <v>1095470</v>
          </cell>
          <cell r="AD180">
            <v>854692</v>
          </cell>
          <cell r="AE180">
            <v>782685</v>
          </cell>
          <cell r="AF180">
            <v>65213</v>
          </cell>
          <cell r="AG180">
            <v>4401790</v>
          </cell>
          <cell r="AH180">
            <v>191313</v>
          </cell>
          <cell r="AI180">
            <v>202888</v>
          </cell>
          <cell r="AJ180">
            <v>0</v>
          </cell>
          <cell r="AK180">
            <v>988505</v>
          </cell>
        </row>
        <row r="181">
          <cell r="A181" t="str">
            <v>Inside Plant Additions</v>
          </cell>
          <cell r="B181">
            <v>0</v>
          </cell>
          <cell r="C181">
            <v>0</v>
          </cell>
          <cell r="D181">
            <v>239251</v>
          </cell>
          <cell r="E181">
            <v>474925</v>
          </cell>
          <cell r="F181">
            <v>0</v>
          </cell>
          <cell r="G181">
            <v>4490</v>
          </cell>
          <cell r="H181">
            <v>132009</v>
          </cell>
          <cell r="I181">
            <v>0</v>
          </cell>
          <cell r="J181">
            <v>995636</v>
          </cell>
          <cell r="K181">
            <v>220955</v>
          </cell>
          <cell r="L181">
            <v>0</v>
          </cell>
          <cell r="M181">
            <v>27593</v>
          </cell>
          <cell r="N181">
            <v>0</v>
          </cell>
          <cell r="O181">
            <v>0</v>
          </cell>
          <cell r="P181">
            <v>6739</v>
          </cell>
          <cell r="Q181">
            <v>18726</v>
          </cell>
          <cell r="R181">
            <v>0</v>
          </cell>
          <cell r="S181">
            <v>0</v>
          </cell>
          <cell r="T181">
            <v>1153774</v>
          </cell>
          <cell r="U181">
            <v>4093534</v>
          </cell>
          <cell r="V181">
            <v>0</v>
          </cell>
          <cell r="W181">
            <v>9804</v>
          </cell>
          <cell r="X181">
            <v>0</v>
          </cell>
          <cell r="Y181">
            <v>4577364</v>
          </cell>
          <cell r="Z181">
            <v>477355</v>
          </cell>
        </row>
      </sheetData>
      <sheetData sheetId="1">
        <row r="8">
          <cell r="C8" t="str">
            <v>3121-121</v>
          </cell>
          <cell r="D8" t="str">
            <v>3121-122</v>
          </cell>
          <cell r="E8" t="str">
            <v>3121-123</v>
          </cell>
          <cell r="F8" t="str">
            <v>3121-14</v>
          </cell>
          <cell r="G8" t="str">
            <v>3121-15</v>
          </cell>
          <cell r="H8" t="str">
            <v>3121-16</v>
          </cell>
          <cell r="I8" t="str">
            <v>3121-166</v>
          </cell>
          <cell r="J8" t="str">
            <v>3121-21</v>
          </cell>
          <cell r="K8" t="str">
            <v>3121-22</v>
          </cell>
          <cell r="L8" t="str">
            <v>3121-226</v>
          </cell>
          <cell r="M8" t="str">
            <v>3121-230</v>
          </cell>
          <cell r="N8" t="str">
            <v>3121-231</v>
          </cell>
          <cell r="O8" t="str">
            <v>3121-232</v>
          </cell>
          <cell r="P8" t="str">
            <v>3121-233</v>
          </cell>
          <cell r="Q8" t="str">
            <v>3121-234</v>
          </cell>
          <cell r="R8" t="str">
            <v>3121-235</v>
          </cell>
          <cell r="S8" t="str">
            <v>3121-236</v>
          </cell>
          <cell r="T8" t="str">
            <v>3121-24</v>
          </cell>
          <cell r="U8" t="str">
            <v>3122-12</v>
          </cell>
          <cell r="V8" t="str">
            <v>3122-126</v>
          </cell>
          <cell r="W8" t="str">
            <v>3122-20</v>
          </cell>
          <cell r="X8" t="str">
            <v>3122-31</v>
          </cell>
          <cell r="Y8" t="str">
            <v>3122-32</v>
          </cell>
          <cell r="Z8" t="str">
            <v>3123-51</v>
          </cell>
          <cell r="AA8" t="str">
            <v>3124-11</v>
          </cell>
          <cell r="AB8" t="str">
            <v>3124-213</v>
          </cell>
          <cell r="AC8" t="str">
            <v>3124-214</v>
          </cell>
          <cell r="AD8" t="str">
            <v>3124-223</v>
          </cell>
          <cell r="AE8" t="str">
            <v>3124-224</v>
          </cell>
          <cell r="AF8" t="str">
            <v>3124-233</v>
          </cell>
          <cell r="AG8" t="str">
            <v>3124-234</v>
          </cell>
          <cell r="AH8" t="str">
            <v>3124-263</v>
          </cell>
          <cell r="AI8" t="str">
            <v>3124-264</v>
          </cell>
          <cell r="AJ8" t="str">
            <v>3124-31</v>
          </cell>
          <cell r="AK8" t="str">
            <v>3124-41</v>
          </cell>
          <cell r="AL8" t="str">
            <v>3426-820</v>
          </cell>
        </row>
        <row r="10">
          <cell r="C10">
            <v>639816.92000000004</v>
          </cell>
          <cell r="D10">
            <v>923443.55</v>
          </cell>
          <cell r="E10">
            <v>1018223.79</v>
          </cell>
          <cell r="F10">
            <v>29090.93</v>
          </cell>
          <cell r="G10">
            <v>193913.2</v>
          </cell>
          <cell r="H10">
            <v>1827939.44</v>
          </cell>
          <cell r="I10">
            <v>118833</v>
          </cell>
          <cell r="J10">
            <v>10230549.130000001</v>
          </cell>
          <cell r="K10">
            <v>466836.56</v>
          </cell>
          <cell r="L10">
            <v>338917</v>
          </cell>
          <cell r="M10">
            <v>35287.379999999997</v>
          </cell>
          <cell r="N10">
            <v>1067469.23</v>
          </cell>
          <cell r="O10">
            <v>9230.1600000000253</v>
          </cell>
          <cell r="P10">
            <v>1083670.26</v>
          </cell>
          <cell r="Q10">
            <v>11781.19</v>
          </cell>
          <cell r="R10">
            <v>985750.22</v>
          </cell>
          <cell r="S10">
            <v>31097</v>
          </cell>
          <cell r="T10">
            <v>10675938.130000001</v>
          </cell>
          <cell r="U10">
            <v>18265153.199999999</v>
          </cell>
          <cell r="V10">
            <v>289554</v>
          </cell>
          <cell r="W10">
            <v>2338922.39</v>
          </cell>
          <cell r="X10">
            <v>423363.97</v>
          </cell>
          <cell r="Y10">
            <v>12536514.93</v>
          </cell>
          <cell r="Z10">
            <v>2505819.17</v>
          </cell>
          <cell r="AA10">
            <v>1263594.74</v>
          </cell>
          <cell r="AB10">
            <v>208417.54</v>
          </cell>
          <cell r="AC10">
            <v>16697289.220000001</v>
          </cell>
          <cell r="AD10">
            <v>634203.97</v>
          </cell>
          <cell r="AE10">
            <v>9212373.6599999983</v>
          </cell>
          <cell r="AF10">
            <v>684600.88</v>
          </cell>
          <cell r="AG10">
            <v>24292701.870000001</v>
          </cell>
          <cell r="AH10">
            <v>11788.38</v>
          </cell>
          <cell r="AI10">
            <v>738440.27</v>
          </cell>
          <cell r="AJ10">
            <v>135412.47</v>
          </cell>
          <cell r="AK10">
            <v>3417682.05</v>
          </cell>
          <cell r="AL10">
            <v>11336</v>
          </cell>
          <cell r="AM10">
            <v>123354955.8</v>
          </cell>
        </row>
        <row r="12">
          <cell r="AM12">
            <v>0</v>
          </cell>
        </row>
        <row r="14">
          <cell r="AM14">
            <v>0</v>
          </cell>
        </row>
        <row r="16">
          <cell r="C16">
            <v>10319.08</v>
          </cell>
          <cell r="D16">
            <v>22064.69</v>
          </cell>
          <cell r="E16">
            <v>11311.37</v>
          </cell>
          <cell r="F16">
            <v>196.93</v>
          </cell>
          <cell r="G16">
            <v>1531.42</v>
          </cell>
          <cell r="H16">
            <v>21932.81</v>
          </cell>
          <cell r="I16">
            <v>379.06</v>
          </cell>
          <cell r="J16">
            <v>75524.67</v>
          </cell>
          <cell r="K16">
            <v>6813.42</v>
          </cell>
          <cell r="L16">
            <v>5036.83</v>
          </cell>
          <cell r="M16">
            <v>3542.9</v>
          </cell>
          <cell r="N16">
            <v>7057.17</v>
          </cell>
          <cell r="O16">
            <v>40.47</v>
          </cell>
          <cell r="P16">
            <v>9739.49</v>
          </cell>
          <cell r="Q16">
            <v>1537.67</v>
          </cell>
          <cell r="R16">
            <v>12209.28</v>
          </cell>
          <cell r="S16">
            <v>377.33</v>
          </cell>
          <cell r="T16">
            <v>191362.83</v>
          </cell>
          <cell r="U16">
            <v>394891.42</v>
          </cell>
          <cell r="V16">
            <v>3490.81</v>
          </cell>
          <cell r="W16">
            <v>29729.06</v>
          </cell>
          <cell r="X16">
            <v>3820.67</v>
          </cell>
          <cell r="Y16">
            <v>162541.70000000001</v>
          </cell>
          <cell r="Z16">
            <v>28850.55</v>
          </cell>
          <cell r="AA16">
            <v>8650.58</v>
          </cell>
          <cell r="AB16">
            <v>1703.82</v>
          </cell>
          <cell r="AC16">
            <v>126326.87</v>
          </cell>
          <cell r="AD16">
            <v>8776.26</v>
          </cell>
          <cell r="AE16">
            <v>69003.92</v>
          </cell>
          <cell r="AF16">
            <v>6794.41</v>
          </cell>
          <cell r="AG16">
            <v>205588.97</v>
          </cell>
          <cell r="AH16">
            <v>637.12</v>
          </cell>
          <cell r="AI16">
            <v>6638.71</v>
          </cell>
          <cell r="AJ16">
            <v>494.02</v>
          </cell>
          <cell r="AK16">
            <v>22926.04</v>
          </cell>
          <cell r="AL16">
            <v>1417</v>
          </cell>
          <cell r="AM16">
            <v>1463259.3499999999</v>
          </cell>
        </row>
        <row r="18">
          <cell r="AM18">
            <v>0</v>
          </cell>
        </row>
        <row r="20">
          <cell r="AM20">
            <v>0</v>
          </cell>
        </row>
        <row r="21">
          <cell r="C21">
            <v>650136</v>
          </cell>
          <cell r="D21">
            <v>945508.24</v>
          </cell>
          <cell r="E21">
            <v>1029535.16</v>
          </cell>
          <cell r="F21">
            <v>29287.86</v>
          </cell>
          <cell r="G21">
            <v>195444.62000000002</v>
          </cell>
          <cell r="H21">
            <v>1849872.25</v>
          </cell>
          <cell r="I21">
            <v>119212.06</v>
          </cell>
          <cell r="J21">
            <v>10306073.800000001</v>
          </cell>
          <cell r="K21">
            <v>473649.98</v>
          </cell>
          <cell r="L21">
            <v>343953.83</v>
          </cell>
          <cell r="M21">
            <v>38830.28</v>
          </cell>
          <cell r="N21">
            <v>1074526.3999999999</v>
          </cell>
          <cell r="O21">
            <v>9270.6300000000247</v>
          </cell>
          <cell r="P21">
            <v>1093409.75</v>
          </cell>
          <cell r="Q21">
            <v>13318.86</v>
          </cell>
          <cell r="R21">
            <v>997959.5</v>
          </cell>
          <cell r="S21">
            <v>31474.33</v>
          </cell>
          <cell r="T21">
            <v>10867300.960000001</v>
          </cell>
          <cell r="U21">
            <v>18660044.620000001</v>
          </cell>
          <cell r="V21">
            <v>293044.81</v>
          </cell>
          <cell r="W21">
            <v>2368651.4500000002</v>
          </cell>
          <cell r="X21">
            <v>427184.63999999996</v>
          </cell>
          <cell r="Y21">
            <v>12699056.629999999</v>
          </cell>
          <cell r="Z21">
            <v>2534669.7199999997</v>
          </cell>
          <cell r="AA21">
            <v>1272245.32</v>
          </cell>
          <cell r="AB21">
            <v>210121.36000000002</v>
          </cell>
          <cell r="AC21">
            <v>16823616.09</v>
          </cell>
          <cell r="AD21">
            <v>642980.23</v>
          </cell>
          <cell r="AE21">
            <v>9281377.5799999982</v>
          </cell>
          <cell r="AF21">
            <v>691395.29</v>
          </cell>
          <cell r="AG21">
            <v>24498290.84</v>
          </cell>
          <cell r="AH21">
            <v>12425.5</v>
          </cell>
          <cell r="AI21">
            <v>745078.98</v>
          </cell>
          <cell r="AJ21">
            <v>135906.49</v>
          </cell>
          <cell r="AK21">
            <v>3440608.09</v>
          </cell>
          <cell r="AL21">
            <v>12753</v>
          </cell>
          <cell r="AM21">
            <v>124818215.14999999</v>
          </cell>
        </row>
        <row r="24">
          <cell r="AM24">
            <v>0</v>
          </cell>
        </row>
        <row r="26">
          <cell r="AM26">
            <v>0</v>
          </cell>
        </row>
        <row r="28">
          <cell r="C28">
            <v>10319.08</v>
          </cell>
          <cell r="D28">
            <v>22064.69</v>
          </cell>
          <cell r="E28">
            <v>11311.37</v>
          </cell>
          <cell r="F28">
            <v>196.93</v>
          </cell>
          <cell r="G28">
            <v>1531.42</v>
          </cell>
          <cell r="H28">
            <v>21434.45</v>
          </cell>
          <cell r="I28">
            <v>379.06</v>
          </cell>
          <cell r="J28">
            <v>76116.41</v>
          </cell>
          <cell r="K28">
            <v>5634.51</v>
          </cell>
          <cell r="L28">
            <v>5036.83</v>
          </cell>
          <cell r="M28">
            <v>3513.54</v>
          </cell>
          <cell r="N28">
            <v>7057.17</v>
          </cell>
          <cell r="P28">
            <v>9735.2000000000007</v>
          </cell>
          <cell r="Q28">
            <v>1537.67</v>
          </cell>
          <cell r="R28">
            <v>3560.27</v>
          </cell>
          <cell r="S28">
            <v>377.33</v>
          </cell>
          <cell r="T28">
            <v>184250.22</v>
          </cell>
          <cell r="U28">
            <v>390862.82</v>
          </cell>
          <cell r="V28">
            <v>3490.81</v>
          </cell>
          <cell r="W28">
            <v>30133.47</v>
          </cell>
          <cell r="X28">
            <v>3820.67</v>
          </cell>
          <cell r="Y28">
            <v>161888.84</v>
          </cell>
          <cell r="Z28">
            <v>28626.26</v>
          </cell>
          <cell r="AA28">
            <v>8669.19</v>
          </cell>
          <cell r="AB28">
            <v>1703.82</v>
          </cell>
          <cell r="AC28">
            <v>126935.18</v>
          </cell>
          <cell r="AD28">
            <v>9008.2000000000007</v>
          </cell>
          <cell r="AE28">
            <v>69650.039999999994</v>
          </cell>
          <cell r="AF28">
            <v>6778.4</v>
          </cell>
          <cell r="AG28">
            <v>209480.68</v>
          </cell>
          <cell r="AH28">
            <v>648.66</v>
          </cell>
          <cell r="AI28">
            <v>6927.1</v>
          </cell>
          <cell r="AJ28">
            <v>494.02</v>
          </cell>
          <cell r="AK28">
            <v>23104.58</v>
          </cell>
          <cell r="AL28">
            <v>1417</v>
          </cell>
          <cell r="AM28">
            <v>1447695.89</v>
          </cell>
        </row>
        <row r="30">
          <cell r="AM30">
            <v>0</v>
          </cell>
        </row>
        <row r="32">
          <cell r="AM32">
            <v>0</v>
          </cell>
        </row>
        <row r="33">
          <cell r="C33">
            <v>660455.07999999996</v>
          </cell>
          <cell r="D33">
            <v>967572.92999999993</v>
          </cell>
          <cell r="E33">
            <v>1040846.53</v>
          </cell>
          <cell r="F33">
            <v>29484.79</v>
          </cell>
          <cell r="G33">
            <v>196976.04000000004</v>
          </cell>
          <cell r="H33">
            <v>1871306.7</v>
          </cell>
          <cell r="I33">
            <v>119591.12</v>
          </cell>
          <cell r="J33">
            <v>10382190.210000001</v>
          </cell>
          <cell r="K33">
            <v>479284.49</v>
          </cell>
          <cell r="L33">
            <v>348990.66000000003</v>
          </cell>
          <cell r="M33">
            <v>42343.82</v>
          </cell>
          <cell r="N33">
            <v>1081583.5699999998</v>
          </cell>
          <cell r="O33">
            <v>9270.6300000000247</v>
          </cell>
          <cell r="P33">
            <v>1103144.95</v>
          </cell>
          <cell r="Q33">
            <v>14856.53</v>
          </cell>
          <cell r="R33">
            <v>1001519.77</v>
          </cell>
          <cell r="S33">
            <v>31851.660000000003</v>
          </cell>
          <cell r="T33">
            <v>11051551.180000002</v>
          </cell>
          <cell r="U33">
            <v>19050907.440000001</v>
          </cell>
          <cell r="V33">
            <v>296535.62</v>
          </cell>
          <cell r="W33">
            <v>2398784.9200000004</v>
          </cell>
          <cell r="X33">
            <v>431005.30999999994</v>
          </cell>
          <cell r="Y33">
            <v>12860945.469999999</v>
          </cell>
          <cell r="Z33">
            <v>2563295.9799999995</v>
          </cell>
          <cell r="AA33">
            <v>1280914.51</v>
          </cell>
          <cell r="AB33">
            <v>211825.18000000002</v>
          </cell>
          <cell r="AC33">
            <v>16950551.27</v>
          </cell>
          <cell r="AD33">
            <v>651988.42999999993</v>
          </cell>
          <cell r="AE33">
            <v>9351027.6199999973</v>
          </cell>
          <cell r="AF33">
            <v>698173.69000000006</v>
          </cell>
          <cell r="AG33">
            <v>24707771.52</v>
          </cell>
          <cell r="AH33">
            <v>13074.16</v>
          </cell>
          <cell r="AI33">
            <v>752006.08</v>
          </cell>
          <cell r="AJ33">
            <v>136400.50999999998</v>
          </cell>
          <cell r="AK33">
            <v>3463712.67</v>
          </cell>
          <cell r="AL33">
            <v>14170</v>
          </cell>
          <cell r="AM33">
            <v>126265911.03999999</v>
          </cell>
        </row>
        <row r="36">
          <cell r="AM36">
            <v>0</v>
          </cell>
        </row>
        <row r="38">
          <cell r="C38">
            <v>21355</v>
          </cell>
          <cell r="U38">
            <v>79791</v>
          </cell>
          <cell r="Y38">
            <v>183025</v>
          </cell>
          <cell r="AM38">
            <v>284171</v>
          </cell>
        </row>
        <row r="40">
          <cell r="C40">
            <v>10319.08</v>
          </cell>
          <cell r="D40">
            <v>22064.69</v>
          </cell>
          <cell r="E40">
            <v>11311.37</v>
          </cell>
          <cell r="F40">
            <v>196.93</v>
          </cell>
          <cell r="G40">
            <v>1531.42</v>
          </cell>
          <cell r="H40">
            <v>21434.45</v>
          </cell>
          <cell r="I40">
            <v>379.06</v>
          </cell>
          <cell r="J40">
            <v>76116.41</v>
          </cell>
          <cell r="K40">
            <v>5634.51</v>
          </cell>
          <cell r="L40">
            <v>5036.83</v>
          </cell>
          <cell r="M40">
            <v>3513.54</v>
          </cell>
          <cell r="N40">
            <v>7057.17</v>
          </cell>
          <cell r="P40">
            <v>9735.2000000000007</v>
          </cell>
          <cell r="Q40">
            <v>1537.67</v>
          </cell>
          <cell r="R40">
            <v>3560.27</v>
          </cell>
          <cell r="S40">
            <v>377.33</v>
          </cell>
          <cell r="T40">
            <v>184250.22</v>
          </cell>
          <cell r="U40">
            <v>390862.82</v>
          </cell>
          <cell r="V40">
            <v>3490.81</v>
          </cell>
          <cell r="W40">
            <v>30133.47</v>
          </cell>
          <cell r="X40">
            <v>3820.67</v>
          </cell>
          <cell r="Y40">
            <v>161888.84</v>
          </cell>
          <cell r="Z40">
            <v>28626.26</v>
          </cell>
          <cell r="AA40">
            <v>8669.19</v>
          </cell>
          <cell r="AB40">
            <v>1703.82</v>
          </cell>
          <cell r="AC40">
            <v>126935.18</v>
          </cell>
          <cell r="AD40">
            <v>9008.2000000000007</v>
          </cell>
          <cell r="AE40">
            <v>69650.039999999994</v>
          </cell>
          <cell r="AF40">
            <v>6778.4</v>
          </cell>
          <cell r="AG40">
            <v>209480.68</v>
          </cell>
          <cell r="AH40">
            <v>648.66</v>
          </cell>
          <cell r="AI40">
            <v>6927.1</v>
          </cell>
          <cell r="AJ40">
            <v>494.02</v>
          </cell>
          <cell r="AK40">
            <v>23104.58</v>
          </cell>
          <cell r="AL40">
            <v>1417</v>
          </cell>
          <cell r="AM40">
            <v>1447695.89</v>
          </cell>
        </row>
        <row r="42">
          <cell r="AM42">
            <v>0</v>
          </cell>
        </row>
        <row r="44">
          <cell r="AM44">
            <v>0</v>
          </cell>
        </row>
        <row r="45">
          <cell r="C45">
            <v>649419.15999999992</v>
          </cell>
          <cell r="D45">
            <v>989637.61999999988</v>
          </cell>
          <cell r="E45">
            <v>1052157.9000000001</v>
          </cell>
          <cell r="F45">
            <v>29681.72</v>
          </cell>
          <cell r="G45">
            <v>198507.46000000005</v>
          </cell>
          <cell r="H45">
            <v>1892741.15</v>
          </cell>
          <cell r="I45">
            <v>119970.18</v>
          </cell>
          <cell r="J45">
            <v>10458306.620000001</v>
          </cell>
          <cell r="K45">
            <v>484919</v>
          </cell>
          <cell r="L45">
            <v>354027.49000000005</v>
          </cell>
          <cell r="M45">
            <v>45857.36</v>
          </cell>
          <cell r="N45">
            <v>1088640.7399999998</v>
          </cell>
          <cell r="O45">
            <v>9270.6300000000247</v>
          </cell>
          <cell r="P45">
            <v>1112880.1499999999</v>
          </cell>
          <cell r="Q45">
            <v>16394.2</v>
          </cell>
          <cell r="R45">
            <v>1005080.04</v>
          </cell>
          <cell r="S45">
            <v>32228.990000000005</v>
          </cell>
          <cell r="T45">
            <v>11235801.400000002</v>
          </cell>
          <cell r="U45">
            <v>19361979.260000002</v>
          </cell>
          <cell r="V45">
            <v>300026.43</v>
          </cell>
          <cell r="W45">
            <v>2428918.3900000006</v>
          </cell>
          <cell r="X45">
            <v>434825.97999999992</v>
          </cell>
          <cell r="Y45">
            <v>12839809.309999999</v>
          </cell>
          <cell r="Z45">
            <v>2591922.2399999993</v>
          </cell>
          <cell r="AA45">
            <v>1289583.7</v>
          </cell>
          <cell r="AB45">
            <v>213529.00000000003</v>
          </cell>
          <cell r="AC45">
            <v>17077486.449999999</v>
          </cell>
          <cell r="AD45">
            <v>660996.62999999989</v>
          </cell>
          <cell r="AE45">
            <v>9420677.6599999964</v>
          </cell>
          <cell r="AF45">
            <v>704952.09000000008</v>
          </cell>
          <cell r="AG45">
            <v>24917252.199999999</v>
          </cell>
          <cell r="AH45">
            <v>13722.82</v>
          </cell>
          <cell r="AI45">
            <v>758933.17999999993</v>
          </cell>
          <cell r="AJ45">
            <v>136894.52999999997</v>
          </cell>
          <cell r="AK45">
            <v>3486817.25</v>
          </cell>
          <cell r="AL45">
            <v>15587</v>
          </cell>
          <cell r="AM45">
            <v>127429435.92999999</v>
          </cell>
        </row>
        <row r="48">
          <cell r="AM48">
            <v>0</v>
          </cell>
        </row>
        <row r="50">
          <cell r="K50">
            <v>1707</v>
          </cell>
          <cell r="T50">
            <v>3721</v>
          </cell>
          <cell r="U50">
            <v>1231</v>
          </cell>
          <cell r="W50">
            <v>48868</v>
          </cell>
          <cell r="Y50">
            <v>642890</v>
          </cell>
          <cell r="AM50">
            <v>698417</v>
          </cell>
        </row>
        <row r="52">
          <cell r="C52">
            <v>10192.99</v>
          </cell>
          <cell r="D52">
            <v>22064.69</v>
          </cell>
          <cell r="E52">
            <v>11311.37</v>
          </cell>
          <cell r="F52">
            <v>196.93</v>
          </cell>
          <cell r="G52">
            <v>1545.31</v>
          </cell>
          <cell r="H52">
            <v>21548.19</v>
          </cell>
          <cell r="I52">
            <v>379.06</v>
          </cell>
          <cell r="J52">
            <v>76116.41</v>
          </cell>
          <cell r="K52">
            <v>5636.17</v>
          </cell>
          <cell r="L52">
            <v>5036.83</v>
          </cell>
          <cell r="M52">
            <v>3513.54</v>
          </cell>
          <cell r="N52">
            <v>7057.17</v>
          </cell>
          <cell r="P52">
            <v>9735.2000000000007</v>
          </cell>
          <cell r="Q52">
            <v>1537.67</v>
          </cell>
          <cell r="R52">
            <v>3560.27</v>
          </cell>
          <cell r="S52">
            <v>377.33</v>
          </cell>
          <cell r="T52">
            <v>184267.48</v>
          </cell>
          <cell r="U52">
            <v>390676.64</v>
          </cell>
          <cell r="V52">
            <v>3490.81</v>
          </cell>
          <cell r="W52">
            <v>30133.47</v>
          </cell>
          <cell r="X52">
            <v>3820.67</v>
          </cell>
          <cell r="Y52">
            <v>162121.35</v>
          </cell>
          <cell r="Z52">
            <v>28626.26</v>
          </cell>
          <cell r="AA52">
            <v>8669.19</v>
          </cell>
          <cell r="AB52">
            <v>1703.82</v>
          </cell>
          <cell r="AC52">
            <v>126935.18</v>
          </cell>
          <cell r="AD52">
            <v>9008.2000000000007</v>
          </cell>
          <cell r="AE52">
            <v>69650.039999999994</v>
          </cell>
          <cell r="AF52">
            <v>6778.4</v>
          </cell>
          <cell r="AG52">
            <v>209480.68</v>
          </cell>
          <cell r="AH52">
            <v>648.66</v>
          </cell>
          <cell r="AI52">
            <v>6927.1</v>
          </cell>
          <cell r="AJ52">
            <v>494.02</v>
          </cell>
          <cell r="AK52">
            <v>23104.58</v>
          </cell>
          <cell r="AL52">
            <v>1417</v>
          </cell>
          <cell r="AM52">
            <v>1447762.68</v>
          </cell>
        </row>
        <row r="54">
          <cell r="AM54">
            <v>0</v>
          </cell>
        </row>
        <row r="56">
          <cell r="AM56">
            <v>0</v>
          </cell>
        </row>
        <row r="57">
          <cell r="C57">
            <v>659612.14999999991</v>
          </cell>
          <cell r="D57">
            <v>1011702.3099999998</v>
          </cell>
          <cell r="E57">
            <v>1063469.2700000003</v>
          </cell>
          <cell r="F57">
            <v>29878.65</v>
          </cell>
          <cell r="G57">
            <v>200052.77000000005</v>
          </cell>
          <cell r="H57">
            <v>1914289.3399999999</v>
          </cell>
          <cell r="I57">
            <v>120349.23999999999</v>
          </cell>
          <cell r="J57">
            <v>10534423.030000001</v>
          </cell>
          <cell r="K57">
            <v>488848.17</v>
          </cell>
          <cell r="L57">
            <v>359064.32000000007</v>
          </cell>
          <cell r="M57">
            <v>49370.9</v>
          </cell>
          <cell r="N57">
            <v>1095697.9099999997</v>
          </cell>
          <cell r="O57">
            <v>9270.6300000000247</v>
          </cell>
          <cell r="P57">
            <v>1122615.3499999999</v>
          </cell>
          <cell r="Q57">
            <v>17931.870000000003</v>
          </cell>
          <cell r="R57">
            <v>1008640.31</v>
          </cell>
          <cell r="S57">
            <v>32606.320000000007</v>
          </cell>
          <cell r="T57">
            <v>11416347.880000003</v>
          </cell>
          <cell r="U57">
            <v>19751424.900000002</v>
          </cell>
          <cell r="V57">
            <v>303517.24</v>
          </cell>
          <cell r="W57">
            <v>2410183.8600000008</v>
          </cell>
          <cell r="X57">
            <v>438646.64999999991</v>
          </cell>
          <cell r="Y57">
            <v>12359040.659999998</v>
          </cell>
          <cell r="Z57">
            <v>2620548.4999999991</v>
          </cell>
          <cell r="AA57">
            <v>1298252.8899999999</v>
          </cell>
          <cell r="AB57">
            <v>215232.82000000004</v>
          </cell>
          <cell r="AC57">
            <v>17204421.629999999</v>
          </cell>
          <cell r="AD57">
            <v>670004.82999999984</v>
          </cell>
          <cell r="AE57">
            <v>9490327.6999999955</v>
          </cell>
          <cell r="AF57">
            <v>711730.49000000011</v>
          </cell>
          <cell r="AG57">
            <v>25126732.879999999</v>
          </cell>
          <cell r="AH57">
            <v>14371.48</v>
          </cell>
          <cell r="AI57">
            <v>765860.27999999991</v>
          </cell>
          <cell r="AJ57">
            <v>137388.54999999996</v>
          </cell>
          <cell r="AK57">
            <v>3509921.83</v>
          </cell>
          <cell r="AL57">
            <v>17004</v>
          </cell>
          <cell r="AM57">
            <v>128178781.61</v>
          </cell>
        </row>
        <row r="60">
          <cell r="AM60">
            <v>0</v>
          </cell>
        </row>
        <row r="62">
          <cell r="C62">
            <v>238737</v>
          </cell>
          <cell r="D62">
            <v>30819</v>
          </cell>
          <cell r="H62">
            <v>839</v>
          </cell>
          <cell r="U62">
            <v>57993</v>
          </cell>
          <cell r="AM62">
            <v>328388</v>
          </cell>
        </row>
        <row r="64">
          <cell r="C64">
            <v>10066.91</v>
          </cell>
          <cell r="D64">
            <v>22064.69</v>
          </cell>
          <cell r="E64">
            <v>11311.37</v>
          </cell>
          <cell r="F64">
            <v>196.93</v>
          </cell>
          <cell r="G64">
            <v>1559.2</v>
          </cell>
          <cell r="H64">
            <v>21273.77</v>
          </cell>
          <cell r="I64">
            <v>379.06</v>
          </cell>
          <cell r="J64">
            <v>76162.95</v>
          </cell>
          <cell r="K64">
            <v>5628.69</v>
          </cell>
          <cell r="L64">
            <v>5036.83</v>
          </cell>
          <cell r="M64">
            <v>3513.54</v>
          </cell>
          <cell r="N64">
            <v>7057.17</v>
          </cell>
          <cell r="P64">
            <v>9746.8700000000008</v>
          </cell>
          <cell r="Q64">
            <v>1562.54</v>
          </cell>
          <cell r="R64">
            <v>3560.27</v>
          </cell>
          <cell r="S64">
            <v>377.33</v>
          </cell>
          <cell r="T64">
            <v>184951.67999999999</v>
          </cell>
          <cell r="U64">
            <v>390531.85</v>
          </cell>
          <cell r="V64">
            <v>3490.81</v>
          </cell>
          <cell r="W64">
            <v>29929.85</v>
          </cell>
          <cell r="X64">
            <v>3820.67</v>
          </cell>
          <cell r="Y64">
            <v>160900.45000000001</v>
          </cell>
          <cell r="Z64">
            <v>28626.26</v>
          </cell>
          <cell r="AA64">
            <v>8710.9599999999991</v>
          </cell>
          <cell r="AB64">
            <v>1703.82</v>
          </cell>
          <cell r="AC64">
            <v>127437.1</v>
          </cell>
          <cell r="AD64">
            <v>9008.2000000000007</v>
          </cell>
          <cell r="AE64">
            <v>70058.649999999994</v>
          </cell>
          <cell r="AF64">
            <v>6778.4</v>
          </cell>
          <cell r="AG64">
            <v>211277.27</v>
          </cell>
          <cell r="AH64">
            <v>648.66</v>
          </cell>
          <cell r="AI64">
            <v>7183.26</v>
          </cell>
          <cell r="AJ64">
            <v>494.02</v>
          </cell>
          <cell r="AK64">
            <v>23344.19</v>
          </cell>
          <cell r="AL64">
            <v>1417</v>
          </cell>
          <cell r="AM64">
            <v>1449811.2199999995</v>
          </cell>
        </row>
        <row r="66">
          <cell r="AM66">
            <v>0</v>
          </cell>
        </row>
        <row r="68">
          <cell r="AG68">
            <v>372.33</v>
          </cell>
          <cell r="AI68">
            <v>214.75</v>
          </cell>
          <cell r="AM68">
            <v>587.07999999999993</v>
          </cell>
        </row>
        <row r="69">
          <cell r="C69">
            <v>430942.05999999988</v>
          </cell>
          <cell r="D69">
            <v>1002947.9999999998</v>
          </cell>
          <cell r="E69">
            <v>1074780.6400000004</v>
          </cell>
          <cell r="F69">
            <v>30075.58</v>
          </cell>
          <cell r="G69">
            <v>201611.97000000006</v>
          </cell>
          <cell r="H69">
            <v>1934724.1099999999</v>
          </cell>
          <cell r="I69">
            <v>120728.29999999999</v>
          </cell>
          <cell r="J69">
            <v>10610585.98</v>
          </cell>
          <cell r="K69">
            <v>494476.86</v>
          </cell>
          <cell r="L69">
            <v>364101.15000000008</v>
          </cell>
          <cell r="M69">
            <v>52884.44</v>
          </cell>
          <cell r="N69">
            <v>1102755.0799999996</v>
          </cell>
          <cell r="O69">
            <v>9270.6300000000247</v>
          </cell>
          <cell r="P69">
            <v>1132362.22</v>
          </cell>
          <cell r="Q69">
            <v>19494.410000000003</v>
          </cell>
          <cell r="R69">
            <v>1012200.5800000001</v>
          </cell>
          <cell r="S69">
            <v>32983.650000000009</v>
          </cell>
          <cell r="T69">
            <v>11601299.560000002</v>
          </cell>
          <cell r="U69">
            <v>20083963.750000004</v>
          </cell>
          <cell r="V69">
            <v>307008.05</v>
          </cell>
          <cell r="W69">
            <v>2440113.7100000009</v>
          </cell>
          <cell r="X69">
            <v>442467.31999999989</v>
          </cell>
          <cell r="Y69">
            <v>12519941.109999998</v>
          </cell>
          <cell r="Z69">
            <v>2649174.7599999988</v>
          </cell>
          <cell r="AA69">
            <v>1306963.8499999999</v>
          </cell>
          <cell r="AB69">
            <v>216936.64000000004</v>
          </cell>
          <cell r="AC69">
            <v>17331858.73</v>
          </cell>
          <cell r="AD69">
            <v>679013.0299999998</v>
          </cell>
          <cell r="AE69">
            <v>9560386.3499999959</v>
          </cell>
          <cell r="AF69">
            <v>718508.89000000013</v>
          </cell>
          <cell r="AG69">
            <v>25338382.479999997</v>
          </cell>
          <cell r="AH69">
            <v>15020.14</v>
          </cell>
          <cell r="AI69">
            <v>773258.28999999992</v>
          </cell>
          <cell r="AJ69">
            <v>137882.56999999995</v>
          </cell>
          <cell r="AK69">
            <v>3533266.02</v>
          </cell>
          <cell r="AL69">
            <v>18421</v>
          </cell>
          <cell r="AM69">
            <v>129300791.91</v>
          </cell>
        </row>
        <row r="72">
          <cell r="AA72">
            <v>1463.47</v>
          </cell>
          <cell r="AC72">
            <v>66743.429999999993</v>
          </cell>
          <cell r="AE72">
            <v>11908.54</v>
          </cell>
          <cell r="AG72">
            <v>11811.07</v>
          </cell>
          <cell r="AM72">
            <v>91926.510000000009</v>
          </cell>
        </row>
        <row r="74">
          <cell r="K74">
            <v>13163</v>
          </cell>
          <cell r="P74">
            <v>11916</v>
          </cell>
          <cell r="T74">
            <v>54926</v>
          </cell>
          <cell r="U74">
            <v>2852</v>
          </cell>
          <cell r="Y74">
            <v>207072</v>
          </cell>
          <cell r="AM74">
            <v>289929</v>
          </cell>
        </row>
        <row r="76">
          <cell r="C76">
            <v>8657.3700000000008</v>
          </cell>
          <cell r="D76">
            <v>21908.67</v>
          </cell>
          <cell r="E76">
            <v>11311.37</v>
          </cell>
          <cell r="F76">
            <v>196.93</v>
          </cell>
          <cell r="G76">
            <v>1559.2</v>
          </cell>
          <cell r="H76">
            <v>20882.47</v>
          </cell>
          <cell r="I76">
            <v>379.06</v>
          </cell>
          <cell r="J76">
            <v>76212.759999999995</v>
          </cell>
          <cell r="K76">
            <v>5622</v>
          </cell>
          <cell r="L76">
            <v>5036.83</v>
          </cell>
          <cell r="M76">
            <v>3513.54</v>
          </cell>
          <cell r="N76">
            <v>7057.17</v>
          </cell>
          <cell r="O76">
            <v>0</v>
          </cell>
          <cell r="P76">
            <v>12723.53</v>
          </cell>
          <cell r="Q76">
            <v>1587.42</v>
          </cell>
          <cell r="R76">
            <v>3560.27</v>
          </cell>
          <cell r="S76">
            <v>377.33</v>
          </cell>
          <cell r="T76">
            <v>185622.41</v>
          </cell>
          <cell r="U76">
            <v>390432.18</v>
          </cell>
          <cell r="V76">
            <v>3490.81</v>
          </cell>
          <cell r="W76">
            <v>29726.23</v>
          </cell>
          <cell r="X76">
            <v>3820.67</v>
          </cell>
          <cell r="Y76">
            <v>158875.38</v>
          </cell>
          <cell r="Z76">
            <v>28626.26</v>
          </cell>
          <cell r="AA76">
            <v>8678.23</v>
          </cell>
          <cell r="AB76">
            <v>1703.82</v>
          </cell>
          <cell r="AC76">
            <v>127003.49</v>
          </cell>
          <cell r="AD76">
            <v>9008.2000000000007</v>
          </cell>
          <cell r="AE76">
            <v>69677.75</v>
          </cell>
          <cell r="AF76">
            <v>6778.4</v>
          </cell>
          <cell r="AG76">
            <v>209686.18</v>
          </cell>
          <cell r="AH76">
            <v>648.66</v>
          </cell>
          <cell r="AI76">
            <v>6935.59</v>
          </cell>
          <cell r="AJ76">
            <v>494.02</v>
          </cell>
          <cell r="AK76">
            <v>23117.119999999999</v>
          </cell>
          <cell r="AL76">
            <v>1417</v>
          </cell>
          <cell r="AM76">
            <v>1446328.3200000001</v>
          </cell>
        </row>
        <row r="78">
          <cell r="C78">
            <v>36135</v>
          </cell>
          <cell r="D78">
            <v>3245</v>
          </cell>
          <cell r="G78">
            <v>66</v>
          </cell>
          <cell r="H78">
            <v>440</v>
          </cell>
          <cell r="AM78">
            <v>39886</v>
          </cell>
        </row>
        <row r="80">
          <cell r="AG80">
            <v>281.61</v>
          </cell>
          <cell r="AM80">
            <v>281.61</v>
          </cell>
        </row>
        <row r="81">
          <cell r="C81">
            <v>475734.42999999988</v>
          </cell>
          <cell r="D81">
            <v>1028101.6699999998</v>
          </cell>
          <cell r="E81">
            <v>1086092.0100000005</v>
          </cell>
          <cell r="F81">
            <v>30272.510000000002</v>
          </cell>
          <cell r="G81">
            <v>203237.17000000007</v>
          </cell>
          <cell r="H81">
            <v>1956046.5799999998</v>
          </cell>
          <cell r="I81">
            <v>121107.35999999999</v>
          </cell>
          <cell r="J81">
            <v>10686798.74</v>
          </cell>
          <cell r="K81">
            <v>486935.86</v>
          </cell>
          <cell r="L81">
            <v>369137.9800000001</v>
          </cell>
          <cell r="M81">
            <v>56397.98</v>
          </cell>
          <cell r="N81">
            <v>1109812.2499999995</v>
          </cell>
          <cell r="O81">
            <v>9270.6300000000247</v>
          </cell>
          <cell r="P81">
            <v>1133169.75</v>
          </cell>
          <cell r="Q81">
            <v>21081.83</v>
          </cell>
          <cell r="R81">
            <v>1015760.8500000001</v>
          </cell>
          <cell r="S81">
            <v>33360.98000000001</v>
          </cell>
          <cell r="T81">
            <v>11731995.970000003</v>
          </cell>
          <cell r="U81">
            <v>20471543.930000003</v>
          </cell>
          <cell r="V81">
            <v>310498.86</v>
          </cell>
          <cell r="W81">
            <v>2469839.9400000009</v>
          </cell>
          <cell r="X81">
            <v>446287.98999999987</v>
          </cell>
          <cell r="Y81">
            <v>12471744.489999998</v>
          </cell>
          <cell r="Z81">
            <v>2677801.0199999986</v>
          </cell>
          <cell r="AA81">
            <v>1314178.6099999999</v>
          </cell>
          <cell r="AB81">
            <v>218640.46000000005</v>
          </cell>
          <cell r="AC81">
            <v>17392118.789999999</v>
          </cell>
          <cell r="AD81">
            <v>688021.22999999975</v>
          </cell>
          <cell r="AE81">
            <v>9618155.5599999968</v>
          </cell>
          <cell r="AF81">
            <v>725287.29000000015</v>
          </cell>
          <cell r="AG81">
            <v>25536539.199999996</v>
          </cell>
          <cell r="AH81">
            <v>15668.8</v>
          </cell>
          <cell r="AI81">
            <v>780193.87999999989</v>
          </cell>
          <cell r="AJ81">
            <v>138376.58999999994</v>
          </cell>
          <cell r="AK81">
            <v>3556383.14</v>
          </cell>
          <cell r="AL81">
            <v>19838</v>
          </cell>
          <cell r="AM81">
            <v>130405432.32999998</v>
          </cell>
        </row>
        <row r="84">
          <cell r="AM84">
            <v>0</v>
          </cell>
        </row>
        <row r="86">
          <cell r="C86">
            <v>-21355</v>
          </cell>
          <cell r="D86">
            <v>16178</v>
          </cell>
          <cell r="E86">
            <v>414881</v>
          </cell>
          <cell r="H86">
            <v>24248</v>
          </cell>
          <cell r="AA86">
            <v>8207</v>
          </cell>
          <cell r="AC86">
            <v>92281</v>
          </cell>
          <cell r="AE86">
            <v>1203</v>
          </cell>
          <cell r="AG86">
            <v>46721</v>
          </cell>
          <cell r="AM86">
            <v>582364</v>
          </cell>
        </row>
        <row r="88">
          <cell r="C88">
            <v>7247.83</v>
          </cell>
          <cell r="D88">
            <v>21752.65</v>
          </cell>
          <cell r="E88">
            <v>11311.37</v>
          </cell>
          <cell r="F88">
            <v>196.93</v>
          </cell>
          <cell r="G88">
            <v>1559.2</v>
          </cell>
          <cell r="H88">
            <v>20902.53</v>
          </cell>
          <cell r="I88">
            <v>379.06</v>
          </cell>
          <cell r="J88">
            <v>76232.45</v>
          </cell>
          <cell r="K88">
            <v>5601.95</v>
          </cell>
          <cell r="L88">
            <v>5036.83</v>
          </cell>
          <cell r="M88">
            <v>3513.54</v>
          </cell>
          <cell r="N88">
            <v>7057.17</v>
          </cell>
          <cell r="P88">
            <v>9464.25</v>
          </cell>
          <cell r="Q88">
            <v>1595.56</v>
          </cell>
          <cell r="R88">
            <v>3560.27</v>
          </cell>
          <cell r="S88">
            <v>377.33</v>
          </cell>
          <cell r="T88">
            <v>185733.45</v>
          </cell>
          <cell r="U88">
            <v>390284.47</v>
          </cell>
          <cell r="V88">
            <v>3490.81</v>
          </cell>
          <cell r="W88">
            <v>29726.23</v>
          </cell>
          <cell r="X88">
            <v>3820.67</v>
          </cell>
          <cell r="Y88">
            <v>158274.32999999999</v>
          </cell>
          <cell r="Z88">
            <v>28626.26</v>
          </cell>
          <cell r="AA88">
            <v>8692.1299999999992</v>
          </cell>
          <cell r="AB88">
            <v>1583.08</v>
          </cell>
          <cell r="AC88">
            <v>127243.68</v>
          </cell>
          <cell r="AD88">
            <v>9231.75</v>
          </cell>
          <cell r="AE88">
            <v>69539.83</v>
          </cell>
          <cell r="AF88">
            <v>6642.87</v>
          </cell>
          <cell r="AG88">
            <v>210176.1</v>
          </cell>
          <cell r="AH88">
            <v>623.54</v>
          </cell>
          <cell r="AI88">
            <v>6972.03</v>
          </cell>
          <cell r="AJ88">
            <v>494.02</v>
          </cell>
          <cell r="AK88">
            <v>23118.54</v>
          </cell>
          <cell r="AL88">
            <v>1417</v>
          </cell>
          <cell r="AM88">
            <v>1441479.7100000004</v>
          </cell>
        </row>
        <row r="90">
          <cell r="AM90">
            <v>0</v>
          </cell>
        </row>
        <row r="92">
          <cell r="AE92">
            <v>2091.14</v>
          </cell>
          <cell r="AG92">
            <v>114.01</v>
          </cell>
          <cell r="AM92">
            <v>2205.15</v>
          </cell>
        </row>
        <row r="93">
          <cell r="C93">
            <v>504337.25999999989</v>
          </cell>
          <cell r="D93">
            <v>1033676.3199999998</v>
          </cell>
          <cell r="E93">
            <v>682522.38000000047</v>
          </cell>
          <cell r="F93">
            <v>30469.440000000002</v>
          </cell>
          <cell r="G93">
            <v>204796.37000000008</v>
          </cell>
          <cell r="H93">
            <v>1952701.1099999999</v>
          </cell>
          <cell r="I93">
            <v>121486.41999999998</v>
          </cell>
          <cell r="J93">
            <v>10763031.189999999</v>
          </cell>
          <cell r="K93">
            <v>492537.81</v>
          </cell>
          <cell r="L93">
            <v>374174.81000000011</v>
          </cell>
          <cell r="M93">
            <v>59911.520000000004</v>
          </cell>
          <cell r="N93">
            <v>1116869.4199999995</v>
          </cell>
          <cell r="O93">
            <v>9270.6300000000247</v>
          </cell>
          <cell r="P93">
            <v>1142634</v>
          </cell>
          <cell r="Q93">
            <v>22677.390000000003</v>
          </cell>
          <cell r="R93">
            <v>1019321.1200000001</v>
          </cell>
          <cell r="S93">
            <v>33738.310000000012</v>
          </cell>
          <cell r="T93">
            <v>11917729.420000002</v>
          </cell>
          <cell r="U93">
            <v>20861828.400000002</v>
          </cell>
          <cell r="V93">
            <v>313989.67</v>
          </cell>
          <cell r="W93">
            <v>2499566.1700000009</v>
          </cell>
          <cell r="X93">
            <v>450108.65999999986</v>
          </cell>
          <cell r="Y93">
            <v>12630018.819999998</v>
          </cell>
          <cell r="Z93">
            <v>2706427.2799999984</v>
          </cell>
          <cell r="AA93">
            <v>1314663.7399999998</v>
          </cell>
          <cell r="AB93">
            <v>220223.54000000004</v>
          </cell>
          <cell r="AC93">
            <v>17427081.469999999</v>
          </cell>
          <cell r="AD93">
            <v>697252.97999999975</v>
          </cell>
          <cell r="AE93">
            <v>9688583.5299999975</v>
          </cell>
          <cell r="AF93">
            <v>731930.16000000015</v>
          </cell>
          <cell r="AG93">
            <v>25700108.309999999</v>
          </cell>
          <cell r="AH93">
            <v>16292.34</v>
          </cell>
          <cell r="AI93">
            <v>787165.90999999992</v>
          </cell>
          <cell r="AJ93">
            <v>138870.60999999993</v>
          </cell>
          <cell r="AK93">
            <v>3579501.68</v>
          </cell>
          <cell r="AL93">
            <v>21255</v>
          </cell>
          <cell r="AM93">
            <v>131266753.18999998</v>
          </cell>
        </row>
        <row r="96">
          <cell r="U96">
            <v>240204.95</v>
          </cell>
          <cell r="AM96">
            <v>240204.95</v>
          </cell>
        </row>
        <row r="98">
          <cell r="C98">
            <v>33801</v>
          </cell>
          <cell r="D98">
            <v>11076</v>
          </cell>
          <cell r="P98">
            <v>1020668</v>
          </cell>
          <cell r="T98">
            <v>-568</v>
          </cell>
          <cell r="U98">
            <v>5872264</v>
          </cell>
          <cell r="Y98">
            <v>-36212</v>
          </cell>
          <cell r="AM98">
            <v>6901029</v>
          </cell>
        </row>
        <row r="100">
          <cell r="C100">
            <v>7373.91</v>
          </cell>
          <cell r="D100">
            <v>21670.75</v>
          </cell>
          <cell r="E100">
            <v>9755.56</v>
          </cell>
          <cell r="F100">
            <v>196.93</v>
          </cell>
          <cell r="G100">
            <v>1559.2</v>
          </cell>
          <cell r="H100">
            <v>20834.810000000001</v>
          </cell>
          <cell r="I100">
            <v>379.06</v>
          </cell>
          <cell r="J100">
            <v>76248.87</v>
          </cell>
          <cell r="K100">
            <v>5579.46</v>
          </cell>
          <cell r="L100">
            <v>5036.83</v>
          </cell>
          <cell r="M100">
            <v>3513.54</v>
          </cell>
          <cell r="N100">
            <v>7057.17</v>
          </cell>
          <cell r="O100">
            <v>0</v>
          </cell>
          <cell r="P100">
            <v>9169.98</v>
          </cell>
          <cell r="Q100">
            <v>1603.7</v>
          </cell>
          <cell r="R100">
            <v>3560.27</v>
          </cell>
          <cell r="S100">
            <v>377.33</v>
          </cell>
          <cell r="T100">
            <v>185850.02</v>
          </cell>
          <cell r="U100">
            <v>390277.81</v>
          </cell>
          <cell r="V100">
            <v>3490.81</v>
          </cell>
          <cell r="W100">
            <v>29726.23</v>
          </cell>
          <cell r="X100">
            <v>3820.67</v>
          </cell>
          <cell r="Y100">
            <v>161508.59</v>
          </cell>
          <cell r="Z100">
            <v>28626.26</v>
          </cell>
          <cell r="AA100">
            <v>8916.17</v>
          </cell>
          <cell r="AB100">
            <v>1462.33</v>
          </cell>
          <cell r="AC100">
            <v>131222.51</v>
          </cell>
          <cell r="AD100">
            <v>10036.870000000001</v>
          </cell>
          <cell r="AE100">
            <v>70398.16</v>
          </cell>
          <cell r="AF100">
            <v>6517.63</v>
          </cell>
          <cell r="AG100">
            <v>219439.42</v>
          </cell>
          <cell r="AH100">
            <v>1542.14</v>
          </cell>
          <cell r="AI100">
            <v>8223.5400000000009</v>
          </cell>
          <cell r="AJ100">
            <v>494.02</v>
          </cell>
          <cell r="AK100">
            <v>23731.96</v>
          </cell>
          <cell r="AL100">
            <v>1417</v>
          </cell>
          <cell r="AM100">
            <v>1460619.5099999998</v>
          </cell>
        </row>
        <row r="102">
          <cell r="AM102">
            <v>0</v>
          </cell>
        </row>
        <row r="104">
          <cell r="AA104">
            <v>105.85</v>
          </cell>
          <cell r="AM104">
            <v>105.85</v>
          </cell>
        </row>
        <row r="105">
          <cell r="C105">
            <v>477910.16999999987</v>
          </cell>
          <cell r="D105">
            <v>1044271.0699999998</v>
          </cell>
          <cell r="E105">
            <v>692277.94000000053</v>
          </cell>
          <cell r="F105">
            <v>30666.370000000003</v>
          </cell>
          <cell r="G105">
            <v>206355.57000000009</v>
          </cell>
          <cell r="H105">
            <v>1973535.92</v>
          </cell>
          <cell r="I105">
            <v>121865.47999999998</v>
          </cell>
          <cell r="J105">
            <v>10839280.059999999</v>
          </cell>
          <cell r="K105">
            <v>498117.27</v>
          </cell>
          <cell r="L105">
            <v>379211.64000000013</v>
          </cell>
          <cell r="M105">
            <v>63425.060000000005</v>
          </cell>
          <cell r="N105">
            <v>1123926.5899999994</v>
          </cell>
          <cell r="O105">
            <v>9270.6300000000247</v>
          </cell>
          <cell r="P105">
            <v>131135.98000000001</v>
          </cell>
          <cell r="Q105">
            <v>24281.090000000004</v>
          </cell>
          <cell r="R105">
            <v>1022881.3900000001</v>
          </cell>
          <cell r="S105">
            <v>34115.640000000014</v>
          </cell>
          <cell r="T105">
            <v>12104147.440000001</v>
          </cell>
          <cell r="U105">
            <v>15139637.260000004</v>
          </cell>
          <cell r="V105">
            <v>317480.48</v>
          </cell>
          <cell r="W105">
            <v>2529292.4000000008</v>
          </cell>
          <cell r="X105">
            <v>453929.32999999984</v>
          </cell>
          <cell r="Y105">
            <v>12827739.409999998</v>
          </cell>
          <cell r="Z105">
            <v>2735053.5399999982</v>
          </cell>
          <cell r="AA105">
            <v>1323685.7599999998</v>
          </cell>
          <cell r="AB105">
            <v>221685.87000000002</v>
          </cell>
          <cell r="AC105">
            <v>17558303.98</v>
          </cell>
          <cell r="AD105">
            <v>707289.84999999974</v>
          </cell>
          <cell r="AE105">
            <v>9758981.6899999976</v>
          </cell>
          <cell r="AF105">
            <v>738447.79000000015</v>
          </cell>
          <cell r="AG105">
            <v>25919547.73</v>
          </cell>
          <cell r="AH105">
            <v>17834.48</v>
          </cell>
          <cell r="AI105">
            <v>795389.45</v>
          </cell>
          <cell r="AJ105">
            <v>139364.62999999992</v>
          </cell>
          <cell r="AK105">
            <v>3603233.64</v>
          </cell>
          <cell r="AL105">
            <v>22672</v>
          </cell>
          <cell r="AM105">
            <v>125586244.59999998</v>
          </cell>
        </row>
        <row r="108">
          <cell r="C108" t="str">
            <v xml:space="preserve"> 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35921</v>
          </cell>
          <cell r="W108">
            <v>0</v>
          </cell>
          <cell r="X108">
            <v>0</v>
          </cell>
          <cell r="Y108">
            <v>35162.300000000003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M108">
            <v>71083.3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T110">
            <v>0</v>
          </cell>
          <cell r="U110">
            <v>417455</v>
          </cell>
          <cell r="W110">
            <v>0</v>
          </cell>
          <cell r="X110">
            <v>0</v>
          </cell>
          <cell r="Y110">
            <v>1348447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M110">
            <v>1765902</v>
          </cell>
        </row>
        <row r="112">
          <cell r="C112">
            <v>7300.43</v>
          </cell>
          <cell r="D112">
            <v>22220.91</v>
          </cell>
          <cell r="E112">
            <v>9928.82</v>
          </cell>
          <cell r="F112">
            <v>196.93</v>
          </cell>
          <cell r="G112">
            <v>1559.2</v>
          </cell>
          <cell r="H112">
            <v>20727.04</v>
          </cell>
          <cell r="I112">
            <v>379.06</v>
          </cell>
          <cell r="J112">
            <v>76331.81</v>
          </cell>
          <cell r="K112">
            <v>5579.46</v>
          </cell>
          <cell r="L112">
            <v>5036.83</v>
          </cell>
          <cell r="M112">
            <v>3513.54</v>
          </cell>
          <cell r="N112">
            <v>7057.17</v>
          </cell>
          <cell r="O112">
            <v>0</v>
          </cell>
          <cell r="P112">
            <v>4917.1899999999996</v>
          </cell>
          <cell r="Q112">
            <v>1606.67</v>
          </cell>
          <cell r="R112">
            <v>3560.27</v>
          </cell>
          <cell r="S112">
            <v>377.33</v>
          </cell>
          <cell r="T112">
            <v>185864.05</v>
          </cell>
          <cell r="U112">
            <v>378735.29</v>
          </cell>
          <cell r="V112">
            <v>3490.81</v>
          </cell>
          <cell r="W112">
            <v>29726.23</v>
          </cell>
          <cell r="X112">
            <v>3820.67</v>
          </cell>
          <cell r="Y112">
            <v>161017.17000000001</v>
          </cell>
          <cell r="Z112">
            <v>28626.26</v>
          </cell>
          <cell r="AA112">
            <v>11600.51</v>
          </cell>
          <cell r="AB112">
            <v>1462.33</v>
          </cell>
          <cell r="AC112">
            <v>128205.03</v>
          </cell>
          <cell r="AD112">
            <v>9954.31</v>
          </cell>
          <cell r="AE112">
            <v>73587.62</v>
          </cell>
          <cell r="AF112">
            <v>6536.89</v>
          </cell>
          <cell r="AG112">
            <v>212067.16</v>
          </cell>
          <cell r="AH112">
            <v>789.57</v>
          </cell>
          <cell r="AI112">
            <v>7473.71</v>
          </cell>
          <cell r="AJ112">
            <v>494.02</v>
          </cell>
          <cell r="AK112">
            <v>23534.74</v>
          </cell>
          <cell r="AL112">
            <v>1417</v>
          </cell>
          <cell r="AM112">
            <v>1438696.0299999998</v>
          </cell>
        </row>
        <row r="114">
          <cell r="C114">
            <v>-5064.3999999999996</v>
          </cell>
          <cell r="D114">
            <v>-404.8</v>
          </cell>
          <cell r="E114">
            <v>55975</v>
          </cell>
          <cell r="G114">
            <v>-5.28</v>
          </cell>
          <cell r="H114">
            <v>-227.15</v>
          </cell>
          <cell r="U114">
            <v>80</v>
          </cell>
          <cell r="AM114">
            <v>50353.37</v>
          </cell>
        </row>
        <row r="116">
          <cell r="C116">
            <v>0</v>
          </cell>
          <cell r="AG116">
            <v>1160.32</v>
          </cell>
          <cell r="AM116">
            <v>1160.32</v>
          </cell>
        </row>
        <row r="117">
          <cell r="C117">
            <v>480146.19999999984</v>
          </cell>
          <cell r="D117">
            <v>1066087.1799999997</v>
          </cell>
          <cell r="E117">
            <v>758181.76000000047</v>
          </cell>
          <cell r="F117">
            <v>30863.300000000003</v>
          </cell>
          <cell r="G117">
            <v>207909.49000000011</v>
          </cell>
          <cell r="H117">
            <v>1994035.81</v>
          </cell>
          <cell r="I117">
            <v>122244.53999999998</v>
          </cell>
          <cell r="J117">
            <v>10915611.869999999</v>
          </cell>
          <cell r="K117">
            <v>503696.73000000004</v>
          </cell>
          <cell r="L117">
            <v>384248.47000000015</v>
          </cell>
          <cell r="M117">
            <v>66938.600000000006</v>
          </cell>
          <cell r="N117">
            <v>1130983.7599999993</v>
          </cell>
          <cell r="O117">
            <v>9270.6300000000247</v>
          </cell>
          <cell r="P117">
            <v>136053.17000000001</v>
          </cell>
          <cell r="Q117">
            <v>25887.760000000002</v>
          </cell>
          <cell r="R117">
            <v>1026441.6600000001</v>
          </cell>
          <cell r="S117">
            <v>34492.970000000016</v>
          </cell>
          <cell r="T117">
            <v>12290011.490000002</v>
          </cell>
          <cell r="U117">
            <v>15065076.550000003</v>
          </cell>
          <cell r="V117">
            <v>320971.28999999998</v>
          </cell>
          <cell r="W117">
            <v>2559018.6300000008</v>
          </cell>
          <cell r="X117">
            <v>457749.99999999983</v>
          </cell>
          <cell r="Y117">
            <v>11605147.279999997</v>
          </cell>
          <cell r="Z117">
            <v>2763679.799999998</v>
          </cell>
          <cell r="AA117">
            <v>1335286.2699999998</v>
          </cell>
          <cell r="AB117">
            <v>223148.2</v>
          </cell>
          <cell r="AC117">
            <v>17686509.010000002</v>
          </cell>
          <cell r="AD117">
            <v>717244.1599999998</v>
          </cell>
          <cell r="AE117">
            <v>9832569.3099999968</v>
          </cell>
          <cell r="AF117">
            <v>744984.68000000017</v>
          </cell>
          <cell r="AG117">
            <v>26132775.210000001</v>
          </cell>
          <cell r="AH117">
            <v>18624.05</v>
          </cell>
          <cell r="AI117">
            <v>802863.15999999992</v>
          </cell>
          <cell r="AJ117">
            <v>139858.64999999991</v>
          </cell>
          <cell r="AK117">
            <v>3626768.3800000004</v>
          </cell>
          <cell r="AL117">
            <v>24089</v>
          </cell>
          <cell r="AM117">
            <v>125239469.01999998</v>
          </cell>
        </row>
        <row r="120">
          <cell r="U120">
            <v>1207.3599999999999</v>
          </cell>
          <cell r="Y120">
            <v>11169.9</v>
          </cell>
          <cell r="AA120">
            <v>201.74</v>
          </cell>
          <cell r="AC120">
            <v>2298.62</v>
          </cell>
          <cell r="AE120">
            <v>4530.34</v>
          </cell>
          <cell r="AG120">
            <v>628.32000000000005</v>
          </cell>
          <cell r="AI120">
            <v>113.85</v>
          </cell>
          <cell r="AM120">
            <v>20150.129999999997</v>
          </cell>
        </row>
        <row r="122">
          <cell r="C122">
            <v>33801</v>
          </cell>
          <cell r="U122">
            <v>150448</v>
          </cell>
          <cell r="Y122">
            <v>367773</v>
          </cell>
          <cell r="AM122">
            <v>552022</v>
          </cell>
        </row>
        <row r="124">
          <cell r="C124">
            <v>7100.86</v>
          </cell>
          <cell r="D124">
            <v>23043.49</v>
          </cell>
          <cell r="E124">
            <v>11657.87</v>
          </cell>
          <cell r="F124">
            <v>196.93</v>
          </cell>
          <cell r="G124">
            <v>1596.62</v>
          </cell>
          <cell r="H124">
            <v>20907.59</v>
          </cell>
          <cell r="I124">
            <v>379.06</v>
          </cell>
          <cell r="J124">
            <v>76712.7</v>
          </cell>
          <cell r="K124">
            <v>5911.06</v>
          </cell>
          <cell r="L124">
            <v>5036.83</v>
          </cell>
          <cell r="M124">
            <v>3516.66</v>
          </cell>
          <cell r="N124">
            <v>7057.17</v>
          </cell>
          <cell r="P124">
            <v>664.41</v>
          </cell>
          <cell r="Q124">
            <v>1624.25</v>
          </cell>
          <cell r="R124">
            <v>3560.27</v>
          </cell>
          <cell r="S124">
            <v>377.33</v>
          </cell>
          <cell r="T124">
            <v>186957.43</v>
          </cell>
          <cell r="U124">
            <v>367342.82</v>
          </cell>
          <cell r="V124">
            <v>3490.81</v>
          </cell>
          <cell r="W124">
            <v>29726.23</v>
          </cell>
          <cell r="X124">
            <v>3820.67</v>
          </cell>
          <cell r="Y124">
            <v>159111.12</v>
          </cell>
          <cell r="Z124">
            <v>28819.17</v>
          </cell>
          <cell r="AA124">
            <v>9001.15</v>
          </cell>
          <cell r="AB124">
            <v>1462.33</v>
          </cell>
          <cell r="AC124">
            <v>127856.43</v>
          </cell>
          <cell r="AD124">
            <v>9671.74</v>
          </cell>
          <cell r="AE124">
            <v>69909.759999999995</v>
          </cell>
          <cell r="AF124">
            <v>6513.84</v>
          </cell>
          <cell r="AG124">
            <v>212739.49</v>
          </cell>
          <cell r="AH124">
            <v>791.66</v>
          </cell>
          <cell r="AI124">
            <v>7269.6</v>
          </cell>
          <cell r="AJ124">
            <v>494.02</v>
          </cell>
          <cell r="AK124">
            <v>23311.59</v>
          </cell>
          <cell r="AL124">
            <v>1417</v>
          </cell>
          <cell r="AM124">
            <v>1419049.9600000002</v>
          </cell>
        </row>
        <row r="126">
          <cell r="C126">
            <v>19195</v>
          </cell>
          <cell r="D126">
            <v>19827</v>
          </cell>
          <cell r="H126">
            <v>2255</v>
          </cell>
          <cell r="AC126">
            <v>3735.65</v>
          </cell>
          <cell r="AE126">
            <v>2490.44</v>
          </cell>
          <cell r="AM126">
            <v>47503.090000000004</v>
          </cell>
        </row>
        <row r="128">
          <cell r="AA128">
            <v>10.25</v>
          </cell>
          <cell r="AG128">
            <v>468.06</v>
          </cell>
          <cell r="AM128">
            <v>478.31</v>
          </cell>
        </row>
        <row r="129">
          <cell r="C129">
            <v>472641.05999999982</v>
          </cell>
          <cell r="D129">
            <v>1108957.6699999997</v>
          </cell>
          <cell r="E129">
            <v>769839.63000000047</v>
          </cell>
          <cell r="F129">
            <v>31060.230000000003</v>
          </cell>
          <cell r="G129">
            <v>209506.1100000001</v>
          </cell>
          <cell r="H129">
            <v>2017198.4000000001</v>
          </cell>
          <cell r="I129">
            <v>122623.59999999998</v>
          </cell>
          <cell r="J129">
            <v>10992324.569999998</v>
          </cell>
          <cell r="K129">
            <v>509607.79000000004</v>
          </cell>
          <cell r="L129">
            <v>389285.30000000016</v>
          </cell>
          <cell r="M129">
            <v>70455.260000000009</v>
          </cell>
          <cell r="N129">
            <v>1138040.9299999992</v>
          </cell>
          <cell r="O129">
            <v>9270.6300000000247</v>
          </cell>
          <cell r="P129">
            <v>136717.58000000002</v>
          </cell>
          <cell r="Q129">
            <v>27512.010000000002</v>
          </cell>
          <cell r="R129">
            <v>1030001.9300000002</v>
          </cell>
          <cell r="S129">
            <v>34870.300000000017</v>
          </cell>
          <cell r="T129">
            <v>12476968.920000002</v>
          </cell>
          <cell r="U129">
            <v>15280764.010000004</v>
          </cell>
          <cell r="V129">
            <v>324462.09999999998</v>
          </cell>
          <cell r="W129">
            <v>2588744.8600000008</v>
          </cell>
          <cell r="X129">
            <v>461570.66999999981</v>
          </cell>
          <cell r="Y129">
            <v>11385315.499999996</v>
          </cell>
          <cell r="Z129">
            <v>2792498.9699999979</v>
          </cell>
          <cell r="AA129">
            <v>1344095.9299999997</v>
          </cell>
          <cell r="AB129">
            <v>224610.53</v>
          </cell>
          <cell r="AC129">
            <v>17815802.469999999</v>
          </cell>
          <cell r="AD129">
            <v>726915.89999999979</v>
          </cell>
          <cell r="AE129">
            <v>9900439.1699999962</v>
          </cell>
          <cell r="AF129">
            <v>751498.52000000014</v>
          </cell>
          <cell r="AG129">
            <v>26345354.439999998</v>
          </cell>
          <cell r="AH129">
            <v>19415.71</v>
          </cell>
          <cell r="AI129">
            <v>810018.90999999992</v>
          </cell>
          <cell r="AJ129">
            <v>140352.6699999999</v>
          </cell>
          <cell r="AK129">
            <v>3650079.97</v>
          </cell>
          <cell r="AL129">
            <v>25506</v>
          </cell>
          <cell r="AM129">
            <v>126134328.24999999</v>
          </cell>
        </row>
        <row r="132">
          <cell r="J132">
            <v>34553</v>
          </cell>
          <cell r="U132">
            <v>56919.3</v>
          </cell>
          <cell r="Y132">
            <v>1086.7</v>
          </cell>
          <cell r="AA132">
            <v>8065.9</v>
          </cell>
          <cell r="AC132">
            <v>27226.48</v>
          </cell>
          <cell r="AE132">
            <v>3706</v>
          </cell>
          <cell r="AG132">
            <v>6198.97</v>
          </cell>
          <cell r="AI132">
            <v>2558.04</v>
          </cell>
          <cell r="AM132">
            <v>140314.39000000001</v>
          </cell>
        </row>
        <row r="134">
          <cell r="J134">
            <v>242411</v>
          </cell>
          <cell r="K134">
            <v>35534</v>
          </cell>
          <cell r="T134">
            <v>234120</v>
          </cell>
          <cell r="U134">
            <v>136907</v>
          </cell>
          <cell r="AM134">
            <v>648972</v>
          </cell>
        </row>
        <row r="136">
          <cell r="C136">
            <v>6901.29</v>
          </cell>
          <cell r="D136">
            <v>23234.01</v>
          </cell>
          <cell r="E136">
            <v>11657.87</v>
          </cell>
          <cell r="F136">
            <v>196.93</v>
          </cell>
          <cell r="G136">
            <v>1634.03</v>
          </cell>
          <cell r="H136">
            <v>21102.54</v>
          </cell>
          <cell r="I136">
            <v>379.06</v>
          </cell>
          <cell r="J136">
            <v>77010.63</v>
          </cell>
          <cell r="K136">
            <v>6242.67</v>
          </cell>
          <cell r="L136">
            <v>5036.83</v>
          </cell>
          <cell r="M136">
            <v>3519.78</v>
          </cell>
          <cell r="N136">
            <v>7057.17</v>
          </cell>
          <cell r="P136">
            <v>664.41</v>
          </cell>
          <cell r="Q136">
            <v>1638.86</v>
          </cell>
          <cell r="R136">
            <v>3560.27</v>
          </cell>
          <cell r="S136">
            <v>377.33</v>
          </cell>
          <cell r="T136">
            <v>188186.87</v>
          </cell>
          <cell r="U136">
            <v>367131.07</v>
          </cell>
          <cell r="V136">
            <v>3490.81</v>
          </cell>
          <cell r="W136">
            <v>29726.23</v>
          </cell>
          <cell r="X136">
            <v>3820.67</v>
          </cell>
          <cell r="Y136">
            <v>160946.38</v>
          </cell>
          <cell r="Z136">
            <v>29012.080000000002</v>
          </cell>
          <cell r="AA136">
            <v>9404.24</v>
          </cell>
          <cell r="AB136">
            <v>1462.33</v>
          </cell>
          <cell r="AC136">
            <v>131716.81</v>
          </cell>
          <cell r="AD136">
            <v>18541.79</v>
          </cell>
          <cell r="AE136">
            <v>73136.039999999994</v>
          </cell>
          <cell r="AF136">
            <v>7190.83</v>
          </cell>
          <cell r="AG136">
            <v>223501.41</v>
          </cell>
          <cell r="AH136">
            <v>1558.45</v>
          </cell>
          <cell r="AI136">
            <v>7489.26</v>
          </cell>
          <cell r="AJ136">
            <v>494.02</v>
          </cell>
          <cell r="AK136">
            <v>23959.75</v>
          </cell>
          <cell r="AL136">
            <v>1417</v>
          </cell>
          <cell r="AM136">
            <v>1452399.72</v>
          </cell>
        </row>
        <row r="138">
          <cell r="AM138">
            <v>0</v>
          </cell>
        </row>
        <row r="140">
          <cell r="AA140">
            <v>59.24</v>
          </cell>
          <cell r="AG140">
            <v>166.82</v>
          </cell>
          <cell r="AM140">
            <v>226.06</v>
          </cell>
        </row>
        <row r="141">
          <cell r="C141">
            <v>479542.3499999998</v>
          </cell>
          <cell r="D141">
            <v>1132191.6799999997</v>
          </cell>
          <cell r="E141">
            <v>781497.50000000047</v>
          </cell>
          <cell r="F141">
            <v>31257.160000000003</v>
          </cell>
          <cell r="G141">
            <v>211140.1400000001</v>
          </cell>
          <cell r="H141">
            <v>2038300.9400000002</v>
          </cell>
          <cell r="I141">
            <v>123002.65999999997</v>
          </cell>
          <cell r="J141">
            <v>10792371.199999999</v>
          </cell>
          <cell r="K141">
            <v>480316.46</v>
          </cell>
          <cell r="L141">
            <v>394322.13000000018</v>
          </cell>
          <cell r="M141">
            <v>73975.040000000008</v>
          </cell>
          <cell r="N141">
            <v>1145098.0999999992</v>
          </cell>
          <cell r="O141">
            <v>9270.6300000000247</v>
          </cell>
          <cell r="P141">
            <v>137381.99000000002</v>
          </cell>
          <cell r="Q141">
            <v>29150.870000000003</v>
          </cell>
          <cell r="R141">
            <v>1033562.2000000002</v>
          </cell>
          <cell r="S141">
            <v>35247.630000000019</v>
          </cell>
          <cell r="T141">
            <v>12431035.790000001</v>
          </cell>
          <cell r="U141">
            <v>15454068.780000003</v>
          </cell>
          <cell r="V141">
            <v>327952.90999999997</v>
          </cell>
          <cell r="W141">
            <v>2618471.0900000008</v>
          </cell>
          <cell r="X141">
            <v>465391.33999999979</v>
          </cell>
          <cell r="Y141">
            <v>11545175.179999998</v>
          </cell>
          <cell r="Z141">
            <v>2821511.049999998</v>
          </cell>
          <cell r="AA141">
            <v>1345493.5099999998</v>
          </cell>
          <cell r="AB141">
            <v>226072.86</v>
          </cell>
          <cell r="AC141">
            <v>17920292.799999997</v>
          </cell>
          <cell r="AD141">
            <v>745457.68999999983</v>
          </cell>
          <cell r="AE141">
            <v>9969869.2099999953</v>
          </cell>
          <cell r="AF141">
            <v>758689.35000000009</v>
          </cell>
          <cell r="AG141">
            <v>26562823.699999999</v>
          </cell>
          <cell r="AH141">
            <v>20974.16</v>
          </cell>
          <cell r="AI141">
            <v>814950.12999999989</v>
          </cell>
          <cell r="AJ141">
            <v>140846.68999999989</v>
          </cell>
          <cell r="AK141">
            <v>3674039.72</v>
          </cell>
          <cell r="AL141">
            <v>26923</v>
          </cell>
          <cell r="AM141">
            <v>126797667.63999999</v>
          </cell>
        </row>
        <row r="144">
          <cell r="U144">
            <v>481.45</v>
          </cell>
          <cell r="Y144">
            <v>20045.87</v>
          </cell>
          <cell r="Z144">
            <v>16934.22</v>
          </cell>
          <cell r="AC144">
            <v>36242.36</v>
          </cell>
          <cell r="AE144">
            <v>1709.19</v>
          </cell>
          <cell r="AG144">
            <v>4462.3</v>
          </cell>
          <cell r="AI144">
            <v>2654.44</v>
          </cell>
          <cell r="AM144">
            <v>82529.83</v>
          </cell>
        </row>
        <row r="146">
          <cell r="U146">
            <v>-251</v>
          </cell>
          <cell r="Y146">
            <v>4709</v>
          </cell>
          <cell r="Z146">
            <v>301947</v>
          </cell>
          <cell r="AA146">
            <v>9077</v>
          </cell>
          <cell r="AC146">
            <v>31916</v>
          </cell>
          <cell r="AE146">
            <v>2918</v>
          </cell>
          <cell r="AG146">
            <v>44283</v>
          </cell>
          <cell r="AI146">
            <v>191</v>
          </cell>
          <cell r="AM146">
            <v>394790</v>
          </cell>
        </row>
        <row r="148">
          <cell r="C148">
            <v>6701.73</v>
          </cell>
          <cell r="D148">
            <v>23234.01</v>
          </cell>
          <cell r="E148">
            <v>11681.21</v>
          </cell>
          <cell r="F148">
            <v>196.93</v>
          </cell>
          <cell r="G148">
            <v>1615.33</v>
          </cell>
          <cell r="H148">
            <v>21145.4</v>
          </cell>
          <cell r="I148">
            <v>379.06</v>
          </cell>
          <cell r="J148">
            <v>76970</v>
          </cell>
          <cell r="K148">
            <v>6214.52</v>
          </cell>
          <cell r="L148">
            <v>5036.83</v>
          </cell>
          <cell r="M148">
            <v>3527.88</v>
          </cell>
          <cell r="N148">
            <v>7057.17</v>
          </cell>
          <cell r="P148">
            <v>677.28</v>
          </cell>
          <cell r="Q148">
            <v>1638.86</v>
          </cell>
          <cell r="R148">
            <v>3560.27</v>
          </cell>
          <cell r="S148">
            <v>377.33</v>
          </cell>
          <cell r="T148">
            <v>186557.61</v>
          </cell>
          <cell r="U148">
            <v>367044.23</v>
          </cell>
          <cell r="V148">
            <v>3490.81</v>
          </cell>
          <cell r="W148">
            <v>29726.23</v>
          </cell>
          <cell r="X148">
            <v>3820.67</v>
          </cell>
          <cell r="Y148">
            <v>181292.63</v>
          </cell>
          <cell r="Z148">
            <v>29012.080000000002</v>
          </cell>
          <cell r="AA148">
            <v>9311.33</v>
          </cell>
          <cell r="AB148">
            <v>1462.33</v>
          </cell>
          <cell r="AC148">
            <v>143628.32</v>
          </cell>
          <cell r="AD148">
            <v>11036.42</v>
          </cell>
          <cell r="AE148">
            <v>72436.399999999994</v>
          </cell>
          <cell r="AF148">
            <v>6649.91</v>
          </cell>
          <cell r="AG148">
            <v>235363.32</v>
          </cell>
          <cell r="AH148">
            <v>1032.6199999999999</v>
          </cell>
          <cell r="AI148">
            <v>9165.18</v>
          </cell>
          <cell r="AJ148">
            <v>494.02</v>
          </cell>
          <cell r="AK148">
            <v>23904.07</v>
          </cell>
          <cell r="AL148">
            <v>1417</v>
          </cell>
          <cell r="AM148">
            <v>1486858.9899999998</v>
          </cell>
        </row>
        <row r="150">
          <cell r="AM150">
            <v>0</v>
          </cell>
        </row>
        <row r="152">
          <cell r="AC152">
            <v>2581.63</v>
          </cell>
          <cell r="AG152">
            <v>6708.17</v>
          </cell>
          <cell r="AM152">
            <v>9289.7999999999993</v>
          </cell>
        </row>
        <row r="153">
          <cell r="C153">
            <v>486244.07999999978</v>
          </cell>
          <cell r="D153">
            <v>1155425.6899999997</v>
          </cell>
          <cell r="E153">
            <v>793178.71000000043</v>
          </cell>
          <cell r="F153">
            <v>31454.090000000004</v>
          </cell>
          <cell r="G153">
            <v>212755.47000000009</v>
          </cell>
          <cell r="H153">
            <v>2059446.34</v>
          </cell>
          <cell r="I153">
            <v>123381.71999999997</v>
          </cell>
          <cell r="J153">
            <v>10869341.199999999</v>
          </cell>
          <cell r="K153">
            <v>486530.98000000004</v>
          </cell>
          <cell r="L153">
            <v>399358.9600000002</v>
          </cell>
          <cell r="M153">
            <v>77502.920000000013</v>
          </cell>
          <cell r="N153">
            <v>1152155.2699999991</v>
          </cell>
          <cell r="O153">
            <v>9270.6300000000247</v>
          </cell>
          <cell r="P153">
            <v>138059.27000000002</v>
          </cell>
          <cell r="Q153">
            <v>30789.730000000003</v>
          </cell>
          <cell r="R153">
            <v>1037122.4700000002</v>
          </cell>
          <cell r="S153">
            <v>35624.960000000021</v>
          </cell>
          <cell r="T153">
            <v>12617593.4</v>
          </cell>
          <cell r="U153">
            <v>15820882.560000004</v>
          </cell>
          <cell r="V153">
            <v>331443.71999999997</v>
          </cell>
          <cell r="W153">
            <v>2648197.3200000008</v>
          </cell>
          <cell r="X153">
            <v>469212.00999999978</v>
          </cell>
          <cell r="Y153">
            <v>11701712.939999999</v>
          </cell>
          <cell r="Z153">
            <v>2531641.9099999978</v>
          </cell>
          <cell r="AA153">
            <v>1345727.8399999999</v>
          </cell>
          <cell r="AB153">
            <v>227535.18999999997</v>
          </cell>
          <cell r="AC153">
            <v>17998344.389999997</v>
          </cell>
          <cell r="AD153">
            <v>756494.10999999987</v>
          </cell>
          <cell r="AE153">
            <v>10037678.419999996</v>
          </cell>
          <cell r="AF153">
            <v>765339.26000000013</v>
          </cell>
          <cell r="AG153">
            <v>26756149.890000001</v>
          </cell>
          <cell r="AH153">
            <v>22006.78</v>
          </cell>
          <cell r="AI153">
            <v>821269.87</v>
          </cell>
          <cell r="AJ153">
            <v>141340.70999999988</v>
          </cell>
          <cell r="AK153">
            <v>3697943.79</v>
          </cell>
          <cell r="AL153">
            <v>28340</v>
          </cell>
          <cell r="AM153">
            <v>127816496.59999998</v>
          </cell>
        </row>
        <row r="156">
          <cell r="J156">
            <v>8598.8799999999992</v>
          </cell>
          <cell r="U156">
            <v>158.78</v>
          </cell>
          <cell r="Y156">
            <v>21067.99</v>
          </cell>
          <cell r="Z156">
            <v>12198.34</v>
          </cell>
          <cell r="AA156">
            <v>6201.39</v>
          </cell>
          <cell r="AC156">
            <v>51084.4</v>
          </cell>
          <cell r="AE156">
            <v>4767.24</v>
          </cell>
          <cell r="AG156">
            <v>19933.53</v>
          </cell>
          <cell r="AI156">
            <v>2494.96</v>
          </cell>
          <cell r="AM156">
            <v>126505.51000000001</v>
          </cell>
        </row>
        <row r="158">
          <cell r="J158">
            <v>-42937</v>
          </cell>
          <cell r="U158">
            <v>9920</v>
          </cell>
          <cell r="Z158">
            <v>-76935</v>
          </cell>
          <cell r="AM158">
            <v>-109952</v>
          </cell>
        </row>
        <row r="160">
          <cell r="Y160">
            <v>2058.77</v>
          </cell>
          <cell r="AA160">
            <v>165.56</v>
          </cell>
          <cell r="AC160">
            <v>1524.91</v>
          </cell>
          <cell r="AE160">
            <v>1445.25</v>
          </cell>
          <cell r="AF160">
            <v>4.12</v>
          </cell>
          <cell r="AG160">
            <v>5476.04</v>
          </cell>
          <cell r="AH160">
            <v>252.93</v>
          </cell>
          <cell r="AI160">
            <v>94.26</v>
          </cell>
          <cell r="AK160">
            <v>1780.37</v>
          </cell>
          <cell r="AM160">
            <v>12802.21</v>
          </cell>
        </row>
        <row r="162">
          <cell r="AC162">
            <v>9501</v>
          </cell>
          <cell r="AM162">
            <v>9501</v>
          </cell>
        </row>
        <row r="164">
          <cell r="AM164">
            <v>0</v>
          </cell>
        </row>
        <row r="165">
          <cell r="C165">
            <v>486244.07999999978</v>
          </cell>
          <cell r="D165">
            <v>1155425.6899999997</v>
          </cell>
          <cell r="E165">
            <v>793178.71000000043</v>
          </cell>
          <cell r="F165">
            <v>31454.090000000004</v>
          </cell>
          <cell r="G165">
            <v>212755.47000000009</v>
          </cell>
          <cell r="H165">
            <v>2059446.34</v>
          </cell>
          <cell r="I165">
            <v>123381.71999999997</v>
          </cell>
          <cell r="J165">
            <v>10903679.319999998</v>
          </cell>
          <cell r="K165">
            <v>486530.98000000004</v>
          </cell>
          <cell r="L165">
            <v>399358.9600000002</v>
          </cell>
          <cell r="M165">
            <v>77502.920000000013</v>
          </cell>
          <cell r="N165">
            <v>1152155.2699999991</v>
          </cell>
          <cell r="O165">
            <v>9270.6300000000247</v>
          </cell>
          <cell r="P165">
            <v>138059.27000000002</v>
          </cell>
          <cell r="Q165">
            <v>30789.730000000003</v>
          </cell>
          <cell r="R165">
            <v>1037122.4700000002</v>
          </cell>
          <cell r="S165">
            <v>35624.960000000021</v>
          </cell>
          <cell r="T165">
            <v>12617593.4</v>
          </cell>
          <cell r="U165">
            <v>15810803.780000005</v>
          </cell>
          <cell r="V165">
            <v>331443.71999999997</v>
          </cell>
          <cell r="W165">
            <v>2648197.3200000008</v>
          </cell>
          <cell r="X165">
            <v>469212.00999999978</v>
          </cell>
          <cell r="Y165">
            <v>11682703.719999999</v>
          </cell>
          <cell r="Z165">
            <v>2596378.569999998</v>
          </cell>
          <cell r="AA165">
            <v>1339692.01</v>
          </cell>
          <cell r="AB165">
            <v>227535.18999999997</v>
          </cell>
          <cell r="AC165">
            <v>17958285.899999999</v>
          </cell>
          <cell r="AD165">
            <v>756494.10999999987</v>
          </cell>
          <cell r="AE165">
            <v>10034356.429999996</v>
          </cell>
          <cell r="AF165">
            <v>765343.38000000012</v>
          </cell>
          <cell r="AG165">
            <v>26741692.399999999</v>
          </cell>
          <cell r="AH165">
            <v>22259.71</v>
          </cell>
          <cell r="AI165">
            <v>818869.17</v>
          </cell>
          <cell r="AJ165">
            <v>141340.70999999988</v>
          </cell>
          <cell r="AK165">
            <v>3699724.16</v>
          </cell>
          <cell r="AL165">
            <v>28340</v>
          </cell>
          <cell r="AM165">
            <v>127822246.29999997</v>
          </cell>
        </row>
        <row r="168">
          <cell r="Y168">
            <v>355.03</v>
          </cell>
          <cell r="Z168">
            <v>1101.58</v>
          </cell>
          <cell r="AA168">
            <v>254.29</v>
          </cell>
          <cell r="AC168">
            <v>15121.85</v>
          </cell>
          <cell r="AG168">
            <v>647.62</v>
          </cell>
          <cell r="AM168">
            <v>17480.37</v>
          </cell>
        </row>
        <row r="170">
          <cell r="U170">
            <v>-9418</v>
          </cell>
          <cell r="AA170">
            <v>10052</v>
          </cell>
          <cell r="AC170">
            <v>87342</v>
          </cell>
          <cell r="AE170">
            <v>919</v>
          </cell>
          <cell r="AG170">
            <v>75214</v>
          </cell>
          <cell r="AI170">
            <v>7312</v>
          </cell>
          <cell r="AM170">
            <v>171421</v>
          </cell>
        </row>
        <row r="172">
          <cell r="AM172">
            <v>0</v>
          </cell>
        </row>
        <row r="174">
          <cell r="AM174">
            <v>0</v>
          </cell>
        </row>
        <row r="176">
          <cell r="U176">
            <v>412008.75</v>
          </cell>
          <cell r="AM176">
            <v>412008.75</v>
          </cell>
        </row>
        <row r="177">
          <cell r="C177">
            <v>486244.07999999978</v>
          </cell>
          <cell r="D177">
            <v>1155425.6899999997</v>
          </cell>
          <cell r="E177">
            <v>793178.71000000043</v>
          </cell>
          <cell r="F177">
            <v>31454.090000000004</v>
          </cell>
          <cell r="G177">
            <v>212755.47000000009</v>
          </cell>
          <cell r="H177">
            <v>2059446.34</v>
          </cell>
          <cell r="I177">
            <v>123381.71999999997</v>
          </cell>
          <cell r="J177">
            <v>10903679.319999998</v>
          </cell>
          <cell r="K177">
            <v>486530.98000000004</v>
          </cell>
          <cell r="L177">
            <v>399358.9600000002</v>
          </cell>
          <cell r="M177">
            <v>77502.920000000013</v>
          </cell>
          <cell r="N177">
            <v>1152155.2699999991</v>
          </cell>
          <cell r="O177">
            <v>9270.6300000000247</v>
          </cell>
          <cell r="P177">
            <v>138059.27000000002</v>
          </cell>
          <cell r="Q177">
            <v>30789.730000000003</v>
          </cell>
          <cell r="R177">
            <v>1037122.4700000002</v>
          </cell>
          <cell r="S177">
            <v>35624.960000000021</v>
          </cell>
          <cell r="T177">
            <v>12617593.4</v>
          </cell>
          <cell r="U177">
            <v>16232230.530000005</v>
          </cell>
          <cell r="V177">
            <v>331443.71999999997</v>
          </cell>
          <cell r="W177">
            <v>2648197.3200000008</v>
          </cell>
          <cell r="X177">
            <v>469212.00999999978</v>
          </cell>
          <cell r="Y177">
            <v>11682348.689999999</v>
          </cell>
          <cell r="Z177">
            <v>2595276.9899999979</v>
          </cell>
          <cell r="AA177">
            <v>1329385.72</v>
          </cell>
          <cell r="AB177">
            <v>227535.18999999997</v>
          </cell>
          <cell r="AC177">
            <v>17855822.049999997</v>
          </cell>
          <cell r="AD177">
            <v>756494.10999999987</v>
          </cell>
          <cell r="AE177">
            <v>10033437.429999996</v>
          </cell>
          <cell r="AF177">
            <v>765343.38000000012</v>
          </cell>
          <cell r="AG177">
            <v>26665830.779999997</v>
          </cell>
          <cell r="AH177">
            <v>22259.71</v>
          </cell>
          <cell r="AI177">
            <v>811557.17</v>
          </cell>
          <cell r="AJ177">
            <v>141340.70999999988</v>
          </cell>
          <cell r="AK177">
            <v>3699724.16</v>
          </cell>
          <cell r="AL177">
            <v>28340</v>
          </cell>
          <cell r="AM177">
            <v>128045353.67999996</v>
          </cell>
        </row>
        <row r="180">
          <cell r="AM180">
            <v>0</v>
          </cell>
        </row>
        <row r="182">
          <cell r="AM182">
            <v>0</v>
          </cell>
        </row>
        <row r="184">
          <cell r="AM184">
            <v>0</v>
          </cell>
        </row>
        <row r="186">
          <cell r="AM186">
            <v>0</v>
          </cell>
        </row>
        <row r="188">
          <cell r="AM188">
            <v>0</v>
          </cell>
        </row>
        <row r="189">
          <cell r="C189">
            <v>486244.07999999978</v>
          </cell>
          <cell r="D189">
            <v>1155425.6899999997</v>
          </cell>
          <cell r="E189">
            <v>793178.71000000043</v>
          </cell>
          <cell r="F189">
            <v>31454.090000000004</v>
          </cell>
          <cell r="G189">
            <v>212755.47000000009</v>
          </cell>
          <cell r="H189">
            <v>2059446.34</v>
          </cell>
          <cell r="I189">
            <v>123381.71999999997</v>
          </cell>
          <cell r="J189">
            <v>10903679.319999998</v>
          </cell>
          <cell r="K189">
            <v>486530.98000000004</v>
          </cell>
          <cell r="L189">
            <v>399358.9600000002</v>
          </cell>
          <cell r="M189">
            <v>77502.920000000013</v>
          </cell>
          <cell r="N189">
            <v>1152155.2699999991</v>
          </cell>
          <cell r="O189">
            <v>9270.6300000000247</v>
          </cell>
          <cell r="P189">
            <v>138059.27000000002</v>
          </cell>
          <cell r="Q189">
            <v>30789.730000000003</v>
          </cell>
          <cell r="R189">
            <v>1037122.4700000002</v>
          </cell>
          <cell r="S189">
            <v>35624.960000000021</v>
          </cell>
          <cell r="T189">
            <v>12617593.4</v>
          </cell>
          <cell r="U189">
            <v>16232230.530000005</v>
          </cell>
          <cell r="V189">
            <v>331443.71999999997</v>
          </cell>
          <cell r="W189">
            <v>2648197.3200000008</v>
          </cell>
          <cell r="X189">
            <v>469212.00999999978</v>
          </cell>
          <cell r="Y189">
            <v>11682348.689999999</v>
          </cell>
          <cell r="Z189">
            <v>2595276.9899999979</v>
          </cell>
          <cell r="AA189">
            <v>1329385.72</v>
          </cell>
          <cell r="AB189">
            <v>227535.18999999997</v>
          </cell>
          <cell r="AC189">
            <v>17855822.049999997</v>
          </cell>
          <cell r="AD189">
            <v>756494.10999999987</v>
          </cell>
          <cell r="AE189">
            <v>10033437.429999996</v>
          </cell>
          <cell r="AF189">
            <v>765343.38000000012</v>
          </cell>
          <cell r="AG189">
            <v>26665830.779999997</v>
          </cell>
          <cell r="AH189">
            <v>22259.71</v>
          </cell>
          <cell r="AI189">
            <v>811557.17</v>
          </cell>
          <cell r="AJ189">
            <v>141340.70999999988</v>
          </cell>
          <cell r="AK189">
            <v>3699724.16</v>
          </cell>
          <cell r="AL189">
            <v>28340</v>
          </cell>
          <cell r="AM189">
            <v>128045353.67999996</v>
          </cell>
        </row>
        <row r="195">
          <cell r="A195" t="str">
            <v>Year-to-Date Totals:</v>
          </cell>
        </row>
        <row r="196">
          <cell r="A196" t="str">
            <v>Beginning Balance</v>
          </cell>
          <cell r="C196">
            <v>639816.92000000004</v>
          </cell>
          <cell r="D196">
            <v>923443.55</v>
          </cell>
          <cell r="E196">
            <v>1018223.79</v>
          </cell>
          <cell r="F196">
            <v>29090.93</v>
          </cell>
          <cell r="G196">
            <v>193913.2</v>
          </cell>
          <cell r="H196">
            <v>1827939.44</v>
          </cell>
          <cell r="I196">
            <v>118833</v>
          </cell>
          <cell r="J196">
            <v>10230549.130000001</v>
          </cell>
          <cell r="K196">
            <v>466836.56</v>
          </cell>
          <cell r="L196">
            <v>338917</v>
          </cell>
          <cell r="M196">
            <v>35287.379999999997</v>
          </cell>
          <cell r="N196">
            <v>1067469.23</v>
          </cell>
          <cell r="O196">
            <v>9230.1600000000253</v>
          </cell>
          <cell r="P196">
            <v>1083670.26</v>
          </cell>
          <cell r="Q196">
            <v>11781.19</v>
          </cell>
          <cell r="R196">
            <v>985750.22</v>
          </cell>
          <cell r="S196">
            <v>31097</v>
          </cell>
          <cell r="T196">
            <v>10675938.130000001</v>
          </cell>
          <cell r="U196">
            <v>18265153.199999999</v>
          </cell>
          <cell r="V196">
            <v>289554</v>
          </cell>
          <cell r="W196">
            <v>2338922.39</v>
          </cell>
          <cell r="X196">
            <v>423363.97</v>
          </cell>
          <cell r="Y196">
            <v>12536514.93</v>
          </cell>
          <cell r="Z196">
            <v>2505819.17</v>
          </cell>
          <cell r="AA196">
            <v>1263594.74</v>
          </cell>
          <cell r="AB196">
            <v>208417.54</v>
          </cell>
          <cell r="AC196">
            <v>16697289.220000001</v>
          </cell>
          <cell r="AD196">
            <v>634203.97</v>
          </cell>
          <cell r="AE196">
            <v>9212373.6599999983</v>
          </cell>
          <cell r="AF196">
            <v>684600.88</v>
          </cell>
          <cell r="AG196">
            <v>24292701.870000001</v>
          </cell>
          <cell r="AH196">
            <v>11788.38</v>
          </cell>
          <cell r="AI196">
            <v>738440.27</v>
          </cell>
          <cell r="AJ196">
            <v>135412.47</v>
          </cell>
          <cell r="AK196">
            <v>3417682.05</v>
          </cell>
          <cell r="AL196">
            <v>11336</v>
          </cell>
          <cell r="AM196">
            <v>123354955.8</v>
          </cell>
        </row>
        <row r="198">
          <cell r="A198" t="str">
            <v xml:space="preserve">   Removals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43151.88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334892.84000000003</v>
          </cell>
          <cell r="V198">
            <v>0</v>
          </cell>
          <cell r="W198">
            <v>0</v>
          </cell>
          <cell r="X198">
            <v>0</v>
          </cell>
          <cell r="Y198">
            <v>88887.790000000008</v>
          </cell>
          <cell r="Z198">
            <v>30234.140000000003</v>
          </cell>
          <cell r="AA198">
            <v>16186.79</v>
          </cell>
          <cell r="AB198">
            <v>0</v>
          </cell>
          <cell r="AC198">
            <v>198717.13999999998</v>
          </cell>
          <cell r="AD198">
            <v>0</v>
          </cell>
          <cell r="AE198">
            <v>26621.309999999998</v>
          </cell>
          <cell r="AF198">
            <v>0</v>
          </cell>
          <cell r="AG198">
            <v>43681.81</v>
          </cell>
          <cell r="AH198">
            <v>0</v>
          </cell>
          <cell r="AI198">
            <v>7821.29</v>
          </cell>
          <cell r="AJ198">
            <v>0</v>
          </cell>
          <cell r="AK198">
            <v>0</v>
          </cell>
          <cell r="AL198">
            <v>0</v>
          </cell>
          <cell r="AM198">
            <v>790194.99</v>
          </cell>
        </row>
        <row r="200">
          <cell r="A200" t="str">
            <v xml:space="preserve">   Retirements</v>
          </cell>
          <cell r="C200">
            <v>306339</v>
          </cell>
          <cell r="D200">
            <v>58073</v>
          </cell>
          <cell r="E200">
            <v>414881</v>
          </cell>
          <cell r="F200">
            <v>0</v>
          </cell>
          <cell r="G200">
            <v>0</v>
          </cell>
          <cell r="H200">
            <v>25087</v>
          </cell>
          <cell r="I200">
            <v>0</v>
          </cell>
          <cell r="J200">
            <v>199474</v>
          </cell>
          <cell r="K200">
            <v>50404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1032584</v>
          </cell>
          <cell r="Q200">
            <v>0</v>
          </cell>
          <cell r="R200">
            <v>0</v>
          </cell>
          <cell r="S200">
            <v>0</v>
          </cell>
          <cell r="T200">
            <v>292199</v>
          </cell>
          <cell r="U200">
            <v>6719192</v>
          </cell>
          <cell r="V200">
            <v>0</v>
          </cell>
          <cell r="W200">
            <v>48868</v>
          </cell>
          <cell r="X200">
            <v>0</v>
          </cell>
          <cell r="Y200">
            <v>2717704</v>
          </cell>
          <cell r="Z200">
            <v>225012</v>
          </cell>
          <cell r="AA200">
            <v>27336</v>
          </cell>
          <cell r="AB200">
            <v>0</v>
          </cell>
          <cell r="AC200">
            <v>211539</v>
          </cell>
          <cell r="AD200">
            <v>0</v>
          </cell>
          <cell r="AE200">
            <v>5040</v>
          </cell>
          <cell r="AF200">
            <v>0</v>
          </cell>
          <cell r="AG200">
            <v>166218</v>
          </cell>
          <cell r="AH200">
            <v>0</v>
          </cell>
          <cell r="AI200">
            <v>7503</v>
          </cell>
          <cell r="AJ200">
            <v>0</v>
          </cell>
          <cell r="AK200">
            <v>0</v>
          </cell>
          <cell r="AL200">
            <v>0</v>
          </cell>
          <cell r="AM200">
            <v>12507453</v>
          </cell>
        </row>
        <row r="202">
          <cell r="A202" t="str">
            <v xml:space="preserve">   Depreciation</v>
          </cell>
          <cell r="C202">
            <v>102500.56000000001</v>
          </cell>
          <cell r="D202">
            <v>267387.94</v>
          </cell>
          <cell r="E202">
            <v>133860.91999999998</v>
          </cell>
          <cell r="F202">
            <v>2363.1600000000003</v>
          </cell>
          <cell r="G202">
            <v>18781.550000000003</v>
          </cell>
          <cell r="H202">
            <v>254126.05000000002</v>
          </cell>
          <cell r="I202">
            <v>4548.72</v>
          </cell>
          <cell r="J202">
            <v>915756.07000000007</v>
          </cell>
          <cell r="K202">
            <v>70098.42</v>
          </cell>
          <cell r="L202">
            <v>60441.960000000014</v>
          </cell>
          <cell r="M202">
            <v>42215.540000000008</v>
          </cell>
          <cell r="N202">
            <v>84686.04</v>
          </cell>
          <cell r="O202">
            <v>40.47</v>
          </cell>
          <cell r="P202">
            <v>86973.01</v>
          </cell>
          <cell r="Q202">
            <v>19008.54</v>
          </cell>
          <cell r="R202">
            <v>51372.249999999993</v>
          </cell>
          <cell r="S202">
            <v>4527.96</v>
          </cell>
          <cell r="T202">
            <v>2233854.2699999996</v>
          </cell>
          <cell r="U202">
            <v>4609073.4200000009</v>
          </cell>
          <cell r="V202">
            <v>41889.72</v>
          </cell>
          <cell r="W202">
            <v>358142.93</v>
          </cell>
          <cell r="X202">
            <v>45848.039999999986</v>
          </cell>
          <cell r="Y202">
            <v>1952425.5500000003</v>
          </cell>
          <cell r="Z202">
            <v>344703.96</v>
          </cell>
          <cell r="AA202">
            <v>109138.43000000001</v>
          </cell>
          <cell r="AB202">
            <v>19117.649999999998</v>
          </cell>
          <cell r="AC202">
            <v>1552970.6899999997</v>
          </cell>
          <cell r="AD202">
            <v>122290.13999999998</v>
          </cell>
          <cell r="AE202">
            <v>848143.50000000012</v>
          </cell>
          <cell r="AF202">
            <v>80742.5</v>
          </cell>
          <cell r="AG202">
            <v>2573757.4000000004</v>
          </cell>
          <cell r="AH202">
            <v>10471.33</v>
          </cell>
          <cell r="AI202">
            <v>88226.440000000017</v>
          </cell>
          <cell r="AJ202">
            <v>5928.2400000000016</v>
          </cell>
          <cell r="AK202">
            <v>282042.11000000004</v>
          </cell>
          <cell r="AL202">
            <v>17004</v>
          </cell>
          <cell r="AM202">
            <v>17414459.48</v>
          </cell>
        </row>
        <row r="204">
          <cell r="A204" t="str">
            <v xml:space="preserve">   Salvage</v>
          </cell>
          <cell r="C204">
            <v>50265.599999999999</v>
          </cell>
          <cell r="D204">
            <v>22667.200000000001</v>
          </cell>
          <cell r="E204">
            <v>55975</v>
          </cell>
          <cell r="F204">
            <v>0</v>
          </cell>
          <cell r="G204">
            <v>60.72</v>
          </cell>
          <cell r="H204">
            <v>2467.85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80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13236.65</v>
          </cell>
          <cell r="AD204">
            <v>0</v>
          </cell>
          <cell r="AE204">
            <v>2490.44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147243.46</v>
          </cell>
        </row>
        <row r="206">
          <cell r="A206" t="str">
            <v xml:space="preserve">   Transfers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412008.75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175.34</v>
          </cell>
          <cell r="AB206">
            <v>0</v>
          </cell>
          <cell r="AC206">
            <v>2581.63</v>
          </cell>
          <cell r="AD206">
            <v>0</v>
          </cell>
          <cell r="AE206">
            <v>2091.14</v>
          </cell>
          <cell r="AF206">
            <v>0</v>
          </cell>
          <cell r="AG206">
            <v>9271.3200000000015</v>
          </cell>
          <cell r="AH206">
            <v>0</v>
          </cell>
          <cell r="AI206">
            <v>214.75</v>
          </cell>
          <cell r="AJ206">
            <v>0</v>
          </cell>
          <cell r="AK206">
            <v>0</v>
          </cell>
          <cell r="AL206">
            <v>0</v>
          </cell>
          <cell r="AM206">
            <v>426342.93000000005</v>
          </cell>
        </row>
        <row r="207">
          <cell r="A207" t="str">
            <v>Final Balance</v>
          </cell>
          <cell r="C207">
            <v>486244.08</v>
          </cell>
          <cell r="D207">
            <v>1155425.69</v>
          </cell>
          <cell r="E207">
            <v>793178.71</v>
          </cell>
          <cell r="F207">
            <v>31454.09</v>
          </cell>
          <cell r="G207">
            <v>212755.47</v>
          </cell>
          <cell r="H207">
            <v>2059446.34</v>
          </cell>
          <cell r="I207">
            <v>123381.72</v>
          </cell>
          <cell r="J207">
            <v>10903679.32</v>
          </cell>
          <cell r="K207">
            <v>486530.98</v>
          </cell>
          <cell r="L207">
            <v>399358.96</v>
          </cell>
          <cell r="M207">
            <v>77502.920000000013</v>
          </cell>
          <cell r="N207">
            <v>1152155.27</v>
          </cell>
          <cell r="O207">
            <v>9270.6300000000247</v>
          </cell>
          <cell r="P207">
            <v>138059.27000000002</v>
          </cell>
          <cell r="Q207">
            <v>30789.730000000003</v>
          </cell>
          <cell r="R207">
            <v>1037122.47</v>
          </cell>
          <cell r="S207">
            <v>35624.959999999999</v>
          </cell>
          <cell r="T207">
            <v>12617593.4</v>
          </cell>
          <cell r="U207">
            <v>16232230.530000001</v>
          </cell>
          <cell r="V207">
            <v>331443.71999999997</v>
          </cell>
          <cell r="W207">
            <v>2648197.3200000003</v>
          </cell>
          <cell r="X207">
            <v>469212.00999999995</v>
          </cell>
          <cell r="Y207">
            <v>11682348.690000001</v>
          </cell>
          <cell r="Z207">
            <v>2595276.9899999998</v>
          </cell>
          <cell r="AA207">
            <v>1329385.72</v>
          </cell>
          <cell r="AB207">
            <v>227535.19</v>
          </cell>
          <cell r="AC207">
            <v>17855822.049999997</v>
          </cell>
          <cell r="AD207">
            <v>756494.11</v>
          </cell>
          <cell r="AE207">
            <v>10033437.429999998</v>
          </cell>
          <cell r="AF207">
            <v>765343.38</v>
          </cell>
          <cell r="AG207">
            <v>26665830.780000001</v>
          </cell>
          <cell r="AH207">
            <v>22259.71</v>
          </cell>
          <cell r="AI207">
            <v>811557.17</v>
          </cell>
          <cell r="AJ207">
            <v>141340.71</v>
          </cell>
          <cell r="AK207">
            <v>3699724.1599999997</v>
          </cell>
          <cell r="AL207">
            <v>28340</v>
          </cell>
          <cell r="AM207">
            <v>128045353.68000001</v>
          </cell>
        </row>
        <row r="210">
          <cell r="C210">
            <v>503749.42</v>
          </cell>
          <cell r="D210" t="str">
            <v>x</v>
          </cell>
          <cell r="E210" t="str">
            <v>x</v>
          </cell>
          <cell r="F210">
            <v>2363.1600000000003</v>
          </cell>
          <cell r="G210">
            <v>18781.550000000003</v>
          </cell>
          <cell r="H210">
            <v>254126.05000000002</v>
          </cell>
          <cell r="J210">
            <v>915756.07000000007</v>
          </cell>
          <cell r="K210">
            <v>70098.42</v>
          </cell>
          <cell r="M210">
            <v>42215.540000000008</v>
          </cell>
          <cell r="T210">
            <v>2233854.2699999996</v>
          </cell>
          <cell r="U210">
            <v>4609073.4200000009</v>
          </cell>
          <cell r="W210">
            <v>358142.93</v>
          </cell>
          <cell r="X210">
            <v>45848.039999999986</v>
          </cell>
          <cell r="Y210">
            <v>1952425.5500000003</v>
          </cell>
          <cell r="Z210">
            <v>344703.96</v>
          </cell>
          <cell r="AA210">
            <v>109138.43000000001</v>
          </cell>
          <cell r="AB210">
            <v>1572088.3399999996</v>
          </cell>
          <cell r="AC210" t="str">
            <v>x</v>
          </cell>
          <cell r="AD210">
            <v>970433.64000000013</v>
          </cell>
          <cell r="AE210" t="str">
            <v>x</v>
          </cell>
          <cell r="AF210">
            <v>2654499.9000000004</v>
          </cell>
          <cell r="AG210" t="str">
            <v>x</v>
          </cell>
          <cell r="AH210">
            <v>98697.770000000019</v>
          </cell>
          <cell r="AI210" t="str">
            <v>x</v>
          </cell>
          <cell r="AJ210">
            <v>5928.2400000000016</v>
          </cell>
          <cell r="AK210">
            <v>282042.11000000004</v>
          </cell>
          <cell r="AM210">
            <v>17043966.810000002</v>
          </cell>
        </row>
        <row r="212">
          <cell r="I212">
            <v>4548.72</v>
          </cell>
          <cell r="L212">
            <v>60441.960000000014</v>
          </cell>
          <cell r="N212">
            <v>84686.04</v>
          </cell>
          <cell r="O212">
            <v>40.47</v>
          </cell>
          <cell r="P212">
            <v>86973.01</v>
          </cell>
          <cell r="Q212">
            <v>19008.54</v>
          </cell>
          <cell r="R212">
            <v>51372.249999999993</v>
          </cell>
          <cell r="S212">
            <v>4527.96</v>
          </cell>
          <cell r="V212">
            <v>41889.72</v>
          </cell>
          <cell r="AL212">
            <v>17004</v>
          </cell>
          <cell r="AM212">
            <v>370492.67000000004</v>
          </cell>
        </row>
        <row r="213">
          <cell r="I213" t="str">
            <v>x</v>
          </cell>
          <cell r="L213" t="str">
            <v>x</v>
          </cell>
          <cell r="S213" t="str">
            <v>x</v>
          </cell>
          <cell r="V213" t="str">
            <v>x</v>
          </cell>
          <cell r="AL213" t="str">
            <v>x</v>
          </cell>
        </row>
        <row r="214">
          <cell r="AM214">
            <v>17414459.480000004</v>
          </cell>
        </row>
        <row r="216">
          <cell r="N216">
            <v>84686.04</v>
          </cell>
          <cell r="O216">
            <v>40.47</v>
          </cell>
          <cell r="P216">
            <v>86973.01</v>
          </cell>
          <cell r="Q216">
            <v>19008.54</v>
          </cell>
          <cell r="R216">
            <v>51372.249999999993</v>
          </cell>
          <cell r="AM216">
            <v>242080.31</v>
          </cell>
        </row>
        <row r="218">
          <cell r="I218">
            <v>4548.72</v>
          </cell>
          <cell r="L218">
            <v>60441.960000000014</v>
          </cell>
          <cell r="S218">
            <v>4527.96</v>
          </cell>
          <cell r="V218">
            <v>41889.72</v>
          </cell>
          <cell r="AM218">
            <v>111408.36000000002</v>
          </cell>
        </row>
        <row r="223">
          <cell r="A223" t="str">
            <v>Final Balance</v>
          </cell>
          <cell r="C223">
            <v>486244.08</v>
          </cell>
          <cell r="D223">
            <v>1155425.69</v>
          </cell>
          <cell r="E223">
            <v>793178.71</v>
          </cell>
          <cell r="F223">
            <v>31454.09</v>
          </cell>
          <cell r="G223">
            <v>212755.47</v>
          </cell>
          <cell r="H223">
            <v>2059446.34</v>
          </cell>
          <cell r="I223">
            <v>123381.72</v>
          </cell>
          <cell r="J223">
            <v>10903679.32</v>
          </cell>
          <cell r="K223">
            <v>486530.98</v>
          </cell>
          <cell r="L223">
            <v>399358.96</v>
          </cell>
          <cell r="M223">
            <v>77502.92</v>
          </cell>
          <cell r="N223">
            <v>1152155.27</v>
          </cell>
          <cell r="O223">
            <v>9270.6300000000247</v>
          </cell>
          <cell r="P223">
            <v>138059.26999999999</v>
          </cell>
          <cell r="Q223">
            <v>30789.73</v>
          </cell>
          <cell r="R223">
            <v>1037122.47</v>
          </cell>
          <cell r="S223">
            <v>35624.959999999999</v>
          </cell>
          <cell r="T223">
            <v>12617593.4</v>
          </cell>
          <cell r="U223">
            <v>16232230.530000001</v>
          </cell>
          <cell r="V223">
            <v>331443.71999999997</v>
          </cell>
          <cell r="W223">
            <v>2648197.3199999998</v>
          </cell>
          <cell r="X223">
            <v>469212.01</v>
          </cell>
          <cell r="Y223">
            <v>11682348.690000001</v>
          </cell>
          <cell r="Z223">
            <v>2595276.9900000002</v>
          </cell>
          <cell r="AA223">
            <v>1329385.72</v>
          </cell>
          <cell r="AB223">
            <v>227535.19</v>
          </cell>
          <cell r="AC223">
            <v>17855822.049999997</v>
          </cell>
          <cell r="AD223">
            <v>756494.11</v>
          </cell>
          <cell r="AE223">
            <v>10033437.429999998</v>
          </cell>
          <cell r="AF223">
            <v>765343.38</v>
          </cell>
          <cell r="AG223">
            <v>26665830.780000001</v>
          </cell>
          <cell r="AH223">
            <v>22259.71</v>
          </cell>
          <cell r="AI223">
            <v>811557.17</v>
          </cell>
          <cell r="AJ223">
            <v>141340.71</v>
          </cell>
          <cell r="AK223">
            <v>3699724.16</v>
          </cell>
          <cell r="AL223">
            <v>28340</v>
          </cell>
          <cell r="AM223">
            <v>128045353.68000001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-1.4551915228366852E-11</v>
          </cell>
          <cell r="N224">
            <v>0</v>
          </cell>
          <cell r="O224">
            <v>0</v>
          </cell>
          <cell r="P224">
            <v>-2.9103830456733704E-11</v>
          </cell>
          <cell r="Q224">
            <v>-3.637978807091713E-12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-4.6566128730773926E-10</v>
          </cell>
          <cell r="X224">
            <v>5.8207660913467407E-11</v>
          </cell>
          <cell r="Y224">
            <v>0</v>
          </cell>
          <cell r="Z224">
            <v>4.6566128730773926E-10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4.6566128730773926E-10</v>
          </cell>
          <cell r="AL224">
            <v>0</v>
          </cell>
          <cell r="AM224">
            <v>0</v>
          </cell>
        </row>
      </sheetData>
      <sheetData sheetId="2"/>
      <sheetData sheetId="3">
        <row r="3">
          <cell r="E3" t="str">
            <v>Sub</v>
          </cell>
          <cell r="I3" t="str">
            <v>Adjusted Total</v>
          </cell>
        </row>
        <row r="4">
          <cell r="E4" t="str">
            <v>111</v>
          </cell>
          <cell r="I4">
            <v>536833</v>
          </cell>
        </row>
        <row r="5">
          <cell r="E5" t="str">
            <v>112</v>
          </cell>
          <cell r="I5">
            <v>7810.6</v>
          </cell>
        </row>
        <row r="6">
          <cell r="E6" t="str">
            <v>116</v>
          </cell>
          <cell r="I6">
            <v>0</v>
          </cell>
        </row>
        <row r="7">
          <cell r="E7" t="str">
            <v>116</v>
          </cell>
          <cell r="I7">
            <v>11133.6</v>
          </cell>
        </row>
        <row r="8">
          <cell r="E8" t="str">
            <v>121</v>
          </cell>
          <cell r="I8">
            <v>44781.72</v>
          </cell>
        </row>
        <row r="9">
          <cell r="E9" t="str">
            <v>121</v>
          </cell>
          <cell r="I9">
            <v>17885.740000000002</v>
          </cell>
        </row>
        <row r="10">
          <cell r="E10" t="str">
            <v>121</v>
          </cell>
          <cell r="I10">
            <v>18383.669999999998</v>
          </cell>
        </row>
        <row r="11">
          <cell r="E11" t="str">
            <v>122</v>
          </cell>
          <cell r="I11">
            <v>33058.550000000003</v>
          </cell>
        </row>
        <row r="12">
          <cell r="E12" t="str">
            <v>122</v>
          </cell>
          <cell r="I12">
            <v>0</v>
          </cell>
        </row>
        <row r="13">
          <cell r="E13" t="str">
            <v>123</v>
          </cell>
          <cell r="I13">
            <v>13148.48</v>
          </cell>
        </row>
        <row r="14">
          <cell r="E14" t="str">
            <v>123</v>
          </cell>
          <cell r="I14">
            <v>10295</v>
          </cell>
        </row>
        <row r="15">
          <cell r="E15" t="str">
            <v>124</v>
          </cell>
          <cell r="I15">
            <v>81736.14</v>
          </cell>
        </row>
        <row r="16">
          <cell r="E16" t="str">
            <v>124</v>
          </cell>
          <cell r="I16">
            <v>3599863</v>
          </cell>
        </row>
        <row r="17">
          <cell r="E17" t="str">
            <v>126</v>
          </cell>
          <cell r="I17">
            <v>0</v>
          </cell>
        </row>
        <row r="18">
          <cell r="E18" t="str">
            <v>126</v>
          </cell>
          <cell r="I18">
            <v>0</v>
          </cell>
        </row>
        <row r="19">
          <cell r="E19" t="str">
            <v>212</v>
          </cell>
          <cell r="I19">
            <v>473.79</v>
          </cell>
        </row>
        <row r="20">
          <cell r="E20" t="str">
            <v>212</v>
          </cell>
          <cell r="I20">
            <v>464975.76</v>
          </cell>
        </row>
        <row r="21">
          <cell r="E21" t="str">
            <v>212</v>
          </cell>
          <cell r="I21">
            <v>0</v>
          </cell>
        </row>
        <row r="22">
          <cell r="E22" t="str">
            <v>212</v>
          </cell>
          <cell r="I22">
            <v>647734.41</v>
          </cell>
        </row>
        <row r="23">
          <cell r="E23" t="str">
            <v>212</v>
          </cell>
          <cell r="I23">
            <v>43758.48</v>
          </cell>
        </row>
        <row r="24">
          <cell r="E24" t="str">
            <v>220</v>
          </cell>
          <cell r="I24">
            <v>0</v>
          </cell>
        </row>
        <row r="25">
          <cell r="E25" t="str">
            <v>232</v>
          </cell>
          <cell r="I25">
            <v>380390.45</v>
          </cell>
        </row>
        <row r="26">
          <cell r="E26" t="str">
            <v>232</v>
          </cell>
          <cell r="I26">
            <v>1521110.47</v>
          </cell>
        </row>
        <row r="27">
          <cell r="E27" t="str">
            <v>232</v>
          </cell>
          <cell r="I27">
            <v>6305.19</v>
          </cell>
        </row>
        <row r="28">
          <cell r="E28" t="str">
            <v>351</v>
          </cell>
          <cell r="I28">
            <v>0</v>
          </cell>
        </row>
        <row r="29">
          <cell r="E29" t="str">
            <v>351</v>
          </cell>
          <cell r="I29">
            <v>0</v>
          </cell>
        </row>
        <row r="30">
          <cell r="E30" t="str">
            <v>362</v>
          </cell>
          <cell r="I30">
            <v>0</v>
          </cell>
        </row>
        <row r="31">
          <cell r="E31" t="str">
            <v>410</v>
          </cell>
          <cell r="I31">
            <v>0</v>
          </cell>
        </row>
        <row r="32">
          <cell r="E32" t="str">
            <v>411</v>
          </cell>
          <cell r="I32">
            <v>12048.16</v>
          </cell>
        </row>
        <row r="33">
          <cell r="E33" t="str">
            <v>411</v>
          </cell>
          <cell r="I33">
            <v>96899.67</v>
          </cell>
        </row>
        <row r="34">
          <cell r="E34" t="str">
            <v>411</v>
          </cell>
          <cell r="I34">
            <v>3167.31</v>
          </cell>
        </row>
        <row r="35">
          <cell r="E35" t="str">
            <v>421</v>
          </cell>
          <cell r="I35">
            <v>182528.63</v>
          </cell>
        </row>
        <row r="36">
          <cell r="E36" t="str">
            <v>421</v>
          </cell>
          <cell r="I36">
            <v>116067.87</v>
          </cell>
        </row>
        <row r="37">
          <cell r="E37" t="str">
            <v>421</v>
          </cell>
          <cell r="I37">
            <v>75078.27</v>
          </cell>
        </row>
        <row r="38">
          <cell r="E38" t="str">
            <v>422</v>
          </cell>
          <cell r="I38">
            <v>317308.06</v>
          </cell>
        </row>
        <row r="39">
          <cell r="E39" t="str">
            <v>422</v>
          </cell>
          <cell r="I39">
            <v>1012012.12</v>
          </cell>
        </row>
        <row r="40">
          <cell r="E40" t="str">
            <v>422</v>
          </cell>
          <cell r="I40">
            <v>33286.01</v>
          </cell>
        </row>
        <row r="41">
          <cell r="E41" t="str">
            <v>423</v>
          </cell>
          <cell r="I41">
            <v>784665.41</v>
          </cell>
        </row>
        <row r="42">
          <cell r="E42" t="str">
            <v>423</v>
          </cell>
          <cell r="I42">
            <v>862459.34</v>
          </cell>
        </row>
        <row r="43">
          <cell r="E43" t="str">
            <v>423</v>
          </cell>
          <cell r="I43">
            <v>23181.66</v>
          </cell>
        </row>
        <row r="44">
          <cell r="E44" t="str">
            <v>426</v>
          </cell>
          <cell r="I44">
            <v>45415.78</v>
          </cell>
        </row>
        <row r="45">
          <cell r="E45" t="str">
            <v>426</v>
          </cell>
          <cell r="I45">
            <v>122595.7</v>
          </cell>
        </row>
        <row r="46">
          <cell r="E46" t="str">
            <v>426</v>
          </cell>
          <cell r="I46">
            <v>183.73</v>
          </cell>
        </row>
        <row r="47">
          <cell r="E47" t="str">
            <v>441</v>
          </cell>
          <cell r="I47">
            <v>141765.62</v>
          </cell>
        </row>
        <row r="48">
          <cell r="E48" t="str">
            <v>441</v>
          </cell>
          <cell r="I48">
            <v>690984.81</v>
          </cell>
        </row>
        <row r="49">
          <cell r="E49" t="str">
            <v>441</v>
          </cell>
          <cell r="I49">
            <v>0</v>
          </cell>
        </row>
        <row r="52">
          <cell r="E52" t="str">
            <v>Sub</v>
          </cell>
          <cell r="I52" t="str">
            <v>Adjusted Total</v>
          </cell>
        </row>
        <row r="53">
          <cell r="E53" t="str">
            <v>111</v>
          </cell>
          <cell r="I53">
            <v>536833</v>
          </cell>
        </row>
        <row r="54">
          <cell r="E54" t="str">
            <v>112</v>
          </cell>
          <cell r="I54">
            <v>64292.6</v>
          </cell>
        </row>
        <row r="55">
          <cell r="E55" t="str">
            <v>116</v>
          </cell>
          <cell r="I55">
            <v>0</v>
          </cell>
        </row>
        <row r="56">
          <cell r="E56" t="str">
            <v>116</v>
          </cell>
          <cell r="I56">
            <v>29258.6</v>
          </cell>
        </row>
        <row r="57">
          <cell r="E57" t="str">
            <v>121</v>
          </cell>
          <cell r="I57">
            <v>46871.13</v>
          </cell>
        </row>
        <row r="58">
          <cell r="E58" t="str">
            <v>121</v>
          </cell>
          <cell r="I58">
            <v>18037.509999999998</v>
          </cell>
        </row>
        <row r="59">
          <cell r="E59" t="str">
            <v>121</v>
          </cell>
          <cell r="I59">
            <v>18383.669999999998</v>
          </cell>
        </row>
        <row r="60">
          <cell r="E60" t="str">
            <v>122</v>
          </cell>
          <cell r="I60">
            <v>35187.26</v>
          </cell>
        </row>
        <row r="61">
          <cell r="E61" t="str">
            <v>122</v>
          </cell>
          <cell r="I61">
            <v>0</v>
          </cell>
        </row>
        <row r="62">
          <cell r="E62" t="str">
            <v>123</v>
          </cell>
          <cell r="I62">
            <v>13866.68</v>
          </cell>
        </row>
        <row r="63">
          <cell r="E63" t="str">
            <v>123</v>
          </cell>
          <cell r="I63">
            <v>10295</v>
          </cell>
        </row>
        <row r="64">
          <cell r="E64" t="str">
            <v>124</v>
          </cell>
          <cell r="I64">
            <v>137818.62</v>
          </cell>
        </row>
        <row r="65">
          <cell r="E65" t="str">
            <v>124</v>
          </cell>
          <cell r="I65">
            <v>3797921.11</v>
          </cell>
        </row>
        <row r="66">
          <cell r="E66" t="str">
            <v>126</v>
          </cell>
          <cell r="I66">
            <v>0</v>
          </cell>
        </row>
        <row r="67">
          <cell r="E67" t="str">
            <v>126</v>
          </cell>
          <cell r="I67">
            <v>0</v>
          </cell>
        </row>
        <row r="68">
          <cell r="E68" t="str">
            <v>212</v>
          </cell>
          <cell r="I68">
            <v>473.79</v>
          </cell>
        </row>
        <row r="69">
          <cell r="E69" t="str">
            <v>212</v>
          </cell>
          <cell r="I69">
            <v>480737.23</v>
          </cell>
        </row>
        <row r="70">
          <cell r="E70" t="str">
            <v>212</v>
          </cell>
          <cell r="I70">
            <v>0</v>
          </cell>
        </row>
        <row r="71">
          <cell r="E71" t="str">
            <v>212</v>
          </cell>
          <cell r="I71">
            <v>697057.55</v>
          </cell>
        </row>
        <row r="72">
          <cell r="E72" t="str">
            <v>212</v>
          </cell>
          <cell r="I72">
            <v>83508.84</v>
          </cell>
        </row>
        <row r="73">
          <cell r="E73" t="str">
            <v>220</v>
          </cell>
          <cell r="I73">
            <v>0</v>
          </cell>
        </row>
        <row r="74">
          <cell r="E74" t="str">
            <v>232</v>
          </cell>
          <cell r="I74">
            <v>491043.51</v>
          </cell>
        </row>
        <row r="75">
          <cell r="E75" t="str">
            <v>232</v>
          </cell>
          <cell r="I75">
            <v>2062759.85</v>
          </cell>
        </row>
        <row r="76">
          <cell r="E76" t="str">
            <v>232</v>
          </cell>
          <cell r="I76">
            <v>10174.01</v>
          </cell>
        </row>
        <row r="77">
          <cell r="E77" t="str">
            <v>351</v>
          </cell>
          <cell r="I77">
            <v>4106.17</v>
          </cell>
        </row>
        <row r="78">
          <cell r="E78" t="str">
            <v>351</v>
          </cell>
          <cell r="I78">
            <v>4096.16</v>
          </cell>
        </row>
        <row r="79">
          <cell r="E79" t="str">
            <v>362</v>
          </cell>
          <cell r="I79">
            <v>0</v>
          </cell>
        </row>
        <row r="80">
          <cell r="E80" t="str">
            <v>411</v>
          </cell>
          <cell r="I80">
            <v>12272.41</v>
          </cell>
        </row>
        <row r="81">
          <cell r="E81" t="str">
            <v>411</v>
          </cell>
          <cell r="I81">
            <v>99119.96</v>
          </cell>
        </row>
        <row r="82">
          <cell r="E82" t="str">
            <v>411</v>
          </cell>
          <cell r="I82">
            <v>3167.31</v>
          </cell>
        </row>
        <row r="83">
          <cell r="E83" t="str">
            <v>421</v>
          </cell>
          <cell r="I83">
            <v>221725.71</v>
          </cell>
        </row>
        <row r="84">
          <cell r="E84" t="str">
            <v>421</v>
          </cell>
          <cell r="I84">
            <v>116285.01</v>
          </cell>
        </row>
        <row r="85">
          <cell r="E85" t="str">
            <v>421</v>
          </cell>
          <cell r="I85">
            <v>75078.27</v>
          </cell>
        </row>
        <row r="86">
          <cell r="E86" t="str">
            <v>422</v>
          </cell>
          <cell r="I86">
            <v>352515.94</v>
          </cell>
        </row>
        <row r="87">
          <cell r="E87" t="str">
            <v>422</v>
          </cell>
          <cell r="I87">
            <v>1184834.3700000001</v>
          </cell>
        </row>
        <row r="88">
          <cell r="E88" t="str">
            <v>422</v>
          </cell>
          <cell r="I88">
            <v>33942.97</v>
          </cell>
        </row>
        <row r="89">
          <cell r="E89" t="str">
            <v>423</v>
          </cell>
          <cell r="I89">
            <v>831241.19</v>
          </cell>
        </row>
        <row r="90">
          <cell r="E90" t="str">
            <v>423</v>
          </cell>
          <cell r="I90">
            <v>882044.18</v>
          </cell>
        </row>
        <row r="91">
          <cell r="E91" t="str">
            <v>423</v>
          </cell>
          <cell r="I91">
            <v>23193.85</v>
          </cell>
        </row>
        <row r="92">
          <cell r="E92" t="str">
            <v>426</v>
          </cell>
          <cell r="I92">
            <v>63976.88</v>
          </cell>
        </row>
        <row r="93">
          <cell r="E93" t="str">
            <v>426</v>
          </cell>
          <cell r="I93">
            <v>131657.54999999999</v>
          </cell>
        </row>
        <row r="94">
          <cell r="E94" t="str">
            <v>426</v>
          </cell>
          <cell r="I94">
            <v>183.73</v>
          </cell>
        </row>
        <row r="95">
          <cell r="E95" t="str">
            <v>441</v>
          </cell>
          <cell r="I95">
            <v>152648.6</v>
          </cell>
        </row>
        <row r="96">
          <cell r="E96" t="str">
            <v>441</v>
          </cell>
          <cell r="I96">
            <v>702551.66</v>
          </cell>
        </row>
        <row r="98">
          <cell r="E98" t="str">
            <v>Sub</v>
          </cell>
          <cell r="I98" t="str">
            <v>Adjusted Total</v>
          </cell>
        </row>
        <row r="99">
          <cell r="E99" t="str">
            <v>111</v>
          </cell>
          <cell r="I99">
            <v>536833</v>
          </cell>
        </row>
        <row r="100">
          <cell r="E100" t="str">
            <v>112</v>
          </cell>
          <cell r="I100">
            <v>-18711.400000000001</v>
          </cell>
        </row>
        <row r="101">
          <cell r="E101" t="str">
            <v>116</v>
          </cell>
          <cell r="I101">
            <v>5030</v>
          </cell>
        </row>
        <row r="102">
          <cell r="E102" t="str">
            <v>116</v>
          </cell>
          <cell r="I102">
            <v>76662.48</v>
          </cell>
        </row>
        <row r="103">
          <cell r="E103" t="str">
            <v>121</v>
          </cell>
          <cell r="I103">
            <v>50858.65</v>
          </cell>
        </row>
        <row r="104">
          <cell r="E104" t="str">
            <v>121</v>
          </cell>
          <cell r="I104">
            <v>25942.45</v>
          </cell>
        </row>
        <row r="105">
          <cell r="E105" t="str">
            <v>121</v>
          </cell>
          <cell r="I105">
            <v>18383.669999999998</v>
          </cell>
        </row>
        <row r="106">
          <cell r="E106" t="str">
            <v>122</v>
          </cell>
          <cell r="I106">
            <v>50748.06</v>
          </cell>
        </row>
        <row r="107">
          <cell r="E107" t="str">
            <v>122</v>
          </cell>
          <cell r="I107">
            <v>0</v>
          </cell>
        </row>
        <row r="108">
          <cell r="E108" t="str">
            <v>123</v>
          </cell>
          <cell r="I108">
            <v>19338.740000000002</v>
          </cell>
        </row>
        <row r="109">
          <cell r="E109" t="str">
            <v>123</v>
          </cell>
          <cell r="I109">
            <v>10295</v>
          </cell>
        </row>
        <row r="110">
          <cell r="E110" t="str">
            <v>124</v>
          </cell>
          <cell r="I110">
            <v>166703.81</v>
          </cell>
        </row>
        <row r="111">
          <cell r="E111" t="str">
            <v>124</v>
          </cell>
          <cell r="I111">
            <v>3941345.81</v>
          </cell>
        </row>
        <row r="112">
          <cell r="E112" t="str">
            <v>126</v>
          </cell>
          <cell r="I112">
            <v>0</v>
          </cell>
        </row>
        <row r="113">
          <cell r="E113" t="str">
            <v>126</v>
          </cell>
          <cell r="I113">
            <v>0</v>
          </cell>
        </row>
        <row r="114">
          <cell r="E114" t="str">
            <v>212</v>
          </cell>
          <cell r="I114">
            <v>473.79</v>
          </cell>
        </row>
        <row r="115">
          <cell r="E115" t="str">
            <v>212</v>
          </cell>
          <cell r="I115">
            <v>510363.36</v>
          </cell>
        </row>
        <row r="116">
          <cell r="E116" t="str">
            <v>212</v>
          </cell>
          <cell r="I116">
            <v>0</v>
          </cell>
        </row>
        <row r="117">
          <cell r="E117" t="str">
            <v>212</v>
          </cell>
          <cell r="I117">
            <v>743526.62</v>
          </cell>
        </row>
        <row r="118">
          <cell r="E118" t="str">
            <v>212</v>
          </cell>
          <cell r="I118">
            <v>125858.44</v>
          </cell>
        </row>
        <row r="119">
          <cell r="E119" t="str">
            <v>220</v>
          </cell>
          <cell r="I119">
            <v>0</v>
          </cell>
        </row>
        <row r="120">
          <cell r="E120" t="str">
            <v>232</v>
          </cell>
          <cell r="I120">
            <v>690567.66</v>
          </cell>
        </row>
        <row r="121">
          <cell r="E121" t="str">
            <v>232</v>
          </cell>
          <cell r="I121">
            <v>2307980.81</v>
          </cell>
        </row>
        <row r="122">
          <cell r="E122" t="str">
            <v>232</v>
          </cell>
          <cell r="I122">
            <v>14471.63</v>
          </cell>
        </row>
        <row r="123">
          <cell r="E123" t="str">
            <v>351</v>
          </cell>
          <cell r="I123">
            <v>10329.35</v>
          </cell>
        </row>
        <row r="124">
          <cell r="E124" t="str">
            <v>351</v>
          </cell>
          <cell r="I124">
            <v>4849.91</v>
          </cell>
        </row>
        <row r="125">
          <cell r="E125" t="str">
            <v>362</v>
          </cell>
          <cell r="I125">
            <v>0</v>
          </cell>
        </row>
        <row r="126">
          <cell r="E126" t="str">
            <v>411</v>
          </cell>
          <cell r="I126">
            <v>13871.16</v>
          </cell>
        </row>
        <row r="127">
          <cell r="E127" t="str">
            <v>411</v>
          </cell>
          <cell r="I127">
            <v>98906.63</v>
          </cell>
        </row>
        <row r="128">
          <cell r="E128" t="str">
            <v>411</v>
          </cell>
          <cell r="I128">
            <v>3167.31</v>
          </cell>
        </row>
        <row r="129">
          <cell r="E129" t="str">
            <v>421</v>
          </cell>
          <cell r="I129">
            <v>269974.53999999998</v>
          </cell>
        </row>
        <row r="130">
          <cell r="E130" t="str">
            <v>421</v>
          </cell>
          <cell r="I130">
            <v>116448.04</v>
          </cell>
        </row>
        <row r="131">
          <cell r="E131" t="str">
            <v>421</v>
          </cell>
          <cell r="I131">
            <v>75078.27</v>
          </cell>
        </row>
        <row r="132">
          <cell r="E132" t="str">
            <v>422</v>
          </cell>
          <cell r="I132">
            <v>393115.27</v>
          </cell>
        </row>
        <row r="133">
          <cell r="E133" t="str">
            <v>422</v>
          </cell>
          <cell r="I133">
            <v>1231197.95</v>
          </cell>
        </row>
        <row r="134">
          <cell r="E134" t="str">
            <v>422</v>
          </cell>
          <cell r="I134">
            <v>33752.76</v>
          </cell>
        </row>
        <row r="135">
          <cell r="E135" t="str">
            <v>423</v>
          </cell>
          <cell r="I135">
            <v>894401.81</v>
          </cell>
        </row>
        <row r="136">
          <cell r="E136" t="str">
            <v>423</v>
          </cell>
          <cell r="I136">
            <v>938470.63</v>
          </cell>
        </row>
        <row r="137">
          <cell r="E137" t="str">
            <v>423</v>
          </cell>
          <cell r="I137">
            <v>23462.12</v>
          </cell>
        </row>
        <row r="138">
          <cell r="E138" t="str">
            <v>426</v>
          </cell>
          <cell r="I138">
            <v>96171.91</v>
          </cell>
        </row>
        <row r="139">
          <cell r="E139" t="str">
            <v>426</v>
          </cell>
          <cell r="I139">
            <v>140237.72</v>
          </cell>
        </row>
        <row r="140">
          <cell r="E140" t="str">
            <v>426</v>
          </cell>
          <cell r="I140">
            <v>1058.3900000000001</v>
          </cell>
        </row>
        <row r="141">
          <cell r="E141" t="str">
            <v>441</v>
          </cell>
          <cell r="I141">
            <v>154344.84</v>
          </cell>
        </row>
        <row r="142">
          <cell r="E142" t="str">
            <v>441</v>
          </cell>
          <cell r="I142">
            <v>702202.74</v>
          </cell>
        </row>
        <row r="144">
          <cell r="E144" t="str">
            <v>Sub</v>
          </cell>
          <cell r="I144" t="str">
            <v>Adjusted Total</v>
          </cell>
        </row>
        <row r="145">
          <cell r="E145" t="str">
            <v>111</v>
          </cell>
          <cell r="I145">
            <v>536833</v>
          </cell>
        </row>
        <row r="146">
          <cell r="E146" t="str">
            <v>112</v>
          </cell>
          <cell r="I146">
            <v>5930.6</v>
          </cell>
        </row>
        <row r="147">
          <cell r="E147" t="str">
            <v>116</v>
          </cell>
          <cell r="I147">
            <v>3508</v>
          </cell>
        </row>
        <row r="148">
          <cell r="E148" t="str">
            <v>116</v>
          </cell>
          <cell r="I148">
            <v>42999.48</v>
          </cell>
        </row>
        <row r="149">
          <cell r="E149" t="str">
            <v>121</v>
          </cell>
          <cell r="I149">
            <v>61696.06</v>
          </cell>
        </row>
        <row r="150">
          <cell r="E150" t="str">
            <v>121</v>
          </cell>
          <cell r="I150">
            <v>38168.019999999997</v>
          </cell>
        </row>
        <row r="151">
          <cell r="E151" t="str">
            <v>121</v>
          </cell>
          <cell r="I151">
            <v>18383.669999999998</v>
          </cell>
        </row>
        <row r="152">
          <cell r="E152" t="str">
            <v>122</v>
          </cell>
          <cell r="I152">
            <v>65334.85</v>
          </cell>
        </row>
        <row r="153">
          <cell r="E153" t="str">
            <v>122</v>
          </cell>
          <cell r="I153">
            <v>0</v>
          </cell>
        </row>
        <row r="154">
          <cell r="E154" t="str">
            <v>123</v>
          </cell>
          <cell r="I154">
            <v>24738.94</v>
          </cell>
        </row>
        <row r="155">
          <cell r="E155" t="str">
            <v>123</v>
          </cell>
          <cell r="I155">
            <v>10295</v>
          </cell>
        </row>
        <row r="156">
          <cell r="E156" t="str">
            <v>124</v>
          </cell>
          <cell r="I156">
            <v>183080.26</v>
          </cell>
        </row>
        <row r="157">
          <cell r="E157" t="str">
            <v>124</v>
          </cell>
          <cell r="I157">
            <v>4079569.7</v>
          </cell>
        </row>
        <row r="158">
          <cell r="E158" t="str">
            <v>126</v>
          </cell>
          <cell r="I158">
            <v>0</v>
          </cell>
        </row>
        <row r="159">
          <cell r="E159" t="str">
            <v>126</v>
          </cell>
          <cell r="I159">
            <v>0</v>
          </cell>
        </row>
        <row r="160">
          <cell r="E160" t="str">
            <v>212</v>
          </cell>
          <cell r="I160">
            <v>6036.09</v>
          </cell>
        </row>
        <row r="161">
          <cell r="E161" t="str">
            <v>212</v>
          </cell>
          <cell r="I161">
            <v>1741704.74</v>
          </cell>
        </row>
        <row r="162">
          <cell r="E162" t="str">
            <v>212</v>
          </cell>
          <cell r="I162">
            <v>0</v>
          </cell>
        </row>
        <row r="163">
          <cell r="E163" t="str">
            <v>212</v>
          </cell>
          <cell r="I163">
            <v>783676.61</v>
          </cell>
        </row>
        <row r="164">
          <cell r="E164" t="str">
            <v>212</v>
          </cell>
          <cell r="I164">
            <v>216850.34</v>
          </cell>
        </row>
        <row r="165">
          <cell r="E165" t="str">
            <v>220</v>
          </cell>
          <cell r="I165">
            <v>0</v>
          </cell>
        </row>
        <row r="166">
          <cell r="E166" t="str">
            <v>232</v>
          </cell>
          <cell r="I166">
            <v>864240.16</v>
          </cell>
        </row>
        <row r="167">
          <cell r="E167" t="str">
            <v>232</v>
          </cell>
          <cell r="I167">
            <v>2166496.9900000002</v>
          </cell>
        </row>
        <row r="168">
          <cell r="E168" t="str">
            <v>232</v>
          </cell>
          <cell r="I168">
            <v>24434.29</v>
          </cell>
        </row>
        <row r="169">
          <cell r="E169" t="str">
            <v>351</v>
          </cell>
          <cell r="I169">
            <v>20014.47</v>
          </cell>
        </row>
        <row r="170">
          <cell r="E170" t="str">
            <v>351</v>
          </cell>
          <cell r="I170">
            <v>6491.16</v>
          </cell>
        </row>
        <row r="171">
          <cell r="E171" t="str">
            <v>362</v>
          </cell>
          <cell r="I171">
            <v>0</v>
          </cell>
        </row>
        <row r="172">
          <cell r="E172" t="str">
            <v>411</v>
          </cell>
          <cell r="I172">
            <v>21426.83</v>
          </cell>
        </row>
        <row r="173">
          <cell r="E173" t="str">
            <v>411</v>
          </cell>
          <cell r="I173">
            <v>98906.63</v>
          </cell>
        </row>
        <row r="174">
          <cell r="E174" t="str">
            <v>411</v>
          </cell>
          <cell r="I174">
            <v>4493.92</v>
          </cell>
        </row>
        <row r="175">
          <cell r="E175" t="str">
            <v>421</v>
          </cell>
          <cell r="I175">
            <v>353349.25</v>
          </cell>
        </row>
        <row r="176">
          <cell r="E176" t="str">
            <v>421</v>
          </cell>
          <cell r="I176">
            <v>117098.52</v>
          </cell>
        </row>
        <row r="177">
          <cell r="E177" t="str">
            <v>421</v>
          </cell>
          <cell r="I177">
            <v>78620.41</v>
          </cell>
        </row>
        <row r="178">
          <cell r="E178" t="str">
            <v>422</v>
          </cell>
          <cell r="I178">
            <v>411900.3</v>
          </cell>
        </row>
        <row r="179">
          <cell r="E179" t="str">
            <v>422</v>
          </cell>
          <cell r="I179">
            <v>1253440.1100000001</v>
          </cell>
        </row>
        <row r="180">
          <cell r="E180" t="str">
            <v>422</v>
          </cell>
          <cell r="I180">
            <v>33752.76</v>
          </cell>
        </row>
        <row r="181">
          <cell r="E181" t="str">
            <v>423</v>
          </cell>
          <cell r="I181">
            <v>963637.79</v>
          </cell>
        </row>
        <row r="182">
          <cell r="E182" t="str">
            <v>423</v>
          </cell>
          <cell r="I182">
            <v>971090.86</v>
          </cell>
        </row>
        <row r="183">
          <cell r="E183" t="str">
            <v>423</v>
          </cell>
          <cell r="I183">
            <v>23477.55</v>
          </cell>
        </row>
        <row r="184">
          <cell r="E184" t="str">
            <v>426</v>
          </cell>
          <cell r="I184">
            <v>117526.81</v>
          </cell>
        </row>
        <row r="185">
          <cell r="E185" t="str">
            <v>426</v>
          </cell>
          <cell r="I185">
            <v>154393.20000000001</v>
          </cell>
        </row>
        <row r="186">
          <cell r="E186" t="str">
            <v>426</v>
          </cell>
          <cell r="I186">
            <v>1518.92</v>
          </cell>
        </row>
        <row r="187">
          <cell r="E187" t="str">
            <v>441</v>
          </cell>
          <cell r="I187">
            <v>155968.69</v>
          </cell>
        </row>
        <row r="188">
          <cell r="E188" t="str">
            <v>441</v>
          </cell>
          <cell r="I188">
            <v>698301.47</v>
          </cell>
        </row>
        <row r="190">
          <cell r="E190" t="str">
            <v>Sub</v>
          </cell>
          <cell r="I190" t="str">
            <v>Adjusted Total</v>
          </cell>
        </row>
        <row r="191">
          <cell r="E191" t="str">
            <v>111</v>
          </cell>
          <cell r="I191">
            <v>536833</v>
          </cell>
        </row>
        <row r="192">
          <cell r="E192" t="str">
            <v>112</v>
          </cell>
          <cell r="I192">
            <v>6188</v>
          </cell>
        </row>
        <row r="193">
          <cell r="E193" t="str">
            <v>116</v>
          </cell>
          <cell r="I193">
            <v>3736</v>
          </cell>
        </row>
        <row r="194">
          <cell r="E194" t="str">
            <v>116</v>
          </cell>
          <cell r="I194">
            <v>43129.86</v>
          </cell>
        </row>
        <row r="195">
          <cell r="E195" t="str">
            <v>121</v>
          </cell>
          <cell r="I195">
            <v>21357.75</v>
          </cell>
        </row>
        <row r="196">
          <cell r="E196" t="str">
            <v>121</v>
          </cell>
          <cell r="I196">
            <v>48451.58</v>
          </cell>
        </row>
        <row r="197">
          <cell r="E197" t="str">
            <v>121</v>
          </cell>
          <cell r="I197">
            <v>18383.669999999998</v>
          </cell>
        </row>
        <row r="198">
          <cell r="E198" t="str">
            <v>122</v>
          </cell>
          <cell r="I198">
            <v>74194.850000000006</v>
          </cell>
        </row>
        <row r="199">
          <cell r="E199" t="str">
            <v>122</v>
          </cell>
          <cell r="I199">
            <v>0</v>
          </cell>
        </row>
        <row r="200">
          <cell r="E200" t="str">
            <v>123</v>
          </cell>
          <cell r="I200">
            <v>21121.19</v>
          </cell>
        </row>
        <row r="201">
          <cell r="E201" t="str">
            <v>123</v>
          </cell>
          <cell r="I201">
            <v>10295</v>
          </cell>
        </row>
        <row r="202">
          <cell r="E202" t="str">
            <v>124</v>
          </cell>
          <cell r="I202">
            <v>162355.79</v>
          </cell>
        </row>
        <row r="203">
          <cell r="E203" t="str">
            <v>124</v>
          </cell>
          <cell r="I203">
            <v>4257177.8499999996</v>
          </cell>
        </row>
        <row r="204">
          <cell r="E204" t="str">
            <v>126</v>
          </cell>
          <cell r="I204">
            <v>0</v>
          </cell>
        </row>
        <row r="205">
          <cell r="E205" t="str">
            <v>126</v>
          </cell>
          <cell r="I205">
            <v>0</v>
          </cell>
        </row>
        <row r="206">
          <cell r="E206" t="str">
            <v>212</v>
          </cell>
          <cell r="I206">
            <v>32562.02</v>
          </cell>
        </row>
        <row r="207">
          <cell r="E207" t="str">
            <v>212</v>
          </cell>
          <cell r="I207">
            <v>1704521.53</v>
          </cell>
        </row>
        <row r="208">
          <cell r="E208" t="str">
            <v>212</v>
          </cell>
          <cell r="I208">
            <v>0</v>
          </cell>
        </row>
        <row r="209">
          <cell r="E209" t="str">
            <v>212</v>
          </cell>
          <cell r="I209">
            <v>806942.07</v>
          </cell>
        </row>
        <row r="210">
          <cell r="E210" t="str">
            <v>212</v>
          </cell>
          <cell r="I210">
            <v>267237.03000000003</v>
          </cell>
        </row>
        <row r="211">
          <cell r="E211" t="str">
            <v>220</v>
          </cell>
          <cell r="I211">
            <v>0</v>
          </cell>
        </row>
        <row r="212">
          <cell r="E212" t="str">
            <v>232</v>
          </cell>
          <cell r="I212">
            <v>996479.04</v>
          </cell>
        </row>
        <row r="213">
          <cell r="E213" t="str">
            <v>232</v>
          </cell>
          <cell r="I213">
            <v>2289792.9900000002</v>
          </cell>
        </row>
        <row r="214">
          <cell r="E214" t="str">
            <v>232</v>
          </cell>
          <cell r="I214">
            <v>36043.96</v>
          </cell>
        </row>
        <row r="215">
          <cell r="E215" t="str">
            <v>351</v>
          </cell>
          <cell r="I215">
            <v>30107.54</v>
          </cell>
        </row>
        <row r="216">
          <cell r="E216" t="str">
            <v>351</v>
          </cell>
          <cell r="I216">
            <v>8794.7900000000009</v>
          </cell>
        </row>
        <row r="217">
          <cell r="E217" t="str">
            <v>362</v>
          </cell>
          <cell r="I217">
            <v>46.32</v>
          </cell>
        </row>
        <row r="218">
          <cell r="E218" t="str">
            <v>411</v>
          </cell>
          <cell r="I218">
            <v>24281.49</v>
          </cell>
        </row>
        <row r="219">
          <cell r="E219" t="str">
            <v>411</v>
          </cell>
          <cell r="I219">
            <v>98511.21</v>
          </cell>
        </row>
        <row r="220">
          <cell r="E220" t="str">
            <v>411</v>
          </cell>
          <cell r="I220">
            <v>4790.84</v>
          </cell>
        </row>
        <row r="221">
          <cell r="E221" t="str">
            <v>421</v>
          </cell>
          <cell r="I221">
            <v>440127.09</v>
          </cell>
        </row>
        <row r="222">
          <cell r="E222" t="str">
            <v>421</v>
          </cell>
          <cell r="I222">
            <v>133787.71</v>
          </cell>
        </row>
        <row r="223">
          <cell r="E223" t="str">
            <v>421</v>
          </cell>
          <cell r="I223">
            <v>94762.34</v>
          </cell>
        </row>
        <row r="224">
          <cell r="E224" t="str">
            <v>422</v>
          </cell>
          <cell r="I224">
            <v>436151.65</v>
          </cell>
        </row>
        <row r="225">
          <cell r="E225" t="str">
            <v>422</v>
          </cell>
          <cell r="I225">
            <v>1268563.98</v>
          </cell>
        </row>
        <row r="226">
          <cell r="E226" t="str">
            <v>422</v>
          </cell>
          <cell r="I226">
            <v>37414.199999999997</v>
          </cell>
        </row>
        <row r="227">
          <cell r="E227" t="str">
            <v>423</v>
          </cell>
          <cell r="I227">
            <v>1049105.71</v>
          </cell>
        </row>
        <row r="228">
          <cell r="E228" t="str">
            <v>423</v>
          </cell>
          <cell r="I228">
            <v>1009319.41</v>
          </cell>
        </row>
        <row r="229">
          <cell r="E229" t="str">
            <v>423</v>
          </cell>
          <cell r="I229">
            <v>24160.68</v>
          </cell>
        </row>
        <row r="230">
          <cell r="E230" t="str">
            <v>426</v>
          </cell>
          <cell r="I230">
            <v>127016.23</v>
          </cell>
        </row>
        <row r="231">
          <cell r="E231" t="str">
            <v>426</v>
          </cell>
          <cell r="I231">
            <v>170235.34</v>
          </cell>
        </row>
        <row r="232">
          <cell r="E232" t="str">
            <v>426</v>
          </cell>
          <cell r="I232">
            <v>3030.26</v>
          </cell>
        </row>
        <row r="233">
          <cell r="E233" t="str">
            <v>441</v>
          </cell>
          <cell r="I233">
            <v>169182.98</v>
          </cell>
        </row>
        <row r="234">
          <cell r="E234" t="str">
            <v>441</v>
          </cell>
          <cell r="I234">
            <v>691624.73</v>
          </cell>
        </row>
        <row r="236">
          <cell r="E236" t="str">
            <v>Sub</v>
          </cell>
          <cell r="I236" t="str">
            <v>Adjusted Total</v>
          </cell>
        </row>
        <row r="237">
          <cell r="E237" t="str">
            <v>111</v>
          </cell>
          <cell r="I237">
            <v>536833</v>
          </cell>
        </row>
        <row r="238">
          <cell r="E238" t="str">
            <v>112</v>
          </cell>
          <cell r="I238">
            <v>14161.63</v>
          </cell>
        </row>
        <row r="239">
          <cell r="E239" t="str">
            <v>116</v>
          </cell>
          <cell r="I239">
            <v>7287.72</v>
          </cell>
        </row>
        <row r="240">
          <cell r="E240" t="str">
            <v>116</v>
          </cell>
          <cell r="I240">
            <v>43129.86</v>
          </cell>
        </row>
        <row r="241">
          <cell r="E241" t="str">
            <v>121</v>
          </cell>
          <cell r="I241">
            <v>32129.87</v>
          </cell>
        </row>
        <row r="242">
          <cell r="E242" t="str">
            <v>121</v>
          </cell>
          <cell r="I242">
            <v>76470.100000000006</v>
          </cell>
        </row>
        <row r="243">
          <cell r="E243" t="str">
            <v>121</v>
          </cell>
          <cell r="I243">
            <v>18383.669999999998</v>
          </cell>
        </row>
        <row r="244">
          <cell r="E244" t="str">
            <v>122</v>
          </cell>
          <cell r="I244">
            <v>92231.65</v>
          </cell>
        </row>
        <row r="245">
          <cell r="E245" t="str">
            <v>122</v>
          </cell>
          <cell r="I245">
            <v>0</v>
          </cell>
        </row>
        <row r="246">
          <cell r="E246" t="str">
            <v>123</v>
          </cell>
          <cell r="I246">
            <v>21121.19</v>
          </cell>
        </row>
        <row r="247">
          <cell r="E247" t="str">
            <v>123</v>
          </cell>
          <cell r="I247">
            <v>10295</v>
          </cell>
        </row>
        <row r="248">
          <cell r="E248" t="str">
            <v>124</v>
          </cell>
          <cell r="I248">
            <v>179733.41</v>
          </cell>
        </row>
        <row r="249">
          <cell r="E249" t="str">
            <v>124</v>
          </cell>
          <cell r="I249">
            <v>4392302.5999999996</v>
          </cell>
        </row>
        <row r="250">
          <cell r="E250" t="str">
            <v>126</v>
          </cell>
          <cell r="I250">
            <v>0</v>
          </cell>
        </row>
        <row r="251">
          <cell r="E251" t="str">
            <v>126</v>
          </cell>
          <cell r="I251">
            <v>0</v>
          </cell>
        </row>
        <row r="252">
          <cell r="E252" t="str">
            <v>212</v>
          </cell>
          <cell r="I252">
            <v>80920.600000000006</v>
          </cell>
        </row>
        <row r="253">
          <cell r="E253" t="str">
            <v>212</v>
          </cell>
          <cell r="I253">
            <v>1713567.12</v>
          </cell>
        </row>
        <row r="254">
          <cell r="E254" t="str">
            <v>212</v>
          </cell>
          <cell r="I254">
            <v>0</v>
          </cell>
        </row>
        <row r="255">
          <cell r="E255" t="str">
            <v>212</v>
          </cell>
          <cell r="I255">
            <v>838482.63</v>
          </cell>
        </row>
        <row r="256">
          <cell r="E256" t="str">
            <v>212</v>
          </cell>
          <cell r="I256">
            <v>297272.02</v>
          </cell>
        </row>
        <row r="257">
          <cell r="E257" t="str">
            <v>220</v>
          </cell>
          <cell r="I257">
            <v>0</v>
          </cell>
        </row>
        <row r="258">
          <cell r="E258" t="str">
            <v>232</v>
          </cell>
          <cell r="I258">
            <v>1263033.18</v>
          </cell>
        </row>
        <row r="259">
          <cell r="E259" t="str">
            <v>232</v>
          </cell>
          <cell r="I259">
            <v>2364157.0099999998</v>
          </cell>
        </row>
        <row r="260">
          <cell r="E260" t="str">
            <v>232</v>
          </cell>
          <cell r="I260">
            <v>48892.38</v>
          </cell>
        </row>
        <row r="261">
          <cell r="E261" t="str">
            <v>351</v>
          </cell>
          <cell r="I261">
            <v>44310.720000000001</v>
          </cell>
        </row>
        <row r="262">
          <cell r="E262" t="str">
            <v>351</v>
          </cell>
          <cell r="I262">
            <v>10106.14</v>
          </cell>
        </row>
        <row r="263">
          <cell r="E263" t="str">
            <v>362</v>
          </cell>
          <cell r="I263">
            <v>46.32</v>
          </cell>
        </row>
        <row r="264">
          <cell r="E264" t="str">
            <v>411</v>
          </cell>
          <cell r="I264">
            <v>21653.45</v>
          </cell>
        </row>
        <row r="265">
          <cell r="E265" t="str">
            <v>411</v>
          </cell>
          <cell r="I265">
            <v>100398.84</v>
          </cell>
        </row>
        <row r="266">
          <cell r="E266" t="str">
            <v>411</v>
          </cell>
          <cell r="I266">
            <v>4790.84</v>
          </cell>
        </row>
        <row r="267">
          <cell r="E267" t="str">
            <v>421</v>
          </cell>
          <cell r="I267">
            <v>491377.18</v>
          </cell>
        </row>
        <row r="268">
          <cell r="E268" t="str">
            <v>421</v>
          </cell>
          <cell r="I268">
            <v>140986.56</v>
          </cell>
        </row>
        <row r="269">
          <cell r="E269" t="str">
            <v>421</v>
          </cell>
          <cell r="I269">
            <v>110386.35</v>
          </cell>
        </row>
        <row r="270">
          <cell r="E270" t="str">
            <v>422</v>
          </cell>
          <cell r="I270">
            <v>434862.62</v>
          </cell>
        </row>
        <row r="271">
          <cell r="E271" t="str">
            <v>422</v>
          </cell>
          <cell r="I271">
            <v>1296656.18</v>
          </cell>
        </row>
        <row r="272">
          <cell r="E272" t="str">
            <v>422</v>
          </cell>
          <cell r="I272">
            <v>38567.32</v>
          </cell>
        </row>
        <row r="273">
          <cell r="E273" t="str">
            <v>423</v>
          </cell>
          <cell r="I273">
            <v>1146020.28</v>
          </cell>
        </row>
        <row r="274">
          <cell r="E274" t="str">
            <v>423</v>
          </cell>
          <cell r="I274">
            <v>1028589.74</v>
          </cell>
        </row>
        <row r="275">
          <cell r="E275" t="str">
            <v>423</v>
          </cell>
          <cell r="I275">
            <v>28105.45</v>
          </cell>
        </row>
        <row r="276">
          <cell r="E276" t="str">
            <v>426</v>
          </cell>
          <cell r="I276">
            <v>137311.88</v>
          </cell>
        </row>
        <row r="277">
          <cell r="E277" t="str">
            <v>426</v>
          </cell>
          <cell r="I277">
            <v>194051.32</v>
          </cell>
        </row>
        <row r="278">
          <cell r="E278" t="str">
            <v>426</v>
          </cell>
          <cell r="I278">
            <v>3174.4</v>
          </cell>
        </row>
        <row r="279">
          <cell r="E279" t="str">
            <v>441</v>
          </cell>
          <cell r="I279">
            <v>175866.37</v>
          </cell>
        </row>
        <row r="280">
          <cell r="E280" t="str">
            <v>441</v>
          </cell>
          <cell r="I280">
            <v>689375.23</v>
          </cell>
        </row>
        <row r="282">
          <cell r="E282" t="str">
            <v>Sub</v>
          </cell>
          <cell r="I282" t="str">
            <v>Adjusted Total</v>
          </cell>
        </row>
        <row r="283">
          <cell r="E283" t="str">
            <v>111</v>
          </cell>
          <cell r="I283">
            <v>536833</v>
          </cell>
        </row>
        <row r="284">
          <cell r="E284" t="str">
            <v>112</v>
          </cell>
          <cell r="I284">
            <v>646584.17000000004</v>
          </cell>
        </row>
        <row r="285">
          <cell r="E285" t="str">
            <v>116</v>
          </cell>
          <cell r="I285">
            <v>20384.63</v>
          </cell>
        </row>
        <row r="286">
          <cell r="E286" t="str">
            <v>116</v>
          </cell>
          <cell r="I286">
            <v>43129.86</v>
          </cell>
        </row>
        <row r="287">
          <cell r="E287" t="str">
            <v>121</v>
          </cell>
          <cell r="I287">
            <v>71987.33</v>
          </cell>
        </row>
        <row r="288">
          <cell r="E288" t="str">
            <v>121</v>
          </cell>
          <cell r="I288">
            <v>240255.75</v>
          </cell>
        </row>
        <row r="289">
          <cell r="E289" t="str">
            <v>121</v>
          </cell>
          <cell r="I289">
            <v>18383.669999999998</v>
          </cell>
        </row>
        <row r="290">
          <cell r="E290" t="str">
            <v>122</v>
          </cell>
          <cell r="I290">
            <v>88732.06</v>
          </cell>
        </row>
        <row r="291">
          <cell r="E291" t="str">
            <v>122</v>
          </cell>
          <cell r="I291">
            <v>0</v>
          </cell>
        </row>
        <row r="292">
          <cell r="E292" t="str">
            <v>123</v>
          </cell>
          <cell r="I292">
            <v>17342.240000000002</v>
          </cell>
        </row>
        <row r="293">
          <cell r="E293" t="str">
            <v>123</v>
          </cell>
          <cell r="I293">
            <v>10295</v>
          </cell>
        </row>
        <row r="294">
          <cell r="E294" t="str">
            <v>124</v>
          </cell>
          <cell r="I294">
            <v>227068.62</v>
          </cell>
        </row>
        <row r="295">
          <cell r="E295" t="str">
            <v>124</v>
          </cell>
          <cell r="I295">
            <v>4522856.5</v>
          </cell>
        </row>
        <row r="296">
          <cell r="E296" t="str">
            <v>126</v>
          </cell>
          <cell r="I296">
            <v>0</v>
          </cell>
        </row>
        <row r="297">
          <cell r="E297" t="str">
            <v>126</v>
          </cell>
          <cell r="I297">
            <v>0</v>
          </cell>
        </row>
        <row r="298">
          <cell r="E298" t="str">
            <v>212</v>
          </cell>
          <cell r="I298">
            <v>146315.17000000001</v>
          </cell>
        </row>
        <row r="299">
          <cell r="E299" t="str">
            <v>212</v>
          </cell>
          <cell r="I299">
            <v>2011850.56</v>
          </cell>
        </row>
        <row r="300">
          <cell r="E300" t="str">
            <v>212</v>
          </cell>
          <cell r="I300">
            <v>0</v>
          </cell>
        </row>
        <row r="301">
          <cell r="E301" t="str">
            <v>212</v>
          </cell>
          <cell r="I301">
            <v>855361.5</v>
          </cell>
        </row>
        <row r="302">
          <cell r="E302" t="str">
            <v>212</v>
          </cell>
          <cell r="I302">
            <v>311360.59000000003</v>
          </cell>
        </row>
        <row r="303">
          <cell r="E303" t="str">
            <v>220</v>
          </cell>
          <cell r="I303">
            <v>0</v>
          </cell>
        </row>
        <row r="304">
          <cell r="E304" t="str">
            <v>232</v>
          </cell>
          <cell r="I304">
            <v>1493551.42</v>
          </cell>
        </row>
        <row r="305">
          <cell r="E305" t="str">
            <v>232</v>
          </cell>
          <cell r="I305">
            <v>2443566.5699999998</v>
          </cell>
        </row>
        <row r="306">
          <cell r="E306" t="str">
            <v>232</v>
          </cell>
          <cell r="I306">
            <v>53307.35</v>
          </cell>
        </row>
        <row r="307">
          <cell r="E307" t="str">
            <v>351</v>
          </cell>
          <cell r="I307">
            <v>68170.61</v>
          </cell>
        </row>
        <row r="308">
          <cell r="E308" t="str">
            <v>351</v>
          </cell>
          <cell r="I308">
            <v>11675.32</v>
          </cell>
        </row>
        <row r="309">
          <cell r="E309" t="str">
            <v>362</v>
          </cell>
          <cell r="I309">
            <v>46.32</v>
          </cell>
        </row>
        <row r="310">
          <cell r="E310" t="str">
            <v>411</v>
          </cell>
          <cell r="I310">
            <v>21773.08</v>
          </cell>
        </row>
        <row r="311">
          <cell r="E311" t="str">
            <v>411</v>
          </cell>
          <cell r="I311">
            <v>108877.69</v>
          </cell>
        </row>
        <row r="312">
          <cell r="E312" t="str">
            <v>411</v>
          </cell>
          <cell r="I312">
            <v>6442.36</v>
          </cell>
        </row>
        <row r="313">
          <cell r="E313" t="str">
            <v>421</v>
          </cell>
          <cell r="I313">
            <v>537151.64</v>
          </cell>
        </row>
        <row r="314">
          <cell r="E314" t="str">
            <v>421</v>
          </cell>
          <cell r="I314">
            <v>136560.51</v>
          </cell>
        </row>
        <row r="315">
          <cell r="E315" t="str">
            <v>421</v>
          </cell>
          <cell r="I315">
            <v>55087.6</v>
          </cell>
        </row>
        <row r="316">
          <cell r="E316" t="str">
            <v>422</v>
          </cell>
          <cell r="I316">
            <v>554787.64</v>
          </cell>
        </row>
        <row r="317">
          <cell r="E317" t="str">
            <v>422</v>
          </cell>
          <cell r="I317">
            <v>1279564.99</v>
          </cell>
        </row>
        <row r="318">
          <cell r="E318" t="str">
            <v>422</v>
          </cell>
          <cell r="I318">
            <v>30633.5</v>
          </cell>
        </row>
        <row r="319">
          <cell r="E319" t="str">
            <v>423</v>
          </cell>
          <cell r="I319">
            <v>1354391.14</v>
          </cell>
        </row>
        <row r="320">
          <cell r="E320" t="str">
            <v>423</v>
          </cell>
          <cell r="I320">
            <v>1103181.28</v>
          </cell>
        </row>
        <row r="321">
          <cell r="E321" t="str">
            <v>423</v>
          </cell>
          <cell r="I321">
            <v>21852.6</v>
          </cell>
        </row>
        <row r="322">
          <cell r="E322" t="str">
            <v>426</v>
          </cell>
          <cell r="I322">
            <v>173783.93</v>
          </cell>
        </row>
        <row r="323">
          <cell r="E323" t="str">
            <v>426</v>
          </cell>
          <cell r="I323">
            <v>205767.56</v>
          </cell>
        </row>
        <row r="324">
          <cell r="E324" t="str">
            <v>426</v>
          </cell>
          <cell r="I324">
            <v>3609.56</v>
          </cell>
        </row>
        <row r="325">
          <cell r="E325" t="str">
            <v>441</v>
          </cell>
          <cell r="I325">
            <v>227225.21</v>
          </cell>
        </row>
        <row r="326">
          <cell r="E326" t="str">
            <v>441</v>
          </cell>
          <cell r="I326">
            <v>727535.41</v>
          </cell>
        </row>
        <row r="328">
          <cell r="E328" t="str">
            <v>Sub</v>
          </cell>
          <cell r="I328" t="str">
            <v>Adjusted Total</v>
          </cell>
        </row>
        <row r="329">
          <cell r="E329" t="str">
            <v>111</v>
          </cell>
          <cell r="I329">
            <v>536833</v>
          </cell>
        </row>
        <row r="330">
          <cell r="E330" t="str">
            <v>112</v>
          </cell>
          <cell r="I330">
            <v>665482</v>
          </cell>
        </row>
        <row r="331">
          <cell r="E331" t="str">
            <v>116</v>
          </cell>
          <cell r="I331">
            <v>20197</v>
          </cell>
        </row>
        <row r="332">
          <cell r="E332" t="str">
            <v>116</v>
          </cell>
          <cell r="I332">
            <v>43130</v>
          </cell>
        </row>
        <row r="333">
          <cell r="E333" t="str">
            <v>121</v>
          </cell>
          <cell r="I333">
            <v>108689</v>
          </cell>
        </row>
        <row r="334">
          <cell r="E334" t="str">
            <v>121</v>
          </cell>
          <cell r="I334">
            <v>340844</v>
          </cell>
        </row>
        <row r="335">
          <cell r="E335" t="str">
            <v>121</v>
          </cell>
          <cell r="I335">
            <v>18384</v>
          </cell>
        </row>
        <row r="336">
          <cell r="E336" t="str">
            <v>122</v>
          </cell>
          <cell r="I336">
            <v>167549</v>
          </cell>
        </row>
        <row r="337">
          <cell r="E337" t="str">
            <v>122</v>
          </cell>
          <cell r="I337">
            <v>0</v>
          </cell>
        </row>
        <row r="338">
          <cell r="E338" t="str">
            <v>123</v>
          </cell>
          <cell r="I338">
            <v>17404</v>
          </cell>
        </row>
        <row r="339">
          <cell r="E339" t="str">
            <v>123</v>
          </cell>
          <cell r="I339">
            <v>10295</v>
          </cell>
        </row>
        <row r="340">
          <cell r="E340" t="str">
            <v>124</v>
          </cell>
          <cell r="I340">
            <v>301587</v>
          </cell>
        </row>
        <row r="341">
          <cell r="E341" t="str">
            <v>124</v>
          </cell>
          <cell r="I341">
            <v>4713706</v>
          </cell>
        </row>
        <row r="342">
          <cell r="E342" t="str">
            <v>126</v>
          </cell>
          <cell r="I342">
            <v>0</v>
          </cell>
        </row>
        <row r="343">
          <cell r="E343" t="str">
            <v>126</v>
          </cell>
          <cell r="I343">
            <v>0</v>
          </cell>
        </row>
        <row r="344">
          <cell r="E344" t="str">
            <v>212</v>
          </cell>
          <cell r="I344">
            <v>163277</v>
          </cell>
        </row>
        <row r="345">
          <cell r="E345" t="str">
            <v>212</v>
          </cell>
          <cell r="I345">
            <v>2065419</v>
          </cell>
        </row>
        <row r="346">
          <cell r="E346" t="str">
            <v>212</v>
          </cell>
          <cell r="I346">
            <v>0</v>
          </cell>
        </row>
        <row r="347">
          <cell r="E347" t="str">
            <v>212</v>
          </cell>
          <cell r="I347">
            <v>873662</v>
          </cell>
        </row>
        <row r="348">
          <cell r="E348" t="str">
            <v>212</v>
          </cell>
          <cell r="I348">
            <v>317819</v>
          </cell>
        </row>
        <row r="349">
          <cell r="E349" t="str">
            <v>220</v>
          </cell>
          <cell r="I349">
            <v>15</v>
          </cell>
        </row>
        <row r="350">
          <cell r="E350" t="str">
            <v>220</v>
          </cell>
          <cell r="I350">
            <v>0</v>
          </cell>
        </row>
        <row r="351">
          <cell r="E351" t="str">
            <v>232</v>
          </cell>
          <cell r="I351">
            <v>1553677</v>
          </cell>
        </row>
        <row r="352">
          <cell r="E352" t="str">
            <v>232</v>
          </cell>
          <cell r="I352">
            <v>2204596</v>
          </cell>
        </row>
        <row r="353">
          <cell r="E353" t="str">
            <v>232</v>
          </cell>
          <cell r="I353">
            <v>56541</v>
          </cell>
        </row>
        <row r="354">
          <cell r="E354" t="str">
            <v>351</v>
          </cell>
          <cell r="I354">
            <v>279680</v>
          </cell>
        </row>
        <row r="355">
          <cell r="E355" t="str">
            <v>351</v>
          </cell>
          <cell r="I355">
            <v>11855</v>
          </cell>
        </row>
        <row r="356">
          <cell r="E356" t="str">
            <v>362</v>
          </cell>
          <cell r="I356">
            <v>46</v>
          </cell>
        </row>
        <row r="357">
          <cell r="E357" t="str">
            <v>411</v>
          </cell>
          <cell r="I357">
            <v>21428</v>
          </cell>
        </row>
        <row r="358">
          <cell r="E358" t="str">
            <v>411</v>
          </cell>
          <cell r="I358">
            <v>109289</v>
          </cell>
        </row>
        <row r="359">
          <cell r="E359" t="str">
            <v>411</v>
          </cell>
          <cell r="I359">
            <v>14515</v>
          </cell>
        </row>
        <row r="360">
          <cell r="E360" t="str">
            <v>421</v>
          </cell>
          <cell r="I360">
            <v>633034</v>
          </cell>
        </row>
        <row r="361">
          <cell r="E361" t="str">
            <v>421</v>
          </cell>
          <cell r="I361">
            <v>140221</v>
          </cell>
        </row>
        <row r="362">
          <cell r="E362" t="str">
            <v>421</v>
          </cell>
          <cell r="I362">
            <v>71592</v>
          </cell>
        </row>
        <row r="363">
          <cell r="E363" t="str">
            <v>422</v>
          </cell>
          <cell r="I363">
            <v>622641</v>
          </cell>
        </row>
        <row r="364">
          <cell r="E364" t="str">
            <v>422</v>
          </cell>
          <cell r="I364">
            <v>1289301</v>
          </cell>
        </row>
        <row r="365">
          <cell r="E365" t="str">
            <v>422</v>
          </cell>
          <cell r="I365">
            <v>34076</v>
          </cell>
        </row>
        <row r="366">
          <cell r="E366" t="str">
            <v>423</v>
          </cell>
          <cell r="I366">
            <v>1703220</v>
          </cell>
        </row>
        <row r="367">
          <cell r="E367" t="str">
            <v>423</v>
          </cell>
          <cell r="I367">
            <v>1249681</v>
          </cell>
        </row>
        <row r="368">
          <cell r="E368" t="str">
            <v>423</v>
          </cell>
          <cell r="I368">
            <v>25610</v>
          </cell>
        </row>
        <row r="369">
          <cell r="E369" t="str">
            <v>426</v>
          </cell>
          <cell r="I369">
            <v>188906</v>
          </cell>
        </row>
        <row r="370">
          <cell r="E370" t="str">
            <v>426</v>
          </cell>
          <cell r="I370">
            <v>206428</v>
          </cell>
        </row>
        <row r="371">
          <cell r="E371" t="str">
            <v>426</v>
          </cell>
          <cell r="I371">
            <v>4746</v>
          </cell>
        </row>
        <row r="372">
          <cell r="E372" t="str">
            <v>441</v>
          </cell>
          <cell r="I372">
            <v>272812</v>
          </cell>
        </row>
        <row r="373">
          <cell r="E373" t="str">
            <v>441</v>
          </cell>
          <cell r="I373">
            <v>749377</v>
          </cell>
        </row>
        <row r="375">
          <cell r="E375" t="str">
            <v>Sub</v>
          </cell>
          <cell r="I375" t="str">
            <v>Adjusted Total</v>
          </cell>
        </row>
        <row r="376">
          <cell r="E376" t="str">
            <v>111</v>
          </cell>
          <cell r="I376">
            <v>536833</v>
          </cell>
        </row>
        <row r="377">
          <cell r="E377" t="str">
            <v>112</v>
          </cell>
          <cell r="I377">
            <v>80371.240000000005</v>
          </cell>
        </row>
        <row r="378">
          <cell r="E378" t="str">
            <v>116</v>
          </cell>
          <cell r="I378">
            <v>28204.27</v>
          </cell>
        </row>
        <row r="379">
          <cell r="E379" t="str">
            <v>116</v>
          </cell>
          <cell r="I379">
            <v>43129.86</v>
          </cell>
        </row>
        <row r="380">
          <cell r="E380" t="str">
            <v>121</v>
          </cell>
          <cell r="I380">
            <v>152116.95000000001</v>
          </cell>
        </row>
        <row r="381">
          <cell r="E381" t="str">
            <v>121</v>
          </cell>
          <cell r="I381">
            <v>293594.01</v>
          </cell>
        </row>
        <row r="382">
          <cell r="E382" t="str">
            <v>121</v>
          </cell>
          <cell r="I382">
            <v>26128.5</v>
          </cell>
        </row>
        <row r="383">
          <cell r="E383" t="str">
            <v>122</v>
          </cell>
          <cell r="I383">
            <v>167549.06</v>
          </cell>
        </row>
        <row r="384">
          <cell r="E384" t="str">
            <v>122</v>
          </cell>
          <cell r="I384">
            <v>0</v>
          </cell>
        </row>
        <row r="385">
          <cell r="E385" t="str">
            <v>123</v>
          </cell>
          <cell r="I385">
            <v>19704.52</v>
          </cell>
        </row>
        <row r="386">
          <cell r="E386" t="str">
            <v>123</v>
          </cell>
          <cell r="I386">
            <v>10295</v>
          </cell>
        </row>
        <row r="387">
          <cell r="E387" t="str">
            <v>124</v>
          </cell>
          <cell r="I387">
            <v>195678.66</v>
          </cell>
        </row>
        <row r="388">
          <cell r="E388" t="str">
            <v>124</v>
          </cell>
          <cell r="I388">
            <v>4751478.8</v>
          </cell>
        </row>
        <row r="389">
          <cell r="E389" t="str">
            <v>126</v>
          </cell>
          <cell r="I389">
            <v>0</v>
          </cell>
        </row>
        <row r="390">
          <cell r="E390" t="str">
            <v>126</v>
          </cell>
          <cell r="I390">
            <v>0</v>
          </cell>
        </row>
        <row r="391">
          <cell r="E391" t="str">
            <v>212</v>
          </cell>
          <cell r="I391">
            <v>1157367.73</v>
          </cell>
        </row>
        <row r="392">
          <cell r="E392" t="str">
            <v>212</v>
          </cell>
          <cell r="I392">
            <v>2014808.27</v>
          </cell>
        </row>
        <row r="393">
          <cell r="E393" t="str">
            <v>212</v>
          </cell>
          <cell r="I393">
            <v>1811.41</v>
          </cell>
        </row>
        <row r="394">
          <cell r="E394" t="str">
            <v>212</v>
          </cell>
          <cell r="I394">
            <v>6624.22</v>
          </cell>
        </row>
        <row r="395">
          <cell r="E395" t="str">
            <v>212</v>
          </cell>
          <cell r="I395">
            <v>81713.259999999995</v>
          </cell>
        </row>
        <row r="396">
          <cell r="E396" t="str">
            <v>220</v>
          </cell>
          <cell r="I396">
            <v>14.5</v>
          </cell>
        </row>
        <row r="397">
          <cell r="E397" t="str">
            <v>220</v>
          </cell>
          <cell r="I397">
            <v>0</v>
          </cell>
        </row>
        <row r="398">
          <cell r="E398" t="str">
            <v>232</v>
          </cell>
          <cell r="I398">
            <v>1806136.59</v>
          </cell>
        </row>
        <row r="399">
          <cell r="E399" t="str">
            <v>232</v>
          </cell>
          <cell r="I399">
            <v>2267421.2999999998</v>
          </cell>
        </row>
        <row r="400">
          <cell r="E400" t="str">
            <v>232</v>
          </cell>
          <cell r="I400">
            <v>65729.72</v>
          </cell>
        </row>
        <row r="401">
          <cell r="E401" t="str">
            <v>351</v>
          </cell>
          <cell r="I401">
            <v>389112.28</v>
          </cell>
        </row>
        <row r="402">
          <cell r="E402" t="str">
            <v>351</v>
          </cell>
          <cell r="I402">
            <v>12518.19</v>
          </cell>
        </row>
        <row r="403">
          <cell r="E403" t="str">
            <v>362</v>
          </cell>
          <cell r="I403">
            <v>46.32</v>
          </cell>
        </row>
        <row r="404">
          <cell r="E404" t="str">
            <v>411</v>
          </cell>
          <cell r="I404">
            <v>15232.57</v>
          </cell>
        </row>
        <row r="405">
          <cell r="E405" t="str">
            <v>411</v>
          </cell>
          <cell r="I405">
            <v>107930.73</v>
          </cell>
        </row>
        <row r="406">
          <cell r="E406" t="str">
            <v>411</v>
          </cell>
          <cell r="I406">
            <v>13314.37</v>
          </cell>
        </row>
        <row r="407">
          <cell r="E407" t="str">
            <v>421</v>
          </cell>
          <cell r="I407">
            <v>587592.64</v>
          </cell>
        </row>
        <row r="408">
          <cell r="E408" t="str">
            <v>421</v>
          </cell>
          <cell r="I408">
            <v>144441.75</v>
          </cell>
        </row>
        <row r="409">
          <cell r="E409" t="str">
            <v>421</v>
          </cell>
          <cell r="I409">
            <v>99178</v>
          </cell>
        </row>
        <row r="410">
          <cell r="E410" t="str">
            <v>422</v>
          </cell>
          <cell r="I410">
            <v>635512.52</v>
          </cell>
        </row>
        <row r="411">
          <cell r="E411" t="str">
            <v>422</v>
          </cell>
          <cell r="I411">
            <v>1246499.43</v>
          </cell>
        </row>
        <row r="412">
          <cell r="E412" t="str">
            <v>422</v>
          </cell>
          <cell r="I412">
            <v>34507.29</v>
          </cell>
        </row>
        <row r="413">
          <cell r="E413" t="str">
            <v>423</v>
          </cell>
          <cell r="I413">
            <v>2046774.38</v>
          </cell>
        </row>
        <row r="414">
          <cell r="E414" t="str">
            <v>423</v>
          </cell>
          <cell r="I414">
            <v>980802.43</v>
          </cell>
        </row>
        <row r="415">
          <cell r="E415" t="str">
            <v>423</v>
          </cell>
          <cell r="I415">
            <v>27205.8</v>
          </cell>
        </row>
        <row r="416">
          <cell r="E416" t="str">
            <v>426</v>
          </cell>
          <cell r="I416">
            <v>227048.38</v>
          </cell>
        </row>
        <row r="417">
          <cell r="E417" t="str">
            <v>426</v>
          </cell>
          <cell r="I417">
            <v>116152.74</v>
          </cell>
        </row>
        <row r="418">
          <cell r="E418" t="str">
            <v>426</v>
          </cell>
          <cell r="I418">
            <v>5844.87</v>
          </cell>
        </row>
        <row r="419">
          <cell r="E419" t="str">
            <v>441</v>
          </cell>
          <cell r="I419">
            <v>416095</v>
          </cell>
        </row>
        <row r="420">
          <cell r="E420" t="str">
            <v>441</v>
          </cell>
          <cell r="I420">
            <v>692014.16</v>
          </cell>
        </row>
        <row r="422">
          <cell r="E422" t="str">
            <v>Sub</v>
          </cell>
          <cell r="I422" t="str">
            <v>Adjusted Total</v>
          </cell>
        </row>
        <row r="423">
          <cell r="E423" t="str">
            <v>111</v>
          </cell>
          <cell r="I423">
            <v>536833</v>
          </cell>
        </row>
        <row r="424">
          <cell r="E424" t="str">
            <v>112</v>
          </cell>
          <cell r="I424">
            <v>51676</v>
          </cell>
        </row>
        <row r="425">
          <cell r="E425" t="str">
            <v>116</v>
          </cell>
          <cell r="I425">
            <v>-33412</v>
          </cell>
        </row>
        <row r="426">
          <cell r="E426" t="str">
            <v>116</v>
          </cell>
          <cell r="I426">
            <v>43130</v>
          </cell>
        </row>
        <row r="427">
          <cell r="E427" t="str">
            <v>121</v>
          </cell>
          <cell r="I427">
            <v>128866</v>
          </cell>
        </row>
        <row r="428">
          <cell r="E428" t="str">
            <v>121</v>
          </cell>
          <cell r="I428">
            <v>91475</v>
          </cell>
        </row>
        <row r="429">
          <cell r="E429" t="str">
            <v>121</v>
          </cell>
          <cell r="I429">
            <v>34553</v>
          </cell>
        </row>
        <row r="430">
          <cell r="E430" t="str">
            <v>122</v>
          </cell>
          <cell r="I430">
            <v>15541</v>
          </cell>
        </row>
        <row r="431">
          <cell r="E431" t="str">
            <v>122</v>
          </cell>
          <cell r="I431">
            <v>0</v>
          </cell>
        </row>
        <row r="432">
          <cell r="E432" t="str">
            <v>123</v>
          </cell>
          <cell r="I432">
            <v>16961</v>
          </cell>
        </row>
        <row r="433">
          <cell r="E433" t="str">
            <v>123</v>
          </cell>
          <cell r="I433">
            <v>10295</v>
          </cell>
        </row>
        <row r="434">
          <cell r="E434" t="str">
            <v>124</v>
          </cell>
          <cell r="I434">
            <v>451934.75</v>
          </cell>
        </row>
        <row r="435">
          <cell r="E435" t="str">
            <v>124</v>
          </cell>
          <cell r="I435">
            <v>4759664</v>
          </cell>
        </row>
        <row r="436">
          <cell r="E436" t="str">
            <v>126</v>
          </cell>
          <cell r="I436">
            <v>0</v>
          </cell>
        </row>
        <row r="437">
          <cell r="E437" t="str">
            <v>126</v>
          </cell>
          <cell r="I437">
            <v>0</v>
          </cell>
        </row>
        <row r="438">
          <cell r="E438" t="str">
            <v>212</v>
          </cell>
          <cell r="I438">
            <v>1381695</v>
          </cell>
        </row>
        <row r="439">
          <cell r="E439" t="str">
            <v>212</v>
          </cell>
          <cell r="I439">
            <v>1789767</v>
          </cell>
        </row>
        <row r="440">
          <cell r="E440" t="str">
            <v>212</v>
          </cell>
          <cell r="I440">
            <v>3575</v>
          </cell>
        </row>
        <row r="441">
          <cell r="E441" t="str">
            <v>212</v>
          </cell>
          <cell r="I441">
            <v>6624</v>
          </cell>
        </row>
        <row r="442">
          <cell r="E442" t="str">
            <v>212</v>
          </cell>
          <cell r="I442">
            <v>63026</v>
          </cell>
        </row>
        <row r="443">
          <cell r="E443" t="str">
            <v>220</v>
          </cell>
          <cell r="I443">
            <v>15</v>
          </cell>
        </row>
        <row r="444">
          <cell r="E444" t="str">
            <v>220</v>
          </cell>
          <cell r="I444">
            <v>0</v>
          </cell>
        </row>
        <row r="445">
          <cell r="E445" t="str">
            <v>232</v>
          </cell>
          <cell r="I445">
            <v>1306159</v>
          </cell>
        </row>
        <row r="446">
          <cell r="E446" t="str">
            <v>232</v>
          </cell>
          <cell r="I446">
            <v>2265830</v>
          </cell>
        </row>
        <row r="447">
          <cell r="E447" t="str">
            <v>232</v>
          </cell>
          <cell r="I447">
            <v>34702</v>
          </cell>
        </row>
        <row r="448">
          <cell r="E448" t="str">
            <v>351</v>
          </cell>
          <cell r="I448">
            <v>348124</v>
          </cell>
        </row>
        <row r="449">
          <cell r="E449" t="str">
            <v>351</v>
          </cell>
          <cell r="I449">
            <v>14495</v>
          </cell>
        </row>
        <row r="450">
          <cell r="E450" t="str">
            <v>362</v>
          </cell>
          <cell r="I450">
            <v>0</v>
          </cell>
        </row>
        <row r="451">
          <cell r="E451" t="str">
            <v>411</v>
          </cell>
          <cell r="I451">
            <v>18876</v>
          </cell>
        </row>
        <row r="452">
          <cell r="E452" t="str">
            <v>411</v>
          </cell>
          <cell r="I452">
            <v>3920</v>
          </cell>
        </row>
        <row r="453">
          <cell r="E453" t="str">
            <v>411</v>
          </cell>
          <cell r="I453">
            <v>14267</v>
          </cell>
        </row>
        <row r="454">
          <cell r="E454" t="str">
            <v>421</v>
          </cell>
          <cell r="I454">
            <v>685945</v>
          </cell>
        </row>
        <row r="455">
          <cell r="E455" t="str">
            <v>421</v>
          </cell>
          <cell r="I455">
            <v>141950</v>
          </cell>
        </row>
        <row r="456">
          <cell r="E456" t="str">
            <v>421</v>
          </cell>
          <cell r="I456">
            <v>131986</v>
          </cell>
        </row>
        <row r="457">
          <cell r="E457" t="str">
            <v>422</v>
          </cell>
          <cell r="I457">
            <v>694368</v>
          </cell>
        </row>
        <row r="458">
          <cell r="E458" t="str">
            <v>422</v>
          </cell>
          <cell r="I458">
            <v>1026212</v>
          </cell>
        </row>
        <row r="459">
          <cell r="E459" t="str">
            <v>422</v>
          </cell>
          <cell r="I459">
            <v>35603</v>
          </cell>
        </row>
        <row r="460">
          <cell r="E460" t="str">
            <v>423</v>
          </cell>
          <cell r="I460">
            <v>2976972</v>
          </cell>
        </row>
        <row r="461">
          <cell r="E461" t="str">
            <v>423</v>
          </cell>
          <cell r="I461">
            <v>970533</v>
          </cell>
        </row>
        <row r="462">
          <cell r="E462" t="str">
            <v>423</v>
          </cell>
          <cell r="I462">
            <v>36094</v>
          </cell>
        </row>
        <row r="463">
          <cell r="E463" t="str">
            <v>426</v>
          </cell>
          <cell r="I463">
            <v>258171</v>
          </cell>
        </row>
        <row r="464">
          <cell r="E464" t="str">
            <v>426</v>
          </cell>
          <cell r="I464">
            <v>101739</v>
          </cell>
        </row>
        <row r="465">
          <cell r="E465" t="str">
            <v>426</v>
          </cell>
          <cell r="I465">
            <v>6447</v>
          </cell>
        </row>
        <row r="466">
          <cell r="E466" t="str">
            <v>441</v>
          </cell>
          <cell r="I466">
            <v>402464</v>
          </cell>
        </row>
        <row r="467">
          <cell r="E467" t="str">
            <v>441</v>
          </cell>
          <cell r="I467">
            <v>670388</v>
          </cell>
        </row>
        <row r="468">
          <cell r="E468" t="str">
            <v>441</v>
          </cell>
          <cell r="I468">
            <v>0</v>
          </cell>
        </row>
        <row r="470">
          <cell r="E470" t="str">
            <v>Sub</v>
          </cell>
          <cell r="I470" t="str">
            <v>Adjusted Total</v>
          </cell>
        </row>
        <row r="471">
          <cell r="E471" t="str">
            <v>111</v>
          </cell>
          <cell r="I471">
            <v>536833</v>
          </cell>
        </row>
        <row r="472">
          <cell r="E472" t="str">
            <v>112</v>
          </cell>
          <cell r="I472">
            <v>128163.88</v>
          </cell>
        </row>
        <row r="473">
          <cell r="E473" t="str">
            <v>116</v>
          </cell>
          <cell r="I473">
            <v>-33412.22</v>
          </cell>
        </row>
        <row r="474">
          <cell r="E474" t="str">
            <v>116</v>
          </cell>
          <cell r="I474">
            <v>43129.86</v>
          </cell>
        </row>
        <row r="475">
          <cell r="E475" t="str">
            <v>121</v>
          </cell>
          <cell r="I475">
            <v>201886.71</v>
          </cell>
        </row>
        <row r="476">
          <cell r="E476" t="str">
            <v>121</v>
          </cell>
          <cell r="I476">
            <v>183627.14</v>
          </cell>
        </row>
        <row r="477">
          <cell r="E477" t="str">
            <v>121</v>
          </cell>
          <cell r="I477">
            <v>34553</v>
          </cell>
        </row>
        <row r="478">
          <cell r="E478" t="str">
            <v>122</v>
          </cell>
          <cell r="I478">
            <v>15541.42</v>
          </cell>
        </row>
        <row r="479">
          <cell r="E479" t="str">
            <v>122</v>
          </cell>
          <cell r="I479">
            <v>0</v>
          </cell>
        </row>
        <row r="480">
          <cell r="E480" t="str">
            <v>123</v>
          </cell>
          <cell r="I480">
            <v>16960.68</v>
          </cell>
        </row>
        <row r="481">
          <cell r="E481" t="str">
            <v>123</v>
          </cell>
          <cell r="I481">
            <v>10295</v>
          </cell>
        </row>
        <row r="482">
          <cell r="E482" t="str">
            <v>124</v>
          </cell>
          <cell r="I482">
            <v>910836.27</v>
          </cell>
        </row>
        <row r="483">
          <cell r="E483" t="str">
            <v>124</v>
          </cell>
          <cell r="I483">
            <v>4773299.7699999996</v>
          </cell>
        </row>
        <row r="484">
          <cell r="E484" t="str">
            <v>126</v>
          </cell>
          <cell r="I484">
            <v>0</v>
          </cell>
        </row>
        <row r="485">
          <cell r="E485" t="str">
            <v>126</v>
          </cell>
          <cell r="I485">
            <v>0</v>
          </cell>
        </row>
        <row r="486">
          <cell r="E486" t="str">
            <v>212</v>
          </cell>
          <cell r="I486">
            <v>1275030.42</v>
          </cell>
        </row>
        <row r="487">
          <cell r="E487" t="str">
            <v>212</v>
          </cell>
          <cell r="I487">
            <v>1771286.56</v>
          </cell>
        </row>
        <row r="488">
          <cell r="E488" t="str">
            <v>212</v>
          </cell>
          <cell r="I488">
            <v>3750.65</v>
          </cell>
        </row>
        <row r="489">
          <cell r="E489" t="str">
            <v>212</v>
          </cell>
          <cell r="I489">
            <v>6624.22</v>
          </cell>
        </row>
        <row r="490">
          <cell r="E490" t="str">
            <v>212</v>
          </cell>
          <cell r="I490">
            <v>61841.91</v>
          </cell>
        </row>
        <row r="491">
          <cell r="E491" t="str">
            <v>220</v>
          </cell>
          <cell r="I491">
            <v>9804.5</v>
          </cell>
        </row>
        <row r="492">
          <cell r="E492" t="str">
            <v>220</v>
          </cell>
          <cell r="I492">
            <v>0</v>
          </cell>
        </row>
        <row r="493">
          <cell r="E493" t="str">
            <v>232</v>
          </cell>
          <cell r="I493">
            <v>1717127.96</v>
          </cell>
        </row>
        <row r="494">
          <cell r="E494" t="str">
            <v>232</v>
          </cell>
          <cell r="I494">
            <v>2265858.9300000002</v>
          </cell>
        </row>
        <row r="495">
          <cell r="E495" t="str">
            <v>232</v>
          </cell>
          <cell r="I495">
            <v>32130.83</v>
          </cell>
        </row>
        <row r="496">
          <cell r="E496" t="str">
            <v>351</v>
          </cell>
          <cell r="I496">
            <v>388270.61</v>
          </cell>
        </row>
        <row r="497">
          <cell r="E497" t="str">
            <v>351</v>
          </cell>
          <cell r="I497">
            <v>15758.69</v>
          </cell>
        </row>
        <row r="498">
          <cell r="E498" t="str">
            <v>362</v>
          </cell>
          <cell r="I498">
            <v>0</v>
          </cell>
        </row>
        <row r="499">
          <cell r="E499" t="str">
            <v>411</v>
          </cell>
          <cell r="I499">
            <v>15232.81</v>
          </cell>
        </row>
        <row r="500">
          <cell r="E500" t="str">
            <v>411</v>
          </cell>
          <cell r="I500">
            <v>3269.86</v>
          </cell>
        </row>
        <row r="501">
          <cell r="E501" t="str">
            <v>411</v>
          </cell>
          <cell r="I501">
            <v>16616.07</v>
          </cell>
        </row>
        <row r="502">
          <cell r="E502" t="str">
            <v>421</v>
          </cell>
          <cell r="I502">
            <v>751742.14</v>
          </cell>
        </row>
        <row r="503">
          <cell r="E503" t="str">
            <v>421</v>
          </cell>
          <cell r="I503">
            <v>141109.15</v>
          </cell>
        </row>
        <row r="504">
          <cell r="E504" t="str">
            <v>421</v>
          </cell>
          <cell r="I504">
            <v>140757.81</v>
          </cell>
        </row>
        <row r="505">
          <cell r="E505" t="str">
            <v>422</v>
          </cell>
          <cell r="I505">
            <v>799482.8</v>
          </cell>
        </row>
        <row r="506">
          <cell r="E506" t="str">
            <v>422</v>
          </cell>
          <cell r="I506">
            <v>1021734.93</v>
          </cell>
        </row>
        <row r="507">
          <cell r="E507" t="str">
            <v>422</v>
          </cell>
          <cell r="I507">
            <v>31331.95</v>
          </cell>
        </row>
        <row r="508">
          <cell r="E508" t="str">
            <v>423</v>
          </cell>
          <cell r="I508">
            <v>3597915.74</v>
          </cell>
        </row>
        <row r="509">
          <cell r="E509" t="str">
            <v>423</v>
          </cell>
          <cell r="I509">
            <v>945357.99</v>
          </cell>
        </row>
        <row r="510">
          <cell r="E510" t="str">
            <v>423</v>
          </cell>
          <cell r="I510">
            <v>51680.66</v>
          </cell>
        </row>
        <row r="511">
          <cell r="E511" t="str">
            <v>426</v>
          </cell>
          <cell r="I511">
            <v>306969.32</v>
          </cell>
        </row>
        <row r="512">
          <cell r="E512" t="str">
            <v>426</v>
          </cell>
          <cell r="I512">
            <v>101351.19</v>
          </cell>
        </row>
        <row r="513">
          <cell r="E513" t="str">
            <v>426</v>
          </cell>
          <cell r="I513">
            <v>6318.32</v>
          </cell>
        </row>
        <row r="514">
          <cell r="E514" t="str">
            <v>441</v>
          </cell>
          <cell r="I514">
            <v>426342.47</v>
          </cell>
        </row>
        <row r="515">
          <cell r="E515" t="str">
            <v>441</v>
          </cell>
          <cell r="I515">
            <v>663272.26</v>
          </cell>
        </row>
        <row r="516">
          <cell r="E516" t="str">
            <v>441</v>
          </cell>
          <cell r="I516">
            <v>0</v>
          </cell>
        </row>
        <row r="518">
          <cell r="E518" t="str">
            <v>Sub</v>
          </cell>
          <cell r="I518" t="str">
            <v>Adjusted Total</v>
          </cell>
        </row>
        <row r="519">
          <cell r="E519" t="str">
            <v>111</v>
          </cell>
          <cell r="I519">
            <v>536833</v>
          </cell>
        </row>
        <row r="520">
          <cell r="E520" t="str">
            <v>112</v>
          </cell>
          <cell r="I520">
            <v>145287</v>
          </cell>
        </row>
        <row r="521">
          <cell r="E521" t="str">
            <v>116</v>
          </cell>
          <cell r="I521">
            <v>21067</v>
          </cell>
        </row>
        <row r="522">
          <cell r="E522" t="str">
            <v>116</v>
          </cell>
          <cell r="I522">
            <v>0</v>
          </cell>
        </row>
        <row r="523">
          <cell r="E523" t="str">
            <v>121</v>
          </cell>
          <cell r="I523">
            <v>141621</v>
          </cell>
        </row>
        <row r="524">
          <cell r="E524" t="str">
            <v>121</v>
          </cell>
          <cell r="I524">
            <v>40533</v>
          </cell>
        </row>
        <row r="525">
          <cell r="E525" t="str">
            <v>121</v>
          </cell>
          <cell r="I525">
            <v>0</v>
          </cell>
        </row>
        <row r="526">
          <cell r="E526" t="str">
            <v>122</v>
          </cell>
          <cell r="I526">
            <v>28064</v>
          </cell>
        </row>
        <row r="527">
          <cell r="E527" t="str">
            <v>122</v>
          </cell>
          <cell r="I527">
            <v>0</v>
          </cell>
        </row>
        <row r="528">
          <cell r="E528" t="str">
            <v>123</v>
          </cell>
          <cell r="I528">
            <v>14425</v>
          </cell>
        </row>
        <row r="529">
          <cell r="E529" t="str">
            <v>123</v>
          </cell>
          <cell r="I529">
            <v>10295</v>
          </cell>
        </row>
        <row r="530">
          <cell r="E530" t="str">
            <v>124</v>
          </cell>
          <cell r="I530">
            <v>967094</v>
          </cell>
        </row>
        <row r="531">
          <cell r="E531" t="str">
            <v>124</v>
          </cell>
          <cell r="I531">
            <v>4838843</v>
          </cell>
        </row>
        <row r="532">
          <cell r="E532" t="str">
            <v>126</v>
          </cell>
          <cell r="I532">
            <v>0</v>
          </cell>
        </row>
        <row r="533">
          <cell r="E533" t="str">
            <v>126</v>
          </cell>
          <cell r="I533">
            <v>0</v>
          </cell>
        </row>
        <row r="534">
          <cell r="E534" t="str">
            <v>212</v>
          </cell>
          <cell r="I534">
            <v>1063970</v>
          </cell>
        </row>
        <row r="535">
          <cell r="E535" t="str">
            <v>212</v>
          </cell>
          <cell r="I535">
            <v>1771270</v>
          </cell>
        </row>
        <row r="536">
          <cell r="E536" t="str">
            <v>212</v>
          </cell>
          <cell r="I536">
            <v>-45114</v>
          </cell>
        </row>
        <row r="537">
          <cell r="E537" t="str">
            <v>212</v>
          </cell>
          <cell r="I537">
            <v>-6954</v>
          </cell>
        </row>
        <row r="538">
          <cell r="E538" t="str">
            <v>212</v>
          </cell>
          <cell r="I538">
            <v>4923</v>
          </cell>
        </row>
        <row r="539">
          <cell r="E539" t="str">
            <v>220</v>
          </cell>
          <cell r="I539">
            <v>9805</v>
          </cell>
        </row>
        <row r="540">
          <cell r="E540" t="str">
            <v>220</v>
          </cell>
          <cell r="I540">
            <v>0</v>
          </cell>
        </row>
        <row r="541">
          <cell r="E541" t="str">
            <v>232</v>
          </cell>
          <cell r="I541">
            <v>1733174</v>
          </cell>
        </row>
        <row r="542">
          <cell r="E542" t="str">
            <v>232</v>
          </cell>
          <cell r="I542">
            <v>2209499</v>
          </cell>
        </row>
        <row r="543">
          <cell r="E543" t="str">
            <v>232</v>
          </cell>
          <cell r="I543">
            <v>37339</v>
          </cell>
        </row>
        <row r="544">
          <cell r="E544" t="str">
            <v>351</v>
          </cell>
          <cell r="I544">
            <v>431689</v>
          </cell>
        </row>
        <row r="545">
          <cell r="E545" t="str">
            <v>351</v>
          </cell>
          <cell r="I545">
            <v>17066</v>
          </cell>
        </row>
        <row r="546">
          <cell r="E546" t="str">
            <v>362</v>
          </cell>
          <cell r="I546">
            <v>0</v>
          </cell>
        </row>
        <row r="547">
          <cell r="E547" t="str">
            <v>411</v>
          </cell>
          <cell r="I547">
            <v>14702</v>
          </cell>
        </row>
        <row r="548">
          <cell r="E548" t="str">
            <v>411</v>
          </cell>
          <cell r="I548">
            <v>852</v>
          </cell>
        </row>
        <row r="549">
          <cell r="E549" t="str">
            <v>411</v>
          </cell>
          <cell r="I549">
            <v>10621.53</v>
          </cell>
        </row>
        <row r="550">
          <cell r="E550" t="str">
            <v>421</v>
          </cell>
          <cell r="I550">
            <v>773614.65</v>
          </cell>
        </row>
        <row r="551">
          <cell r="E551" t="str">
            <v>421</v>
          </cell>
          <cell r="I551">
            <v>29865</v>
          </cell>
        </row>
        <row r="552">
          <cell r="E552" t="str">
            <v>421</v>
          </cell>
          <cell r="I552">
            <v>124574.32</v>
          </cell>
        </row>
        <row r="553">
          <cell r="E553" t="str">
            <v>422</v>
          </cell>
          <cell r="I553">
            <v>510827.14</v>
          </cell>
        </row>
        <row r="554">
          <cell r="E554" t="str">
            <v>422</v>
          </cell>
          <cell r="I554">
            <v>498398</v>
          </cell>
        </row>
        <row r="555">
          <cell r="E555" t="str">
            <v>422</v>
          </cell>
          <cell r="I555">
            <v>27736</v>
          </cell>
        </row>
        <row r="556">
          <cell r="E556" t="str">
            <v>423</v>
          </cell>
          <cell r="I556">
            <v>3439654.53</v>
          </cell>
        </row>
        <row r="557">
          <cell r="E557" t="str">
            <v>423</v>
          </cell>
          <cell r="I557">
            <v>503078</v>
          </cell>
        </row>
        <row r="558">
          <cell r="E558" t="str">
            <v>423</v>
          </cell>
          <cell r="I558">
            <v>65077.3</v>
          </cell>
        </row>
        <row r="559">
          <cell r="E559" t="str">
            <v>426</v>
          </cell>
          <cell r="I559">
            <v>276368.32</v>
          </cell>
        </row>
        <row r="560">
          <cell r="E560" t="str">
            <v>426</v>
          </cell>
          <cell r="I560">
            <v>76006</v>
          </cell>
        </row>
        <row r="561">
          <cell r="E561" t="str">
            <v>426</v>
          </cell>
          <cell r="I561">
            <v>5223</v>
          </cell>
        </row>
        <row r="562">
          <cell r="E562" t="str">
            <v>441</v>
          </cell>
          <cell r="I562">
            <v>408555</v>
          </cell>
        </row>
        <row r="563">
          <cell r="E563" t="str">
            <v>441</v>
          </cell>
          <cell r="I563">
            <v>561717</v>
          </cell>
        </row>
        <row r="564">
          <cell r="E564" t="str">
            <v>441</v>
          </cell>
          <cell r="I564">
            <v>0</v>
          </cell>
        </row>
        <row r="566">
          <cell r="E566" t="str">
            <v>Sub</v>
          </cell>
          <cell r="I566" t="str">
            <v>Adjusted Total</v>
          </cell>
        </row>
        <row r="567">
          <cell r="E567" t="str">
            <v>111</v>
          </cell>
          <cell r="I567">
            <v>0</v>
          </cell>
        </row>
        <row r="568">
          <cell r="E568" t="str">
            <v>112</v>
          </cell>
          <cell r="I568">
            <v>27023</v>
          </cell>
        </row>
        <row r="569">
          <cell r="E569" t="str">
            <v>116</v>
          </cell>
          <cell r="I569">
            <v>0</v>
          </cell>
        </row>
        <row r="570">
          <cell r="E570" t="str">
            <v>116</v>
          </cell>
          <cell r="I570">
            <v>22641</v>
          </cell>
        </row>
        <row r="571">
          <cell r="E571" t="str">
            <v>121</v>
          </cell>
          <cell r="I571">
            <v>130208</v>
          </cell>
        </row>
        <row r="572">
          <cell r="E572" t="str">
            <v>121</v>
          </cell>
          <cell r="I572">
            <v>4569</v>
          </cell>
        </row>
        <row r="573">
          <cell r="E573" t="str">
            <v>121</v>
          </cell>
          <cell r="I573">
            <v>0</v>
          </cell>
        </row>
        <row r="574">
          <cell r="E574" t="str">
            <v>122</v>
          </cell>
          <cell r="I574">
            <v>0</v>
          </cell>
        </row>
        <row r="575">
          <cell r="E575" t="str">
            <v>122</v>
          </cell>
          <cell r="I575">
            <v>0</v>
          </cell>
        </row>
        <row r="576">
          <cell r="E576" t="str">
            <v>123</v>
          </cell>
          <cell r="I576">
            <v>5416</v>
          </cell>
        </row>
        <row r="577">
          <cell r="E577" t="str">
            <v>123</v>
          </cell>
          <cell r="I577">
            <v>0</v>
          </cell>
        </row>
        <row r="578">
          <cell r="E578" t="str">
            <v>124</v>
          </cell>
          <cell r="I578">
            <v>4995334</v>
          </cell>
        </row>
        <row r="579">
          <cell r="E579" t="str">
            <v>124</v>
          </cell>
          <cell r="I579">
            <v>220880</v>
          </cell>
        </row>
        <row r="580">
          <cell r="E580" t="str">
            <v>126</v>
          </cell>
          <cell r="I580">
            <v>0</v>
          </cell>
        </row>
        <row r="581">
          <cell r="E581" t="str">
            <v>126</v>
          </cell>
          <cell r="I581">
            <v>0</v>
          </cell>
        </row>
        <row r="582">
          <cell r="E582" t="str">
            <v>212</v>
          </cell>
          <cell r="I582">
            <v>365299</v>
          </cell>
        </row>
        <row r="583">
          <cell r="E583" t="str">
            <v>212</v>
          </cell>
          <cell r="I583">
            <v>178374</v>
          </cell>
        </row>
        <row r="584">
          <cell r="E584" t="str">
            <v>212</v>
          </cell>
          <cell r="I584">
            <v>0</v>
          </cell>
        </row>
        <row r="585">
          <cell r="E585" t="str">
            <v>212</v>
          </cell>
          <cell r="I585">
            <v>0</v>
          </cell>
        </row>
        <row r="586">
          <cell r="E586" t="str">
            <v>212</v>
          </cell>
          <cell r="I586">
            <v>4282</v>
          </cell>
        </row>
        <row r="587">
          <cell r="E587" t="str">
            <v>220</v>
          </cell>
          <cell r="I587">
            <v>0</v>
          </cell>
        </row>
        <row r="588">
          <cell r="E588" t="str">
            <v>220</v>
          </cell>
          <cell r="I588">
            <v>0</v>
          </cell>
        </row>
        <row r="589">
          <cell r="E589" t="str">
            <v>232</v>
          </cell>
          <cell r="I589">
            <v>866778</v>
          </cell>
        </row>
        <row r="590">
          <cell r="E590" t="str">
            <v>232</v>
          </cell>
          <cell r="I590">
            <v>813630</v>
          </cell>
        </row>
        <row r="591">
          <cell r="E591" t="str">
            <v>232</v>
          </cell>
          <cell r="I591">
            <v>986</v>
          </cell>
        </row>
        <row r="592">
          <cell r="E592" t="str">
            <v>351</v>
          </cell>
          <cell r="I592">
            <v>0</v>
          </cell>
        </row>
        <row r="593">
          <cell r="E593" t="str">
            <v>351</v>
          </cell>
          <cell r="I593">
            <v>0</v>
          </cell>
        </row>
        <row r="594">
          <cell r="E594" t="str">
            <v>362</v>
          </cell>
          <cell r="I594">
            <v>0</v>
          </cell>
        </row>
        <row r="595">
          <cell r="E595" t="str">
            <v>411</v>
          </cell>
          <cell r="I595">
            <v>3380</v>
          </cell>
        </row>
        <row r="596">
          <cell r="E596" t="str">
            <v>411</v>
          </cell>
          <cell r="I596">
            <v>0</v>
          </cell>
        </row>
        <row r="597">
          <cell r="E597" t="str">
            <v>411</v>
          </cell>
          <cell r="I597">
            <v>5675</v>
          </cell>
        </row>
        <row r="598">
          <cell r="E598" t="str">
            <v>421</v>
          </cell>
          <cell r="I598">
            <v>207223</v>
          </cell>
        </row>
        <row r="599">
          <cell r="E599" t="str">
            <v>421</v>
          </cell>
          <cell r="I599">
            <v>13326</v>
          </cell>
        </row>
        <row r="600">
          <cell r="E600" t="str">
            <v>421</v>
          </cell>
          <cell r="I600">
            <v>38514</v>
          </cell>
        </row>
        <row r="601">
          <cell r="E601" t="str">
            <v>422</v>
          </cell>
          <cell r="I601">
            <v>483815</v>
          </cell>
        </row>
        <row r="602">
          <cell r="E602" t="str">
            <v>422</v>
          </cell>
          <cell r="I602">
            <v>306513</v>
          </cell>
        </row>
        <row r="603">
          <cell r="E603" t="str">
            <v>422</v>
          </cell>
          <cell r="I603">
            <v>14711</v>
          </cell>
        </row>
        <row r="604">
          <cell r="E604" t="str">
            <v>423</v>
          </cell>
          <cell r="I604">
            <v>1658837</v>
          </cell>
        </row>
        <row r="605">
          <cell r="E605" t="str">
            <v>423</v>
          </cell>
          <cell r="I605">
            <v>191602</v>
          </cell>
        </row>
        <row r="606">
          <cell r="E606" t="str">
            <v>423</v>
          </cell>
          <cell r="I606">
            <v>45038</v>
          </cell>
        </row>
        <row r="607">
          <cell r="E607" t="str">
            <v>426</v>
          </cell>
          <cell r="I607">
            <v>210388</v>
          </cell>
        </row>
        <row r="608">
          <cell r="E608" t="str">
            <v>426</v>
          </cell>
          <cell r="I608">
            <v>64130</v>
          </cell>
        </row>
        <row r="609">
          <cell r="E609" t="str">
            <v>426</v>
          </cell>
          <cell r="I609">
            <v>71</v>
          </cell>
        </row>
        <row r="610">
          <cell r="E610" t="str">
            <v>441</v>
          </cell>
          <cell r="I610">
            <v>275729</v>
          </cell>
        </row>
        <row r="611">
          <cell r="E611" t="str">
            <v>441</v>
          </cell>
          <cell r="I611">
            <v>208087</v>
          </cell>
        </row>
        <row r="612">
          <cell r="E612" t="str">
            <v>441</v>
          </cell>
          <cell r="I612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'l Priceout"/>
      <sheetName val="Com'l Priceout"/>
      <sheetName val="Roll Off Priceout"/>
      <sheetName val="Roll Off Productivity"/>
      <sheetName val="TB -LOB"/>
      <sheetName val="Comm'l TB-120"/>
      <sheetName val="Com'l Rec. TB-160"/>
      <sheetName val="Resi TB-190"/>
      <sheetName val="230 &amp; 220"/>
      <sheetName val="YW TB-220"/>
      <sheetName val="RO TB-260"/>
      <sheetName val="Industrial LOB"/>
      <sheetName val="TS TB-300"/>
      <sheetName val="POL TB-750"/>
      <sheetName val="Revenue Reconciliation"/>
      <sheetName val="Billed Revenue Summary"/>
      <sheetName val="Disposal Summary"/>
      <sheetName val="Payroll Register"/>
      <sheetName val="Balance Sheet"/>
      <sheetName val="Monthly IS"/>
      <sheetName val="DEPN"/>
      <sheetName val="Fixed Asset Summary"/>
      <sheetName val="Fixed Asset Detail"/>
      <sheetName val="Fuel"/>
      <sheetName val="WTB"/>
      <sheetName val="OH Analysis (2008)"/>
      <sheetName val="Corp. Office OH 2008"/>
      <sheetName val="OH Analysis"/>
      <sheetName val="Corp. Office OH"/>
      <sheetName val="2008 Group Office TB"/>
      <sheetName val="MA Office OH"/>
      <sheetName val="MA Stats"/>
      <sheetName val="2008 Group Office IS"/>
      <sheetName val="2008 West Group IS"/>
      <sheetName val="Legal"/>
      <sheetName val="Lurito 25 bpi"/>
      <sheetName val="Lurito 25 bpi (Rolloff)"/>
      <sheetName val="70000"/>
      <sheetName val="502500"/>
      <sheetName val="509000"/>
      <sheetName val="509500"/>
      <sheetName val="570800"/>
      <sheetName val="518000"/>
      <sheetName val="568100"/>
      <sheetName val="678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AD8" t="str">
            <v>#N/A</v>
          </cell>
        </row>
      </sheetData>
      <sheetData sheetId="19"/>
      <sheetData sheetId="20"/>
      <sheetData sheetId="21"/>
      <sheetData sheetId="22"/>
      <sheetData sheetId="23"/>
      <sheetData sheetId="24">
        <row r="4">
          <cell r="DE4" t="str">
            <v>01815</v>
          </cell>
        </row>
        <row r="5">
          <cell r="DC5" t="str">
            <v>12</v>
          </cell>
          <cell r="DD5" t="str">
            <v>WM of Ellensburg</v>
          </cell>
          <cell r="DE5" t="str">
            <v>01815</v>
          </cell>
        </row>
        <row r="8">
          <cell r="DC8">
            <v>12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AK4" t="str">
            <v>01500</v>
          </cell>
        </row>
        <row r="5">
          <cell r="AI5" t="str">
            <v>12</v>
          </cell>
          <cell r="AJ5" t="str">
            <v>Western Area Office</v>
          </cell>
          <cell r="AK5" t="str">
            <v>01500</v>
          </cell>
        </row>
        <row r="8">
          <cell r="AH8">
            <v>0</v>
          </cell>
        </row>
        <row r="9">
          <cell r="AM9" t="str">
            <v>USD</v>
          </cell>
        </row>
      </sheetData>
      <sheetData sheetId="33">
        <row r="4">
          <cell r="AK4" t="str">
            <v>G00006</v>
          </cell>
        </row>
        <row r="5">
          <cell r="AI5" t="str">
            <v>12</v>
          </cell>
          <cell r="AJ5" t="str">
            <v>Error</v>
          </cell>
          <cell r="AK5" t="str">
            <v>Western</v>
          </cell>
        </row>
        <row r="8">
          <cell r="AH8">
            <v>0</v>
          </cell>
        </row>
        <row r="9">
          <cell r="AM9" t="str">
            <v>USD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RptClose"/>
      <sheetName val="Hidden"/>
      <sheetName val="Lookup"/>
      <sheetName val="Lookup "/>
    </sheetNames>
    <sheetDataSet>
      <sheetData sheetId="0"/>
      <sheetData sheetId="1"/>
      <sheetData sheetId="2" refreshError="1"/>
      <sheetData sheetId="3">
        <row r="5">
          <cell r="D5">
            <v>10.71</v>
          </cell>
        </row>
      </sheetData>
      <sheetData sheetId="4">
        <row r="6">
          <cell r="F6" t="str">
            <v>Time Series</v>
          </cell>
        </row>
      </sheetData>
      <sheetData sheetId="5" refreshError="1"/>
      <sheetData sheetId="6">
        <row r="11">
          <cell r="D11">
            <v>10002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O11">
            <v>0</v>
          </cell>
          <cell r="P11">
            <v>0</v>
          </cell>
        </row>
      </sheetData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G22" t="str">
            <v>Credit Card #1</v>
          </cell>
        </row>
        <row r="23">
          <cell r="G23" t="str">
            <v>Credit Card #2</v>
          </cell>
        </row>
        <row r="24">
          <cell r="D24" t="b">
            <v>1</v>
          </cell>
          <cell r="G24" t="str">
            <v>Credit Card #3</v>
          </cell>
        </row>
        <row r="28">
          <cell r="D28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Act-Fcast P&amp;L"/>
      <sheetName val="9+3"/>
      <sheetName val="2013 Budget"/>
      <sheetName val="Main"/>
      <sheetName val="4105"/>
      <sheetName val="Pricing From Corp as of Dec"/>
      <sheetName val="Qrtly Pricing"/>
      <sheetName val="Intercompany Tonnage"/>
      <sheetName val="Transfer and MRF Bridge"/>
      <sheetName val="Recycle Rev Bridge"/>
      <sheetName val="Rev Reduction Bridge"/>
      <sheetName val="Direct Labor Bridge"/>
      <sheetName val="Truck Variable Bridge"/>
      <sheetName val="Supervisor Exp Bridge"/>
      <sheetName val="Other Op Exp Bridge"/>
      <sheetName val="Ins Exp Bridge"/>
      <sheetName val="G&amp;A Exp Bri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 (WMofWA)"/>
      <sheetName val="Balance Sheet (WMofWA)"/>
      <sheetName val="Rev. Sum. - Confidential"/>
      <sheetName val="WTB-Confidential"/>
      <sheetName val="Priceout"/>
      <sheetName val="Monthly IS (SnoKing)"/>
      <sheetName val="Total Lurito"/>
      <sheetName val="Lurito - Garbage"/>
      <sheetName val="Lurito - Recycling"/>
      <sheetName val="Lurito - YW"/>
      <sheetName val="Lurito-Garbage"/>
      <sheetName val="Lurito-Recycling"/>
      <sheetName val="Lurito-YW"/>
      <sheetName val="PC 230"/>
      <sheetName val="PC 220"/>
      <sheetName val="PC 160 - Confidential"/>
      <sheetName val="PC 260-Confidential"/>
      <sheetName val="WUTC Customer Counts"/>
      <sheetName val="Processing Fees"/>
      <sheetName val="YW Processing Fees"/>
      <sheetName val="PR Register-Confidential"/>
      <sheetName val="PR Detail -confidential"/>
      <sheetName val="Wage scale-CONFIDENTIAL"/>
      <sheetName val="Fuel"/>
      <sheetName val="Balance Sheet (SnoKing)"/>
      <sheetName val="DEPN"/>
      <sheetName val="DEPN Summary"/>
      <sheetName val="Fixed Asset Summary"/>
      <sheetName val="Fixed Asset Detail"/>
      <sheetName val="Facility Costs"/>
      <sheetName val="Legal Fees"/>
      <sheetName val="MA Office OH"/>
      <sheetName val="MA Stats"/>
      <sheetName val="OH Analysis"/>
      <sheetName val="Corp. Office OH"/>
      <sheetName val="2008 West Group IS"/>
      <sheetName val="2008 Group Office TB"/>
      <sheetName val="2008 Group Office IS"/>
      <sheetName val="500500"/>
      <sheetName val="AP-500500"/>
      <sheetName val="500800"/>
      <sheetName val="509000"/>
      <sheetName val="AP-509500"/>
      <sheetName val="509500"/>
      <sheetName val="531200"/>
      <sheetName val="Income Statement (2)"/>
      <sheetName val="Lurito"/>
      <sheetName val="Fixed Assets"/>
      <sheetName val="unprocessed SS"/>
      <sheetName val="Tonnage"/>
      <sheetName val="Outbound Tons"/>
      <sheetName val="Inbound Tons"/>
      <sheetName val="Labor"/>
      <sheetName val="CDL Pricing"/>
      <sheetName val="CRC Commodity Prices"/>
      <sheetName val="Commodity Mix"/>
      <sheetName val="502500"/>
      <sheetName val="Summary"/>
      <sheetName val="Com'l FL"/>
      <sheetName val="Res'l RL"/>
      <sheetName val="Roll Off"/>
      <sheetName val="Res'l YW"/>
      <sheetName val="Res'l Rec."/>
      <sheetName val="Com'l Rec."/>
      <sheetName val="Summary (2)"/>
      <sheetName val="Customer Counts"/>
      <sheetName val="Com'l FL-2009"/>
      <sheetName val="Res'l RL (2)"/>
      <sheetName val="Res'l YW (2)"/>
      <sheetName val="Res'l Rec. (2)"/>
      <sheetName val="Roll Off (2)"/>
      <sheetName val="Haul Summary"/>
      <sheetName val="Com'l Rec. (2)"/>
      <sheetName val="Hauls 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Check"/>
      <sheetName val="Opening"/>
      <sheetName val="Main"/>
      <sheetName val="CopyImport"/>
      <sheetName val="SupportFiles"/>
      <sheetName val="Settings"/>
      <sheetName val="Todo"/>
      <sheetName val="DDLs"/>
      <sheetName val="AutoSupport"/>
      <sheetName val="Detail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e">
            <v>#N/A</v>
          </cell>
          <cell r="F3">
            <v>0</v>
          </cell>
          <cell r="I3" t="e">
            <v>#N/A</v>
          </cell>
        </row>
        <row r="4">
          <cell r="I4" t="e">
            <v>#N/A</v>
          </cell>
        </row>
        <row r="5">
          <cell r="F5">
            <v>0</v>
          </cell>
        </row>
        <row r="7">
          <cell r="F7">
            <v>1.4603999999999999</v>
          </cell>
        </row>
        <row r="10">
          <cell r="I10" t="e">
            <v>#VALUE!</v>
          </cell>
        </row>
        <row r="11">
          <cell r="I11" t="e">
            <v>#VALUE!</v>
          </cell>
        </row>
        <row r="12">
          <cell r="I12" t="e">
            <v>#VALUE!</v>
          </cell>
        </row>
        <row r="13">
          <cell r="I13" t="e">
            <v>#VALUE!</v>
          </cell>
        </row>
        <row r="14">
          <cell r="I14" t="e">
            <v>#VALUE!</v>
          </cell>
        </row>
        <row r="15">
          <cell r="I15" t="e">
            <v>#VALUE!</v>
          </cell>
        </row>
        <row r="16">
          <cell r="I16" t="e">
            <v>#VALUE!</v>
          </cell>
        </row>
        <row r="17">
          <cell r="I17" t="e">
            <v>#VALUE!</v>
          </cell>
        </row>
        <row r="18">
          <cell r="I18">
            <v>0</v>
          </cell>
        </row>
        <row r="26">
          <cell r="I26">
            <v>0.05</v>
          </cell>
        </row>
        <row r="27">
          <cell r="I27">
            <v>5000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 IS"/>
      <sheetName val="2183 IS"/>
      <sheetName val="2184 IS"/>
      <sheetName val="2185 IS"/>
      <sheetName val="Consolidated IS"/>
      <sheetName val="Ratios Thurston"/>
      <sheetName val="2183 Pro forma"/>
      <sheetName val="2183 Ratios"/>
      <sheetName val="Restating Expl"/>
      <sheetName val="Pro forma Expl"/>
      <sheetName val="Pacific Regulated - Price Out"/>
      <sheetName val="Total Matrix"/>
      <sheetName val="Packer_RO Matrix"/>
      <sheetName val="COS Packer_RO"/>
      <sheetName val="Res YW Matix"/>
      <sheetName val="Res Recy Matrix"/>
      <sheetName val="MF Recy Matrix"/>
      <sheetName val="COS RR YW MFR"/>
      <sheetName val="Total Pac,Rural"/>
      <sheetName val="Rural"/>
      <sheetName val="LG-Pacific Pckr Rts"/>
      <sheetName val="LG-RO"/>
      <sheetName val="Res Recycl"/>
      <sheetName val="MF Recycl"/>
      <sheetName val="YW"/>
      <sheetName val="Depr Summary 2183"/>
      <sheetName val="Trucks 2183"/>
      <sheetName val="Containers 2183"/>
      <sheetName val="OTHER EQUIP 2183"/>
      <sheetName val="LeMay Global"/>
      <sheetName val="Fuel"/>
      <sheetName val="DF Schedule"/>
      <sheetName val="2183 Payroll"/>
      <sheetName val="2184 Payroll"/>
      <sheetName val="2185 Payroll"/>
      <sheetName val="Cust Cnt"/>
      <sheetName val="Unit Cnt"/>
      <sheetName val="70148 Summary"/>
      <sheetName val="Time Study"/>
      <sheetName val="Corp O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9">
          <cell r="M49">
            <v>8000432.4617248299</v>
          </cell>
        </row>
        <row r="50">
          <cell r="F50">
            <v>8158680.0299999993</v>
          </cell>
        </row>
        <row r="58">
          <cell r="M58">
            <v>2625393.5068796892</v>
          </cell>
        </row>
        <row r="59">
          <cell r="F59">
            <v>2119461.4499999997</v>
          </cell>
        </row>
        <row r="69">
          <cell r="M69">
            <v>1361744.4391882615</v>
          </cell>
        </row>
        <row r="70">
          <cell r="F70">
            <v>1347163.92</v>
          </cell>
        </row>
        <row r="213">
          <cell r="M213">
            <v>4757117.5866496488</v>
          </cell>
        </row>
        <row r="214">
          <cell r="F214">
            <v>4859462.2200000007</v>
          </cell>
        </row>
        <row r="221">
          <cell r="M221">
            <v>395543.82663328515</v>
          </cell>
        </row>
        <row r="222">
          <cell r="F222">
            <v>332798.89999999997</v>
          </cell>
        </row>
        <row r="281">
          <cell r="M281">
            <v>1187221.5155152699</v>
          </cell>
        </row>
        <row r="282">
          <cell r="F282">
            <v>744277.47999999975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2">
          <cell r="B2" t="str">
            <v>55000 lbs</v>
          </cell>
          <cell r="E2" t="str">
            <v>YES</v>
          </cell>
        </row>
        <row r="3">
          <cell r="B3" t="str">
            <v>55001 - 56000 lbs</v>
          </cell>
          <cell r="E3" t="str">
            <v>NO</v>
          </cell>
        </row>
        <row r="4">
          <cell r="B4" t="str">
            <v>56001 - 57000 lbs</v>
          </cell>
        </row>
        <row r="5">
          <cell r="B5" t="str">
            <v>57001 - 58000 lbs</v>
          </cell>
        </row>
        <row r="6">
          <cell r="B6" t="str">
            <v>58001 - 59000 lbs</v>
          </cell>
        </row>
        <row r="7">
          <cell r="B7" t="str">
            <v>59001 - 60000 lbs</v>
          </cell>
        </row>
        <row r="8">
          <cell r="B8" t="str">
            <v>60001 - 61000 lbs</v>
          </cell>
        </row>
        <row r="9">
          <cell r="B9" t="str">
            <v>61001 - 62000 lbs</v>
          </cell>
        </row>
        <row r="10">
          <cell r="B10" t="str">
            <v>62001 - 63000 lbs</v>
          </cell>
        </row>
        <row r="11">
          <cell r="B11" t="str">
            <v>63001 - 64000 lbs</v>
          </cell>
        </row>
        <row r="12">
          <cell r="B12" t="str">
            <v>64001 - 65000 lbs</v>
          </cell>
        </row>
        <row r="13">
          <cell r="B13" t="str">
            <v>65001 - 66000 lbs</v>
          </cell>
        </row>
        <row r="14">
          <cell r="B14" t="str">
            <v>66001 - 67000 lbs</v>
          </cell>
        </row>
        <row r="15">
          <cell r="B15" t="str">
            <v>67001 - 68000 lbs</v>
          </cell>
        </row>
        <row r="16">
          <cell r="B16" t="str">
            <v>68001 - 69000 lbs</v>
          </cell>
        </row>
        <row r="17">
          <cell r="B17" t="str">
            <v>69001 - 70000 lbs</v>
          </cell>
        </row>
        <row r="18">
          <cell r="B18" t="str">
            <v>70001 - 71000 lbs</v>
          </cell>
        </row>
        <row r="19">
          <cell r="B19" t="str">
            <v>71001 - 72000 lbs</v>
          </cell>
        </row>
        <row r="20">
          <cell r="B20" t="str">
            <v>72001 - 73000 lbs</v>
          </cell>
        </row>
        <row r="21">
          <cell r="B21" t="str">
            <v>73001 - 74000 lbs</v>
          </cell>
        </row>
        <row r="22">
          <cell r="B22" t="str">
            <v>74001 - 75000 lbs</v>
          </cell>
        </row>
        <row r="23">
          <cell r="B23" t="str">
            <v>Over 75,000 lbs</v>
          </cell>
        </row>
      </sheetData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Summary"/>
      <sheetName val="Customer Count Summary"/>
      <sheetName val="Container Count"/>
      <sheetName val="JBLM Container Count"/>
      <sheetName val="2180 IS"/>
      <sheetName val="2180 (Reg.) - Price Out "/>
      <sheetName val="2180 (Roy) - Price Out"/>
      <sheetName val="2180 (Reg EA.) - Price Out"/>
      <sheetName val="2180 (JBLM Housing) - Price Out"/>
      <sheetName val="2180 (FtL) - Price Out"/>
      <sheetName val="2180 (Lkwd) - Price Out"/>
      <sheetName val="2180 (Dpt) - Price Out"/>
      <sheetName val="2180 (Etv) - Price Out"/>
      <sheetName val="2180 (Stcm) - Price Out"/>
      <sheetName val="2180 (UP) - Price Out"/>
      <sheetName val="2180 Comm Recycle"/>
      <sheetName val="JBLM"/>
      <sheetName val="RM Pivot"/>
      <sheetName val=" GW PIVOT"/>
      <sheetName val="RM Data"/>
      <sheetName val="Interject_LastPulledValues"/>
      <sheetName val="P&amp;L"/>
      <sheetName val="YTD Act-Proj (by mo.) vs. Bud"/>
      <sheetName val="C-Rec Cus"/>
      <sheetName val="MF Recy"/>
      <sheetName val="Finance Charges"/>
      <sheetName val="N Lemay Rolloff Count"/>
      <sheetName val="Def Rev. Pivot"/>
      <sheetName val="Recycle Counts Link"/>
      <sheetName val="PI default bill area pricing"/>
      <sheetName val="RMO - Default Bill Area Pricing"/>
      <sheetName val="Cust Counts for Budgets"/>
      <sheetName val="Comm True up"/>
      <sheetName val="RO Man Adj"/>
    </sheetNames>
    <sheetDataSet>
      <sheetData sheetId="0">
        <row r="6">
          <cell r="B6">
            <v>17438586.895000003</v>
          </cell>
        </row>
      </sheetData>
      <sheetData sheetId="1">
        <row r="5">
          <cell r="I5">
            <v>12944.933995913583</v>
          </cell>
        </row>
      </sheetData>
      <sheetData sheetId="2">
        <row r="5">
          <cell r="D5">
            <v>56362.413490693354</v>
          </cell>
        </row>
      </sheetData>
      <sheetData sheetId="3"/>
      <sheetData sheetId="4"/>
      <sheetData sheetId="5">
        <row r="11">
          <cell r="B11" t="str">
            <v>SL035.0G1M001NOREC</v>
          </cell>
        </row>
      </sheetData>
      <sheetData sheetId="6"/>
      <sheetData sheetId="7">
        <row r="11">
          <cell r="B11" t="str">
            <v>SL035.0G1M001WREC</v>
          </cell>
        </row>
      </sheetData>
      <sheetData sheetId="8">
        <row r="11">
          <cell r="B11" t="str">
            <v>SL065.0G1W001WREC</v>
          </cell>
        </row>
      </sheetData>
      <sheetData sheetId="9">
        <row r="11">
          <cell r="B11" t="str">
            <v>BULKY-RES</v>
          </cell>
        </row>
      </sheetData>
      <sheetData sheetId="10">
        <row r="11">
          <cell r="B11" t="str">
            <v>RL020.0G1W001</v>
          </cell>
        </row>
      </sheetData>
      <sheetData sheetId="11">
        <row r="11">
          <cell r="B11" t="str">
            <v>SL020.0G1W001</v>
          </cell>
        </row>
      </sheetData>
      <sheetData sheetId="12">
        <row r="11">
          <cell r="B11" t="str">
            <v>SL035.0G1M001WREC</v>
          </cell>
        </row>
      </sheetData>
      <sheetData sheetId="13">
        <row r="11">
          <cell r="B11" t="str">
            <v>RL010.0G1W001WREC</v>
          </cell>
        </row>
      </sheetData>
      <sheetData sheetId="14">
        <row r="11">
          <cell r="B11" t="str">
            <v>SL035.0GEO001WREC</v>
          </cell>
        </row>
      </sheetData>
      <sheetData sheetId="15">
        <row r="3">
          <cell r="A3" t="str">
            <v>PIERCE UTC</v>
          </cell>
        </row>
      </sheetData>
      <sheetData sheetId="16"/>
      <sheetData sheetId="17">
        <row r="1">
          <cell r="A1" t="str">
            <v>GL ACCOUNT</v>
          </cell>
        </row>
      </sheetData>
      <sheetData sheetId="18"/>
      <sheetData sheetId="19">
        <row r="2">
          <cell r="H2" t="str">
            <v>SERVICE CODE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D6">
            <v>10000</v>
          </cell>
        </row>
        <row r="8">
          <cell r="H8" t="str">
            <v>2022-07</v>
          </cell>
        </row>
      </sheetData>
      <sheetData sheetId="26"/>
      <sheetData sheetId="27"/>
      <sheetData sheetId="28"/>
      <sheetData sheetId="29">
        <row r="1">
          <cell r="A1" t="str">
            <v>Lookup Codes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f Rate Sheet"/>
      <sheetName val="Class A IS"/>
      <sheetName val="2149 BS"/>
      <sheetName val="9-30-11 BS"/>
      <sheetName val="2149 IS"/>
      <sheetName val="Consolidated IS"/>
      <sheetName val="Ratios"/>
      <sheetName val="Restating Adj"/>
      <sheetName val="Restating Expl"/>
      <sheetName val="Pro forma Adj"/>
      <sheetName val="Pro-forma"/>
      <sheetName val="LG-Combined"/>
      <sheetName val="LG-Pckr,RO"/>
      <sheetName val="LG-Recycl"/>
      <sheetName val="Price Out"/>
      <sheetName val="Rate Sheet"/>
      <sheetName val="Pckr, RO, Matrix"/>
      <sheetName val="COS Packer,RO "/>
      <sheetName val="Recycl Matrix"/>
      <sheetName val="COS Recycle"/>
      <sheetName val="Disposal Calc"/>
      <sheetName val="Disposal Schedule"/>
      <sheetName val="Fuel"/>
      <sheetName val="PR Summary"/>
      <sheetName val="Depr Summary"/>
      <sheetName val="Depreciation"/>
      <sheetName val="Cust Count"/>
      <sheetName val="Rt Study Summary"/>
      <sheetName val="Recycl Tons, Commodity Value"/>
      <sheetName val="Tribal Cnts"/>
      <sheetName val="Corp OH"/>
      <sheetName val="Corp Debt Equity"/>
      <sheetName val="Balance Sheet"/>
      <sheetName val="P&amp;L"/>
      <sheetName val="70195 JE-WRRA Dues"/>
      <sheetName val="56095 JE"/>
      <sheetName val="Non-Reg Price Out"/>
      <sheetName val="30% Commodity Justification"/>
      <sheetName val="TRC Processing Justfication"/>
      <sheetName val="Orig Price Out"/>
      <sheetName val="Rate Sheet Dec 2012"/>
      <sheetName val="Orig COS Packer,RO "/>
      <sheetName val="LG-Pckr w DF"/>
      <sheetName val="LG-Pckr w-out DF"/>
      <sheetName val="LG-RO"/>
    </sheetNames>
    <sheetDataSet>
      <sheetData sheetId="0" refreshError="1">
        <row r="107">
          <cell r="L107">
            <v>1755086.2007667283</v>
          </cell>
        </row>
        <row r="214">
          <cell r="L214">
            <v>861493.18580596044</v>
          </cell>
        </row>
        <row r="278">
          <cell r="L278">
            <v>840474.49671344017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3">
          <cell r="L23">
            <v>2329.3388396454475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tyCash-10110"/>
      <sheetName val="10200"/>
      <sheetName val="10210"/>
      <sheetName val="10250_RECON"/>
      <sheetName val="10250_MVPSS"/>
      <sheetName val="10250_Recy Chkg"/>
      <sheetName val="10250_Reimb Accts"/>
      <sheetName val="10250_Rollfwd"/>
      <sheetName val="10410_Rollfwd"/>
      <sheetName val="10410_Recon"/>
      <sheetName val="10410_Trade"/>
      <sheetName val="10410_Lodi"/>
      <sheetName val="10410_Sac Co"/>
      <sheetName val="10410_Brokered"/>
      <sheetName val="10420_Rollfwd"/>
      <sheetName val="10420 RECON"/>
      <sheetName val="Rollfwd_10550"/>
      <sheetName val="Recon_10550"/>
      <sheetName val="Recon_10555"/>
      <sheetName val="Recon_10610"/>
      <sheetName val="A170XX-October"/>
      <sheetName val="Recon_10760"/>
      <sheetName val="Rollfwd_10820"/>
      <sheetName val="PPXXC_10830"/>
      <sheetName val="Schedule_10830"/>
      <sheetName val="Recon_10830"/>
      <sheetName val="Rollfwd_10850"/>
      <sheetName val="Recon_10850"/>
      <sheetName val="ReconSumm_10890"/>
      <sheetName val="ASSETS 11XXX"/>
      <sheetName val="ACC DEP 12XXX"/>
      <sheetName val="GOODWILL_15120"/>
      <sheetName val="Rollfwd_15450"/>
      <sheetName val="15450_92 bond"/>
      <sheetName val="15450_94 Bond "/>
      <sheetName val="Recon_15450"/>
      <sheetName val="Rollfwd_15320_15500"/>
      <sheetName val="16100_Rollfwd"/>
      <sheetName val="A180543"/>
      <sheetName val="A20110"/>
      <sheetName val="Rollfwd_20120"/>
      <sheetName val="Recon_20120"/>
      <sheetName val="Recon_20130"/>
      <sheetName val="Recon_20133"/>
      <sheetName val="Recon_20135"/>
      <sheetName val="Recon_20137"/>
      <sheetName val="A20140"/>
      <sheetName val="SALES TAX RETURN_20140"/>
      <sheetName val="Rollfwd_20170"/>
      <sheetName val="Recon_20170"/>
      <sheetName val="Recon_20175"/>
      <sheetName val="Recon_20177"/>
      <sheetName val="Detail_20320"/>
      <sheetName val="Rollfwd_20325"/>
      <sheetName val="Recon_20325"/>
      <sheetName val="A20330"/>
      <sheetName val="RECON 20335"/>
      <sheetName val="RECON_20340"/>
      <sheetName val="DETAILED 20360"/>
      <sheetName val="recon 20365"/>
      <sheetName val="recon 20375"/>
      <sheetName val="A21100 &amp; A21250"/>
      <sheetName val="21250_92 Bond"/>
      <sheetName val="21250_94 Bond"/>
      <sheetName val="21250_R. Vaccarezza"/>
      <sheetName val="21250_BOND DIS AMORT"/>
      <sheetName val="A21390"/>
      <sheetName val="Recon 22104"/>
      <sheetName val="Recon 22105"/>
      <sheetName val="Recon 22109"/>
      <sheetName val="Recon 22205 "/>
      <sheetName val="Recon 22206"/>
      <sheetName val="Recon_30XXXX"/>
      <sheetName val="Recon 150543 Revised"/>
      <sheetName val="170001 DL 121999"/>
      <sheetName val="Rollfwd_170001"/>
      <sheetName val="A170001"/>
      <sheetName val="Rollfwd_170050"/>
      <sheetName val="A170050"/>
      <sheetName val="Rollfwd_171170"/>
      <sheetName val="A171170"/>
      <sheetName val="Rollfwd_171500"/>
      <sheetName val="A171500"/>
      <sheetName val="A171504"/>
      <sheetName val="A171531"/>
      <sheetName val="A172216"/>
      <sheetName val="A172220"/>
      <sheetName val="A172355"/>
      <sheetName val="Dec_99 DL_RAW"/>
      <sheetName val="Dec_99 DL_"/>
      <sheetName val="DEC_98 DL RAW"/>
      <sheetName val="DEC_98 DL "/>
      <sheetName val="Sheet4"/>
      <sheetName val="Sheet4 (2)"/>
      <sheetName val="XXXXXX"/>
      <sheetName val="BU NAMES"/>
      <sheetName val="PS BS ACCOUNTS"/>
      <sheetName val="Sch 4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1">
          <cell r="A1" t="str">
            <v>Fixed Assets Reconciliations - Lodi - 0543</v>
          </cell>
        </row>
        <row r="2">
          <cell r="A2" t="str">
            <v>February</v>
          </cell>
        </row>
        <row r="3">
          <cell r="B3" t="str">
            <v>Trucks</v>
          </cell>
          <cell r="C3" t="str">
            <v>Landfill PE</v>
          </cell>
          <cell r="D3" t="str">
            <v>Support Trucks</v>
          </cell>
          <cell r="E3" t="str">
            <v xml:space="preserve">Containers </v>
          </cell>
          <cell r="F3" t="str">
            <v>M&amp;E</v>
          </cell>
          <cell r="G3" t="str">
            <v>OfficeEquip</v>
          </cell>
          <cell r="H3" t="str">
            <v>Building</v>
          </cell>
          <cell r="I3" t="str">
            <v>Leashold Improv</v>
          </cell>
          <cell r="J3" t="str">
            <v>Autos</v>
          </cell>
          <cell r="K3" t="str">
            <v>Land</v>
          </cell>
          <cell r="L3" t="str">
            <v>Total Assets</v>
          </cell>
        </row>
        <row r="4">
          <cell r="A4" t="str">
            <v>Description/A/C</v>
          </cell>
          <cell r="B4" t="str">
            <v>11110 &amp;120</v>
          </cell>
          <cell r="C4">
            <v>11210</v>
          </cell>
          <cell r="D4">
            <v>11310</v>
          </cell>
          <cell r="E4" t="str">
            <v>11410 &amp; 20</v>
          </cell>
          <cell r="F4" t="str">
            <v>11510 &amp; 20</v>
          </cell>
          <cell r="G4" t="str">
            <v>11610 &amp; 20</v>
          </cell>
          <cell r="H4" t="str">
            <v>11710 &amp; 20</v>
          </cell>
          <cell r="I4">
            <v>11810</v>
          </cell>
          <cell r="J4">
            <v>11910</v>
          </cell>
          <cell r="K4">
            <v>13110</v>
          </cell>
        </row>
        <row r="6">
          <cell r="A6" t="str">
            <v>GL Beginning Bal</v>
          </cell>
          <cell r="B6">
            <v>6370279.0000000009</v>
          </cell>
          <cell r="C6">
            <v>1152675.96</v>
          </cell>
          <cell r="D6">
            <v>230167.72999999998</v>
          </cell>
          <cell r="E6">
            <v>9808085.1799999997</v>
          </cell>
          <cell r="F6">
            <v>3002548.89</v>
          </cell>
          <cell r="G6">
            <v>1058753.53</v>
          </cell>
          <cell r="H6">
            <v>5945538.0099999998</v>
          </cell>
          <cell r="I6">
            <v>2233939.7999999998</v>
          </cell>
          <cell r="J6">
            <v>47342.04</v>
          </cell>
          <cell r="K6">
            <v>987725.13</v>
          </cell>
          <cell r="L6">
            <v>30837055.270000003</v>
          </cell>
        </row>
        <row r="8">
          <cell r="A8" t="str">
            <v>Additions:</v>
          </cell>
          <cell r="B8">
            <v>0</v>
          </cell>
          <cell r="E8">
            <v>0</v>
          </cell>
          <cell r="F8">
            <v>0</v>
          </cell>
          <cell r="G8">
            <v>0</v>
          </cell>
        </row>
        <row r="11">
          <cell r="A11" t="str">
            <v>Accruals:</v>
          </cell>
        </row>
        <row r="13">
          <cell r="A13" t="str">
            <v>Deletions:</v>
          </cell>
        </row>
        <row r="15">
          <cell r="A15" t="str">
            <v>Adjusted GL Bal:</v>
          </cell>
          <cell r="B15">
            <v>6370279.0000000009</v>
          </cell>
          <cell r="C15">
            <v>1152675.96</v>
          </cell>
          <cell r="D15">
            <v>230167.72999999998</v>
          </cell>
          <cell r="E15">
            <v>9808085.1799999997</v>
          </cell>
          <cell r="F15">
            <v>3002548.89</v>
          </cell>
          <cell r="G15">
            <v>1058753.53</v>
          </cell>
          <cell r="H15">
            <v>5945538.0099999998</v>
          </cell>
          <cell r="I15">
            <v>2233939.7999999998</v>
          </cell>
          <cell r="J15">
            <v>47342.04</v>
          </cell>
          <cell r="K15">
            <v>987725.13</v>
          </cell>
          <cell r="L15">
            <v>30837055.270000003</v>
          </cell>
        </row>
        <row r="17">
          <cell r="A17" t="str">
            <v>GBA Balances</v>
          </cell>
          <cell r="B17">
            <v>6486957.9000000004</v>
          </cell>
          <cell r="C17">
            <v>1191195.51</v>
          </cell>
          <cell r="D17">
            <v>230167.73</v>
          </cell>
          <cell r="E17">
            <v>9808085.1799999997</v>
          </cell>
          <cell r="F17">
            <v>2783580.08</v>
          </cell>
          <cell r="G17">
            <v>1058752.1299999999</v>
          </cell>
          <cell r="H17">
            <v>5945538.0099999998</v>
          </cell>
          <cell r="I17">
            <v>2233939.7999999998</v>
          </cell>
          <cell r="J17">
            <v>47342.04</v>
          </cell>
          <cell r="K17">
            <v>988191.66</v>
          </cell>
          <cell r="L17">
            <v>30773750.039999999</v>
          </cell>
        </row>
        <row r="19">
          <cell r="A19" t="str">
            <v>Variance</v>
          </cell>
          <cell r="B19">
            <v>-116678.89999999944</v>
          </cell>
          <cell r="C19">
            <v>-38519.550000000047</v>
          </cell>
          <cell r="D19">
            <v>0</v>
          </cell>
          <cell r="E19">
            <v>0</v>
          </cell>
          <cell r="F19">
            <v>218968.81000000006</v>
          </cell>
          <cell r="G19">
            <v>1.4000000001396984</v>
          </cell>
          <cell r="H19">
            <v>0</v>
          </cell>
          <cell r="I19">
            <v>0</v>
          </cell>
          <cell r="J19">
            <v>0</v>
          </cell>
          <cell r="K19">
            <v>-466.53000000002794</v>
          </cell>
          <cell r="L19">
            <v>63305.230000004172</v>
          </cell>
        </row>
      </sheetData>
      <sheetData sheetId="30" refreshError="1">
        <row r="4">
          <cell r="A4" t="str">
            <v>Accumulated Depreciation:</v>
          </cell>
          <cell r="D4">
            <v>65920</v>
          </cell>
          <cell r="F4">
            <v>60925</v>
          </cell>
          <cell r="G4">
            <v>70905</v>
          </cell>
          <cell r="H4">
            <v>90910</v>
          </cell>
        </row>
        <row r="5">
          <cell r="A5" t="str">
            <v>February</v>
          </cell>
          <cell r="B5">
            <v>52930</v>
          </cell>
          <cell r="C5">
            <v>52935</v>
          </cell>
          <cell r="D5">
            <v>60920</v>
          </cell>
          <cell r="E5">
            <v>54935</v>
          </cell>
          <cell r="F5">
            <v>54925</v>
          </cell>
          <cell r="G5">
            <v>60905</v>
          </cell>
          <cell r="H5">
            <v>65910</v>
          </cell>
          <cell r="I5">
            <v>90915</v>
          </cell>
          <cell r="J5">
            <v>90900</v>
          </cell>
        </row>
        <row r="6">
          <cell r="B6" t="str">
            <v>Trucks</v>
          </cell>
          <cell r="C6" t="str">
            <v>Landfill PE</v>
          </cell>
          <cell r="D6" t="str">
            <v>Support Trucks</v>
          </cell>
          <cell r="E6" t="str">
            <v xml:space="preserve">Containers </v>
          </cell>
          <cell r="F6" t="str">
            <v>M&amp;E</v>
          </cell>
          <cell r="G6" t="str">
            <v>OfficeEquip</v>
          </cell>
          <cell r="H6" t="str">
            <v>Building</v>
          </cell>
          <cell r="I6" t="str">
            <v>Leashold Improv</v>
          </cell>
          <cell r="J6" t="str">
            <v>Autos</v>
          </cell>
          <cell r="K6" t="str">
            <v>Land</v>
          </cell>
          <cell r="L6" t="str">
            <v>Total Accumulated</v>
          </cell>
        </row>
        <row r="7">
          <cell r="A7" t="str">
            <v>Description/A/C</v>
          </cell>
          <cell r="B7" t="str">
            <v>121XX</v>
          </cell>
          <cell r="C7" t="str">
            <v>122XX</v>
          </cell>
          <cell r="D7" t="str">
            <v>123XX</v>
          </cell>
          <cell r="E7" t="str">
            <v>124XX</v>
          </cell>
          <cell r="F7" t="str">
            <v>125XX</v>
          </cell>
          <cell r="G7" t="str">
            <v>126XX</v>
          </cell>
          <cell r="H7" t="str">
            <v>127XX</v>
          </cell>
          <cell r="I7" t="str">
            <v>128XX</v>
          </cell>
          <cell r="J7" t="str">
            <v>129XX</v>
          </cell>
          <cell r="K7">
            <v>13250</v>
          </cell>
          <cell r="L7" t="str">
            <v>Depreciation</v>
          </cell>
        </row>
        <row r="9">
          <cell r="A9" t="str">
            <v>GL Beginning Bal</v>
          </cell>
          <cell r="B9">
            <v>-4345139.9400000004</v>
          </cell>
          <cell r="C9">
            <v>-631095.49999999988</v>
          </cell>
          <cell r="D9">
            <v>-197525.75999999998</v>
          </cell>
          <cell r="E9">
            <v>-6570378.0800000001</v>
          </cell>
          <cell r="F9">
            <v>-2358947.5299999998</v>
          </cell>
          <cell r="G9">
            <v>-645903.84000000008</v>
          </cell>
          <cell r="H9">
            <v>-2171023.04</v>
          </cell>
          <cell r="I9">
            <v>-726384.56</v>
          </cell>
          <cell r="J9">
            <v>-36395.379999999997</v>
          </cell>
          <cell r="K9">
            <v>-466.76</v>
          </cell>
          <cell r="L9">
            <v>-17683260.390000001</v>
          </cell>
        </row>
        <row r="11">
          <cell r="A11" t="str">
            <v>Additions:</v>
          </cell>
          <cell r="B11">
            <v>-65915.709999999992</v>
          </cell>
          <cell r="C11">
            <v>-22490.11</v>
          </cell>
          <cell r="D11">
            <v>-2297.98</v>
          </cell>
          <cell r="E11">
            <v>-89579.91</v>
          </cell>
          <cell r="F11">
            <v>-55942.879999999997</v>
          </cell>
          <cell r="G11">
            <v>-29722.478000000003</v>
          </cell>
          <cell r="H11">
            <v>-41958.92</v>
          </cell>
          <cell r="I11">
            <v>-20345.439999999999</v>
          </cell>
          <cell r="J11">
            <v>-729.78</v>
          </cell>
          <cell r="L11">
            <v>-328983.20799999998</v>
          </cell>
        </row>
        <row r="13">
          <cell r="B13">
            <v>5502.79</v>
          </cell>
          <cell r="C13">
            <v>-5502.79</v>
          </cell>
        </row>
        <row r="14">
          <cell r="A14" t="str">
            <v>Accruals:</v>
          </cell>
        </row>
        <row r="16">
          <cell r="A16" t="str">
            <v>Deletions:</v>
          </cell>
        </row>
        <row r="18">
          <cell r="A18" t="str">
            <v>Adjusted GL Bal:</v>
          </cell>
          <cell r="B18">
            <v>-4405552.8600000003</v>
          </cell>
          <cell r="C18">
            <v>-659088.39999999991</v>
          </cell>
          <cell r="D18">
            <v>-199823.74</v>
          </cell>
          <cell r="E18">
            <v>-6659957.9900000002</v>
          </cell>
          <cell r="F18">
            <v>-2414890.4099999997</v>
          </cell>
          <cell r="G18">
            <v>-675626.31800000009</v>
          </cell>
          <cell r="H18">
            <v>-2212981.96</v>
          </cell>
          <cell r="I18">
            <v>-746730</v>
          </cell>
          <cell r="J18">
            <v>-37125.159999999996</v>
          </cell>
          <cell r="K18">
            <v>0</v>
          </cell>
          <cell r="L18">
            <v>-18011776.838</v>
          </cell>
        </row>
        <row r="20">
          <cell r="A20" t="str">
            <v>GBA Balances</v>
          </cell>
          <cell r="B20">
            <v>-4438805.79</v>
          </cell>
          <cell r="C20">
            <v>-659088.4</v>
          </cell>
          <cell r="D20">
            <v>-199823.74</v>
          </cell>
          <cell r="E20">
            <v>-6659957.9900000002</v>
          </cell>
          <cell r="F20">
            <v>-2243545.98</v>
          </cell>
          <cell r="G20">
            <v>-675626.34</v>
          </cell>
          <cell r="H20">
            <v>-2212981.96</v>
          </cell>
          <cell r="I20">
            <v>-746730</v>
          </cell>
          <cell r="J20">
            <v>-37125.160000000003</v>
          </cell>
          <cell r="K20">
            <v>-466.76</v>
          </cell>
          <cell r="L20">
            <v>-17874152.120000005</v>
          </cell>
        </row>
        <row r="22">
          <cell r="A22" t="str">
            <v>Variance</v>
          </cell>
          <cell r="B22">
            <v>33252.929999999702</v>
          </cell>
          <cell r="C22">
            <v>0</v>
          </cell>
          <cell r="D22">
            <v>0</v>
          </cell>
          <cell r="E22">
            <v>0</v>
          </cell>
          <cell r="F22">
            <v>-171344.4299999997</v>
          </cell>
          <cell r="G22">
            <v>2.199999988079071E-2</v>
          </cell>
          <cell r="H22">
            <v>0</v>
          </cell>
          <cell r="I22">
            <v>0</v>
          </cell>
          <cell r="J22">
            <v>0</v>
          </cell>
          <cell r="K22">
            <v>466.76</v>
          </cell>
          <cell r="L22">
            <v>-137624.71799999475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>
        <row r="1">
          <cell r="A1" t="str">
            <v>CWRS</v>
          </cell>
        </row>
        <row r="2">
          <cell r="A2" t="str">
            <v>COPMPST AND OTHER SALES</v>
          </cell>
        </row>
        <row r="3">
          <cell r="A3" t="str">
            <v>SALES &amp; USE TAX</v>
          </cell>
        </row>
        <row r="5">
          <cell r="C5" t="str">
            <v>TAXABLE</v>
          </cell>
          <cell r="D5" t="str">
            <v>NONTAXABLE</v>
          </cell>
          <cell r="E5" t="str">
            <v>TOTAL</v>
          </cell>
        </row>
        <row r="7">
          <cell r="A7" t="str">
            <v>OCT 1999:</v>
          </cell>
        </row>
        <row r="8">
          <cell r="A8" t="str">
            <v>T/S SALES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CASH SALES</v>
          </cell>
          <cell r="E9">
            <v>0</v>
          </cell>
        </row>
        <row r="10">
          <cell r="A10" t="str">
            <v>CHARGE SALES</v>
          </cell>
          <cell r="E10">
            <v>0</v>
          </cell>
        </row>
        <row r="11">
          <cell r="A11" t="str">
            <v>RECYCLING SALES</v>
          </cell>
          <cell r="E11">
            <v>0</v>
          </cell>
        </row>
        <row r="12">
          <cell r="A12" t="str">
            <v>OTHER SALES:</v>
          </cell>
        </row>
        <row r="13">
          <cell r="A13" t="str">
            <v xml:space="preserve"> WASTE CARTS</v>
          </cell>
          <cell r="C13">
            <v>645</v>
          </cell>
          <cell r="E13">
            <v>645</v>
          </cell>
        </row>
        <row r="14">
          <cell r="A14" t="str">
            <v xml:space="preserve"> MISC T/S</v>
          </cell>
          <cell r="C14">
            <v>0</v>
          </cell>
          <cell r="E14">
            <v>0</v>
          </cell>
        </row>
        <row r="16">
          <cell r="B16" t="str">
            <v>TOTAL</v>
          </cell>
          <cell r="C16">
            <v>645</v>
          </cell>
          <cell r="D16">
            <v>0</v>
          </cell>
          <cell r="E16">
            <v>645</v>
          </cell>
        </row>
        <row r="18">
          <cell r="A18" t="str">
            <v>NOV 1999:</v>
          </cell>
        </row>
        <row r="19">
          <cell r="A19" t="str">
            <v>T/S SALES</v>
          </cell>
          <cell r="E19">
            <v>0</v>
          </cell>
        </row>
        <row r="20">
          <cell r="A20" t="str">
            <v>CASH SALES</v>
          </cell>
          <cell r="E20">
            <v>0</v>
          </cell>
        </row>
        <row r="21">
          <cell r="A21" t="str">
            <v>CHARGE SALES</v>
          </cell>
          <cell r="E21">
            <v>0</v>
          </cell>
        </row>
        <row r="22">
          <cell r="A22" t="str">
            <v>RECYCLING SALES</v>
          </cell>
          <cell r="E22">
            <v>0</v>
          </cell>
        </row>
        <row r="23">
          <cell r="A23" t="str">
            <v>OTHER SALES:</v>
          </cell>
        </row>
        <row r="24">
          <cell r="A24" t="str">
            <v xml:space="preserve"> WASTE CARTS</v>
          </cell>
          <cell r="C24">
            <v>0</v>
          </cell>
          <cell r="E24">
            <v>0</v>
          </cell>
        </row>
        <row r="25">
          <cell r="A25" t="str">
            <v xml:space="preserve"> MISC T/S</v>
          </cell>
          <cell r="C25">
            <v>0</v>
          </cell>
          <cell r="E25">
            <v>0</v>
          </cell>
        </row>
        <row r="27">
          <cell r="B27" t="str">
            <v>TOTAL</v>
          </cell>
          <cell r="C27">
            <v>0</v>
          </cell>
          <cell r="D27">
            <v>0</v>
          </cell>
          <cell r="E27">
            <v>0</v>
          </cell>
        </row>
        <row r="29">
          <cell r="A29" t="str">
            <v>DEC 1999:</v>
          </cell>
        </row>
        <row r="30">
          <cell r="A30" t="str">
            <v>T/S SALES</v>
          </cell>
          <cell r="E30">
            <v>0</v>
          </cell>
        </row>
        <row r="31">
          <cell r="A31" t="str">
            <v>CASH SALES</v>
          </cell>
          <cell r="E31">
            <v>0</v>
          </cell>
        </row>
        <row r="32">
          <cell r="A32" t="str">
            <v>CHARGE SALES</v>
          </cell>
          <cell r="E32">
            <v>0</v>
          </cell>
        </row>
        <row r="33">
          <cell r="A33" t="str">
            <v>RECYCLING SALES</v>
          </cell>
          <cell r="E33">
            <v>0</v>
          </cell>
        </row>
        <row r="34">
          <cell r="A34" t="str">
            <v>OTHER SALES:</v>
          </cell>
        </row>
        <row r="35">
          <cell r="A35" t="str">
            <v xml:space="preserve"> WASTE CARTS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MISC T/S</v>
          </cell>
          <cell r="C36">
            <v>0</v>
          </cell>
          <cell r="D36">
            <v>0</v>
          </cell>
          <cell r="E36">
            <v>0</v>
          </cell>
        </row>
        <row r="38">
          <cell r="B38" t="str">
            <v>TOTAL</v>
          </cell>
          <cell r="C38">
            <v>0</v>
          </cell>
          <cell r="D38">
            <v>0</v>
          </cell>
          <cell r="E38">
            <v>0</v>
          </cell>
        </row>
        <row r="40">
          <cell r="A40" t="str">
            <v>QUARTER TOTAL - 12/31/99:</v>
          </cell>
        </row>
        <row r="41">
          <cell r="A41" t="str">
            <v>T/S SALES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CASH SALES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CHARGE SALES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RECYCLING SALES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OTHER SALES:</v>
          </cell>
          <cell r="C45">
            <v>0</v>
          </cell>
          <cell r="D45">
            <v>0</v>
          </cell>
        </row>
        <row r="46">
          <cell r="A46" t="str">
            <v xml:space="preserve"> WASTE CARTS</v>
          </cell>
          <cell r="C46">
            <v>645</v>
          </cell>
          <cell r="D46">
            <v>0</v>
          </cell>
          <cell r="E46">
            <v>645</v>
          </cell>
        </row>
        <row r="47">
          <cell r="A47" t="str">
            <v xml:space="preserve"> MISC T/S</v>
          </cell>
          <cell r="C47">
            <v>0</v>
          </cell>
          <cell r="D47">
            <v>0</v>
          </cell>
          <cell r="E47">
            <v>0</v>
          </cell>
        </row>
        <row r="49">
          <cell r="B49" t="str">
            <v>TOTAL</v>
          </cell>
          <cell r="C49">
            <v>645</v>
          </cell>
          <cell r="D49">
            <v>0</v>
          </cell>
          <cell r="E49">
            <v>645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Inputs"/>
      <sheetName val="AllocationMethods"/>
      <sheetName val="Gen'l Info"/>
      <sheetName val="AccrualExpense"/>
      <sheetName val="AccrualRevenue"/>
      <sheetName val="TypeSUMM"/>
      <sheetName val="ServiceSUMM"/>
      <sheetName val="SUMM"/>
      <sheetName val="Rev Summary"/>
      <sheetName val="Dir_Costs"/>
      <sheetName val="G and A Costs"/>
      <sheetName val="Itemize"/>
      <sheetName val="Cust_Count1"/>
      <sheetName val="Cust_Count2"/>
      <sheetName val="DropBoxPullsbyType"/>
      <sheetName val="Rev_Breakdown"/>
      <sheetName val="Truck Hours"/>
      <sheetName val="NoDB_TkHr"/>
      <sheetName val="Labor Hours"/>
      <sheetName val="NoDB_LbrHr"/>
      <sheetName val="Container Breakdown"/>
      <sheetName val="Cart Breakdown"/>
      <sheetName val="Gross Yardage Worksheet"/>
      <sheetName val="RecycleContainerYds"/>
      <sheetName val="CartYardage"/>
      <sheetName val="TonnageAllocation"/>
      <sheetName val="ContainerTonsAllocation"/>
      <sheetName val="CanCartTonsAllocate"/>
      <sheetName val="TONWKSHT"/>
      <sheetName val="TONWKSHT_DropBox"/>
      <sheetName val="PrintInstructions"/>
      <sheetName val="grphResiCust"/>
      <sheetName val="grhpMFcancarts"/>
      <sheetName val="grphCMcancarts"/>
      <sheetName val="grphJuris1ResiCrt"/>
      <sheetName val="grphJuris2ResiCrt"/>
      <sheetName val="grphJuris3ResiCrt"/>
      <sheetName val="grphJuris4ResiCrt"/>
      <sheetName val="Juris5ResiCrt"/>
      <sheetName val="Juris1MFcancarts"/>
      <sheetName val="Juris2MFcancarts"/>
      <sheetName val="Juris3MFcancarts"/>
      <sheetName val="Juris4MFcancarts"/>
      <sheetName val="Juris5MFcancarts"/>
      <sheetName val="Juris1CMcarts"/>
      <sheetName val="Juris2CMcarts"/>
      <sheetName val="Juris3CMcarts"/>
      <sheetName val="Juris4CMcarts"/>
      <sheetName val="Juris5CMcarts"/>
      <sheetName val="grphCollect_TkHr"/>
      <sheetName val="grphRecycleRevPerCust"/>
      <sheetName val="grphDirCst per TkHr"/>
      <sheetName val="grphCompareDirCostPerTrkHr "/>
      <sheetName val="grphG_A CostperTkHr"/>
      <sheetName val="grphDBxDirCst per Pull"/>
      <sheetName val="grphDBxTkHrs per Pull"/>
      <sheetName val="grphLbr Csts per TkHr"/>
      <sheetName val="Grph AdminSal per TkHr"/>
      <sheetName val="Program data"/>
      <sheetName val="Census Data"/>
      <sheetName val="Financial Data"/>
    </sheetNames>
    <sheetDataSet>
      <sheetData sheetId="0">
        <row r="3">
          <cell r="C3">
            <v>2010</v>
          </cell>
        </row>
        <row r="4">
          <cell r="C4" t="str">
            <v>Clackamas County</v>
          </cell>
        </row>
        <row r="5">
          <cell r="C5" t="str">
            <v>Arrow</v>
          </cell>
        </row>
        <row r="6">
          <cell r="C6" t="str">
            <v>American</v>
          </cell>
        </row>
        <row r="7">
          <cell r="C7" t="str">
            <v>Other</v>
          </cell>
        </row>
        <row r="8">
          <cell r="C8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>
            <v>155</v>
          </cell>
        </row>
        <row r="30">
          <cell r="C30">
            <v>459.2632034958001</v>
          </cell>
          <cell r="D30">
            <v>1119.4009262496004</v>
          </cell>
          <cell r="E30">
            <v>16017.642352085402</v>
          </cell>
          <cell r="F30">
            <v>0</v>
          </cell>
          <cell r="G30">
            <v>0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F60" t="e">
            <v>#REF!</v>
          </cell>
          <cell r="G60" t="e">
            <v>#REF!</v>
          </cell>
        </row>
      </sheetData>
      <sheetData sheetId="13">
        <row r="15">
          <cell r="E15">
            <v>3586.96</v>
          </cell>
        </row>
        <row r="28">
          <cell r="E28">
            <v>5</v>
          </cell>
          <cell r="F28">
            <v>2</v>
          </cell>
          <cell r="G28">
            <v>2125.58</v>
          </cell>
        </row>
        <row r="39">
          <cell r="E39">
            <v>0.02</v>
          </cell>
          <cell r="F39">
            <v>0.05</v>
          </cell>
          <cell r="G39">
            <v>0.93</v>
          </cell>
          <cell r="H39">
            <v>0</v>
          </cell>
          <cell r="I39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L16">
            <v>3586.96</v>
          </cell>
          <cell r="X16">
            <v>0</v>
          </cell>
        </row>
        <row r="33">
          <cell r="L33">
            <v>3476.46</v>
          </cell>
          <cell r="X33">
            <v>546</v>
          </cell>
        </row>
        <row r="51">
          <cell r="L51">
            <v>256944.47999999998</v>
          </cell>
          <cell r="X51">
            <v>126700.08</v>
          </cell>
        </row>
        <row r="68">
          <cell r="L68">
            <v>0</v>
          </cell>
          <cell r="X68">
            <v>0</v>
          </cell>
        </row>
        <row r="85">
          <cell r="L85">
            <v>0</v>
          </cell>
          <cell r="X85">
            <v>0</v>
          </cell>
        </row>
      </sheetData>
      <sheetData sheetId="23"/>
      <sheetData sheetId="24"/>
      <sheetData sheetId="25"/>
      <sheetData sheetId="26"/>
      <sheetData sheetId="27">
        <row r="3">
          <cell r="E3">
            <v>0</v>
          </cell>
        </row>
      </sheetData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"/>
      <sheetName val="Revenue"/>
      <sheetName val="Dir_Costs"/>
      <sheetName val="G and A Costs"/>
      <sheetName val="Itemize"/>
      <sheetName val="Cust_Count1"/>
      <sheetName val="Cust_Count2"/>
      <sheetName val="DropBoxPullsbyType "/>
      <sheetName val="Rev_Breakdown"/>
      <sheetName val="TruckHours"/>
      <sheetName val="NoDB_TkHr"/>
      <sheetName val="LaborHours"/>
      <sheetName val="NoDB_LbrHr"/>
      <sheetName val="Container Breakdown"/>
      <sheetName val="Cart Breakdown"/>
      <sheetName val="Gross Yardage Worksheet"/>
      <sheetName val="Tonnage Allocation "/>
      <sheetName val="TONWKSHT"/>
      <sheetName val="TONWKSHT_DropBox"/>
      <sheetName val="PoundsPerReceptacle"/>
      <sheetName val="PrintInstructions"/>
    </sheetNames>
    <sheetDataSet>
      <sheetData sheetId="0"/>
      <sheetData sheetId="1"/>
      <sheetData sheetId="2"/>
      <sheetData sheetId="3"/>
      <sheetData sheetId="4"/>
      <sheetData sheetId="5" refreshError="1">
        <row r="28">
          <cell r="M28">
            <v>403.64620554239997</v>
          </cell>
          <cell r="N28">
            <v>4560.3873359231993</v>
          </cell>
          <cell r="O28" t="e">
            <v>#REF!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16">
          <cell r="L16">
            <v>7280</v>
          </cell>
        </row>
        <row r="31">
          <cell r="L31">
            <v>3848</v>
          </cell>
        </row>
        <row r="49">
          <cell r="L49">
            <v>249236</v>
          </cell>
        </row>
        <row r="64">
          <cell r="L64">
            <v>0</v>
          </cell>
        </row>
        <row r="82">
          <cell r="L82">
            <v>0</v>
          </cell>
        </row>
        <row r="98">
          <cell r="L98">
            <v>0</v>
          </cell>
        </row>
        <row r="101">
          <cell r="N101">
            <v>260364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ookups"/>
      <sheetName val="Budget Upload"/>
      <sheetName val="Stats"/>
      <sheetName val="RO Rev"/>
      <sheetName val="Labor Analysis"/>
      <sheetName val="Route Rev"/>
      <sheetName val="Commodities"/>
      <sheetName val="Interject_LastPulledValues"/>
      <sheetName val="Commodity Checker"/>
      <sheetName val="Disposal"/>
      <sheetName val="Auto Calcs Help"/>
      <sheetName val="Fuel "/>
      <sheetName val="G&amp;A Salaries"/>
      <sheetName val="Region Alloc"/>
    </sheetNames>
    <sheetDataSet>
      <sheetData sheetId="0">
        <row r="57">
          <cell r="K57" t="str">
            <v>Yes</v>
          </cell>
        </row>
        <row r="58">
          <cell r="K58" t="str">
            <v>No</v>
          </cell>
        </row>
        <row r="82">
          <cell r="I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G Garbage"/>
      <sheetName val=" LG recycle"/>
      <sheetName val="LG Yardwaste"/>
      <sheetName val="LG MF Recycle"/>
      <sheetName val="Proforma"/>
      <sheetName val="matrix"/>
      <sheetName val="COS"/>
      <sheetName val="Price Out-Reg EASTSIDE-Resi"/>
      <sheetName val="Price Out-Comm MSW"/>
      <sheetName val="Price Out-Drop Box"/>
      <sheetName val="Price Out-MF Recycle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89 IS (C)"/>
      <sheetName val="2188 IS"/>
      <sheetName val="Master IS (C)"/>
      <sheetName val="Lewis LOB (C)"/>
      <sheetName val="Joe's LOB (C)"/>
      <sheetName val="Staff Compare (C)"/>
      <sheetName val="Staff Calculations"/>
      <sheetName val="Deprec. Summary (C) Staff"/>
      <sheetName val="Staff Output Summary WAC"/>
      <sheetName val="Deprec. Summary (C)"/>
      <sheetName val="Staff Deprec. Summary (C)"/>
      <sheetName val="Sheet3"/>
      <sheetName val="IDR1_1-GenLedger"/>
      <sheetName val="Restating Adj (C)"/>
      <sheetName val="Pro forma Adj (C)"/>
      <sheetName val="Allocators (C)"/>
      <sheetName val="Rate Sheet"/>
      <sheetName val="Lewis Co. Regulated - Price Out"/>
      <sheetName val="Joe's Regulated - Price Out "/>
      <sheetName val="LG Total"/>
      <sheetName val="LG Lewis"/>
      <sheetName val="LG Lewis MSW"/>
      <sheetName val="LG Lewis Recycling"/>
      <sheetName val="LG Lewis Yard Waste"/>
      <sheetName val="LG Joe's"/>
      <sheetName val="LG Joe's MSW"/>
      <sheetName val="LG Joe's Recycling"/>
      <sheetName val="LG Joe's Yard Waste"/>
      <sheetName val="Interject_LastPulledValues"/>
      <sheetName val="Fuel Log (C)"/>
      <sheetName val="Current Fuel Index"/>
      <sheetName val="2023 Lewis Payroll (C)"/>
      <sheetName val="Manual Adjustment (C)"/>
      <sheetName val="40131 Allocation (C)"/>
      <sheetName val="Disposal Summary (C)"/>
      <sheetName val="2188_BS 8.2022 (C)"/>
      <sheetName val="2189_BS 8.2022 (C)"/>
      <sheetName val="2188_BS 8.2023"/>
      <sheetName val="2189_BS 8.2023"/>
      <sheetName val="2184 Pro Forma-Bale Fee (C)"/>
      <sheetName val="40122 JE Query Other Disp"/>
      <sheetName val="41121 JE Query - Brokerage"/>
      <sheetName val="2188 43001 JE Query"/>
      <sheetName val="70195 - Dues &amp; Subs (C)"/>
      <sheetName val="91010 JE Query"/>
      <sheetName val="Region OH (C)"/>
      <sheetName val="Corp-OH (C)"/>
      <sheetName val="Corp IS-BS"/>
      <sheetName val="Debt"/>
      <sheetName val="Staff Input and Calculation WAC"/>
      <sheetName val="Summary 2188"/>
      <sheetName val="FAR 12.2023"/>
      <sheetName val="Sheet1"/>
      <sheetName val="FAR Dep Summary"/>
      <sheetName val="Bud Capital Input 2024"/>
      <sheetName val="Trucks 2188"/>
      <sheetName val="Containers 2188"/>
      <sheetName val="OTHER EQUIP 2188"/>
      <sheetName val="Trucks 2188 - Original"/>
      <sheetName val="Containers 2188 - Original"/>
      <sheetName val="OTHER EQUIP 2188 - Original"/>
    </sheetNames>
    <sheetDataSet>
      <sheetData sheetId="0"/>
      <sheetData sheetId="1"/>
      <sheetData sheetId="2">
        <row r="1">
          <cell r="B1" t="str">
            <v>City Sanitary, Joe's Refuse, White Pass Garbage G-98</v>
          </cell>
        </row>
        <row r="54">
          <cell r="Q54">
            <v>8193792.2642503465</v>
          </cell>
        </row>
        <row r="365">
          <cell r="Q365">
            <v>7940088.3057220839</v>
          </cell>
        </row>
      </sheetData>
      <sheetData sheetId="3">
        <row r="47">
          <cell r="F47">
            <v>6961195.0660068057</v>
          </cell>
          <cell r="G47">
            <v>1148472.9226742119</v>
          </cell>
          <cell r="H47">
            <v>84124.2755693293</v>
          </cell>
        </row>
        <row r="360">
          <cell r="F360">
            <v>6566459.0755676106</v>
          </cell>
          <cell r="G360">
            <v>1306873.7326886719</v>
          </cell>
          <cell r="H360">
            <v>66755.497465799592</v>
          </cell>
        </row>
        <row r="367">
          <cell r="F367">
            <v>3764326.6839357875</v>
          </cell>
          <cell r="G367">
            <v>286531.39898551954</v>
          </cell>
          <cell r="H367">
            <v>14130.506959357379</v>
          </cell>
        </row>
      </sheetData>
      <sheetData sheetId="4">
        <row r="48">
          <cell r="F48">
            <v>2653006.9245603019</v>
          </cell>
          <cell r="G48">
            <v>417369.13473689771</v>
          </cell>
          <cell r="H48">
            <v>20682.031850816336</v>
          </cell>
        </row>
        <row r="361">
          <cell r="F361">
            <v>2471245.3057808457</v>
          </cell>
          <cell r="G361">
            <v>633028.38381892443</v>
          </cell>
          <cell r="H361">
            <v>19598.957877862944</v>
          </cell>
        </row>
        <row r="368">
          <cell r="F368">
            <v>1139573.2486362185</v>
          </cell>
          <cell r="G368">
            <v>126618.61842657655</v>
          </cell>
          <cell r="H368">
            <v>5012.318134483733</v>
          </cell>
        </row>
      </sheetData>
      <sheetData sheetId="5"/>
      <sheetData sheetId="6"/>
      <sheetData sheetId="7"/>
      <sheetData sheetId="8"/>
      <sheetData sheetId="9">
        <row r="55">
          <cell r="P55">
            <v>4064988.5898806639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0.4</v>
          </cell>
        </row>
        <row r="9">
          <cell r="C9">
            <v>4.1430000000000002E-2</v>
          </cell>
        </row>
        <row r="10">
          <cell r="C10">
            <v>0.21</v>
          </cell>
        </row>
        <row r="11">
          <cell r="C11">
            <v>1.7500000000000002E-2</v>
          </cell>
        </row>
        <row r="12">
          <cell r="C12">
            <v>5.1000000000000004E-3</v>
          </cell>
        </row>
        <row r="13">
          <cell r="C13">
            <v>0</v>
          </cell>
        </row>
        <row r="14">
          <cell r="C14">
            <v>2.7687010492284665E-3</v>
          </cell>
        </row>
        <row r="15">
          <cell r="C15">
            <v>2.5000000000000001E-3</v>
          </cell>
        </row>
      </sheetData>
      <sheetData sheetId="20"/>
      <sheetData sheetId="21"/>
      <sheetData sheetId="22"/>
      <sheetData sheetId="23"/>
      <sheetData sheetId="24">
        <row r="21">
          <cell r="J21">
            <v>3394980.7567437352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R12" t="str">
            <v>Corp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picor"/>
      <sheetName val="Blank Recon"/>
      <sheetName val="Consolidated"/>
      <sheetName val="2140"/>
      <sheetName val="2150"/>
      <sheetName val="2150 Sales Tax"/>
      <sheetName val="2150 Sales Tax(OLD)"/>
      <sheetName val="2160"/>
      <sheetName val="2160 Sales Tax"/>
      <sheetName val="2140 Sales Tax"/>
      <sheetName val="Sales Tax"/>
      <sheetName val="Sales Tax Report"/>
      <sheetName val="Table for Reporting"/>
      <sheetName val="Sales Tax for DOR input"/>
      <sheetName val="Tax Exempt Mthly"/>
      <sheetName val="Interject_LastPulledValues"/>
      <sheetName val="2140_P&amp;L"/>
      <sheetName val="2150_P&amp;L"/>
      <sheetName val="2160_P&amp;L"/>
      <sheetName val="State &amp;Local Tax JE 2020-08"/>
      <sheetName val="Sheet1"/>
    </sheetNames>
    <sheetDataSet>
      <sheetData sheetId="0">
        <row r="8">
          <cell r="J8" t="str">
            <v>ReconBook</v>
          </cell>
        </row>
        <row r="21">
          <cell r="U2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Note"/>
      <sheetName val="ControlPanel"/>
      <sheetName val="PL_ActReview"/>
      <sheetName val="BS_Close"/>
      <sheetName val="PL_ActTranx"/>
      <sheetName val="JE_Review"/>
      <sheetName val="PL_CloseByDay"/>
      <sheetName val="PL_IS200"/>
      <sheetName val="PL_IS210"/>
      <sheetName val="PL_ActByDistrict"/>
      <sheetName val="PL_ProjReview"/>
    </sheetNames>
    <sheetDataSet>
      <sheetData sheetId="0"/>
      <sheetData sheetId="1">
        <row r="2">
          <cell r="X2" t="str">
            <v>P&amp;L Close Report</v>
          </cell>
          <cell r="Z2" t="str">
            <v>Consolidated</v>
          </cell>
        </row>
        <row r="3">
          <cell r="X3" t="str">
            <v>BS Close Report</v>
          </cell>
          <cell r="Z3" t="str">
            <v>Region</v>
          </cell>
        </row>
        <row r="4">
          <cell r="X4" t="str">
            <v>P&amp;L Tranx Report</v>
          </cell>
          <cell r="Z4" t="str">
            <v>District</v>
          </cell>
        </row>
        <row r="5">
          <cell r="X5" t="str">
            <v>P&amp;L Close by Day</v>
          </cell>
          <cell r="Z5" t="str">
            <v>Multiple Districts</v>
          </cell>
        </row>
        <row r="6">
          <cell r="X6" t="str">
            <v>JE Review Report</v>
          </cell>
        </row>
        <row r="7">
          <cell r="X7" t="str">
            <v>IS200 Report</v>
          </cell>
        </row>
        <row r="8">
          <cell r="X8" t="str">
            <v>IS210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O-1"/>
      <sheetName val="O-2"/>
      <sheetName val="O-3"/>
      <sheetName val="O-4"/>
      <sheetName val="O-5"/>
      <sheetName val="O-6"/>
      <sheetName val="O-7"/>
      <sheetName val="O-8"/>
      <sheetName val="O-9"/>
      <sheetName val="O-10"/>
      <sheetName val="O-12"/>
      <sheetName val="O-13"/>
      <sheetName val="O-14"/>
      <sheetName val="O-15"/>
      <sheetName val="O-16"/>
      <sheetName val="O-17"/>
      <sheetName val="O-18"/>
      <sheetName val="O-19"/>
      <sheetName val="O-20"/>
      <sheetName val="O-21"/>
      <sheetName val="O-22"/>
      <sheetName val="O-23"/>
      <sheetName val="O-24"/>
      <sheetName val="O-25"/>
      <sheetName val="O-26"/>
      <sheetName val="R-1"/>
      <sheetName val="R-2"/>
      <sheetName val="R-3"/>
      <sheetName val="R-4"/>
      <sheetName val="R-5"/>
      <sheetName val="R-6"/>
      <sheetName val="R-7"/>
      <sheetName val="R-8"/>
      <sheetName val="R-9"/>
      <sheetName val="I-1"/>
      <sheetName val="I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5 Rsrv-Sch of Depr"/>
      <sheetName val="95 Plt Adj"/>
      <sheetName val="95 Plt-OS Addtns"/>
      <sheetName val="95 Plt-IN Addtns"/>
      <sheetName val="95 Rsrv-Sch of Trns"/>
    </sheetNames>
    <sheetDataSet>
      <sheetData sheetId="0" refreshError="1">
        <row r="9">
          <cell r="B9" t="str">
            <v>PS004</v>
          </cell>
          <cell r="F9">
            <v>10319.08</v>
          </cell>
          <cell r="G9">
            <v>22064.69</v>
          </cell>
          <cell r="H9">
            <v>11311.37</v>
          </cell>
          <cell r="I9">
            <v>196.93</v>
          </cell>
          <cell r="J9">
            <v>1531.42</v>
          </cell>
          <cell r="K9">
            <v>21932.81</v>
          </cell>
          <cell r="L9">
            <v>75524.67</v>
          </cell>
          <cell r="M9">
            <v>6813.42</v>
          </cell>
          <cell r="N9">
            <v>3542.9</v>
          </cell>
          <cell r="O9">
            <v>7057.17</v>
          </cell>
          <cell r="P9">
            <v>40.47</v>
          </cell>
          <cell r="Q9">
            <v>9739.49</v>
          </cell>
          <cell r="R9">
            <v>1537.67</v>
          </cell>
          <cell r="S9">
            <v>12209.28</v>
          </cell>
          <cell r="T9">
            <v>191362.83</v>
          </cell>
          <cell r="U9">
            <v>394891.42</v>
          </cell>
          <cell r="V9">
            <v>29729.06</v>
          </cell>
          <cell r="W9">
            <v>3820.67</v>
          </cell>
          <cell r="X9">
            <v>162541.70000000001</v>
          </cell>
          <cell r="Y9">
            <v>28850.55</v>
          </cell>
          <cell r="Z9">
            <v>8650.58</v>
          </cell>
          <cell r="AA9">
            <v>1703.82</v>
          </cell>
          <cell r="AB9">
            <v>126326.87</v>
          </cell>
          <cell r="AC9">
            <v>8776.26</v>
          </cell>
          <cell r="AD9">
            <v>69003.92</v>
          </cell>
          <cell r="AE9">
            <v>6794.41</v>
          </cell>
          <cell r="AF9">
            <v>205588.97</v>
          </cell>
          <cell r="AG9">
            <v>637.12</v>
          </cell>
          <cell r="AH9">
            <v>6638.71</v>
          </cell>
          <cell r="AI9">
            <v>494.02</v>
          </cell>
          <cell r="AJ9">
            <v>22926.04</v>
          </cell>
          <cell r="AK9">
            <v>1452558.32</v>
          </cell>
        </row>
        <row r="10">
          <cell r="B10" t="str">
            <v>Total</v>
          </cell>
          <cell r="F10">
            <v>10319.08</v>
          </cell>
          <cell r="G10">
            <v>22064.69</v>
          </cell>
          <cell r="H10">
            <v>11311.37</v>
          </cell>
          <cell r="I10">
            <v>196.93</v>
          </cell>
          <cell r="J10">
            <v>1531.42</v>
          </cell>
          <cell r="K10">
            <v>21932.81</v>
          </cell>
          <cell r="L10">
            <v>75524.67</v>
          </cell>
          <cell r="M10">
            <v>6813.42</v>
          </cell>
          <cell r="N10">
            <v>3542.9</v>
          </cell>
          <cell r="O10">
            <v>7057.17</v>
          </cell>
          <cell r="P10">
            <v>40.47</v>
          </cell>
          <cell r="Q10">
            <v>9739.49</v>
          </cell>
          <cell r="R10">
            <v>1537.67</v>
          </cell>
          <cell r="S10">
            <v>12209.28</v>
          </cell>
          <cell r="T10">
            <v>191362.83</v>
          </cell>
          <cell r="U10">
            <v>394891.42</v>
          </cell>
          <cell r="V10">
            <v>29729.06</v>
          </cell>
          <cell r="W10">
            <v>3820.67</v>
          </cell>
          <cell r="X10">
            <v>162541.70000000001</v>
          </cell>
          <cell r="Y10">
            <v>28850.55</v>
          </cell>
          <cell r="Z10">
            <v>8650.58</v>
          </cell>
          <cell r="AA10">
            <v>1703.82</v>
          </cell>
          <cell r="AB10">
            <v>126326.87</v>
          </cell>
          <cell r="AC10">
            <v>8776.26</v>
          </cell>
          <cell r="AD10">
            <v>69003.92</v>
          </cell>
          <cell r="AE10">
            <v>6794.41</v>
          </cell>
          <cell r="AF10">
            <v>205588.97</v>
          </cell>
          <cell r="AG10">
            <v>637.12</v>
          </cell>
          <cell r="AH10">
            <v>6638.71</v>
          </cell>
          <cell r="AI10">
            <v>494.02</v>
          </cell>
          <cell r="AJ10">
            <v>22926.04</v>
          </cell>
          <cell r="AK10">
            <v>1452558.32</v>
          </cell>
        </row>
        <row r="13">
          <cell r="B13" t="str">
            <v>PS004</v>
          </cell>
          <cell r="F13">
            <v>10319.08</v>
          </cell>
          <cell r="G13">
            <v>22064.69</v>
          </cell>
          <cell r="H13">
            <v>11311.37</v>
          </cell>
          <cell r="I13">
            <v>196.93</v>
          </cell>
          <cell r="J13">
            <v>1531.42</v>
          </cell>
          <cell r="K13">
            <v>21434.45</v>
          </cell>
          <cell r="L13">
            <v>76116.41</v>
          </cell>
          <cell r="M13">
            <v>5634.51</v>
          </cell>
          <cell r="N13">
            <v>3513.54</v>
          </cell>
          <cell r="O13">
            <v>7057.17</v>
          </cell>
          <cell r="P13">
            <v>0</v>
          </cell>
          <cell r="Q13">
            <v>9735.2000000000007</v>
          </cell>
          <cell r="R13">
            <v>1537.67</v>
          </cell>
          <cell r="S13">
            <v>3560.27</v>
          </cell>
          <cell r="T13">
            <v>184250.22</v>
          </cell>
          <cell r="U13">
            <v>390862.82</v>
          </cell>
          <cell r="V13">
            <v>30133.47</v>
          </cell>
          <cell r="W13">
            <v>3820.67</v>
          </cell>
          <cell r="X13">
            <v>161888.84</v>
          </cell>
          <cell r="Y13">
            <v>28626.26</v>
          </cell>
          <cell r="Z13">
            <v>8669.19</v>
          </cell>
          <cell r="AA13">
            <v>1703.82</v>
          </cell>
          <cell r="AB13">
            <v>126935.18</v>
          </cell>
          <cell r="AC13">
            <v>9008.2000000000007</v>
          </cell>
          <cell r="AD13">
            <v>69650.039999999994</v>
          </cell>
          <cell r="AE13">
            <v>6778.4</v>
          </cell>
          <cell r="AF13">
            <v>209480.68</v>
          </cell>
          <cell r="AG13">
            <v>648.66</v>
          </cell>
          <cell r="AH13">
            <v>6927.1</v>
          </cell>
          <cell r="AI13">
            <v>494.02</v>
          </cell>
          <cell r="AJ13">
            <v>23104.58</v>
          </cell>
          <cell r="AK13">
            <v>1436994.8599999999</v>
          </cell>
        </row>
        <row r="14">
          <cell r="B14" t="str">
            <v>Total</v>
          </cell>
          <cell r="F14">
            <v>10319.08</v>
          </cell>
          <cell r="G14">
            <v>22064.69</v>
          </cell>
          <cell r="H14">
            <v>11311.37</v>
          </cell>
          <cell r="I14">
            <v>196.93</v>
          </cell>
          <cell r="J14">
            <v>1531.42</v>
          </cell>
          <cell r="K14">
            <v>21434.45</v>
          </cell>
          <cell r="L14">
            <v>76116.41</v>
          </cell>
          <cell r="M14">
            <v>5634.51</v>
          </cell>
          <cell r="N14">
            <v>3513.54</v>
          </cell>
          <cell r="O14">
            <v>7057.17</v>
          </cell>
          <cell r="P14">
            <v>0</v>
          </cell>
          <cell r="Q14">
            <v>9735.2000000000007</v>
          </cell>
          <cell r="R14">
            <v>1537.67</v>
          </cell>
          <cell r="S14">
            <v>3560.27</v>
          </cell>
          <cell r="T14">
            <v>184250.22</v>
          </cell>
          <cell r="U14">
            <v>390862.82</v>
          </cell>
          <cell r="V14">
            <v>30133.47</v>
          </cell>
          <cell r="W14">
            <v>3820.67</v>
          </cell>
          <cell r="X14">
            <v>161888.84</v>
          </cell>
          <cell r="Y14">
            <v>28626.26</v>
          </cell>
          <cell r="Z14">
            <v>8669.19</v>
          </cell>
          <cell r="AA14">
            <v>1703.82</v>
          </cell>
          <cell r="AB14">
            <v>126935.18</v>
          </cell>
          <cell r="AC14">
            <v>9008.2000000000007</v>
          </cell>
          <cell r="AD14">
            <v>69650.039999999994</v>
          </cell>
          <cell r="AE14">
            <v>6778.4</v>
          </cell>
          <cell r="AF14">
            <v>209480.68</v>
          </cell>
          <cell r="AG14">
            <v>648.66</v>
          </cell>
          <cell r="AH14">
            <v>6927.1</v>
          </cell>
          <cell r="AI14">
            <v>494.02</v>
          </cell>
          <cell r="AJ14">
            <v>23104.58</v>
          </cell>
          <cell r="AK14">
            <v>1436994.8599999999</v>
          </cell>
        </row>
        <row r="17">
          <cell r="B17" t="str">
            <v>PS004</v>
          </cell>
          <cell r="F17">
            <v>10319.08</v>
          </cell>
          <cell r="G17">
            <v>22064.69</v>
          </cell>
          <cell r="H17">
            <v>11311.37</v>
          </cell>
          <cell r="I17">
            <v>196.93</v>
          </cell>
          <cell r="J17">
            <v>1531.42</v>
          </cell>
          <cell r="K17">
            <v>21434.45</v>
          </cell>
          <cell r="L17">
            <v>76116.41</v>
          </cell>
          <cell r="M17">
            <v>5634.51</v>
          </cell>
          <cell r="N17">
            <v>3513.54</v>
          </cell>
          <cell r="O17">
            <v>7057.17</v>
          </cell>
          <cell r="P17">
            <v>0</v>
          </cell>
          <cell r="Q17">
            <v>9735.2000000000007</v>
          </cell>
          <cell r="R17">
            <v>1537.67</v>
          </cell>
          <cell r="S17">
            <v>3560.27</v>
          </cell>
          <cell r="T17">
            <v>184250.22</v>
          </cell>
          <cell r="U17">
            <v>390862.82</v>
          </cell>
          <cell r="V17">
            <v>30133.47</v>
          </cell>
          <cell r="W17">
            <v>3820.67</v>
          </cell>
          <cell r="X17">
            <v>161888.84</v>
          </cell>
          <cell r="Y17">
            <v>28626.26</v>
          </cell>
          <cell r="Z17">
            <v>8669.19</v>
          </cell>
          <cell r="AA17">
            <v>1703.82</v>
          </cell>
          <cell r="AB17">
            <v>126935.18</v>
          </cell>
          <cell r="AC17">
            <v>9008.2000000000007</v>
          </cell>
          <cell r="AD17">
            <v>69650.039999999994</v>
          </cell>
          <cell r="AE17">
            <v>6778.4</v>
          </cell>
          <cell r="AF17">
            <v>209480.68</v>
          </cell>
          <cell r="AG17">
            <v>648.66</v>
          </cell>
          <cell r="AH17">
            <v>6927.1</v>
          </cell>
          <cell r="AI17">
            <v>494.02</v>
          </cell>
          <cell r="AJ17">
            <v>23104.58</v>
          </cell>
          <cell r="AK17">
            <v>1436994.8599999999</v>
          </cell>
        </row>
        <row r="18">
          <cell r="B18" t="str">
            <v>Total</v>
          </cell>
          <cell r="F18">
            <v>10319.08</v>
          </cell>
          <cell r="G18">
            <v>22064.69</v>
          </cell>
          <cell r="H18">
            <v>11311.37</v>
          </cell>
          <cell r="I18">
            <v>196.93</v>
          </cell>
          <cell r="J18">
            <v>1531.42</v>
          </cell>
          <cell r="K18">
            <v>21434.45</v>
          </cell>
          <cell r="L18">
            <v>76116.41</v>
          </cell>
          <cell r="M18">
            <v>5634.51</v>
          </cell>
          <cell r="N18">
            <v>3513.54</v>
          </cell>
          <cell r="O18">
            <v>7057.17</v>
          </cell>
          <cell r="P18">
            <v>0</v>
          </cell>
          <cell r="Q18">
            <v>9735.2000000000007</v>
          </cell>
          <cell r="R18">
            <v>1537.67</v>
          </cell>
          <cell r="S18">
            <v>3560.27</v>
          </cell>
          <cell r="T18">
            <v>184250.22</v>
          </cell>
          <cell r="U18">
            <v>390862.82</v>
          </cell>
          <cell r="V18">
            <v>30133.47</v>
          </cell>
          <cell r="W18">
            <v>3820.67</v>
          </cell>
          <cell r="X18">
            <v>161888.84</v>
          </cell>
          <cell r="Y18">
            <v>28626.26</v>
          </cell>
          <cell r="Z18">
            <v>8669.19</v>
          </cell>
          <cell r="AA18">
            <v>1703.82</v>
          </cell>
          <cell r="AB18">
            <v>126935.18</v>
          </cell>
          <cell r="AC18">
            <v>9008.2000000000007</v>
          </cell>
          <cell r="AD18">
            <v>69650.039999999994</v>
          </cell>
          <cell r="AE18">
            <v>6778.4</v>
          </cell>
          <cell r="AF18">
            <v>209480.68</v>
          </cell>
          <cell r="AG18">
            <v>648.66</v>
          </cell>
          <cell r="AH18">
            <v>6927.1</v>
          </cell>
          <cell r="AI18">
            <v>494.02</v>
          </cell>
          <cell r="AJ18">
            <v>23104.58</v>
          </cell>
          <cell r="AK18">
            <v>1436994.8599999999</v>
          </cell>
        </row>
        <row r="21">
          <cell r="B21" t="str">
            <v>PS004</v>
          </cell>
          <cell r="F21">
            <v>10192.99</v>
          </cell>
          <cell r="G21">
            <v>22064.69</v>
          </cell>
          <cell r="H21">
            <v>11311.37</v>
          </cell>
          <cell r="I21">
            <v>196.93</v>
          </cell>
          <cell r="J21">
            <v>1545.31</v>
          </cell>
          <cell r="K21">
            <v>21548.19</v>
          </cell>
          <cell r="L21">
            <v>76116.41</v>
          </cell>
          <cell r="M21">
            <v>5636.17</v>
          </cell>
          <cell r="N21">
            <v>3513.54</v>
          </cell>
          <cell r="O21">
            <v>7057.17</v>
          </cell>
          <cell r="P21">
            <v>0</v>
          </cell>
          <cell r="Q21">
            <v>9735.2000000000007</v>
          </cell>
          <cell r="R21">
            <v>1537.67</v>
          </cell>
          <cell r="S21">
            <v>3560.27</v>
          </cell>
          <cell r="T21">
            <v>184267.48</v>
          </cell>
          <cell r="U21">
            <v>390676.64</v>
          </cell>
          <cell r="V21">
            <v>30133.47</v>
          </cell>
          <cell r="W21">
            <v>3820.67</v>
          </cell>
          <cell r="X21">
            <v>162121.35</v>
          </cell>
          <cell r="Y21">
            <v>28626.26</v>
          </cell>
          <cell r="Z21">
            <v>8669.19</v>
          </cell>
          <cell r="AA21">
            <v>1703.82</v>
          </cell>
          <cell r="AB21">
            <v>126935.18</v>
          </cell>
          <cell r="AC21">
            <v>9008.2000000000007</v>
          </cell>
          <cell r="AD21">
            <v>69650.039999999994</v>
          </cell>
          <cell r="AE21">
            <v>6778.4</v>
          </cell>
          <cell r="AF21">
            <v>209480.68</v>
          </cell>
          <cell r="AG21">
            <v>648.66</v>
          </cell>
          <cell r="AH21">
            <v>6927.1</v>
          </cell>
          <cell r="AI21">
            <v>494.02</v>
          </cell>
          <cell r="AJ21">
            <v>23104.58</v>
          </cell>
          <cell r="AK21">
            <v>1437061.65</v>
          </cell>
        </row>
        <row r="22">
          <cell r="B22" t="str">
            <v>Total</v>
          </cell>
          <cell r="F22">
            <v>10192.99</v>
          </cell>
          <cell r="G22">
            <v>22064.69</v>
          </cell>
          <cell r="H22">
            <v>11311.37</v>
          </cell>
          <cell r="I22">
            <v>196.93</v>
          </cell>
          <cell r="J22">
            <v>1545.31</v>
          </cell>
          <cell r="K22">
            <v>21548.19</v>
          </cell>
          <cell r="L22">
            <v>76116.41</v>
          </cell>
          <cell r="M22">
            <v>5636.17</v>
          </cell>
          <cell r="N22">
            <v>3513.54</v>
          </cell>
          <cell r="O22">
            <v>7057.17</v>
          </cell>
          <cell r="P22">
            <v>0</v>
          </cell>
          <cell r="Q22">
            <v>9735.2000000000007</v>
          </cell>
          <cell r="R22">
            <v>1537.67</v>
          </cell>
          <cell r="S22">
            <v>3560.27</v>
          </cell>
          <cell r="T22">
            <v>184267.48</v>
          </cell>
          <cell r="U22">
            <v>390676.64</v>
          </cell>
          <cell r="V22">
            <v>30133.47</v>
          </cell>
          <cell r="W22">
            <v>3820.67</v>
          </cell>
          <cell r="X22">
            <v>162121.35</v>
          </cell>
          <cell r="Y22">
            <v>28626.26</v>
          </cell>
          <cell r="Z22">
            <v>8669.19</v>
          </cell>
          <cell r="AA22">
            <v>1703.82</v>
          </cell>
          <cell r="AB22">
            <v>126935.18</v>
          </cell>
          <cell r="AC22">
            <v>9008.2000000000007</v>
          </cell>
          <cell r="AD22">
            <v>69650.039999999994</v>
          </cell>
          <cell r="AE22">
            <v>6778.4</v>
          </cell>
          <cell r="AF22">
            <v>209480.68</v>
          </cell>
          <cell r="AG22">
            <v>648.66</v>
          </cell>
          <cell r="AH22">
            <v>6927.1</v>
          </cell>
          <cell r="AI22">
            <v>494.02</v>
          </cell>
          <cell r="AJ22">
            <v>23104.58</v>
          </cell>
          <cell r="AK22">
            <v>1437061.65</v>
          </cell>
        </row>
        <row r="25">
          <cell r="B25" t="str">
            <v>PS004</v>
          </cell>
          <cell r="F25">
            <v>10066.91</v>
          </cell>
          <cell r="G25">
            <v>22064.69</v>
          </cell>
          <cell r="H25">
            <v>11311.37</v>
          </cell>
          <cell r="I25">
            <v>196.93</v>
          </cell>
          <cell r="J25">
            <v>1559.2</v>
          </cell>
          <cell r="K25">
            <v>21273.77</v>
          </cell>
          <cell r="L25">
            <v>76162.95</v>
          </cell>
          <cell r="M25">
            <v>5628.69</v>
          </cell>
          <cell r="N25">
            <v>3513.54</v>
          </cell>
          <cell r="O25">
            <v>7057.17</v>
          </cell>
          <cell r="P25">
            <v>0</v>
          </cell>
          <cell r="Q25">
            <v>9746.8700000000008</v>
          </cell>
          <cell r="R25">
            <v>1562.54</v>
          </cell>
          <cell r="S25">
            <v>3560.27</v>
          </cell>
          <cell r="T25">
            <v>184951.67999999999</v>
          </cell>
          <cell r="U25">
            <v>390531.85</v>
          </cell>
          <cell r="V25">
            <v>29929.85</v>
          </cell>
          <cell r="W25">
            <v>3820.67</v>
          </cell>
          <cell r="X25">
            <v>160606.51</v>
          </cell>
          <cell r="Y25">
            <v>28626.26</v>
          </cell>
          <cell r="Z25">
            <v>8669.19</v>
          </cell>
          <cell r="AA25">
            <v>1703.82</v>
          </cell>
          <cell r="AB25">
            <v>126935.18</v>
          </cell>
          <cell r="AC25">
            <v>9008.2000000000007</v>
          </cell>
          <cell r="AD25">
            <v>69650.039999999994</v>
          </cell>
          <cell r="AE25">
            <v>6778.4</v>
          </cell>
          <cell r="AF25">
            <v>209480.68</v>
          </cell>
          <cell r="AG25">
            <v>648.66</v>
          </cell>
          <cell r="AH25">
            <v>6927.1</v>
          </cell>
          <cell r="AI25">
            <v>494.02</v>
          </cell>
          <cell r="AJ25">
            <v>23104.58</v>
          </cell>
          <cell r="AK25">
            <v>1435571.5899999999</v>
          </cell>
        </row>
        <row r="26">
          <cell r="B26" t="str">
            <v>P2328</v>
          </cell>
          <cell r="X26">
            <v>293.94</v>
          </cell>
          <cell r="Z26">
            <v>41.77</v>
          </cell>
          <cell r="AB26">
            <v>501.92</v>
          </cell>
          <cell r="AD26">
            <v>408.61</v>
          </cell>
          <cell r="AF26">
            <v>1796.59</v>
          </cell>
          <cell r="AH26">
            <v>256.16000000000003</v>
          </cell>
          <cell r="AJ26">
            <v>239.61</v>
          </cell>
          <cell r="AK26">
            <v>3538.6</v>
          </cell>
        </row>
        <row r="27">
          <cell r="B27" t="str">
            <v>Total</v>
          </cell>
          <cell r="F27">
            <v>10066.91</v>
          </cell>
          <cell r="G27">
            <v>22064.69</v>
          </cell>
          <cell r="H27">
            <v>11311.37</v>
          </cell>
          <cell r="I27">
            <v>196.93</v>
          </cell>
          <cell r="J27">
            <v>1559.2</v>
          </cell>
          <cell r="K27">
            <v>21273.77</v>
          </cell>
          <cell r="L27">
            <v>76162.95</v>
          </cell>
          <cell r="M27">
            <v>5628.69</v>
          </cell>
          <cell r="N27">
            <v>3513.54</v>
          </cell>
          <cell r="O27">
            <v>7057.17</v>
          </cell>
          <cell r="P27">
            <v>0</v>
          </cell>
          <cell r="Q27">
            <v>9746.8700000000008</v>
          </cell>
          <cell r="R27">
            <v>1562.54</v>
          </cell>
          <cell r="S27">
            <v>3560.27</v>
          </cell>
          <cell r="T27">
            <v>184951.67999999999</v>
          </cell>
          <cell r="U27">
            <v>390531.85</v>
          </cell>
          <cell r="V27">
            <v>29929.85</v>
          </cell>
          <cell r="W27">
            <v>3820.67</v>
          </cell>
          <cell r="X27">
            <v>160900.45000000001</v>
          </cell>
          <cell r="Y27">
            <v>28626.26</v>
          </cell>
          <cell r="Z27">
            <v>8710.9600000000009</v>
          </cell>
          <cell r="AA27">
            <v>1703.82</v>
          </cell>
          <cell r="AB27">
            <v>127437.09999999999</v>
          </cell>
          <cell r="AC27">
            <v>9008.2000000000007</v>
          </cell>
          <cell r="AD27">
            <v>70058.649999999994</v>
          </cell>
          <cell r="AE27">
            <v>6778.4</v>
          </cell>
          <cell r="AF27">
            <v>211277.27</v>
          </cell>
          <cell r="AG27">
            <v>648.66</v>
          </cell>
          <cell r="AH27">
            <v>7183.26</v>
          </cell>
          <cell r="AI27">
            <v>494.02</v>
          </cell>
          <cell r="AJ27">
            <v>23344.190000000002</v>
          </cell>
          <cell r="AK27">
            <v>1439110.19</v>
          </cell>
        </row>
        <row r="30">
          <cell r="B30" t="str">
            <v>PS004</v>
          </cell>
          <cell r="F30">
            <v>8657.3700000000008</v>
          </cell>
          <cell r="G30">
            <v>21908.67</v>
          </cell>
          <cell r="H30">
            <v>11311.37</v>
          </cell>
          <cell r="I30">
            <v>196.93</v>
          </cell>
          <cell r="J30">
            <v>1559.2</v>
          </cell>
          <cell r="K30">
            <v>20882.47</v>
          </cell>
          <cell r="L30">
            <v>76212.759999999995</v>
          </cell>
          <cell r="M30">
            <v>5622</v>
          </cell>
          <cell r="N30">
            <v>3513.54</v>
          </cell>
          <cell r="O30">
            <v>7057.17</v>
          </cell>
          <cell r="P30">
            <v>0</v>
          </cell>
          <cell r="Q30">
            <v>9758.5300000000007</v>
          </cell>
          <cell r="R30">
            <v>1587.42</v>
          </cell>
          <cell r="S30">
            <v>3560.27</v>
          </cell>
          <cell r="T30">
            <v>185622.41</v>
          </cell>
          <cell r="U30">
            <v>390432.18</v>
          </cell>
          <cell r="V30">
            <v>29726.23</v>
          </cell>
          <cell r="W30">
            <v>3820.67</v>
          </cell>
          <cell r="X30">
            <v>158875.38</v>
          </cell>
          <cell r="Y30">
            <v>28626.26</v>
          </cell>
          <cell r="Z30">
            <v>8678.23</v>
          </cell>
          <cell r="AA30">
            <v>1703.82</v>
          </cell>
          <cell r="AB30">
            <v>127003.49</v>
          </cell>
          <cell r="AC30">
            <v>9008.2000000000007</v>
          </cell>
          <cell r="AD30">
            <v>69677.75</v>
          </cell>
          <cell r="AE30">
            <v>6778.4</v>
          </cell>
          <cell r="AF30">
            <v>209686.18</v>
          </cell>
          <cell r="AG30">
            <v>648.66</v>
          </cell>
          <cell r="AH30">
            <v>6935.59</v>
          </cell>
          <cell r="AI30">
            <v>494.02</v>
          </cell>
          <cell r="AJ30">
            <v>23117.119999999999</v>
          </cell>
          <cell r="AK30">
            <v>1432662.29</v>
          </cell>
        </row>
        <row r="31">
          <cell r="B31" t="str">
            <v>P2002</v>
          </cell>
          <cell r="Q31">
            <v>2965</v>
          </cell>
          <cell r="AK31">
            <v>2965</v>
          </cell>
        </row>
        <row r="32">
          <cell r="B32" t="str">
            <v>Total</v>
          </cell>
          <cell r="F32">
            <v>8657.3700000000008</v>
          </cell>
          <cell r="G32">
            <v>21908.67</v>
          </cell>
          <cell r="H32">
            <v>11311.37</v>
          </cell>
          <cell r="I32">
            <v>196.93</v>
          </cell>
          <cell r="J32">
            <v>1559.2</v>
          </cell>
          <cell r="K32">
            <v>20882.47</v>
          </cell>
          <cell r="L32">
            <v>76212.759999999995</v>
          </cell>
          <cell r="M32">
            <v>5622</v>
          </cell>
          <cell r="N32">
            <v>3513.54</v>
          </cell>
          <cell r="O32">
            <v>7057.17</v>
          </cell>
          <cell r="P32">
            <v>0</v>
          </cell>
          <cell r="Q32">
            <v>12723.53</v>
          </cell>
          <cell r="R32">
            <v>1587.42</v>
          </cell>
          <cell r="S32">
            <v>3560.27</v>
          </cell>
          <cell r="T32">
            <v>185622.41</v>
          </cell>
          <cell r="U32">
            <v>390432.18</v>
          </cell>
          <cell r="V32">
            <v>29726.23</v>
          </cell>
          <cell r="W32">
            <v>3820.67</v>
          </cell>
          <cell r="X32">
            <v>158875.38</v>
          </cell>
          <cell r="Y32">
            <v>28626.26</v>
          </cell>
          <cell r="Z32">
            <v>8678.23</v>
          </cell>
          <cell r="AA32">
            <v>1703.82</v>
          </cell>
          <cell r="AB32">
            <v>127003.49</v>
          </cell>
          <cell r="AC32">
            <v>9008.2000000000007</v>
          </cell>
          <cell r="AD32">
            <v>69677.75</v>
          </cell>
          <cell r="AE32">
            <v>6778.4</v>
          </cell>
          <cell r="AF32">
            <v>209686.18</v>
          </cell>
          <cell r="AG32">
            <v>648.66</v>
          </cell>
          <cell r="AH32">
            <v>6935.59</v>
          </cell>
          <cell r="AI32">
            <v>494.02</v>
          </cell>
          <cell r="AJ32">
            <v>23117.119999999999</v>
          </cell>
          <cell r="AK32">
            <v>1435627.29</v>
          </cell>
        </row>
        <row r="35">
          <cell r="B35" t="str">
            <v>PS004</v>
          </cell>
          <cell r="F35">
            <v>7247.83</v>
          </cell>
          <cell r="G35">
            <v>21752.65</v>
          </cell>
          <cell r="H35">
            <v>11311.37</v>
          </cell>
          <cell r="I35">
            <v>196.93</v>
          </cell>
          <cell r="J35">
            <v>1559.2</v>
          </cell>
          <cell r="K35">
            <v>20902.53</v>
          </cell>
          <cell r="L35">
            <v>76232.45</v>
          </cell>
          <cell r="M35">
            <v>5601.95</v>
          </cell>
          <cell r="N35">
            <v>3513.54</v>
          </cell>
          <cell r="O35">
            <v>7057.17</v>
          </cell>
          <cell r="P35">
            <v>0</v>
          </cell>
          <cell r="Q35">
            <v>9464.25</v>
          </cell>
          <cell r="R35">
            <v>1595.56</v>
          </cell>
          <cell r="S35">
            <v>3560.27</v>
          </cell>
          <cell r="T35">
            <v>185733.45</v>
          </cell>
          <cell r="U35">
            <v>390284.47</v>
          </cell>
          <cell r="V35">
            <v>29726.23</v>
          </cell>
          <cell r="W35">
            <v>3820.67</v>
          </cell>
          <cell r="X35">
            <v>158274.32999999999</v>
          </cell>
          <cell r="Y35">
            <v>28626.26</v>
          </cell>
          <cell r="Z35">
            <v>8692.1299999999992</v>
          </cell>
          <cell r="AA35">
            <v>1583.08</v>
          </cell>
          <cell r="AB35">
            <v>127243.68</v>
          </cell>
          <cell r="AC35">
            <v>9231.75</v>
          </cell>
          <cell r="AD35">
            <v>69539.83</v>
          </cell>
          <cell r="AE35">
            <v>6642.87</v>
          </cell>
          <cell r="AF35">
            <v>210176.1</v>
          </cell>
          <cell r="AG35">
            <v>623.54</v>
          </cell>
          <cell r="AH35">
            <v>6972.03</v>
          </cell>
          <cell r="AI35">
            <v>494.02</v>
          </cell>
          <cell r="AJ35">
            <v>23118.54</v>
          </cell>
          <cell r="AK35">
            <v>1430778.6800000004</v>
          </cell>
        </row>
        <row r="36">
          <cell r="B36" t="str">
            <v>Total</v>
          </cell>
          <cell r="F36">
            <v>7247.83</v>
          </cell>
          <cell r="G36">
            <v>21752.65</v>
          </cell>
          <cell r="H36">
            <v>11311.37</v>
          </cell>
          <cell r="I36">
            <v>196.93</v>
          </cell>
          <cell r="J36">
            <v>1559.2</v>
          </cell>
          <cell r="K36">
            <v>20902.53</v>
          </cell>
          <cell r="L36">
            <v>76232.45</v>
          </cell>
          <cell r="M36">
            <v>5601.95</v>
          </cell>
          <cell r="N36">
            <v>3513.54</v>
          </cell>
          <cell r="O36">
            <v>7057.17</v>
          </cell>
          <cell r="P36">
            <v>0</v>
          </cell>
          <cell r="Q36">
            <v>9464.25</v>
          </cell>
          <cell r="R36">
            <v>1595.56</v>
          </cell>
          <cell r="S36">
            <v>3560.27</v>
          </cell>
          <cell r="T36">
            <v>185733.45</v>
          </cell>
          <cell r="U36">
            <v>390284.47</v>
          </cell>
          <cell r="V36">
            <v>29726.23</v>
          </cell>
          <cell r="W36">
            <v>3820.67</v>
          </cell>
          <cell r="X36">
            <v>158274.32999999999</v>
          </cell>
          <cell r="Y36">
            <v>28626.26</v>
          </cell>
          <cell r="Z36">
            <v>8692.1299999999992</v>
          </cell>
          <cell r="AA36">
            <v>1583.08</v>
          </cell>
          <cell r="AB36">
            <v>127243.68</v>
          </cell>
          <cell r="AC36">
            <v>9231.75</v>
          </cell>
          <cell r="AD36">
            <v>69539.83</v>
          </cell>
          <cell r="AE36">
            <v>6642.87</v>
          </cell>
          <cell r="AF36">
            <v>210176.1</v>
          </cell>
          <cell r="AG36">
            <v>623.54</v>
          </cell>
          <cell r="AH36">
            <v>6972.03</v>
          </cell>
          <cell r="AI36">
            <v>494.02</v>
          </cell>
          <cell r="AJ36">
            <v>23118.54</v>
          </cell>
          <cell r="AK36">
            <v>1430778.6800000004</v>
          </cell>
        </row>
        <row r="39">
          <cell r="B39" t="str">
            <v>PS004</v>
          </cell>
          <cell r="F39">
            <v>7373.91</v>
          </cell>
          <cell r="G39">
            <v>21670.75</v>
          </cell>
          <cell r="H39">
            <v>9755.56</v>
          </cell>
          <cell r="I39">
            <v>196.93</v>
          </cell>
          <cell r="J39">
            <v>1559.2</v>
          </cell>
          <cell r="K39">
            <v>20834.810000000001</v>
          </cell>
          <cell r="L39">
            <v>76248.87</v>
          </cell>
          <cell r="M39">
            <v>5579.46</v>
          </cell>
          <cell r="N39">
            <v>3513.54</v>
          </cell>
          <cell r="O39">
            <v>7057.17</v>
          </cell>
          <cell r="P39">
            <v>0</v>
          </cell>
          <cell r="Q39">
            <v>9169.98</v>
          </cell>
          <cell r="R39">
            <v>1603.7</v>
          </cell>
          <cell r="S39">
            <v>3560.27</v>
          </cell>
          <cell r="T39">
            <v>185850.02</v>
          </cell>
          <cell r="U39">
            <v>390277.81</v>
          </cell>
          <cell r="V39">
            <v>29726.23</v>
          </cell>
          <cell r="W39">
            <v>3820.67</v>
          </cell>
          <cell r="X39">
            <v>159057.4</v>
          </cell>
          <cell r="Y39">
            <v>28626.26</v>
          </cell>
          <cell r="Z39">
            <v>8675.09</v>
          </cell>
          <cell r="AA39">
            <v>1462.33</v>
          </cell>
          <cell r="AB39">
            <v>127200.23</v>
          </cell>
          <cell r="AC39">
            <v>9455.2999999999993</v>
          </cell>
          <cell r="AD39">
            <v>69372.36</v>
          </cell>
          <cell r="AE39">
            <v>6507.35</v>
          </cell>
          <cell r="AF39">
            <v>210389.28</v>
          </cell>
          <cell r="AG39">
            <v>598.42999999999995</v>
          </cell>
          <cell r="AH39">
            <v>6999.97</v>
          </cell>
          <cell r="AI39">
            <v>494.02</v>
          </cell>
          <cell r="AJ39">
            <v>23107.41</v>
          </cell>
          <cell r="AK39">
            <v>1429744.31</v>
          </cell>
        </row>
        <row r="40">
          <cell r="B40" t="str">
            <v>P2364</v>
          </cell>
          <cell r="X40">
            <v>2451.19</v>
          </cell>
          <cell r="Z40">
            <v>241.08</v>
          </cell>
          <cell r="AB40">
            <v>4022.28</v>
          </cell>
          <cell r="AC40">
            <v>581.57000000000005</v>
          </cell>
          <cell r="AD40">
            <v>1025.8</v>
          </cell>
          <cell r="AE40">
            <v>10.28</v>
          </cell>
          <cell r="AF40">
            <v>9050.14</v>
          </cell>
          <cell r="AG40">
            <v>943.71</v>
          </cell>
          <cell r="AH40">
            <v>1223.57</v>
          </cell>
          <cell r="AJ40">
            <v>624.54999999999995</v>
          </cell>
          <cell r="AK40">
            <v>20174.169999999998</v>
          </cell>
        </row>
        <row r="41">
          <cell r="B41" t="str">
            <v>Total</v>
          </cell>
          <cell r="F41">
            <v>7373.91</v>
          </cell>
          <cell r="G41">
            <v>21670.75</v>
          </cell>
          <cell r="H41">
            <v>9755.56</v>
          </cell>
          <cell r="I41">
            <v>196.93</v>
          </cell>
          <cell r="J41">
            <v>1559.2</v>
          </cell>
          <cell r="K41">
            <v>20834.810000000001</v>
          </cell>
          <cell r="L41">
            <v>76248.87</v>
          </cell>
          <cell r="M41">
            <v>5579.46</v>
          </cell>
          <cell r="N41">
            <v>3513.54</v>
          </cell>
          <cell r="O41">
            <v>7057.17</v>
          </cell>
          <cell r="P41">
            <v>0</v>
          </cell>
          <cell r="Q41">
            <v>9169.98</v>
          </cell>
          <cell r="R41">
            <v>1603.7</v>
          </cell>
          <cell r="S41">
            <v>3560.27</v>
          </cell>
          <cell r="T41">
            <v>185850.02</v>
          </cell>
          <cell r="U41">
            <v>390277.81</v>
          </cell>
          <cell r="V41">
            <v>29726.23</v>
          </cell>
          <cell r="W41">
            <v>3820.67</v>
          </cell>
          <cell r="X41">
            <v>161508.59</v>
          </cell>
          <cell r="Y41">
            <v>28626.26</v>
          </cell>
          <cell r="Z41">
            <v>8916.17</v>
          </cell>
          <cell r="AA41">
            <v>1462.33</v>
          </cell>
          <cell r="AB41">
            <v>131222.51</v>
          </cell>
          <cell r="AC41">
            <v>10036.869999999999</v>
          </cell>
          <cell r="AD41">
            <v>70398.16</v>
          </cell>
          <cell r="AE41">
            <v>6517.63</v>
          </cell>
          <cell r="AF41">
            <v>219439.41999999998</v>
          </cell>
          <cell r="AG41">
            <v>1542.1399999999999</v>
          </cell>
          <cell r="AH41">
            <v>8223.5400000000009</v>
          </cell>
          <cell r="AI41">
            <v>494.02</v>
          </cell>
          <cell r="AJ41">
            <v>23731.96</v>
          </cell>
          <cell r="AK41">
            <v>1449918.48</v>
          </cell>
        </row>
        <row r="44">
          <cell r="B44" t="str">
            <v>PS004</v>
          </cell>
          <cell r="F44">
            <v>7300.43</v>
          </cell>
          <cell r="G44">
            <v>22220.91</v>
          </cell>
          <cell r="H44">
            <v>9928.82</v>
          </cell>
          <cell r="I44">
            <v>196.93</v>
          </cell>
          <cell r="J44">
            <v>1559.2</v>
          </cell>
          <cell r="K44">
            <v>20727.04</v>
          </cell>
          <cell r="L44">
            <v>76331.81</v>
          </cell>
          <cell r="M44">
            <v>5579.46</v>
          </cell>
          <cell r="N44">
            <v>3513.54</v>
          </cell>
          <cell r="O44">
            <v>7057.17</v>
          </cell>
          <cell r="P44">
            <v>0</v>
          </cell>
          <cell r="Q44">
            <v>4917.1899999999996</v>
          </cell>
          <cell r="R44">
            <v>1606.67</v>
          </cell>
          <cell r="S44">
            <v>3560.27</v>
          </cell>
          <cell r="T44">
            <v>185864.05</v>
          </cell>
          <cell r="U44">
            <v>378735.29</v>
          </cell>
          <cell r="V44">
            <v>29726.23</v>
          </cell>
          <cell r="W44">
            <v>3820.67</v>
          </cell>
          <cell r="X44">
            <v>160864.93</v>
          </cell>
          <cell r="Y44">
            <v>28626.26</v>
          </cell>
          <cell r="Z44">
            <v>8684.7800000000007</v>
          </cell>
          <cell r="AA44">
            <v>1462.33</v>
          </cell>
          <cell r="AB44">
            <v>127400.55</v>
          </cell>
          <cell r="AC44">
            <v>9528</v>
          </cell>
          <cell r="AD44">
            <v>69468.41</v>
          </cell>
          <cell r="AE44">
            <v>6508.2</v>
          </cell>
          <cell r="AF44">
            <v>211475.01</v>
          </cell>
          <cell r="AG44">
            <v>686.45</v>
          </cell>
          <cell r="AH44">
            <v>7120.21</v>
          </cell>
          <cell r="AI44">
            <v>494.02</v>
          </cell>
          <cell r="AJ44">
            <v>23183.96</v>
          </cell>
          <cell r="AK44">
            <v>1418148.7899999998</v>
          </cell>
        </row>
        <row r="45">
          <cell r="B45" t="str">
            <v>P2321</v>
          </cell>
          <cell r="X45">
            <v>152.24</v>
          </cell>
          <cell r="Z45">
            <v>2915.73</v>
          </cell>
          <cell r="AB45">
            <v>804.48</v>
          </cell>
          <cell r="AC45">
            <v>426.31</v>
          </cell>
          <cell r="AD45">
            <v>4119.21</v>
          </cell>
          <cell r="AE45">
            <v>28.69</v>
          </cell>
          <cell r="AF45">
            <v>592.15</v>
          </cell>
          <cell r="AG45">
            <v>103.12</v>
          </cell>
          <cell r="AH45">
            <v>353.5</v>
          </cell>
          <cell r="AJ45">
            <v>350.78</v>
          </cell>
          <cell r="AK45">
            <v>9846.2100000000028</v>
          </cell>
        </row>
        <row r="46">
          <cell r="B46" t="str">
            <v>Total</v>
          </cell>
          <cell r="F46">
            <v>7300.43</v>
          </cell>
          <cell r="G46">
            <v>22220.91</v>
          </cell>
          <cell r="H46">
            <v>9928.82</v>
          </cell>
          <cell r="I46">
            <v>196.93</v>
          </cell>
          <cell r="J46">
            <v>1559.2</v>
          </cell>
          <cell r="K46">
            <v>20727.04</v>
          </cell>
          <cell r="L46">
            <v>76331.81</v>
          </cell>
          <cell r="M46">
            <v>5579.46</v>
          </cell>
          <cell r="N46">
            <v>3513.54</v>
          </cell>
          <cell r="O46">
            <v>7057.17</v>
          </cell>
          <cell r="P46">
            <v>0</v>
          </cell>
          <cell r="Q46">
            <v>4917.1899999999996</v>
          </cell>
          <cell r="R46">
            <v>1606.67</v>
          </cell>
          <cell r="S46">
            <v>3560.27</v>
          </cell>
          <cell r="T46">
            <v>185864.05</v>
          </cell>
          <cell r="U46">
            <v>378735.29</v>
          </cell>
          <cell r="V46">
            <v>29726.23</v>
          </cell>
          <cell r="W46">
            <v>3820.67</v>
          </cell>
          <cell r="X46">
            <v>161017.16999999998</v>
          </cell>
          <cell r="Y46">
            <v>28626.26</v>
          </cell>
          <cell r="Z46">
            <v>11600.51</v>
          </cell>
          <cell r="AA46">
            <v>1462.33</v>
          </cell>
          <cell r="AB46">
            <v>128205.03</v>
          </cell>
          <cell r="AC46">
            <v>9954.31</v>
          </cell>
          <cell r="AD46">
            <v>73587.62000000001</v>
          </cell>
          <cell r="AE46">
            <v>6536.8899999999994</v>
          </cell>
          <cell r="AF46">
            <v>212067.16</v>
          </cell>
          <cell r="AG46">
            <v>789.57</v>
          </cell>
          <cell r="AH46">
            <v>7473.71</v>
          </cell>
          <cell r="AI46">
            <v>494.02</v>
          </cell>
          <cell r="AJ46">
            <v>23534.739999999998</v>
          </cell>
          <cell r="AK46">
            <v>1427994.9999999998</v>
          </cell>
        </row>
        <row r="49">
          <cell r="B49" t="str">
            <v>PS004</v>
          </cell>
          <cell r="F49">
            <v>7100.86</v>
          </cell>
          <cell r="G49">
            <v>23043.49</v>
          </cell>
          <cell r="H49">
            <v>11657.87</v>
          </cell>
          <cell r="I49">
            <v>196.93</v>
          </cell>
          <cell r="J49">
            <v>1596.62</v>
          </cell>
          <cell r="K49">
            <v>20907.59</v>
          </cell>
          <cell r="L49">
            <v>76712.7</v>
          </cell>
          <cell r="M49">
            <v>5911.06</v>
          </cell>
          <cell r="N49">
            <v>3516.66</v>
          </cell>
          <cell r="O49">
            <v>7057.17</v>
          </cell>
          <cell r="Q49">
            <v>664.41</v>
          </cell>
          <cell r="R49">
            <v>1624.25</v>
          </cell>
          <cell r="S49">
            <v>3560.27</v>
          </cell>
          <cell r="T49">
            <v>186957.43</v>
          </cell>
          <cell r="U49">
            <v>367342.82</v>
          </cell>
          <cell r="V49">
            <v>29726.23</v>
          </cell>
          <cell r="W49">
            <v>3820.67</v>
          </cell>
          <cell r="X49">
            <v>159111.12</v>
          </cell>
          <cell r="Y49">
            <v>28819.17</v>
          </cell>
          <cell r="Z49">
            <v>9001.15</v>
          </cell>
          <cell r="AA49">
            <v>1462.33</v>
          </cell>
          <cell r="AB49">
            <v>127856.43</v>
          </cell>
          <cell r="AC49">
            <v>9671.74</v>
          </cell>
          <cell r="AD49">
            <v>69909.759999999995</v>
          </cell>
          <cell r="AE49">
            <v>6513.84</v>
          </cell>
          <cell r="AF49">
            <v>212739.49</v>
          </cell>
          <cell r="AG49">
            <v>791.66</v>
          </cell>
          <cell r="AH49">
            <v>7269.6</v>
          </cell>
          <cell r="AI49">
            <v>494.02</v>
          </cell>
          <cell r="AJ49">
            <v>23311.59</v>
          </cell>
          <cell r="AK49">
            <v>1408348.9300000002</v>
          </cell>
        </row>
        <row r="51">
          <cell r="B51" t="str">
            <v>Total</v>
          </cell>
          <cell r="F51">
            <v>7100.86</v>
          </cell>
          <cell r="G51">
            <v>23043.49</v>
          </cell>
          <cell r="H51">
            <v>11657.87</v>
          </cell>
          <cell r="I51">
            <v>196.93</v>
          </cell>
          <cell r="J51">
            <v>1596.62</v>
          </cell>
          <cell r="K51">
            <v>20907.59</v>
          </cell>
          <cell r="L51">
            <v>76712.7</v>
          </cell>
          <cell r="M51">
            <v>5911.06</v>
          </cell>
          <cell r="N51">
            <v>3516.66</v>
          </cell>
          <cell r="O51">
            <v>7057.17</v>
          </cell>
          <cell r="P51">
            <v>0</v>
          </cell>
          <cell r="Q51">
            <v>664.41</v>
          </cell>
          <cell r="R51">
            <v>1624.25</v>
          </cell>
          <cell r="S51">
            <v>3560.27</v>
          </cell>
          <cell r="T51">
            <v>186957.43</v>
          </cell>
          <cell r="U51">
            <v>367342.82</v>
          </cell>
          <cell r="V51">
            <v>29726.23</v>
          </cell>
          <cell r="W51">
            <v>3820.67</v>
          </cell>
          <cell r="X51">
            <v>159111.12</v>
          </cell>
          <cell r="Y51">
            <v>28819.17</v>
          </cell>
          <cell r="Z51">
            <v>9001.15</v>
          </cell>
          <cell r="AA51">
            <v>1462.33</v>
          </cell>
          <cell r="AB51">
            <v>127856.43</v>
          </cell>
          <cell r="AC51">
            <v>9671.74</v>
          </cell>
          <cell r="AD51">
            <v>69909.759999999995</v>
          </cell>
          <cell r="AE51">
            <v>6513.84</v>
          </cell>
          <cell r="AF51">
            <v>212739.49</v>
          </cell>
          <cell r="AG51">
            <v>791.66</v>
          </cell>
          <cell r="AH51">
            <v>7269.6</v>
          </cell>
          <cell r="AI51">
            <v>494.02</v>
          </cell>
          <cell r="AJ51">
            <v>23311.59</v>
          </cell>
          <cell r="AK51">
            <v>1408348.9300000002</v>
          </cell>
        </row>
        <row r="53">
          <cell r="B53" t="str">
            <v>PS004</v>
          </cell>
          <cell r="F53">
            <v>6901.29</v>
          </cell>
          <cell r="G53">
            <v>23234.01</v>
          </cell>
          <cell r="H53">
            <v>11657.87</v>
          </cell>
          <cell r="I53">
            <v>196.93</v>
          </cell>
          <cell r="J53">
            <v>1634.03</v>
          </cell>
          <cell r="K53">
            <v>21102.54</v>
          </cell>
          <cell r="L53">
            <v>77010.63</v>
          </cell>
          <cell r="M53">
            <v>6242.67</v>
          </cell>
          <cell r="N53">
            <v>3519.78</v>
          </cell>
          <cell r="O53">
            <v>7057.17</v>
          </cell>
          <cell r="Q53">
            <v>664.41</v>
          </cell>
          <cell r="R53">
            <v>1638.86</v>
          </cell>
          <cell r="S53">
            <v>3560.27</v>
          </cell>
          <cell r="T53">
            <v>188186.87</v>
          </cell>
          <cell r="U53">
            <v>367131.07</v>
          </cell>
          <cell r="V53">
            <v>29726.23</v>
          </cell>
          <cell r="W53">
            <v>3820.67</v>
          </cell>
          <cell r="X53">
            <v>155870.51999999999</v>
          </cell>
          <cell r="Y53">
            <v>29012.080000000002</v>
          </cell>
          <cell r="Z53">
            <v>9296.9</v>
          </cell>
          <cell r="AA53">
            <v>1462.33</v>
          </cell>
          <cell r="AB53">
            <v>127894.42</v>
          </cell>
          <cell r="AC53">
            <v>9744.94</v>
          </cell>
          <cell r="AD53">
            <v>70273.289999999994</v>
          </cell>
          <cell r="AE53">
            <v>6518.62</v>
          </cell>
          <cell r="AF53">
            <v>212913.69</v>
          </cell>
          <cell r="AG53">
            <v>808.84</v>
          </cell>
          <cell r="AH53">
            <v>7304.67</v>
          </cell>
          <cell r="AI53">
            <v>494.02</v>
          </cell>
          <cell r="AJ53">
            <v>23435.74</v>
          </cell>
          <cell r="AK53">
            <v>1408315.3599999999</v>
          </cell>
        </row>
        <row r="54">
          <cell r="B54" t="str">
            <v>P2461</v>
          </cell>
          <cell r="X54">
            <v>5075.8599999999997</v>
          </cell>
          <cell r="Z54">
            <v>107.34</v>
          </cell>
          <cell r="AB54">
            <v>3822.39</v>
          </cell>
          <cell r="AC54">
            <v>8796.85</v>
          </cell>
          <cell r="AD54">
            <v>2862.75</v>
          </cell>
          <cell r="AE54">
            <v>672.21</v>
          </cell>
          <cell r="AF54">
            <v>10587.72</v>
          </cell>
          <cell r="AG54">
            <v>749.61</v>
          </cell>
          <cell r="AH54">
            <v>184.59</v>
          </cell>
          <cell r="AJ54">
            <v>524.01</v>
          </cell>
          <cell r="AK54">
            <v>33383.33</v>
          </cell>
        </row>
        <row r="55">
          <cell r="B55" t="str">
            <v>Total</v>
          </cell>
          <cell r="F55">
            <v>6901.29</v>
          </cell>
          <cell r="G55">
            <v>23234.01</v>
          </cell>
          <cell r="H55">
            <v>11657.87</v>
          </cell>
          <cell r="I55">
            <v>196.93</v>
          </cell>
          <cell r="J55">
            <v>1634.03</v>
          </cell>
          <cell r="K55">
            <v>21102.54</v>
          </cell>
          <cell r="L55">
            <v>77010.63</v>
          </cell>
          <cell r="M55">
            <v>6242.67</v>
          </cell>
          <cell r="N55">
            <v>3519.78</v>
          </cell>
          <cell r="O55">
            <v>7057.17</v>
          </cell>
          <cell r="P55">
            <v>0</v>
          </cell>
          <cell r="Q55">
            <v>664.41</v>
          </cell>
          <cell r="R55">
            <v>1638.86</v>
          </cell>
          <cell r="S55">
            <v>3560.27</v>
          </cell>
          <cell r="T55">
            <v>188186.87</v>
          </cell>
          <cell r="U55">
            <v>367131.07</v>
          </cell>
          <cell r="V55">
            <v>29726.23</v>
          </cell>
          <cell r="W55">
            <v>3820.67</v>
          </cell>
          <cell r="X55">
            <v>160946.37999999998</v>
          </cell>
          <cell r="Y55">
            <v>29012.080000000002</v>
          </cell>
          <cell r="Z55">
            <v>9404.24</v>
          </cell>
          <cell r="AA55">
            <v>1462.33</v>
          </cell>
          <cell r="AB55">
            <v>131716.81</v>
          </cell>
          <cell r="AC55">
            <v>18541.79</v>
          </cell>
          <cell r="AD55">
            <v>73136.039999999994</v>
          </cell>
          <cell r="AE55">
            <v>7190.83</v>
          </cell>
          <cell r="AF55">
            <v>223501.41</v>
          </cell>
          <cell r="AG55">
            <v>1558.45</v>
          </cell>
          <cell r="AH55">
            <v>7489.26</v>
          </cell>
          <cell r="AI55">
            <v>494.02</v>
          </cell>
          <cell r="AJ55">
            <v>23959.75</v>
          </cell>
          <cell r="AK55">
            <v>1441698.69</v>
          </cell>
        </row>
        <row r="57">
          <cell r="B57" t="str">
            <v>PS004</v>
          </cell>
          <cell r="F57">
            <v>6701.73</v>
          </cell>
          <cell r="G57">
            <v>23234.01</v>
          </cell>
          <cell r="H57">
            <v>11681.21</v>
          </cell>
          <cell r="I57">
            <v>196.93</v>
          </cell>
          <cell r="J57">
            <v>1615.33</v>
          </cell>
          <cell r="K57">
            <v>21145.4</v>
          </cell>
          <cell r="L57">
            <v>76970</v>
          </cell>
          <cell r="M57">
            <v>6214.52</v>
          </cell>
          <cell r="N57">
            <v>3527.88</v>
          </cell>
          <cell r="O57">
            <v>7057.17</v>
          </cell>
          <cell r="Q57">
            <v>677.28</v>
          </cell>
          <cell r="R57">
            <v>1638.86</v>
          </cell>
          <cell r="S57">
            <v>3560.27</v>
          </cell>
          <cell r="T57">
            <v>186557.61</v>
          </cell>
          <cell r="U57">
            <v>367044.23</v>
          </cell>
          <cell r="V57">
            <v>29726.23</v>
          </cell>
          <cell r="W57">
            <v>3820.67</v>
          </cell>
          <cell r="X57">
            <v>155717.89000000001</v>
          </cell>
          <cell r="Y57">
            <v>29012.080000000002</v>
          </cell>
          <cell r="Z57">
            <v>9311.18</v>
          </cell>
          <cell r="AA57">
            <v>1462.33</v>
          </cell>
          <cell r="AB57">
            <v>128281.22</v>
          </cell>
          <cell r="AC57">
            <v>10701.11</v>
          </cell>
          <cell r="AD57">
            <v>70570.86</v>
          </cell>
          <cell r="AE57">
            <v>6649.91</v>
          </cell>
          <cell r="AF57">
            <v>214454.01</v>
          </cell>
          <cell r="AG57">
            <v>1015.6</v>
          </cell>
          <cell r="AH57">
            <v>7283.2</v>
          </cell>
          <cell r="AI57">
            <v>494.02</v>
          </cell>
          <cell r="AJ57">
            <v>23616.560000000001</v>
          </cell>
          <cell r="AK57">
            <v>1409939.3000000003</v>
          </cell>
        </row>
        <row r="58">
          <cell r="B58" t="str">
            <v>P2359</v>
          </cell>
          <cell r="X58">
            <v>1147.1199999999999</v>
          </cell>
          <cell r="Z58">
            <v>0.15</v>
          </cell>
          <cell r="AB58">
            <v>106.47</v>
          </cell>
          <cell r="AC58">
            <v>335.31</v>
          </cell>
          <cell r="AD58">
            <v>279.87</v>
          </cell>
          <cell r="AF58">
            <v>851.72</v>
          </cell>
          <cell r="AG58">
            <v>17.02</v>
          </cell>
          <cell r="AH58">
            <v>0.76</v>
          </cell>
          <cell r="AJ58">
            <v>214.27</v>
          </cell>
          <cell r="AK58">
            <v>2952.6900000000005</v>
          </cell>
        </row>
        <row r="59">
          <cell r="B59" t="str">
            <v>P2304</v>
          </cell>
          <cell r="X59">
            <v>24427.62</v>
          </cell>
          <cell r="AB59">
            <v>15240.63</v>
          </cell>
          <cell r="AD59">
            <v>1585.67</v>
          </cell>
          <cell r="AF59">
            <v>20057.59</v>
          </cell>
          <cell r="AH59">
            <v>1881.22</v>
          </cell>
          <cell r="AJ59">
            <v>73.239999999999995</v>
          </cell>
          <cell r="AK59">
            <v>63265.969999999994</v>
          </cell>
        </row>
        <row r="60">
          <cell r="B60" t="str">
            <v>Total</v>
          </cell>
          <cell r="F60">
            <v>6701.73</v>
          </cell>
          <cell r="G60">
            <v>23234.01</v>
          </cell>
          <cell r="H60">
            <v>11681.21</v>
          </cell>
          <cell r="I60">
            <v>196.93</v>
          </cell>
          <cell r="J60">
            <v>1615.33</v>
          </cell>
          <cell r="K60">
            <v>21145.4</v>
          </cell>
          <cell r="L60">
            <v>76970</v>
          </cell>
          <cell r="M60">
            <v>6214.52</v>
          </cell>
          <cell r="N60">
            <v>3527.88</v>
          </cell>
          <cell r="O60">
            <v>7057.17</v>
          </cell>
          <cell r="P60">
            <v>0</v>
          </cell>
          <cell r="Q60">
            <v>677.28</v>
          </cell>
          <cell r="R60">
            <v>1638.86</v>
          </cell>
          <cell r="S60">
            <v>3560.27</v>
          </cell>
          <cell r="T60">
            <v>186557.61</v>
          </cell>
          <cell r="U60">
            <v>367044.23</v>
          </cell>
          <cell r="V60">
            <v>29726.23</v>
          </cell>
          <cell r="W60">
            <v>3820.67</v>
          </cell>
          <cell r="X60">
            <v>181292.63</v>
          </cell>
          <cell r="Y60">
            <v>29012.080000000002</v>
          </cell>
          <cell r="Z60">
            <v>9311.33</v>
          </cell>
          <cell r="AA60">
            <v>1462.33</v>
          </cell>
          <cell r="AB60">
            <v>143628.32</v>
          </cell>
          <cell r="AC60">
            <v>11036.42</v>
          </cell>
          <cell r="AD60">
            <v>72436.399999999994</v>
          </cell>
          <cell r="AE60">
            <v>6649.91</v>
          </cell>
          <cell r="AF60">
            <v>235363.32</v>
          </cell>
          <cell r="AG60">
            <v>1032.6200000000001</v>
          </cell>
          <cell r="AH60">
            <v>9165.18</v>
          </cell>
          <cell r="AI60">
            <v>494.02</v>
          </cell>
          <cell r="AJ60">
            <v>23904.070000000003</v>
          </cell>
          <cell r="AK60">
            <v>1476157.9600000002</v>
          </cell>
        </row>
        <row r="63">
          <cell r="B63" t="str">
            <v>P2443</v>
          </cell>
          <cell r="X63">
            <v>2058.77</v>
          </cell>
          <cell r="Z63">
            <v>165.56</v>
          </cell>
          <cell r="AB63">
            <v>1524.91</v>
          </cell>
          <cell r="AD63">
            <v>1445.25</v>
          </cell>
          <cell r="AE63">
            <v>4.12</v>
          </cell>
          <cell r="AF63">
            <v>5476.04</v>
          </cell>
          <cell r="AG63">
            <v>252.93</v>
          </cell>
          <cell r="AH63">
            <v>94.26</v>
          </cell>
          <cell r="AJ63">
            <v>1780.37</v>
          </cell>
          <cell r="AK63">
            <v>12802.21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2058.77</v>
          </cell>
          <cell r="Y64">
            <v>0</v>
          </cell>
          <cell r="Z64">
            <v>165.56</v>
          </cell>
          <cell r="AA64">
            <v>0</v>
          </cell>
          <cell r="AB64">
            <v>1524.91</v>
          </cell>
          <cell r="AC64">
            <v>0</v>
          </cell>
          <cell r="AD64">
            <v>1445.25</v>
          </cell>
          <cell r="AE64">
            <v>4.12</v>
          </cell>
          <cell r="AF64">
            <v>5476.04</v>
          </cell>
          <cell r="AG64">
            <v>252.93</v>
          </cell>
          <cell r="AH64">
            <v>94.26</v>
          </cell>
          <cell r="AI64">
            <v>0</v>
          </cell>
          <cell r="AJ64">
            <v>1780.37</v>
          </cell>
          <cell r="AK64">
            <v>12802.21</v>
          </cell>
        </row>
        <row r="66">
          <cell r="F66">
            <v>102500.56000000001</v>
          </cell>
          <cell r="G66">
            <v>267387.94</v>
          </cell>
          <cell r="H66">
            <v>133860.91999999998</v>
          </cell>
          <cell r="I66">
            <v>2363.1600000000003</v>
          </cell>
          <cell r="J66">
            <v>18781.550000000003</v>
          </cell>
          <cell r="K66">
            <v>254126.05000000002</v>
          </cell>
          <cell r="L66">
            <v>915756.07000000007</v>
          </cell>
          <cell r="M66">
            <v>70098.42</v>
          </cell>
          <cell r="N66">
            <v>42215.540000000008</v>
          </cell>
          <cell r="O66">
            <v>84686.04</v>
          </cell>
          <cell r="P66">
            <v>40.47</v>
          </cell>
          <cell r="Q66">
            <v>86973.01</v>
          </cell>
          <cell r="R66">
            <v>19008.54</v>
          </cell>
          <cell r="S66">
            <v>51372.249999999993</v>
          </cell>
          <cell r="T66">
            <v>2233854.2699999996</v>
          </cell>
          <cell r="U66">
            <v>4609073.4200000009</v>
          </cell>
          <cell r="V66">
            <v>358142.93</v>
          </cell>
          <cell r="W66">
            <v>45848.039999999986</v>
          </cell>
          <cell r="X66">
            <v>1952425.55</v>
          </cell>
          <cell r="Y66">
            <v>344703.96</v>
          </cell>
          <cell r="Z66">
            <v>109138.43000000001</v>
          </cell>
          <cell r="AA66">
            <v>19117.649999999998</v>
          </cell>
          <cell r="AB66">
            <v>1552970.69</v>
          </cell>
          <cell r="AC66">
            <v>122290.13999999997</v>
          </cell>
          <cell r="AD66">
            <v>848143.50000000012</v>
          </cell>
          <cell r="AE66">
            <v>80742.5</v>
          </cell>
          <cell r="AF66">
            <v>2573757.4000000004</v>
          </cell>
          <cell r="AG66">
            <v>10471.33</v>
          </cell>
          <cell r="AH66">
            <v>88226.440000000017</v>
          </cell>
          <cell r="AI66">
            <v>5928.2400000000016</v>
          </cell>
          <cell r="AJ66">
            <v>282042.11</v>
          </cell>
          <cell r="AK66">
            <v>17286047.120000001</v>
          </cell>
        </row>
        <row r="69">
          <cell r="F69">
            <v>102500.56</v>
          </cell>
          <cell r="G69">
            <v>267387.94</v>
          </cell>
          <cell r="H69">
            <v>133860.92000000001</v>
          </cell>
          <cell r="I69">
            <v>2363.16</v>
          </cell>
          <cell r="J69">
            <v>18781.55</v>
          </cell>
          <cell r="K69">
            <v>254126.05</v>
          </cell>
          <cell r="L69">
            <v>915756.07</v>
          </cell>
          <cell r="M69">
            <v>70098.42</v>
          </cell>
          <cell r="N69">
            <v>42215.54</v>
          </cell>
          <cell r="O69">
            <v>84686.04</v>
          </cell>
          <cell r="P69">
            <v>40.47</v>
          </cell>
          <cell r="Q69">
            <v>86973.01</v>
          </cell>
          <cell r="R69">
            <v>19008.54</v>
          </cell>
          <cell r="S69">
            <v>51372.25</v>
          </cell>
          <cell r="T69">
            <v>2233854.27</v>
          </cell>
          <cell r="U69">
            <v>4609073.42</v>
          </cell>
          <cell r="V69">
            <v>358142.93</v>
          </cell>
          <cell r="W69">
            <v>45848.04</v>
          </cell>
          <cell r="X69">
            <v>1952425.55</v>
          </cell>
          <cell r="Y69">
            <v>344703.96</v>
          </cell>
          <cell r="Z69">
            <v>109138.43</v>
          </cell>
          <cell r="AA69">
            <v>19117.650000000001</v>
          </cell>
          <cell r="AB69">
            <v>1552970.69</v>
          </cell>
          <cell r="AC69">
            <v>122290.14</v>
          </cell>
          <cell r="AD69">
            <v>848143.5</v>
          </cell>
          <cell r="AE69">
            <v>80742.5</v>
          </cell>
          <cell r="AF69">
            <v>2573757.4</v>
          </cell>
          <cell r="AG69">
            <v>10471.33</v>
          </cell>
          <cell r="AH69">
            <v>88226.44</v>
          </cell>
          <cell r="AI69">
            <v>5928.24</v>
          </cell>
          <cell r="AJ69">
            <v>282042.11</v>
          </cell>
          <cell r="AK69">
            <v>17286047.119999997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Data"/>
      <sheetName val="By Division"/>
      <sheetName val="&quot;Invioced&quot;"/>
      <sheetName val="Invoice_Drill"/>
      <sheetName val="PO_Drill"/>
      <sheetName val="District-Division Listing"/>
    </sheetNames>
    <sheetDataSet>
      <sheetData sheetId="0">
        <row r="1">
          <cell r="A1" t="str">
            <v>All</v>
          </cell>
        </row>
        <row r="2">
          <cell r="A2" t="str">
            <v>2008-01</v>
          </cell>
        </row>
        <row r="3">
          <cell r="A3" t="str">
            <v>2008-02</v>
          </cell>
        </row>
        <row r="4">
          <cell r="A4" t="str">
            <v>2008-03</v>
          </cell>
        </row>
        <row r="5">
          <cell r="A5" t="str">
            <v>2008-04</v>
          </cell>
        </row>
        <row r="6">
          <cell r="A6" t="str">
            <v>2008-05</v>
          </cell>
        </row>
        <row r="7">
          <cell r="A7" t="str">
            <v>2008-06</v>
          </cell>
        </row>
        <row r="8">
          <cell r="A8" t="str">
            <v>2008-07</v>
          </cell>
        </row>
        <row r="9">
          <cell r="A9" t="str">
            <v>2008-08</v>
          </cell>
        </row>
        <row r="10">
          <cell r="A10" t="str">
            <v>2008-09</v>
          </cell>
        </row>
        <row r="11">
          <cell r="A11" t="str">
            <v>2008-10</v>
          </cell>
        </row>
        <row r="12">
          <cell r="A12" t="str">
            <v>2008-11</v>
          </cell>
        </row>
        <row r="13">
          <cell r="A13" t="str">
            <v>2008-12</v>
          </cell>
        </row>
      </sheetData>
      <sheetData sheetId="1">
        <row r="3">
          <cell r="E3" t="str">
            <v>Western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320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, IS "/>
      <sheetName val="Vashon BS"/>
      <sheetName val="Vashon IS"/>
      <sheetName val="Consolidated IS"/>
      <sheetName val="Restating Adj"/>
      <sheetName val="Prof Adj"/>
      <sheetName val="Price-out"/>
      <sheetName val="LG-Total Comp"/>
      <sheetName val="LG-Packer Rts"/>
      <sheetName val="LG-RO Rts"/>
      <sheetName val="LG-Recycl"/>
      <sheetName val="DF Schedule"/>
      <sheetName val="Depr-Summary"/>
      <sheetName val="2132 Trks"/>
      <sheetName val="2132 Cont, DB"/>
      <sheetName val="2132 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inderSetup"/>
      <sheetName val="1_Guidelines"/>
      <sheetName val="2_PLTrend"/>
      <sheetName val="3_BudSum"/>
      <sheetName val="4_BudSumByMth"/>
      <sheetName val="5_Capital"/>
      <sheetName val="6_RevenueBridge"/>
      <sheetName val="7_Contracts"/>
      <sheetName val="8_BudSumDetail"/>
      <sheetName val="9_IS210"/>
      <sheetName val="10_BudSumDetailwith$"/>
      <sheetName val="11_BudSum_WO_Ins"/>
      <sheetName val="Region Capital adj."/>
    </sheetNames>
    <sheetDataSet>
      <sheetData sheetId="0">
        <row r="6">
          <cell r="C6" t="str">
            <v>region western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80 IS"/>
      <sheetName val="2182 IS"/>
      <sheetName val="Converted IS"/>
      <sheetName val="Ratios"/>
      <sheetName val="2018 YW Tons"/>
      <sheetName val="2180 Disposal"/>
      <sheetName val="LG Total District"/>
      <sheetName val="LG County Area"/>
      <sheetName val="LG EQR"/>
      <sheetName val="LG Cities"/>
      <sheetName val="LG JLBM"/>
      <sheetName val="40109"/>
      <sheetName val="41129"/>
      <sheetName val="43002"/>
      <sheetName val="Revenue-Cust"/>
      <sheetName val="YW Tons"/>
      <sheetName val="Recycle Tons"/>
      <sheetName val="Revenue Summary"/>
      <sheetName val="Explanations-Instructions"/>
      <sheetName val="Restating Adj"/>
      <sheetName val="Restating Adj Expl"/>
      <sheetName val="Pro forma Adj"/>
      <sheetName val="Recycl Mat, Tons, for 2180"/>
      <sheetName val="To Delete --&gt;"/>
      <sheetName val="Dispos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>
            <v>30836341.217517916</v>
          </cell>
        </row>
        <row r="8">
          <cell r="K8">
            <v>28756984.927165326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 Study Comparison"/>
      <sheetName val="Pivot"/>
      <sheetName val="RO Tons"/>
      <sheetName val="April B Week"/>
      <sheetName val="May A Week"/>
      <sheetName val="All Batches"/>
      <sheetName val="Jan Batches"/>
      <sheetName val="Feb Batches"/>
      <sheetName val="Mar Batches"/>
      <sheetName val="April Batches"/>
      <sheetName val="May Batches"/>
      <sheetName val="Jun Batches"/>
      <sheetName val="Jul Batches"/>
      <sheetName val="Aug Batches"/>
      <sheetName val="Sept Batches"/>
      <sheetName val="Oct Batches"/>
      <sheetName val="Nov Batches"/>
      <sheetName val="Dec Batches"/>
      <sheetName val="Sheet1"/>
    </sheetNames>
    <sheetDataSet>
      <sheetData sheetId="0" refreshError="1"/>
      <sheetData sheetId="1">
        <row r="8">
          <cell r="B8">
            <v>5.32</v>
          </cell>
        </row>
      </sheetData>
      <sheetData sheetId="2">
        <row r="10">
          <cell r="K10">
            <v>1127349.0200000003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Tongass (2)"/>
      <sheetName val="Trial Bal"/>
      <sheetName val="P&amp;L"/>
      <sheetName val="1-HQ"/>
      <sheetName val="2-Arrow"/>
      <sheetName val="3-Tongass"/>
      <sheetName val="4-Nome"/>
      <sheetName val="Sheet1"/>
      <sheetName val="5-DH"/>
      <sheetName val="6-Sitka"/>
      <sheetName val="Form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C5">
            <v>21</v>
          </cell>
          <cell r="D5">
            <v>0</v>
          </cell>
        </row>
        <row r="6">
          <cell r="C6">
            <v>22</v>
          </cell>
          <cell r="D6">
            <v>1</v>
          </cell>
        </row>
        <row r="7">
          <cell r="C7">
            <v>23</v>
          </cell>
          <cell r="D7">
            <v>7.5020204748904473E-2</v>
          </cell>
        </row>
        <row r="8">
          <cell r="C8">
            <v>24</v>
          </cell>
          <cell r="D8">
            <v>0.31294034758102396</v>
          </cell>
        </row>
        <row r="9">
          <cell r="C9">
            <v>25</v>
          </cell>
          <cell r="D9">
            <v>0</v>
          </cell>
        </row>
        <row r="10">
          <cell r="C10">
            <v>26</v>
          </cell>
          <cell r="D10">
            <v>0</v>
          </cell>
        </row>
        <row r="11">
          <cell r="C11">
            <v>27</v>
          </cell>
          <cell r="D11">
            <v>0</v>
          </cell>
        </row>
        <row r="12">
          <cell r="C12">
            <v>31</v>
          </cell>
          <cell r="D12">
            <v>0</v>
          </cell>
        </row>
        <row r="13">
          <cell r="C13">
            <v>32</v>
          </cell>
          <cell r="D13">
            <v>1</v>
          </cell>
        </row>
        <row r="14">
          <cell r="C14">
            <v>33</v>
          </cell>
          <cell r="D14">
            <v>0.21340634279621229</v>
          </cell>
        </row>
        <row r="15">
          <cell r="C15">
            <v>34</v>
          </cell>
          <cell r="D15">
            <v>0.24281150159744413</v>
          </cell>
        </row>
        <row r="16">
          <cell r="C16">
            <v>35</v>
          </cell>
          <cell r="D16">
            <v>0</v>
          </cell>
        </row>
        <row r="17">
          <cell r="C17">
            <v>36</v>
          </cell>
          <cell r="D17">
            <v>5.4823225337620407E-2</v>
          </cell>
        </row>
        <row r="18">
          <cell r="C18">
            <v>37</v>
          </cell>
          <cell r="D18">
            <v>5.4823225337620407E-2</v>
          </cell>
        </row>
        <row r="19">
          <cell r="C19">
            <v>38</v>
          </cell>
          <cell r="D19">
            <v>0.29869592216932311</v>
          </cell>
        </row>
        <row r="20">
          <cell r="C20">
            <v>41</v>
          </cell>
          <cell r="D20">
            <v>0</v>
          </cell>
        </row>
        <row r="21">
          <cell r="C21">
            <v>42</v>
          </cell>
          <cell r="D21">
            <v>1</v>
          </cell>
        </row>
        <row r="22">
          <cell r="C22">
            <v>43</v>
          </cell>
          <cell r="D22">
            <v>0.20038134822662279</v>
          </cell>
        </row>
        <row r="23">
          <cell r="C23">
            <v>44</v>
          </cell>
          <cell r="D23">
            <v>0</v>
          </cell>
        </row>
        <row r="24">
          <cell r="C24">
            <v>45</v>
          </cell>
          <cell r="D24">
            <v>0</v>
          </cell>
        </row>
        <row r="25">
          <cell r="C25">
            <v>46</v>
          </cell>
          <cell r="D25">
            <v>0</v>
          </cell>
        </row>
        <row r="26">
          <cell r="C26">
            <v>47</v>
          </cell>
          <cell r="D26">
            <v>0</v>
          </cell>
        </row>
        <row r="27">
          <cell r="C27">
            <v>51</v>
          </cell>
          <cell r="D27">
            <v>0</v>
          </cell>
        </row>
        <row r="28">
          <cell r="C28">
            <v>52</v>
          </cell>
          <cell r="D28">
            <v>1</v>
          </cell>
        </row>
        <row r="29">
          <cell r="C29">
            <v>53</v>
          </cell>
          <cell r="D29">
            <v>0.15770386408463555</v>
          </cell>
        </row>
        <row r="30">
          <cell r="C30">
            <v>54</v>
          </cell>
          <cell r="D30">
            <v>0</v>
          </cell>
        </row>
        <row r="31">
          <cell r="C31">
            <v>55</v>
          </cell>
          <cell r="D31">
            <v>0</v>
          </cell>
        </row>
        <row r="32">
          <cell r="C32">
            <v>56</v>
          </cell>
          <cell r="D32">
            <v>0</v>
          </cell>
        </row>
        <row r="33">
          <cell r="C33">
            <v>57</v>
          </cell>
          <cell r="D33">
            <v>0</v>
          </cell>
        </row>
        <row r="34">
          <cell r="C34">
            <v>61</v>
          </cell>
          <cell r="D34">
            <v>0</v>
          </cell>
        </row>
        <row r="35">
          <cell r="C35">
            <v>62</v>
          </cell>
          <cell r="D35">
            <v>1</v>
          </cell>
        </row>
        <row r="36">
          <cell r="C36">
            <v>63</v>
          </cell>
          <cell r="D36">
            <v>1</v>
          </cell>
        </row>
        <row r="37">
          <cell r="C37">
            <v>64</v>
          </cell>
          <cell r="D37">
            <v>1</v>
          </cell>
        </row>
        <row r="38">
          <cell r="C38">
            <v>65</v>
          </cell>
          <cell r="D38">
            <v>1</v>
          </cell>
        </row>
        <row r="39">
          <cell r="C39">
            <v>66</v>
          </cell>
          <cell r="D39">
            <v>1</v>
          </cell>
        </row>
        <row r="40">
          <cell r="C40">
            <v>67</v>
          </cell>
          <cell r="D40">
            <v>1</v>
          </cell>
        </row>
        <row r="41">
          <cell r="C41">
            <v>101</v>
          </cell>
          <cell r="D41">
            <v>0</v>
          </cell>
        </row>
        <row r="42">
          <cell r="C42">
            <v>102</v>
          </cell>
          <cell r="D42">
            <v>1</v>
          </cell>
        </row>
        <row r="43">
          <cell r="C43">
            <v>104</v>
          </cell>
          <cell r="D43">
            <v>0.21460283177345807</v>
          </cell>
        </row>
        <row r="44">
          <cell r="C44">
            <v>105</v>
          </cell>
          <cell r="D44">
            <v>0</v>
          </cell>
        </row>
        <row r="45">
          <cell r="C45">
            <v>106</v>
          </cell>
          <cell r="D45">
            <v>6.8897386473817379E-3</v>
          </cell>
        </row>
        <row r="46">
          <cell r="C46">
            <v>107</v>
          </cell>
          <cell r="D46">
            <v>7.2711060215945311E-3</v>
          </cell>
        </row>
        <row r="47">
          <cell r="C47">
            <v>131</v>
          </cell>
          <cell r="D47">
            <v>0.10360377511310681</v>
          </cell>
        </row>
        <row r="48">
          <cell r="C48">
            <v>132</v>
          </cell>
          <cell r="D48">
            <v>7.5020204748904473E-2</v>
          </cell>
        </row>
        <row r="49">
          <cell r="C49">
            <v>133</v>
          </cell>
          <cell r="D49">
            <v>0.21340634279621229</v>
          </cell>
        </row>
        <row r="50">
          <cell r="C50">
            <v>134</v>
          </cell>
          <cell r="D50">
            <v>0.20038134822662279</v>
          </cell>
        </row>
        <row r="51">
          <cell r="C51">
            <v>135</v>
          </cell>
          <cell r="D51">
            <v>0.15770386408463555</v>
          </cell>
        </row>
        <row r="52">
          <cell r="C52">
            <v>136</v>
          </cell>
          <cell r="D52">
            <v>1</v>
          </cell>
        </row>
        <row r="53">
          <cell r="C53">
            <v>191</v>
          </cell>
          <cell r="D53">
            <v>1.5498426720169135E-3</v>
          </cell>
        </row>
        <row r="54">
          <cell r="C54">
            <v>192</v>
          </cell>
          <cell r="D54">
            <v>0.73446358573499293</v>
          </cell>
        </row>
        <row r="55">
          <cell r="C55">
            <v>193</v>
          </cell>
          <cell r="D55">
            <v>0.11204823995690731</v>
          </cell>
        </row>
        <row r="56">
          <cell r="C56">
            <v>194</v>
          </cell>
          <cell r="D56">
            <v>6.5689300537482925E-2</v>
          </cell>
        </row>
        <row r="57">
          <cell r="C57">
            <v>195</v>
          </cell>
          <cell r="D57">
            <v>7.6869731565675642E-2</v>
          </cell>
        </row>
        <row r="58">
          <cell r="C58">
            <v>196</v>
          </cell>
          <cell r="D58">
            <v>1.0929142204941275E-2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Sum"/>
      <sheetName val="Cust Count"/>
      <sheetName val="Disposal"/>
      <sheetName val="Taxes &amp; Fees"/>
      <sheetName val="Ton Alloc"/>
      <sheetName val="2011_IS210 170306"/>
      <sheetName val="Sorted Master"/>
      <sheetName val="EBITDA by Area"/>
      <sheetName val="Vital Metrics"/>
      <sheetName val="Gresham"/>
      <sheetName val="Clackamas Rural"/>
      <sheetName val="Clackamas Dist Rural"/>
      <sheetName val="PDX Arrow"/>
      <sheetName val="All Areas"/>
      <sheetName val="Interject_LastPulledValues"/>
      <sheetName val="Debt"/>
      <sheetName val="Capex"/>
      <sheetName val="3rd Party Disposal-39"/>
      <sheetName val="TRF Disposal-39"/>
      <sheetName val="Interco Disposal-39"/>
      <sheetName val="Rent-43"/>
      <sheetName val="Co Op &amp; Sub-54"/>
      <sheetName val="Advertising-69"/>
      <sheetName val="Dues-78"/>
      <sheetName val="Contributions-70"/>
      <sheetName val="Prof Fees-71"/>
      <sheetName val="Misc Exp-86"/>
      <sheetName val="Travel-87"/>
      <sheetName val="Shop Allocation"/>
      <sheetName val="Mgmt Reclasses"/>
      <sheetName val="Proceeds- 35518"/>
      <sheetName val="Estacada-not used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Z8">
            <v>22770.134694115299</v>
          </cell>
          <cell r="AD8">
            <v>16658.304514730477</v>
          </cell>
        </row>
        <row r="9">
          <cell r="K9">
            <v>78561.19</v>
          </cell>
          <cell r="Z9">
            <v>1372.6699999999998</v>
          </cell>
        </row>
      </sheetData>
      <sheetData sheetId="7"/>
      <sheetData sheetId="8"/>
      <sheetData sheetId="9">
        <row r="12">
          <cell r="E12" t="str">
            <v>Rate Code</v>
          </cell>
          <cell r="F12" t="str">
            <v>Base</v>
          </cell>
          <cell r="G12" t="str">
            <v>Franchise Percent of Total Company</v>
          </cell>
          <cell r="H12" t="str">
            <v>Reverse Mt View Sanitary</v>
          </cell>
          <cell r="I12" t="str">
            <v xml:space="preserve">Adjust In/Out </v>
          </cell>
          <cell r="J12" t="str">
            <v>Same Line Reclass</v>
          </cell>
          <cell r="K12">
            <v>0</v>
          </cell>
          <cell r="L12" t="str">
            <v>Base Allocation</v>
          </cell>
          <cell r="M12" t="str">
            <v>Adjust</v>
          </cell>
          <cell r="N12" t="str">
            <v>Descrip</v>
          </cell>
          <cell r="O12" t="str">
            <v>Res SW Adjusted</v>
          </cell>
          <cell r="P12" t="str">
            <v>Base Allocation</v>
          </cell>
          <cell r="Q12" t="str">
            <v>Adjust</v>
          </cell>
          <cell r="R12" t="str">
            <v>Descrip</v>
          </cell>
          <cell r="S12" t="str">
            <v>FEL SW Adjusted</v>
          </cell>
          <cell r="T12" t="str">
            <v>Base Allocation</v>
          </cell>
          <cell r="U12" t="str">
            <v>Adjust</v>
          </cell>
          <cell r="V12" t="str">
            <v>Descrip</v>
          </cell>
          <cell r="W12" t="str">
            <v>Res Rec Adjusted</v>
          </cell>
          <cell r="X12" t="str">
            <v>Base Allocation</v>
          </cell>
          <cell r="Y12" t="str">
            <v>Adjust</v>
          </cell>
          <cell r="Z12" t="str">
            <v>Descrip</v>
          </cell>
          <cell r="AA12" t="str">
            <v>Com Rec Adjusted</v>
          </cell>
          <cell r="AB12" t="str">
            <v>Base Allocation</v>
          </cell>
          <cell r="AC12" t="str">
            <v>Adjust</v>
          </cell>
          <cell r="AD12" t="str">
            <v>Descrip</v>
          </cell>
          <cell r="AE12" t="str">
            <v>Debris Adjusted</v>
          </cell>
          <cell r="AF12" t="str">
            <v>Base Allocation</v>
          </cell>
          <cell r="AG12" t="str">
            <v>Adjust</v>
          </cell>
          <cell r="AH12" t="str">
            <v>Descrip</v>
          </cell>
          <cell r="AI12" t="str">
            <v>Drop Box Adjusted</v>
          </cell>
        </row>
        <row r="13">
          <cell r="E13">
            <v>18</v>
          </cell>
          <cell r="F13" t="str">
            <v>ACT</v>
          </cell>
          <cell r="G13">
            <v>3.7309466339435216E-2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132534.08000000002</v>
          </cell>
          <cell r="AH13">
            <v>0</v>
          </cell>
          <cell r="AI13">
            <v>132534.08000000002</v>
          </cell>
        </row>
        <row r="14">
          <cell r="E14">
            <v>18</v>
          </cell>
          <cell r="F14" t="str">
            <v>ACT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E15">
            <v>18</v>
          </cell>
          <cell r="F15" t="str">
            <v>ACT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E16">
            <v>18</v>
          </cell>
          <cell r="F16" t="str">
            <v>ACT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E17">
            <v>18</v>
          </cell>
          <cell r="F17" t="str">
            <v>ACT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E18">
            <v>18</v>
          </cell>
          <cell r="F18" t="str">
            <v>ACT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E19">
            <v>18</v>
          </cell>
          <cell r="F19" t="str">
            <v>ACT</v>
          </cell>
          <cell r="G19">
            <v>0.18043182976003175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1853120.12</v>
          </cell>
          <cell r="N19" t="str">
            <v>Res Can</v>
          </cell>
          <cell r="O19">
            <v>1853120.12</v>
          </cell>
          <cell r="P19">
            <v>0</v>
          </cell>
          <cell r="Q19">
            <v>27865.999999999996</v>
          </cell>
          <cell r="R19" t="str">
            <v>Res Cont</v>
          </cell>
          <cell r="S19">
            <v>27865.999999999996</v>
          </cell>
          <cell r="T19">
            <v>0</v>
          </cell>
          <cell r="U19">
            <v>1448.5700000000002</v>
          </cell>
          <cell r="V19" t="str">
            <v>Res Rec Can</v>
          </cell>
          <cell r="W19">
            <v>1448.5700000000002</v>
          </cell>
          <cell r="X19">
            <v>0</v>
          </cell>
          <cell r="Y19">
            <v>537.6</v>
          </cell>
          <cell r="Z19" t="str">
            <v>Comm Rec Can</v>
          </cell>
          <cell r="AA19">
            <v>537.6</v>
          </cell>
          <cell r="AB19">
            <v>0</v>
          </cell>
          <cell r="AC19">
            <v>5464.8999999999987</v>
          </cell>
          <cell r="AD19" t="str">
            <v>Res Can</v>
          </cell>
          <cell r="AE19">
            <v>5464.8999999999987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E20">
            <v>18</v>
          </cell>
          <cell r="F20" t="str">
            <v>ACT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10975.320000000002</v>
          </cell>
          <cell r="AD20" t="str">
            <v>Comm Can</v>
          </cell>
          <cell r="AE20">
            <v>10975.320000000002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E21">
            <v>18</v>
          </cell>
          <cell r="F21" t="str">
            <v>ACT</v>
          </cell>
          <cell r="G21">
            <v>7.9848082741454565E-2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57863.759999999995</v>
          </cell>
          <cell r="N21" t="str">
            <v>Comm Can</v>
          </cell>
          <cell r="O21">
            <v>57863.759999999995</v>
          </cell>
          <cell r="P21">
            <v>0</v>
          </cell>
          <cell r="Q21">
            <v>617570.07999999984</v>
          </cell>
          <cell r="R21" t="str">
            <v>Comm Cont</v>
          </cell>
          <cell r="S21">
            <v>617570.07999999984</v>
          </cell>
          <cell r="T21">
            <v>0</v>
          </cell>
          <cell r="U21">
            <v>0</v>
          </cell>
          <cell r="V21" t="str">
            <v>Res Rec Cont</v>
          </cell>
          <cell r="W21">
            <v>0</v>
          </cell>
          <cell r="X21">
            <v>0</v>
          </cell>
          <cell r="Y21">
            <v>5536.83</v>
          </cell>
          <cell r="Z21" t="str">
            <v>Comm Rec Cont</v>
          </cell>
          <cell r="AA21">
            <v>5536.83</v>
          </cell>
          <cell r="AB21">
            <v>0</v>
          </cell>
          <cell r="AC21">
            <v>1230.4000000000001</v>
          </cell>
          <cell r="AD21" t="str">
            <v>Comm Cont</v>
          </cell>
          <cell r="AE21">
            <v>1230.4000000000001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E22">
            <v>18</v>
          </cell>
          <cell r="F22" t="str">
            <v>ACT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1602.7800000000002</v>
          </cell>
          <cell r="Z22" t="str">
            <v>Food Cont</v>
          </cell>
          <cell r="AA22">
            <v>1602.7800000000002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E23">
            <v>18</v>
          </cell>
          <cell r="F23" t="str">
            <v>ACT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X23">
            <v>0</v>
          </cell>
          <cell r="Y23">
            <v>3007.32</v>
          </cell>
          <cell r="Z23" t="str">
            <v>Food Can</v>
          </cell>
          <cell r="AA23">
            <v>3007.32</v>
          </cell>
          <cell r="AB23">
            <v>0</v>
          </cell>
          <cell r="AE23">
            <v>0</v>
          </cell>
          <cell r="AF23">
            <v>0</v>
          </cell>
          <cell r="AG23">
            <v>0</v>
          </cell>
          <cell r="AI23">
            <v>0</v>
          </cell>
        </row>
        <row r="24">
          <cell r="E24">
            <v>19</v>
          </cell>
          <cell r="F24" t="str">
            <v>ACT</v>
          </cell>
          <cell r="G24">
            <v>1.3062872838081262E-2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S24">
            <v>0</v>
          </cell>
          <cell r="T24">
            <v>0</v>
          </cell>
          <cell r="U24">
            <v>10336.727432729604</v>
          </cell>
          <cell r="W24">
            <v>10336.727432729604</v>
          </cell>
          <cell r="X24">
            <v>0</v>
          </cell>
          <cell r="Y24">
            <v>120.21500674709182</v>
          </cell>
          <cell r="AA24">
            <v>120.21500674709182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I24">
            <v>0</v>
          </cell>
        </row>
        <row r="25">
          <cell r="E25">
            <v>19</v>
          </cell>
          <cell r="F25" t="str">
            <v>ACT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  <cell r="S25">
            <v>0</v>
          </cell>
          <cell r="T25">
            <v>0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E25">
            <v>0</v>
          </cell>
          <cell r="AF25">
            <v>0</v>
          </cell>
          <cell r="AG25">
            <v>0</v>
          </cell>
          <cell r="AI25">
            <v>0</v>
          </cell>
        </row>
        <row r="26">
          <cell r="E26">
            <v>19</v>
          </cell>
          <cell r="F26" t="str">
            <v>ACT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E26">
            <v>0</v>
          </cell>
          <cell r="AF26">
            <v>0</v>
          </cell>
          <cell r="AG26">
            <v>0</v>
          </cell>
          <cell r="AI26">
            <v>0</v>
          </cell>
        </row>
        <row r="27">
          <cell r="E27">
            <v>19</v>
          </cell>
          <cell r="F27" t="str">
            <v>ACT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E27">
            <v>0</v>
          </cell>
          <cell r="AF27">
            <v>0</v>
          </cell>
          <cell r="AG27">
            <v>0</v>
          </cell>
          <cell r="AI27">
            <v>0</v>
          </cell>
        </row>
        <row r="28">
          <cell r="E28">
            <v>19</v>
          </cell>
          <cell r="F28" t="str">
            <v>ACT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E28">
            <v>0</v>
          </cell>
          <cell r="AF28">
            <v>0</v>
          </cell>
          <cell r="AG28">
            <v>0</v>
          </cell>
          <cell r="AI28">
            <v>0</v>
          </cell>
        </row>
        <row r="29">
          <cell r="E29">
            <v>19</v>
          </cell>
          <cell r="F29" t="str">
            <v>ACT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S29">
            <v>0</v>
          </cell>
          <cell r="T29">
            <v>0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E29">
            <v>0</v>
          </cell>
          <cell r="AF29">
            <v>0</v>
          </cell>
          <cell r="AG29">
            <v>0</v>
          </cell>
          <cell r="AI29">
            <v>0</v>
          </cell>
        </row>
        <row r="30">
          <cell r="E30">
            <v>19</v>
          </cell>
          <cell r="F30" t="str">
            <v>ACT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0</v>
          </cell>
          <cell r="AF30">
            <v>0</v>
          </cell>
          <cell r="AI30">
            <v>0</v>
          </cell>
        </row>
        <row r="31">
          <cell r="E31">
            <v>19</v>
          </cell>
          <cell r="F31" t="str">
            <v>ACT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O31">
            <v>0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</row>
        <row r="32">
          <cell r="E32">
            <v>19</v>
          </cell>
          <cell r="F32" t="str">
            <v>ACT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S32">
            <v>0</v>
          </cell>
          <cell r="T32">
            <v>0</v>
          </cell>
          <cell r="U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0</v>
          </cell>
          <cell r="AF32">
            <v>0</v>
          </cell>
          <cell r="AI32">
            <v>0</v>
          </cell>
        </row>
        <row r="33">
          <cell r="E33">
            <v>19</v>
          </cell>
          <cell r="F33" t="str">
            <v>ACT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O33">
            <v>0</v>
          </cell>
          <cell r="P33">
            <v>0</v>
          </cell>
          <cell r="S33">
            <v>0</v>
          </cell>
          <cell r="T33">
            <v>0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E33">
            <v>0</v>
          </cell>
          <cell r="AF33">
            <v>0</v>
          </cell>
          <cell r="AG33">
            <v>0</v>
          </cell>
          <cell r="AI33">
            <v>0</v>
          </cell>
        </row>
        <row r="34">
          <cell r="E34">
            <v>20</v>
          </cell>
          <cell r="F34" t="str">
            <v>ACT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  <cell r="S34">
            <v>0</v>
          </cell>
          <cell r="T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I34">
            <v>0</v>
          </cell>
        </row>
        <row r="35">
          <cell r="E35">
            <v>20</v>
          </cell>
          <cell r="F35" t="str">
            <v>REV</v>
          </cell>
          <cell r="G35">
            <v>0.12050036179656672</v>
          </cell>
          <cell r="H35">
            <v>0</v>
          </cell>
          <cell r="I35">
            <v>0</v>
          </cell>
          <cell r="K35">
            <v>0</v>
          </cell>
          <cell r="L35">
            <v>669.859631661192</v>
          </cell>
          <cell r="O35">
            <v>669.859631661192</v>
          </cell>
          <cell r="P35">
            <v>226.2455373562039</v>
          </cell>
          <cell r="S35">
            <v>226.2455373562039</v>
          </cell>
          <cell r="T35">
            <v>0.50776910092797478</v>
          </cell>
          <cell r="W35">
            <v>0.50776910092797478</v>
          </cell>
          <cell r="X35">
            <v>3.7452620114581792</v>
          </cell>
          <cell r="AA35">
            <v>3.7452620114581792</v>
          </cell>
          <cell r="AB35">
            <v>6.1941051038195543</v>
          </cell>
          <cell r="AC35">
            <v>0</v>
          </cell>
          <cell r="AD35">
            <v>0</v>
          </cell>
          <cell r="AE35">
            <v>6.1941051038195543</v>
          </cell>
          <cell r="AF35">
            <v>46.457341132231299</v>
          </cell>
          <cell r="AI35">
            <v>46.457341132231299</v>
          </cell>
        </row>
        <row r="36">
          <cell r="E36">
            <v>20</v>
          </cell>
          <cell r="F36" t="str">
            <v>REV</v>
          </cell>
          <cell r="G36">
            <v>0.12050036179656672</v>
          </cell>
          <cell r="H36">
            <v>0</v>
          </cell>
          <cell r="I36">
            <v>0</v>
          </cell>
          <cell r="K36">
            <v>0</v>
          </cell>
          <cell r="L36">
            <v>4496.2719671540799</v>
          </cell>
          <cell r="O36">
            <v>4496.2719671540799</v>
          </cell>
          <cell r="P36">
            <v>1518.6188556932343</v>
          </cell>
          <cell r="S36">
            <v>1518.6188556932343</v>
          </cell>
          <cell r="T36">
            <v>3.4082781919962537</v>
          </cell>
          <cell r="W36">
            <v>3.4082781919962537</v>
          </cell>
          <cell r="X36">
            <v>25.139172142685357</v>
          </cell>
          <cell r="AA36">
            <v>25.139172142685357</v>
          </cell>
          <cell r="AB36">
            <v>41.576443516746068</v>
          </cell>
          <cell r="AC36">
            <v>0</v>
          </cell>
          <cell r="AD36">
            <v>0</v>
          </cell>
          <cell r="AE36">
            <v>41.576443516746068</v>
          </cell>
          <cell r="AF36">
            <v>311.8337495324954</v>
          </cell>
          <cell r="AI36">
            <v>311.8337495324954</v>
          </cell>
        </row>
        <row r="37">
          <cell r="E37">
            <v>20</v>
          </cell>
          <cell r="F37" t="str">
            <v>REV</v>
          </cell>
          <cell r="G37">
            <v>0.1205003617965667</v>
          </cell>
          <cell r="H37">
            <v>0</v>
          </cell>
          <cell r="I37">
            <v>0</v>
          </cell>
          <cell r="K37">
            <v>0</v>
          </cell>
          <cell r="L37">
            <v>48.701541226408828</v>
          </cell>
          <cell r="O37">
            <v>48.701541226408828</v>
          </cell>
          <cell r="P37">
            <v>16.44897803069469</v>
          </cell>
          <cell r="S37">
            <v>16.44897803069469</v>
          </cell>
          <cell r="T37">
            <v>3.6916895172521835E-2</v>
          </cell>
          <cell r="W37">
            <v>3.6916895172521835E-2</v>
          </cell>
          <cell r="X37">
            <v>0.27229590145982913</v>
          </cell>
          <cell r="AA37">
            <v>0.27229590145982913</v>
          </cell>
          <cell r="AB37">
            <v>0.45033683299631211</v>
          </cell>
          <cell r="AC37">
            <v>0</v>
          </cell>
          <cell r="AD37">
            <v>0</v>
          </cell>
          <cell r="AE37">
            <v>0.45033683299631211</v>
          </cell>
          <cell r="AF37">
            <v>3.3776391462936703</v>
          </cell>
          <cell r="AI37">
            <v>3.3776391462936703</v>
          </cell>
        </row>
        <row r="38">
          <cell r="E38">
            <v>20</v>
          </cell>
          <cell r="F38" t="str">
            <v>REV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O38">
            <v>0</v>
          </cell>
          <cell r="P38">
            <v>0</v>
          </cell>
          <cell r="S38">
            <v>0</v>
          </cell>
          <cell r="T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I38">
            <v>0</v>
          </cell>
        </row>
        <row r="39">
          <cell r="E39">
            <v>20</v>
          </cell>
          <cell r="F39" t="str">
            <v>REV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O39">
            <v>0</v>
          </cell>
          <cell r="P39">
            <v>0</v>
          </cell>
          <cell r="S39">
            <v>0</v>
          </cell>
          <cell r="T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I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  <cell r="S40">
            <v>0</v>
          </cell>
          <cell r="T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I40">
            <v>0</v>
          </cell>
        </row>
        <row r="41">
          <cell r="E41">
            <v>0</v>
          </cell>
          <cell r="F41">
            <v>0</v>
          </cell>
          <cell r="G41">
            <v>0.11682876518931071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5214.833140041681</v>
          </cell>
          <cell r="M41">
            <v>1910983.8800000001</v>
          </cell>
          <cell r="N41">
            <v>0</v>
          </cell>
          <cell r="O41">
            <v>1916198.7131400416</v>
          </cell>
          <cell r="P41">
            <v>1761.3133710801328</v>
          </cell>
          <cell r="Q41">
            <v>645436.07999999984</v>
          </cell>
          <cell r="R41">
            <v>0</v>
          </cell>
          <cell r="S41">
            <v>647197.39337108005</v>
          </cell>
          <cell r="T41">
            <v>3.9529641880967503</v>
          </cell>
          <cell r="U41">
            <v>11785.297432729603</v>
          </cell>
          <cell r="V41">
            <v>0</v>
          </cell>
          <cell r="W41">
            <v>11789.250396917701</v>
          </cell>
          <cell r="X41">
            <v>29.156730055603365</v>
          </cell>
          <cell r="Y41">
            <v>10804.745006747093</v>
          </cell>
          <cell r="Z41">
            <v>0</v>
          </cell>
          <cell r="AA41">
            <v>10833.901736802696</v>
          </cell>
          <cell r="AB41">
            <v>48.220885453561934</v>
          </cell>
          <cell r="AC41">
            <v>17670.620000000003</v>
          </cell>
          <cell r="AD41">
            <v>0</v>
          </cell>
          <cell r="AE41">
            <v>17718.840885453566</v>
          </cell>
          <cell r="AF41">
            <v>361.6687298110204</v>
          </cell>
          <cell r="AG41">
            <v>132534.08000000002</v>
          </cell>
          <cell r="AH41">
            <v>0</v>
          </cell>
          <cell r="AI41">
            <v>132895.74872981102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 t="str">
            <v>NEED TO CHECK PERCENTS AGAINST THE BLACK BOX!</v>
          </cell>
          <cell r="N45">
            <v>0</v>
          </cell>
          <cell r="O45">
            <v>0</v>
          </cell>
          <cell r="P45">
            <v>0</v>
          </cell>
          <cell r="Q45" t="str">
            <v>NEED TO CHECK PERCENTS AGAINST THE BLACK BOX!</v>
          </cell>
        </row>
        <row r="46">
          <cell r="E46">
            <v>39</v>
          </cell>
          <cell r="F46" t="str">
            <v>Act</v>
          </cell>
          <cell r="G46">
            <v>9.5772165128849479E-2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295020.6315689031</v>
          </cell>
          <cell r="N46">
            <v>0</v>
          </cell>
          <cell r="O46">
            <v>295020.6315689031</v>
          </cell>
          <cell r="P46">
            <v>0</v>
          </cell>
          <cell r="Q46">
            <v>263307.58865990676</v>
          </cell>
          <cell r="S46">
            <v>263307.58865990676</v>
          </cell>
          <cell r="T46">
            <v>0</v>
          </cell>
          <cell r="W46">
            <v>0</v>
          </cell>
          <cell r="X46">
            <v>0</v>
          </cell>
          <cell r="Y46">
            <v>3874.1574784596964</v>
          </cell>
          <cell r="Z46" t="str">
            <v>Food Waste</v>
          </cell>
          <cell r="AA46">
            <v>3874.1574784596964</v>
          </cell>
          <cell r="AB46">
            <v>0</v>
          </cell>
          <cell r="AC46">
            <v>55800.366266949328</v>
          </cell>
          <cell r="AD46" t="str">
            <v>Yard Deb</v>
          </cell>
          <cell r="AE46">
            <v>55800.366266949328</v>
          </cell>
          <cell r="AF46">
            <v>0</v>
          </cell>
          <cell r="AG46">
            <v>73418.010941884408</v>
          </cell>
          <cell r="AI46">
            <v>73418.010941884408</v>
          </cell>
        </row>
        <row r="47">
          <cell r="E47">
            <v>39</v>
          </cell>
          <cell r="F47" t="str">
            <v>Act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W47">
            <v>0</v>
          </cell>
          <cell r="X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I47">
            <v>0</v>
          </cell>
        </row>
        <row r="48">
          <cell r="E48">
            <v>54</v>
          </cell>
          <cell r="F48" t="str">
            <v>Act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I48">
            <v>0</v>
          </cell>
        </row>
        <row r="49">
          <cell r="E49">
            <v>39</v>
          </cell>
          <cell r="F49" t="str">
            <v>Act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T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I49">
            <v>0</v>
          </cell>
        </row>
        <row r="50">
          <cell r="E50">
            <v>39</v>
          </cell>
          <cell r="F50" t="str">
            <v>Act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I50">
            <v>0</v>
          </cell>
        </row>
        <row r="51">
          <cell r="E51">
            <v>54</v>
          </cell>
          <cell r="F51" t="str">
            <v>Act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S51">
            <v>0</v>
          </cell>
          <cell r="T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</row>
        <row r="52">
          <cell r="E52">
            <v>54</v>
          </cell>
          <cell r="F52" t="str">
            <v>Act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E52">
            <v>0</v>
          </cell>
          <cell r="AF52">
            <v>0</v>
          </cell>
          <cell r="AG52">
            <v>0</v>
          </cell>
          <cell r="AI52">
            <v>0</v>
          </cell>
        </row>
        <row r="53">
          <cell r="E53">
            <v>48</v>
          </cell>
          <cell r="F53" t="str">
            <v>Act</v>
          </cell>
          <cell r="G53">
            <v>0.21335384186549883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164934.89010562061</v>
          </cell>
          <cell r="O53">
            <v>164934.89010562061</v>
          </cell>
          <cell r="P53">
            <v>0</v>
          </cell>
          <cell r="Q53">
            <v>60225.333011235838</v>
          </cell>
          <cell r="R53">
            <v>0</v>
          </cell>
          <cell r="S53">
            <v>60225.333011235838</v>
          </cell>
          <cell r="T53">
            <v>0</v>
          </cell>
          <cell r="U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7481.8268831435735</v>
          </cell>
          <cell r="AI53">
            <v>7481.8268831435735</v>
          </cell>
        </row>
        <row r="54">
          <cell r="E54">
            <v>54</v>
          </cell>
          <cell r="F54" t="str">
            <v>Act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</row>
        <row r="55">
          <cell r="E55">
            <v>39</v>
          </cell>
          <cell r="F55" t="str">
            <v>Act</v>
          </cell>
          <cell r="G55">
            <v>5.5405754530033581E-2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T55">
            <v>0</v>
          </cell>
          <cell r="U55">
            <v>6302.445557525336</v>
          </cell>
          <cell r="W55">
            <v>6302.445557525336</v>
          </cell>
          <cell r="X55">
            <v>0</v>
          </cell>
          <cell r="Y55">
            <v>4359.7126272290916</v>
          </cell>
          <cell r="AA55">
            <v>4359.7126272290916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I55">
            <v>0</v>
          </cell>
        </row>
        <row r="56">
          <cell r="E56">
            <v>54</v>
          </cell>
          <cell r="F56" t="str">
            <v>Act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  <cell r="P56">
            <v>0</v>
          </cell>
          <cell r="S56">
            <v>0</v>
          </cell>
          <cell r="T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I56">
            <v>0</v>
          </cell>
        </row>
        <row r="57">
          <cell r="E57">
            <v>54</v>
          </cell>
          <cell r="F57" t="str">
            <v>Act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O57">
            <v>0</v>
          </cell>
          <cell r="P57">
            <v>0</v>
          </cell>
          <cell r="S57">
            <v>0</v>
          </cell>
          <cell r="T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I57">
            <v>0</v>
          </cell>
        </row>
        <row r="58">
          <cell r="E58">
            <v>54</v>
          </cell>
          <cell r="F58" t="str">
            <v>Act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>
            <v>0</v>
          </cell>
          <cell r="P58">
            <v>0</v>
          </cell>
          <cell r="S58">
            <v>0</v>
          </cell>
          <cell r="T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I58">
            <v>0</v>
          </cell>
        </row>
        <row r="59">
          <cell r="E59">
            <v>22</v>
          </cell>
          <cell r="F59" t="str">
            <v>DH</v>
          </cell>
          <cell r="G59">
            <v>0.10951493477640761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109907.81996125523</v>
          </cell>
          <cell r="M59">
            <v>0</v>
          </cell>
          <cell r="O59">
            <v>109907.81996125523</v>
          </cell>
          <cell r="P59">
            <v>48391.065282337433</v>
          </cell>
          <cell r="S59">
            <v>48391.065282337433</v>
          </cell>
          <cell r="T59">
            <v>89980.477135606416</v>
          </cell>
          <cell r="W59">
            <v>89980.477135606416</v>
          </cell>
          <cell r="X59">
            <v>41326.49360727099</v>
          </cell>
          <cell r="AA59">
            <v>41326.49360727099</v>
          </cell>
          <cell r="AB59">
            <v>87632.456329744018</v>
          </cell>
          <cell r="AC59">
            <v>0</v>
          </cell>
          <cell r="AD59">
            <v>0</v>
          </cell>
          <cell r="AE59">
            <v>87632.456329744018</v>
          </cell>
          <cell r="AF59">
            <v>19743.786478955604</v>
          </cell>
          <cell r="AI59">
            <v>19743.786478955604</v>
          </cell>
        </row>
        <row r="60">
          <cell r="E60">
            <v>22</v>
          </cell>
          <cell r="F60" t="str">
            <v>DH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P60">
            <v>0</v>
          </cell>
          <cell r="S60">
            <v>0</v>
          </cell>
          <cell r="T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I60">
            <v>0</v>
          </cell>
        </row>
        <row r="61">
          <cell r="E61">
            <v>22</v>
          </cell>
          <cell r="F61" t="str">
            <v>DH</v>
          </cell>
          <cell r="G61">
            <v>0.11021083809358594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1482.5598048577583</v>
          </cell>
          <cell r="O61">
            <v>1482.5598048577583</v>
          </cell>
          <cell r="P61">
            <v>652.44766278053555</v>
          </cell>
          <cell r="S61">
            <v>652.44766278053555</v>
          </cell>
          <cell r="T61">
            <v>1292.9312994140553</v>
          </cell>
          <cell r="W61">
            <v>1292.9312994140553</v>
          </cell>
          <cell r="X61">
            <v>567.20793216437187</v>
          </cell>
          <cell r="AA61">
            <v>567.20793216437187</v>
          </cell>
          <cell r="AB61">
            <v>1216.6125299274947</v>
          </cell>
          <cell r="AC61">
            <v>0</v>
          </cell>
          <cell r="AD61">
            <v>0</v>
          </cell>
          <cell r="AE61">
            <v>1216.6125299274947</v>
          </cell>
          <cell r="AF61">
            <v>265.35352412453517</v>
          </cell>
          <cell r="AI61">
            <v>265.35352412453517</v>
          </cell>
        </row>
        <row r="62">
          <cell r="E62">
            <v>22</v>
          </cell>
          <cell r="F62" t="str">
            <v>DH</v>
          </cell>
          <cell r="G62">
            <v>0.11021083809358595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177.50141133982515</v>
          </cell>
          <cell r="O62">
            <v>177.50141133982515</v>
          </cell>
          <cell r="P62">
            <v>78.115149614505171</v>
          </cell>
          <cell r="S62">
            <v>78.115149614505171</v>
          </cell>
          <cell r="T62">
            <v>154.79789055352649</v>
          </cell>
          <cell r="W62">
            <v>154.79789055352649</v>
          </cell>
          <cell r="X62">
            <v>67.909711400802081</v>
          </cell>
          <cell r="AA62">
            <v>67.909711400802081</v>
          </cell>
          <cell r="AB62">
            <v>145.66052607676394</v>
          </cell>
          <cell r="AC62">
            <v>0</v>
          </cell>
          <cell r="AD62">
            <v>0</v>
          </cell>
          <cell r="AE62">
            <v>145.66052607676394</v>
          </cell>
          <cell r="AF62">
            <v>31.769797671413549</v>
          </cell>
          <cell r="AI62">
            <v>31.769797671413549</v>
          </cell>
        </row>
        <row r="63">
          <cell r="E63">
            <v>22</v>
          </cell>
          <cell r="F63" t="str">
            <v>DH</v>
          </cell>
          <cell r="G63">
            <v>0.11021083809358595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596.78927877276556</v>
          </cell>
          <cell r="O63">
            <v>596.78927877276556</v>
          </cell>
          <cell r="P63">
            <v>262.63613031457453</v>
          </cell>
          <cell r="S63">
            <v>262.63613031457453</v>
          </cell>
          <cell r="T63">
            <v>520.45626432862798</v>
          </cell>
          <cell r="W63">
            <v>520.45626432862798</v>
          </cell>
          <cell r="X63">
            <v>228.32374899240193</v>
          </cell>
          <cell r="AA63">
            <v>228.32374899240193</v>
          </cell>
          <cell r="AB63">
            <v>489.73492462315869</v>
          </cell>
          <cell r="AC63">
            <v>0</v>
          </cell>
          <cell r="AD63">
            <v>0</v>
          </cell>
          <cell r="AE63">
            <v>489.73492462315869</v>
          </cell>
          <cell r="AF63">
            <v>106.81534583846792</v>
          </cell>
          <cell r="AI63">
            <v>106.81534583846792</v>
          </cell>
        </row>
        <row r="64">
          <cell r="E64">
            <v>24</v>
          </cell>
          <cell r="F64" t="str">
            <v>DH</v>
          </cell>
          <cell r="G64">
            <v>0.1095159744420213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10652.264468431229</v>
          </cell>
          <cell r="O64">
            <v>10652.264468431229</v>
          </cell>
          <cell r="P64">
            <v>4690.0581883060158</v>
          </cell>
          <cell r="S64">
            <v>4690.0581883060158</v>
          </cell>
          <cell r="T64">
            <v>8721.7428828797492</v>
          </cell>
          <cell r="W64">
            <v>8721.7428828797492</v>
          </cell>
          <cell r="X64">
            <v>4005.4661946963706</v>
          </cell>
          <cell r="AA64">
            <v>4005.4661946963706</v>
          </cell>
          <cell r="AB64">
            <v>8493.7011938091073</v>
          </cell>
          <cell r="AC64">
            <v>0</v>
          </cell>
          <cell r="AD64">
            <v>0</v>
          </cell>
          <cell r="AE64">
            <v>8493.7011938091073</v>
          </cell>
          <cell r="AF64">
            <v>1913.5572520630421</v>
          </cell>
          <cell r="AI64">
            <v>1913.5572520630421</v>
          </cell>
        </row>
        <row r="65">
          <cell r="E65">
            <v>25</v>
          </cell>
          <cell r="F65" t="str">
            <v>DH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O65">
            <v>0</v>
          </cell>
          <cell r="P65">
            <v>0</v>
          </cell>
          <cell r="S65">
            <v>0</v>
          </cell>
          <cell r="T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I65">
            <v>0</v>
          </cell>
        </row>
        <row r="66">
          <cell r="E66">
            <v>22</v>
          </cell>
          <cell r="F66" t="str">
            <v>DH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O66">
            <v>0</v>
          </cell>
          <cell r="P66">
            <v>0</v>
          </cell>
          <cell r="S66">
            <v>0</v>
          </cell>
          <cell r="T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I66">
            <v>0</v>
          </cell>
        </row>
        <row r="67">
          <cell r="E67">
            <v>22</v>
          </cell>
          <cell r="F67" t="str">
            <v>DH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S67">
            <v>0</v>
          </cell>
          <cell r="T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I67">
            <v>0</v>
          </cell>
        </row>
        <row r="68">
          <cell r="E68">
            <v>29</v>
          </cell>
          <cell r="F68" t="str">
            <v>DH</v>
          </cell>
          <cell r="G68">
            <v>0.11021083809358595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1335.5098793396542</v>
          </cell>
          <cell r="O68">
            <v>1335.5098793396542</v>
          </cell>
          <cell r="P68">
            <v>587.73365940477038</v>
          </cell>
          <cell r="S68">
            <v>587.73365940477038</v>
          </cell>
          <cell r="T68">
            <v>1164.6899626019435</v>
          </cell>
          <cell r="W68">
            <v>1164.6899626019435</v>
          </cell>
          <cell r="X68">
            <v>510.94855975676012</v>
          </cell>
          <cell r="AA68">
            <v>510.94855975676012</v>
          </cell>
          <cell r="AB68">
            <v>1095.9409851277253</v>
          </cell>
          <cell r="AC68">
            <v>0</v>
          </cell>
          <cell r="AD68">
            <v>0</v>
          </cell>
          <cell r="AE68">
            <v>1095.9409851277253</v>
          </cell>
          <cell r="AF68">
            <v>239.03403547346988</v>
          </cell>
          <cell r="AI68">
            <v>239.03403547346988</v>
          </cell>
        </row>
        <row r="69">
          <cell r="E69">
            <v>29</v>
          </cell>
          <cell r="F69" t="str">
            <v>DH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S69">
            <v>0</v>
          </cell>
          <cell r="T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</row>
        <row r="70">
          <cell r="E70">
            <v>28</v>
          </cell>
          <cell r="F70" t="str">
            <v>DH</v>
          </cell>
          <cell r="G70">
            <v>0.11021083809358598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1591.4138132291298</v>
          </cell>
          <cell r="O70">
            <v>1591.4138132291298</v>
          </cell>
          <cell r="P70">
            <v>700.35233624698526</v>
          </cell>
          <cell r="S70">
            <v>700.35233624698526</v>
          </cell>
          <cell r="T70">
            <v>1387.8622114952236</v>
          </cell>
          <cell r="W70">
            <v>1387.8622114952236</v>
          </cell>
          <cell r="X70">
            <v>608.85404775028087</v>
          </cell>
          <cell r="AA70">
            <v>608.85404775028087</v>
          </cell>
          <cell r="AB70">
            <v>1305.9398879763992</v>
          </cell>
          <cell r="AC70">
            <v>0</v>
          </cell>
          <cell r="AD70">
            <v>0</v>
          </cell>
          <cell r="AE70">
            <v>1305.9398879763992</v>
          </cell>
          <cell r="AF70">
            <v>284.83657947365572</v>
          </cell>
          <cell r="AI70">
            <v>284.83657947365572</v>
          </cell>
        </row>
        <row r="71">
          <cell r="E71">
            <v>26</v>
          </cell>
          <cell r="F71" t="str">
            <v>DH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S71">
            <v>0</v>
          </cell>
          <cell r="T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</row>
        <row r="72">
          <cell r="E72">
            <v>25</v>
          </cell>
          <cell r="F72" t="str">
            <v>DH</v>
          </cell>
          <cell r="G72">
            <v>0.11021083809358592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25651.866155037507</v>
          </cell>
          <cell r="O72">
            <v>25651.866155037507</v>
          </cell>
          <cell r="P72">
            <v>11288.920732893537</v>
          </cell>
          <cell r="S72">
            <v>11288.920732893537</v>
          </cell>
          <cell r="T72">
            <v>22370.834911047743</v>
          </cell>
          <cell r="W72">
            <v>22370.834911047743</v>
          </cell>
          <cell r="X72">
            <v>9814.0674732187472</v>
          </cell>
          <cell r="AA72">
            <v>9814.0674732187472</v>
          </cell>
          <cell r="AB72">
            <v>21050.335829950476</v>
          </cell>
          <cell r="AC72">
            <v>0</v>
          </cell>
          <cell r="AD72">
            <v>0</v>
          </cell>
          <cell r="AE72">
            <v>21050.335829950476</v>
          </cell>
          <cell r="AF72">
            <v>4591.2570017795406</v>
          </cell>
          <cell r="AI72">
            <v>4591.2570017795406</v>
          </cell>
        </row>
        <row r="73">
          <cell r="E73">
            <v>26</v>
          </cell>
          <cell r="F73" t="str">
            <v>DH</v>
          </cell>
          <cell r="G73">
            <v>0.11021083809358595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9433.5493730845938</v>
          </cell>
          <cell r="O73">
            <v>9433.5493730845938</v>
          </cell>
          <cell r="P73">
            <v>4151.5338673196738</v>
          </cell>
          <cell r="S73">
            <v>4151.5338673196738</v>
          </cell>
          <cell r="T73">
            <v>8226.9404640975845</v>
          </cell>
          <cell r="W73">
            <v>8226.9404640975845</v>
          </cell>
          <cell r="X73">
            <v>3609.1522347668065</v>
          </cell>
          <cell r="AA73">
            <v>3609.1522347668065</v>
          </cell>
          <cell r="AB73">
            <v>7741.3230355894602</v>
          </cell>
          <cell r="AC73">
            <v>0</v>
          </cell>
          <cell r="AD73">
            <v>0</v>
          </cell>
          <cell r="AE73">
            <v>7741.3230355894602</v>
          </cell>
          <cell r="AF73">
            <v>1688.4482925739135</v>
          </cell>
          <cell r="AI73">
            <v>1688.4482925739135</v>
          </cell>
        </row>
        <row r="74">
          <cell r="E74">
            <v>22</v>
          </cell>
          <cell r="F74" t="str">
            <v>DH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S74">
            <v>0</v>
          </cell>
          <cell r="T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I74">
            <v>0</v>
          </cell>
        </row>
        <row r="75">
          <cell r="E75">
            <v>22</v>
          </cell>
          <cell r="F75" t="str">
            <v>DH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S75">
            <v>0</v>
          </cell>
          <cell r="T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I75">
            <v>0</v>
          </cell>
        </row>
        <row r="76">
          <cell r="E76">
            <v>54</v>
          </cell>
          <cell r="F76" t="str">
            <v>DH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W76">
            <v>0</v>
          </cell>
          <cell r="X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I76">
            <v>0</v>
          </cell>
        </row>
        <row r="77">
          <cell r="E77">
            <v>35</v>
          </cell>
          <cell r="F77" t="str">
            <v>TH</v>
          </cell>
          <cell r="G77">
            <v>0.12882804907631315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28308.571266994888</v>
          </cell>
          <cell r="O77">
            <v>28308.571266994888</v>
          </cell>
          <cell r="P77">
            <v>17720.604324025688</v>
          </cell>
          <cell r="Q77">
            <v>0</v>
          </cell>
          <cell r="R77">
            <v>0</v>
          </cell>
          <cell r="S77">
            <v>17720.604324025688</v>
          </cell>
          <cell r="T77">
            <v>62453.897148033037</v>
          </cell>
          <cell r="W77">
            <v>62453.897148033037</v>
          </cell>
          <cell r="X77">
            <v>3554.3353707004512</v>
          </cell>
          <cell r="AA77">
            <v>3554.3353707004512</v>
          </cell>
          <cell r="AB77">
            <v>17887.560807564998</v>
          </cell>
          <cell r="AC77">
            <v>0</v>
          </cell>
          <cell r="AD77">
            <v>0</v>
          </cell>
          <cell r="AE77">
            <v>17887.560807564998</v>
          </cell>
          <cell r="AF77">
            <v>3805.7526649593115</v>
          </cell>
          <cell r="AI77">
            <v>3805.7526649593115</v>
          </cell>
        </row>
        <row r="78">
          <cell r="E78">
            <v>47</v>
          </cell>
          <cell r="F78" t="str">
            <v>TH</v>
          </cell>
          <cell r="G78">
            <v>0.10792364863995128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1693.6444886329532</v>
          </cell>
          <cell r="O78">
            <v>1693.6444886329532</v>
          </cell>
          <cell r="P78">
            <v>857.52611642594184</v>
          </cell>
          <cell r="Q78">
            <v>0</v>
          </cell>
          <cell r="R78">
            <v>0</v>
          </cell>
          <cell r="S78">
            <v>857.52611642594184</v>
          </cell>
          <cell r="T78">
            <v>1536.5797541106647</v>
          </cell>
          <cell r="W78">
            <v>1536.5797541106647</v>
          </cell>
          <cell r="X78">
            <v>738.44928901078606</v>
          </cell>
          <cell r="AA78">
            <v>738.44928901078606</v>
          </cell>
          <cell r="AB78">
            <v>1376.0454654445682</v>
          </cell>
          <cell r="AC78">
            <v>0</v>
          </cell>
          <cell r="AD78">
            <v>0</v>
          </cell>
          <cell r="AE78">
            <v>1376.0454654445682</v>
          </cell>
          <cell r="AF78">
            <v>370.68929673727695</v>
          </cell>
          <cell r="AI78">
            <v>370.68929673727695</v>
          </cell>
        </row>
        <row r="79">
          <cell r="E79">
            <v>23</v>
          </cell>
          <cell r="F79" t="str">
            <v>TH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I79">
            <v>0</v>
          </cell>
        </row>
        <row r="80">
          <cell r="E80">
            <v>23</v>
          </cell>
          <cell r="F80" t="str">
            <v>TH</v>
          </cell>
          <cell r="G80">
            <v>0.10792364863995127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8534.5623532853224</v>
          </cell>
          <cell r="O80">
            <v>8534.5623532853224</v>
          </cell>
          <cell r="P80">
            <v>4321.219806947277</v>
          </cell>
          <cell r="Q80">
            <v>0</v>
          </cell>
          <cell r="R80">
            <v>0</v>
          </cell>
          <cell r="S80">
            <v>4321.219806947277</v>
          </cell>
          <cell r="T80">
            <v>7743.0864684231665</v>
          </cell>
          <cell r="W80">
            <v>7743.0864684231665</v>
          </cell>
          <cell r="X80">
            <v>3721.1714407011009</v>
          </cell>
          <cell r="AA80">
            <v>3721.1714407011009</v>
          </cell>
          <cell r="AB80">
            <v>6934.1269107021772</v>
          </cell>
          <cell r="AC80">
            <v>0</v>
          </cell>
          <cell r="AD80">
            <v>0</v>
          </cell>
          <cell r="AE80">
            <v>6934.1269107021772</v>
          </cell>
          <cell r="AF80">
            <v>1867.9663518129312</v>
          </cell>
          <cell r="AI80">
            <v>1867.9663518129312</v>
          </cell>
        </row>
        <row r="81">
          <cell r="E81">
            <v>23</v>
          </cell>
          <cell r="F81" t="str">
            <v>TH</v>
          </cell>
          <cell r="G81">
            <v>0.10792364863995128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1395.9778677125855</v>
          </cell>
          <cell r="O81">
            <v>1395.9778677125855</v>
          </cell>
          <cell r="P81">
            <v>706.81154607740905</v>
          </cell>
          <cell r="Q81">
            <v>0</v>
          </cell>
          <cell r="R81">
            <v>0</v>
          </cell>
          <cell r="S81">
            <v>706.81154607740905</v>
          </cell>
          <cell r="T81">
            <v>1266.5180580164872</v>
          </cell>
          <cell r="W81">
            <v>1266.5180580164872</v>
          </cell>
          <cell r="X81">
            <v>608.66307587327401</v>
          </cell>
          <cell r="AA81">
            <v>608.66307587327401</v>
          </cell>
          <cell r="AB81">
            <v>1134.1984859392674</v>
          </cell>
          <cell r="AC81">
            <v>0</v>
          </cell>
          <cell r="AD81">
            <v>0</v>
          </cell>
          <cell r="AE81">
            <v>1134.1984859392674</v>
          </cell>
          <cell r="AF81">
            <v>305.53877009977901</v>
          </cell>
          <cell r="AI81">
            <v>305.53877009977901</v>
          </cell>
        </row>
        <row r="82">
          <cell r="E82">
            <v>23</v>
          </cell>
          <cell r="F82" t="str">
            <v>TH</v>
          </cell>
          <cell r="G82">
            <v>0.10792364863995128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161.71473786331126</v>
          </cell>
          <cell r="O82">
            <v>161.71473786331126</v>
          </cell>
          <cell r="P82">
            <v>81.879409793195435</v>
          </cell>
          <cell r="S82">
            <v>81.879409793195435</v>
          </cell>
          <cell r="T82">
            <v>146.71768119568429</v>
          </cell>
          <cell r="W82">
            <v>146.71768119568429</v>
          </cell>
          <cell r="X82">
            <v>70.509563252036259</v>
          </cell>
          <cell r="AA82">
            <v>70.509563252036259</v>
          </cell>
          <cell r="AB82">
            <v>131.38934010406268</v>
          </cell>
          <cell r="AC82">
            <v>0</v>
          </cell>
          <cell r="AD82">
            <v>0</v>
          </cell>
          <cell r="AE82">
            <v>131.38934010406268</v>
          </cell>
          <cell r="AF82">
            <v>35.394631431174815</v>
          </cell>
          <cell r="AI82">
            <v>35.394631431174815</v>
          </cell>
        </row>
        <row r="83">
          <cell r="E83">
            <v>23</v>
          </cell>
          <cell r="F83" t="str">
            <v>TH</v>
          </cell>
          <cell r="G83">
            <v>0.10792364863995126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8.3425886202692592</v>
          </cell>
          <cell r="O83">
            <v>8.3425886202692592</v>
          </cell>
          <cell r="P83">
            <v>4.2240196620326067</v>
          </cell>
          <cell r="S83">
            <v>4.2240196620326067</v>
          </cell>
          <cell r="T83">
            <v>7.5689159424046704</v>
          </cell>
          <cell r="W83">
            <v>7.5689159424046704</v>
          </cell>
          <cell r="X83">
            <v>3.6374685930220796</v>
          </cell>
          <cell r="AA83">
            <v>3.6374685930220796</v>
          </cell>
          <cell r="AB83">
            <v>6.7781528638616599</v>
          </cell>
          <cell r="AC83">
            <v>0</v>
          </cell>
          <cell r="AD83">
            <v>0</v>
          </cell>
          <cell r="AE83">
            <v>6.7781528638616599</v>
          </cell>
          <cell r="AF83">
            <v>1.8259489103951079</v>
          </cell>
          <cell r="AI83">
            <v>1.8259489103951079</v>
          </cell>
        </row>
        <row r="84">
          <cell r="E84">
            <v>23</v>
          </cell>
          <cell r="F84" t="str">
            <v>TH</v>
          </cell>
          <cell r="G84">
            <v>0.10792364863995128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-26.362580040050855</v>
          </cell>
          <cell r="O84">
            <v>-26.362580040050855</v>
          </cell>
          <cell r="P84">
            <v>-13.347902132023036</v>
          </cell>
          <cell r="S84">
            <v>-13.347902132023036</v>
          </cell>
          <cell r="T84">
            <v>-23.917774377998761</v>
          </cell>
          <cell r="W84">
            <v>-23.917774377998761</v>
          </cell>
          <cell r="X84">
            <v>-11.494400753949771</v>
          </cell>
          <cell r="AA84">
            <v>-11.494400753949771</v>
          </cell>
          <cell r="AB84">
            <v>-21.418963049802848</v>
          </cell>
          <cell r="AC84">
            <v>0</v>
          </cell>
          <cell r="AD84">
            <v>0</v>
          </cell>
          <cell r="AE84">
            <v>-21.418963049802848</v>
          </cell>
          <cell r="AF84">
            <v>-5.7699985568485408</v>
          </cell>
          <cell r="AI84">
            <v>-5.7699985568485408</v>
          </cell>
        </row>
        <row r="85">
          <cell r="E85">
            <v>24</v>
          </cell>
          <cell r="F85" t="str">
            <v>TH</v>
          </cell>
          <cell r="G85">
            <v>0.10792364863995127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934.41212542913149</v>
          </cell>
          <cell r="O85">
            <v>934.41212542913149</v>
          </cell>
          <cell r="P85">
            <v>473.11156883185015</v>
          </cell>
          <cell r="S85">
            <v>473.11156883185015</v>
          </cell>
          <cell r="T85">
            <v>847.75687198016487</v>
          </cell>
          <cell r="W85">
            <v>847.75687198016487</v>
          </cell>
          <cell r="X85">
            <v>407.41488210619377</v>
          </cell>
          <cell r="AA85">
            <v>407.41488210619377</v>
          </cell>
          <cell r="AB85">
            <v>759.18740720552387</v>
          </cell>
          <cell r="AC85">
            <v>0</v>
          </cell>
          <cell r="AD85">
            <v>0</v>
          </cell>
          <cell r="AE85">
            <v>759.18740720552387</v>
          </cell>
          <cell r="AF85">
            <v>204.51551430234994</v>
          </cell>
          <cell r="AI85">
            <v>204.51551430234994</v>
          </cell>
        </row>
        <row r="86">
          <cell r="E86">
            <v>25</v>
          </cell>
          <cell r="F86" t="str">
            <v>TH</v>
          </cell>
          <cell r="G86">
            <v>0.10792364863995127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1984.9132433137609</v>
          </cell>
          <cell r="O86">
            <v>1984.9132433137609</v>
          </cell>
          <cell r="P86">
            <v>1005.001318992957</v>
          </cell>
          <cell r="S86">
            <v>1005.001318992957</v>
          </cell>
          <cell r="T86">
            <v>1800.836907516458</v>
          </cell>
          <cell r="W86">
            <v>1800.836907516458</v>
          </cell>
          <cell r="X86">
            <v>865.44595581345709</v>
          </cell>
          <cell r="AA86">
            <v>865.44595581345709</v>
          </cell>
          <cell r="AB86">
            <v>1612.6943323078385</v>
          </cell>
          <cell r="AC86">
            <v>0</v>
          </cell>
          <cell r="AD86">
            <v>0</v>
          </cell>
          <cell r="AE86">
            <v>1612.6943323078385</v>
          </cell>
          <cell r="AF86">
            <v>434.43951737615521</v>
          </cell>
          <cell r="AI86">
            <v>434.43951737615521</v>
          </cell>
        </row>
        <row r="87">
          <cell r="E87">
            <v>23</v>
          </cell>
          <cell r="F87" t="str">
            <v>TH</v>
          </cell>
          <cell r="G87">
            <v>0.10792364863995127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602.61659979251829</v>
          </cell>
          <cell r="O87">
            <v>602.61659979251829</v>
          </cell>
          <cell r="P87">
            <v>305.11685066267552</v>
          </cell>
          <cell r="S87">
            <v>305.11685066267552</v>
          </cell>
          <cell r="T87">
            <v>546.73130810327245</v>
          </cell>
          <cell r="W87">
            <v>546.73130810327245</v>
          </cell>
          <cell r="X87">
            <v>262.74805760568518</v>
          </cell>
          <cell r="AA87">
            <v>262.74805760568518</v>
          </cell>
          <cell r="AB87">
            <v>489.61151239918161</v>
          </cell>
          <cell r="AC87">
            <v>0</v>
          </cell>
          <cell r="AD87">
            <v>0</v>
          </cell>
          <cell r="AE87">
            <v>489.61151239918161</v>
          </cell>
          <cell r="AF87">
            <v>131.89516753873448</v>
          </cell>
          <cell r="AI87">
            <v>131.89516753873448</v>
          </cell>
        </row>
        <row r="88">
          <cell r="E88">
            <v>23</v>
          </cell>
          <cell r="F88" t="str">
            <v>TH</v>
          </cell>
          <cell r="G88">
            <v>0.10792364863995128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212.52160528932521</v>
          </cell>
          <cell r="O88">
            <v>212.52160528932521</v>
          </cell>
          <cell r="P88">
            <v>107.60394407651722</v>
          </cell>
          <cell r="S88">
            <v>107.60394407651722</v>
          </cell>
          <cell r="T88">
            <v>192.81283539159932</v>
          </cell>
          <cell r="W88">
            <v>192.81283539159932</v>
          </cell>
          <cell r="X88">
            <v>92.661966179222361</v>
          </cell>
          <cell r="AA88">
            <v>92.661966179222361</v>
          </cell>
          <cell r="AB88">
            <v>172.66869949987108</v>
          </cell>
          <cell r="AC88">
            <v>0</v>
          </cell>
          <cell r="AD88">
            <v>0</v>
          </cell>
          <cell r="AE88">
            <v>172.66869949987108</v>
          </cell>
          <cell r="AF88">
            <v>46.514770328078093</v>
          </cell>
          <cell r="AI88">
            <v>46.514770328078093</v>
          </cell>
        </row>
        <row r="89">
          <cell r="E89">
            <v>29</v>
          </cell>
          <cell r="F89" t="str">
            <v>TH</v>
          </cell>
          <cell r="G89">
            <v>0.10792364863995128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7.6540469728097031</v>
          </cell>
          <cell r="O89">
            <v>7.6540469728097031</v>
          </cell>
          <cell r="P89">
            <v>3.8753972392595157</v>
          </cell>
          <cell r="S89">
            <v>3.8753972392595157</v>
          </cell>
          <cell r="T89">
            <v>6.9442280799582052</v>
          </cell>
          <cell r="W89">
            <v>6.9442280799582052</v>
          </cell>
          <cell r="X89">
            <v>3.3372561851446574</v>
          </cell>
          <cell r="AA89">
            <v>3.3372561851446574</v>
          </cell>
          <cell r="AB89">
            <v>6.2187293141642783</v>
          </cell>
          <cell r="AC89">
            <v>0</v>
          </cell>
          <cell r="AD89">
            <v>0</v>
          </cell>
          <cell r="AE89">
            <v>6.2187293141642783</v>
          </cell>
          <cell r="AF89">
            <v>1.6752472603238318</v>
          </cell>
          <cell r="AI89">
            <v>1.6752472603238318</v>
          </cell>
        </row>
        <row r="90">
          <cell r="E90">
            <v>28</v>
          </cell>
          <cell r="F90" t="str">
            <v>TH</v>
          </cell>
          <cell r="G90">
            <v>0.10792364863995128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72.904491521096347</v>
          </cell>
          <cell r="O90">
            <v>72.904491521096347</v>
          </cell>
          <cell r="P90">
            <v>36.913003823225942</v>
          </cell>
          <cell r="S90">
            <v>36.913003823225942</v>
          </cell>
          <cell r="T90">
            <v>66.143494934684014</v>
          </cell>
          <cell r="W90">
            <v>66.143494934684014</v>
          </cell>
          <cell r="X90">
            <v>31.787231789654452</v>
          </cell>
          <cell r="AA90">
            <v>31.787231789654452</v>
          </cell>
          <cell r="AB90">
            <v>59.233148185143065</v>
          </cell>
          <cell r="AC90">
            <v>0</v>
          </cell>
          <cell r="AD90">
            <v>0</v>
          </cell>
          <cell r="AE90">
            <v>59.233148185143065</v>
          </cell>
          <cell r="AF90">
            <v>15.956663203124448</v>
          </cell>
          <cell r="AI90">
            <v>15.956663203124448</v>
          </cell>
        </row>
        <row r="91">
          <cell r="E91">
            <v>26</v>
          </cell>
          <cell r="F91" t="str">
            <v>TH</v>
          </cell>
          <cell r="G91">
            <v>0.10792364863995127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207.04720204629956</v>
          </cell>
          <cell r="O91">
            <v>207.04720204629956</v>
          </cell>
          <cell r="P91">
            <v>104.83214410063768</v>
          </cell>
          <cell r="S91">
            <v>104.83214410063768</v>
          </cell>
          <cell r="T91">
            <v>187.84611584359033</v>
          </cell>
          <cell r="W91">
            <v>187.84611584359033</v>
          </cell>
          <cell r="X91">
            <v>90.275060775105572</v>
          </cell>
          <cell r="AA91">
            <v>90.275060775105572</v>
          </cell>
          <cell r="AB91">
            <v>168.22087836081911</v>
          </cell>
          <cell r="AC91">
            <v>0</v>
          </cell>
          <cell r="AD91">
            <v>0</v>
          </cell>
          <cell r="AE91">
            <v>168.22087836081911</v>
          </cell>
          <cell r="AF91">
            <v>45.316583399337567</v>
          </cell>
          <cell r="AI91">
            <v>45.316583399337567</v>
          </cell>
        </row>
        <row r="92">
          <cell r="E92">
            <v>31</v>
          </cell>
          <cell r="F92" t="str">
            <v>TH</v>
          </cell>
          <cell r="G92">
            <v>0.10792364863995128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9337.6753495451612</v>
          </cell>
          <cell r="O92">
            <v>9337.6753495451612</v>
          </cell>
          <cell r="P92">
            <v>4727.8519976792213</v>
          </cell>
          <cell r="S92">
            <v>4727.8519976792213</v>
          </cell>
          <cell r="T92">
            <v>8471.7205935884194</v>
          </cell>
          <cell r="W92">
            <v>8471.7205935884194</v>
          </cell>
          <cell r="X92">
            <v>4071.3383293626612</v>
          </cell>
          <cell r="AA92">
            <v>4071.3383293626612</v>
          </cell>
          <cell r="AB92">
            <v>7586.636929280493</v>
          </cell>
          <cell r="AC92">
            <v>0</v>
          </cell>
          <cell r="AD92">
            <v>0</v>
          </cell>
          <cell r="AE92">
            <v>7586.636929280493</v>
          </cell>
          <cell r="AF92">
            <v>2043.7443227992885</v>
          </cell>
          <cell r="AI92">
            <v>2043.7443227992885</v>
          </cell>
        </row>
        <row r="93">
          <cell r="E93">
            <v>31</v>
          </cell>
          <cell r="F93" t="str">
            <v>TH</v>
          </cell>
          <cell r="G93">
            <v>0.10792364863995128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228.49349120283068</v>
          </cell>
          <cell r="O93">
            <v>228.49349120283068</v>
          </cell>
          <cell r="P93">
            <v>115.69082971947864</v>
          </cell>
          <cell r="S93">
            <v>115.69082971947864</v>
          </cell>
          <cell r="T93">
            <v>207.30352496333305</v>
          </cell>
          <cell r="W93">
            <v>207.30352496333305</v>
          </cell>
          <cell r="X93">
            <v>99.625899800563133</v>
          </cell>
          <cell r="AA93">
            <v>99.625899800563133</v>
          </cell>
          <cell r="AB93">
            <v>185.64547315773422</v>
          </cell>
          <cell r="AC93">
            <v>0</v>
          </cell>
          <cell r="AD93">
            <v>0</v>
          </cell>
          <cell r="AE93">
            <v>185.64547315773422</v>
          </cell>
          <cell r="AF93">
            <v>50.010549517029531</v>
          </cell>
          <cell r="AI93">
            <v>50.010549517029531</v>
          </cell>
        </row>
        <row r="94">
          <cell r="E94">
            <v>31</v>
          </cell>
          <cell r="F94" t="str">
            <v>TH</v>
          </cell>
          <cell r="G94">
            <v>0.10792364863995128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871.74294695665776</v>
          </cell>
          <cell r="O94">
            <v>871.74294695665776</v>
          </cell>
          <cell r="P94">
            <v>441.38090894673934</v>
          </cell>
          <cell r="S94">
            <v>441.38090894673934</v>
          </cell>
          <cell r="T94">
            <v>790.89949046128561</v>
          </cell>
          <cell r="W94">
            <v>790.89949046128561</v>
          </cell>
          <cell r="X94">
            <v>380.09036943751545</v>
          </cell>
          <cell r="AA94">
            <v>380.09036943751545</v>
          </cell>
          <cell r="AB94">
            <v>708.27020501878269</v>
          </cell>
          <cell r="AC94">
            <v>0</v>
          </cell>
          <cell r="AD94">
            <v>0</v>
          </cell>
          <cell r="AE94">
            <v>708.27020501878269</v>
          </cell>
          <cell r="AF94">
            <v>190.79906208880706</v>
          </cell>
          <cell r="AI94">
            <v>190.79906208880706</v>
          </cell>
        </row>
        <row r="95">
          <cell r="E95">
            <v>31</v>
          </cell>
          <cell r="F95" t="str">
            <v>TH</v>
          </cell>
          <cell r="G95">
            <v>0.10792364863995126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4167.2386997200292</v>
          </cell>
          <cell r="O95">
            <v>4167.2386997200292</v>
          </cell>
          <cell r="P95">
            <v>2109.9563942579339</v>
          </cell>
          <cell r="S95">
            <v>2109.9563942579339</v>
          </cell>
          <cell r="T95">
            <v>3780.7784688655347</v>
          </cell>
          <cell r="W95">
            <v>3780.7784688655347</v>
          </cell>
          <cell r="X95">
            <v>1816.9660017790186</v>
          </cell>
          <cell r="AA95">
            <v>1816.9660017790186</v>
          </cell>
          <cell r="AB95">
            <v>3385.7813458852779</v>
          </cell>
          <cell r="AC95">
            <v>0</v>
          </cell>
          <cell r="AD95">
            <v>0</v>
          </cell>
          <cell r="AE95">
            <v>3385.7813458852779</v>
          </cell>
          <cell r="AF95">
            <v>912.08680056724722</v>
          </cell>
          <cell r="AI95">
            <v>912.08680056724722</v>
          </cell>
        </row>
        <row r="96">
          <cell r="E96">
            <v>30</v>
          </cell>
          <cell r="F96" t="str">
            <v>TH</v>
          </cell>
          <cell r="G96">
            <v>0.10792364863995128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18913.777154390733</v>
          </cell>
          <cell r="O96">
            <v>18913.777154390733</v>
          </cell>
          <cell r="P96">
            <v>9576.4240836881909</v>
          </cell>
          <cell r="S96">
            <v>9576.4240836881909</v>
          </cell>
          <cell r="T96">
            <v>17159.756515758396</v>
          </cell>
          <cell r="W96">
            <v>17159.756515758396</v>
          </cell>
          <cell r="X96">
            <v>8246.6334498816905</v>
          </cell>
          <cell r="AA96">
            <v>8246.6334498816905</v>
          </cell>
          <cell r="AB96">
            <v>15366.989626456862</v>
          </cell>
          <cell r="AC96">
            <v>0</v>
          </cell>
          <cell r="AD96">
            <v>0</v>
          </cell>
          <cell r="AE96">
            <v>15366.989626456862</v>
          </cell>
          <cell r="AF96">
            <v>4139.6732307532857</v>
          </cell>
          <cell r="AI96">
            <v>4139.6732307532857</v>
          </cell>
        </row>
        <row r="97">
          <cell r="E97">
            <v>30</v>
          </cell>
          <cell r="F97" t="str">
            <v>TH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S97">
            <v>0</v>
          </cell>
          <cell r="T97">
            <v>0</v>
          </cell>
          <cell r="W97">
            <v>0</v>
          </cell>
          <cell r="X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I97">
            <v>0</v>
          </cell>
        </row>
        <row r="98">
          <cell r="E98">
            <v>30</v>
          </cell>
          <cell r="F98" t="str">
            <v>TH</v>
          </cell>
          <cell r="G98">
            <v>0.10792364863995126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1778.0136435223112</v>
          </cell>
          <cell r="O98">
            <v>1778.0136435223112</v>
          </cell>
          <cell r="P98">
            <v>900.24390886938852</v>
          </cell>
          <cell r="S98">
            <v>900.24390886938852</v>
          </cell>
          <cell r="T98">
            <v>1613.1247056305992</v>
          </cell>
          <cell r="W98">
            <v>1613.1247056305992</v>
          </cell>
          <cell r="X98">
            <v>775.23525138992454</v>
          </cell>
          <cell r="AA98">
            <v>775.23525138992454</v>
          </cell>
          <cell r="AB98">
            <v>1444.5933772336587</v>
          </cell>
          <cell r="AC98">
            <v>0</v>
          </cell>
          <cell r="AD98">
            <v>0</v>
          </cell>
          <cell r="AE98">
            <v>1444.5933772336587</v>
          </cell>
          <cell r="AF98">
            <v>389.15523979803004</v>
          </cell>
          <cell r="AI98">
            <v>389.15523979803004</v>
          </cell>
        </row>
        <row r="99">
          <cell r="E99">
            <v>31</v>
          </cell>
          <cell r="F99" t="str">
            <v>TH</v>
          </cell>
          <cell r="G99">
            <v>0.10792364863995127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969.17659562535721</v>
          </cell>
          <cell r="O99">
            <v>969.17659562535721</v>
          </cell>
          <cell r="P99">
            <v>490.71351618092899</v>
          </cell>
          <cell r="S99">
            <v>490.71351618092899</v>
          </cell>
          <cell r="T99">
            <v>879.29736434702579</v>
          </cell>
          <cell r="W99">
            <v>879.29736434702579</v>
          </cell>
          <cell r="X99">
            <v>422.57260763332658</v>
          </cell>
          <cell r="AA99">
            <v>422.57260763332658</v>
          </cell>
          <cell r="AB99">
            <v>787.43270419268072</v>
          </cell>
          <cell r="AC99">
            <v>0</v>
          </cell>
          <cell r="AD99">
            <v>0</v>
          </cell>
          <cell r="AE99">
            <v>787.43270419268072</v>
          </cell>
          <cell r="AF99">
            <v>212.1244411432389</v>
          </cell>
          <cell r="AI99">
            <v>212.1244411432389</v>
          </cell>
        </row>
        <row r="100">
          <cell r="E100">
            <v>23</v>
          </cell>
          <cell r="F100" t="str">
            <v>TH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S100">
            <v>0</v>
          </cell>
          <cell r="T100">
            <v>0</v>
          </cell>
          <cell r="W100">
            <v>0</v>
          </cell>
          <cell r="X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I100">
            <v>0</v>
          </cell>
        </row>
        <row r="101">
          <cell r="E101">
            <v>31</v>
          </cell>
          <cell r="F101" t="str">
            <v>TH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W101">
            <v>0</v>
          </cell>
          <cell r="X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</row>
        <row r="102">
          <cell r="E102">
            <v>31</v>
          </cell>
          <cell r="F102" t="str">
            <v>TH</v>
          </cell>
          <cell r="G102">
            <v>0.10792364863995127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18.392627044820294</v>
          </cell>
          <cell r="O102">
            <v>18.392627044820294</v>
          </cell>
          <cell r="P102">
            <v>9.3125553482278853</v>
          </cell>
          <cell r="S102">
            <v>9.3125553482278853</v>
          </cell>
          <cell r="T102">
            <v>16.686936681021496</v>
          </cell>
          <cell r="W102">
            <v>16.686936681021496</v>
          </cell>
          <cell r="X102">
            <v>8.0194057580826783</v>
          </cell>
          <cell r="AA102">
            <v>8.0194057580826783</v>
          </cell>
          <cell r="AB102">
            <v>14.943567680527005</v>
          </cell>
          <cell r="AC102">
            <v>0</v>
          </cell>
          <cell r="AD102">
            <v>0</v>
          </cell>
          <cell r="AE102">
            <v>14.943567680527005</v>
          </cell>
          <cell r="AF102">
            <v>4.0256086977844143</v>
          </cell>
          <cell r="AI102">
            <v>4.0256086977844143</v>
          </cell>
        </row>
        <row r="103">
          <cell r="E103">
            <v>31</v>
          </cell>
          <cell r="F103" t="str">
            <v>TH</v>
          </cell>
          <cell r="G103">
            <v>0.10792364863995128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1.9466040113961602</v>
          </cell>
          <cell r="O103">
            <v>1.9466040113961602</v>
          </cell>
          <cell r="P103">
            <v>0.98560458780760818</v>
          </cell>
          <cell r="S103">
            <v>0.98560458780760818</v>
          </cell>
          <cell r="T103">
            <v>1.7660803865610899</v>
          </cell>
          <cell r="W103">
            <v>1.7660803865610899</v>
          </cell>
          <cell r="X103">
            <v>0.84874267170515183</v>
          </cell>
          <cell r="AA103">
            <v>0.84874267170515183</v>
          </cell>
          <cell r="AB103">
            <v>1.5815690015677206</v>
          </cell>
          <cell r="AC103">
            <v>0</v>
          </cell>
          <cell r="AD103">
            <v>0</v>
          </cell>
          <cell r="AE103">
            <v>1.5815690015677206</v>
          </cell>
          <cell r="AF103">
            <v>0.42605474575885854</v>
          </cell>
          <cell r="AI103">
            <v>0.42605474575885854</v>
          </cell>
        </row>
        <row r="104">
          <cell r="E104">
            <v>31</v>
          </cell>
          <cell r="F104" t="str">
            <v>TH</v>
          </cell>
          <cell r="G104">
            <v>0.10792364863995127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165.74498898176279</v>
          </cell>
          <cell r="O104">
            <v>165.74498898176279</v>
          </cell>
          <cell r="P104">
            <v>83.920006632155804</v>
          </cell>
          <cell r="S104">
            <v>83.920006632155804</v>
          </cell>
          <cell r="T104">
            <v>150.3741759997344</v>
          </cell>
          <cell r="W104">
            <v>150.3741759997344</v>
          </cell>
          <cell r="X104">
            <v>72.266801027100655</v>
          </cell>
          <cell r="AA104">
            <v>72.266801027100655</v>
          </cell>
          <cell r="AB104">
            <v>134.66382233062754</v>
          </cell>
          <cell r="AC104">
            <v>0</v>
          </cell>
          <cell r="AD104">
            <v>0</v>
          </cell>
          <cell r="AE104">
            <v>134.66382233062754</v>
          </cell>
          <cell r="AF104">
            <v>36.276735652456409</v>
          </cell>
          <cell r="AI104">
            <v>36.276735652456409</v>
          </cell>
        </row>
        <row r="105">
          <cell r="E105">
            <v>31</v>
          </cell>
          <cell r="F105" t="str">
            <v>TH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W105">
            <v>0</v>
          </cell>
          <cell r="X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</row>
        <row r="106">
          <cell r="E106">
            <v>31</v>
          </cell>
          <cell r="F106" t="str">
            <v>TH</v>
          </cell>
          <cell r="G106">
            <v>0.10792364863995128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16.608147338944701</v>
          </cell>
          <cell r="O106">
            <v>16.608147338944701</v>
          </cell>
          <cell r="P106">
            <v>8.409037542519112</v>
          </cell>
          <cell r="S106">
            <v>8.409037542519112</v>
          </cell>
          <cell r="T106">
            <v>15.067945560941139</v>
          </cell>
          <cell r="W106">
            <v>15.067945560941139</v>
          </cell>
          <cell r="X106">
            <v>7.2413512260352562</v>
          </cell>
          <cell r="AA106">
            <v>7.2413512260352562</v>
          </cell>
          <cell r="AB106">
            <v>13.493720782946996</v>
          </cell>
          <cell r="AC106">
            <v>0</v>
          </cell>
          <cell r="AD106">
            <v>0</v>
          </cell>
          <cell r="AE106">
            <v>13.493720782946996</v>
          </cell>
          <cell r="AF106">
            <v>3.6350382258509009</v>
          </cell>
          <cell r="AI106">
            <v>3.6350382258509009</v>
          </cell>
        </row>
        <row r="107">
          <cell r="E107">
            <v>31</v>
          </cell>
          <cell r="F107" t="str">
            <v>TH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</row>
        <row r="108">
          <cell r="E108">
            <v>23</v>
          </cell>
          <cell r="F108" t="str">
            <v>TH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O108">
            <v>0</v>
          </cell>
          <cell r="P108">
            <v>0</v>
          </cell>
          <cell r="S108">
            <v>0</v>
          </cell>
          <cell r="T108">
            <v>0</v>
          </cell>
          <cell r="W108">
            <v>0</v>
          </cell>
          <cell r="X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</row>
        <row r="109">
          <cell r="E109">
            <v>23</v>
          </cell>
          <cell r="F109" t="str">
            <v>TH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S109">
            <v>0</v>
          </cell>
          <cell r="T109">
            <v>0</v>
          </cell>
          <cell r="W109">
            <v>0</v>
          </cell>
          <cell r="X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</row>
        <row r="110">
          <cell r="E110">
            <v>36</v>
          </cell>
          <cell r="F110" t="str">
            <v>Act</v>
          </cell>
          <cell r="G110">
            <v>0.20338583504660807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14716.164445392491</v>
          </cell>
          <cell r="O110">
            <v>14716.164445392491</v>
          </cell>
          <cell r="P110">
            <v>0</v>
          </cell>
          <cell r="Q110">
            <v>3719.6306371549163</v>
          </cell>
          <cell r="S110">
            <v>3719.6306371549163</v>
          </cell>
          <cell r="T110">
            <v>0</v>
          </cell>
          <cell r="U110">
            <v>5720.5636080203649</v>
          </cell>
          <cell r="W110">
            <v>5720.5636080203649</v>
          </cell>
          <cell r="X110">
            <v>0</v>
          </cell>
          <cell r="Y110">
            <v>1761.9498309671424</v>
          </cell>
          <cell r="AA110">
            <v>1761.9498309671424</v>
          </cell>
          <cell r="AB110">
            <v>0</v>
          </cell>
          <cell r="AC110">
            <v>21102.903194076753</v>
          </cell>
          <cell r="AD110">
            <v>0</v>
          </cell>
          <cell r="AE110">
            <v>21102.903194076753</v>
          </cell>
          <cell r="AF110">
            <v>0</v>
          </cell>
          <cell r="AG110">
            <v>899.90180182292522</v>
          </cell>
          <cell r="AI110">
            <v>899.90180182292522</v>
          </cell>
        </row>
        <row r="111">
          <cell r="E111">
            <v>36</v>
          </cell>
          <cell r="F111" t="str">
            <v>Cont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O111">
            <v>0</v>
          </cell>
          <cell r="P111">
            <v>0</v>
          </cell>
          <cell r="S111">
            <v>0</v>
          </cell>
          <cell r="T111">
            <v>0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</row>
        <row r="112">
          <cell r="E112">
            <v>23</v>
          </cell>
          <cell r="F112" t="str">
            <v>Cont</v>
          </cell>
          <cell r="G112">
            <v>8.1252907606838676E-2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879.94748755281762</v>
          </cell>
          <cell r="O112">
            <v>879.94748755281762</v>
          </cell>
          <cell r="P112">
            <v>2912.3787952388561</v>
          </cell>
          <cell r="S112">
            <v>2912.3787952388561</v>
          </cell>
          <cell r="T112">
            <v>1365.6390202525579</v>
          </cell>
          <cell r="W112">
            <v>1365.6390202525579</v>
          </cell>
          <cell r="X112">
            <v>1379.5631412231742</v>
          </cell>
          <cell r="AA112">
            <v>1379.5631412231742</v>
          </cell>
          <cell r="AB112">
            <v>576.59697146760948</v>
          </cell>
          <cell r="AC112">
            <v>0</v>
          </cell>
          <cell r="AD112">
            <v>0</v>
          </cell>
          <cell r="AE112">
            <v>576.59697146760948</v>
          </cell>
          <cell r="AF112">
            <v>205.47804824864178</v>
          </cell>
          <cell r="AI112">
            <v>205.47804824864178</v>
          </cell>
        </row>
        <row r="113">
          <cell r="E113">
            <v>23</v>
          </cell>
          <cell r="F113" t="str">
            <v>Cont</v>
          </cell>
          <cell r="G113">
            <v>8.1252907606838648E-2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334.80517711295226</v>
          </cell>
          <cell r="O113">
            <v>334.80517711295226</v>
          </cell>
          <cell r="P113">
            <v>1108.1110090690772</v>
          </cell>
          <cell r="S113">
            <v>1108.1110090690772</v>
          </cell>
          <cell r="T113">
            <v>519.60261324181806</v>
          </cell>
          <cell r="W113">
            <v>519.60261324181806</v>
          </cell>
          <cell r="X113">
            <v>524.90050641573271</v>
          </cell>
          <cell r="AA113">
            <v>524.90050641573271</v>
          </cell>
          <cell r="AB113">
            <v>219.38542229591567</v>
          </cell>
          <cell r="AC113">
            <v>0</v>
          </cell>
          <cell r="AD113">
            <v>0</v>
          </cell>
          <cell r="AE113">
            <v>219.38542229591567</v>
          </cell>
          <cell r="AF113">
            <v>78.180931600854123</v>
          </cell>
          <cell r="AI113">
            <v>78.180931600854123</v>
          </cell>
        </row>
        <row r="114">
          <cell r="E114">
            <v>23</v>
          </cell>
          <cell r="F114" t="str">
            <v>Cont</v>
          </cell>
          <cell r="G114">
            <v>8.1252907606838662E-2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34.84133338277492</v>
          </cell>
          <cell r="O114">
            <v>34.84133338277492</v>
          </cell>
          <cell r="P114">
            <v>115.31501819959536</v>
          </cell>
          <cell r="S114">
            <v>115.31501819959536</v>
          </cell>
          <cell r="T114">
            <v>54.072186190871442</v>
          </cell>
          <cell r="W114">
            <v>54.072186190871442</v>
          </cell>
          <cell r="X114">
            <v>54.623508795528814</v>
          </cell>
          <cell r="AA114">
            <v>54.623508795528814</v>
          </cell>
          <cell r="AB114">
            <v>22.830234297584155</v>
          </cell>
          <cell r="AC114">
            <v>0</v>
          </cell>
          <cell r="AD114">
            <v>0</v>
          </cell>
          <cell r="AE114">
            <v>22.830234297584155</v>
          </cell>
          <cell r="AF114">
            <v>8.1358595633732325</v>
          </cell>
          <cell r="AI114">
            <v>8.1358595633732325</v>
          </cell>
        </row>
        <row r="115">
          <cell r="E115">
            <v>23</v>
          </cell>
          <cell r="F115" t="str">
            <v>Cont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S115">
            <v>0</v>
          </cell>
          <cell r="T115">
            <v>0</v>
          </cell>
          <cell r="W115">
            <v>0</v>
          </cell>
          <cell r="X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I115">
            <v>0</v>
          </cell>
        </row>
        <row r="116">
          <cell r="E116">
            <v>23</v>
          </cell>
          <cell r="F116" t="str">
            <v>Cont</v>
          </cell>
          <cell r="G116">
            <v>8.5711859435757487E-2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307.99026612627989</v>
          </cell>
          <cell r="O116">
            <v>307.99026612627989</v>
          </cell>
          <cell r="P116">
            <v>754.23319948014591</v>
          </cell>
          <cell r="S116">
            <v>754.23319948014591</v>
          </cell>
          <cell r="T116">
            <v>477.98707448979593</v>
          </cell>
          <cell r="W116">
            <v>477.98707448979593</v>
          </cell>
          <cell r="X116">
            <v>357.2723175950394</v>
          </cell>
          <cell r="AA116">
            <v>357.2723175950394</v>
          </cell>
          <cell r="AB116">
            <v>201.81460507807483</v>
          </cell>
          <cell r="AC116">
            <v>0</v>
          </cell>
          <cell r="AD116">
            <v>0</v>
          </cell>
          <cell r="AE116">
            <v>201.81460507807483</v>
          </cell>
          <cell r="AF116">
            <v>47.749474234020788</v>
          </cell>
          <cell r="AI116">
            <v>47.749474234020788</v>
          </cell>
        </row>
        <row r="117">
          <cell r="E117">
            <v>24</v>
          </cell>
          <cell r="F117" t="str">
            <v>Cont</v>
          </cell>
          <cell r="G117">
            <v>8.1252907606838676E-2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136.02235317814308</v>
          </cell>
          <cell r="O117">
            <v>136.02235317814308</v>
          </cell>
          <cell r="P117">
            <v>450.19574767606389</v>
          </cell>
          <cell r="S117">
            <v>450.19574767606389</v>
          </cell>
          <cell r="T117">
            <v>211.10058924453364</v>
          </cell>
          <cell r="W117">
            <v>211.10058924453364</v>
          </cell>
          <cell r="X117">
            <v>213.2529809805765</v>
          </cell>
          <cell r="AA117">
            <v>213.2529809805765</v>
          </cell>
          <cell r="AB117">
            <v>89.130406079723272</v>
          </cell>
          <cell r="AC117">
            <v>0</v>
          </cell>
          <cell r="AD117">
            <v>0</v>
          </cell>
          <cell r="AE117">
            <v>89.130406079723272</v>
          </cell>
          <cell r="AF117">
            <v>31.762813173047036</v>
          </cell>
          <cell r="AI117">
            <v>31.762813173047036</v>
          </cell>
        </row>
        <row r="118">
          <cell r="E118">
            <v>25</v>
          </cell>
          <cell r="F118" t="str">
            <v>Cont</v>
          </cell>
          <cell r="G118">
            <v>8.1252907606838662E-2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278.94010834588977</v>
          </cell>
          <cell r="O118">
            <v>278.94010834588977</v>
          </cell>
          <cell r="P118">
            <v>923.21333736342604</v>
          </cell>
          <cell r="S118">
            <v>923.21333736342604</v>
          </cell>
          <cell r="T118">
            <v>432.90253300229847</v>
          </cell>
          <cell r="W118">
            <v>432.90253300229847</v>
          </cell>
          <cell r="X118">
            <v>437.31642799842666</v>
          </cell>
          <cell r="AA118">
            <v>437.31642799842666</v>
          </cell>
          <cell r="AB118">
            <v>182.77911349048878</v>
          </cell>
          <cell r="AC118">
            <v>0</v>
          </cell>
          <cell r="AD118">
            <v>0</v>
          </cell>
          <cell r="AE118">
            <v>182.77911349048878</v>
          </cell>
          <cell r="AF118">
            <v>65.13578350064644</v>
          </cell>
          <cell r="AI118">
            <v>65.13578350064644</v>
          </cell>
        </row>
        <row r="119">
          <cell r="E119">
            <v>23</v>
          </cell>
          <cell r="F119" t="str">
            <v>Cont</v>
          </cell>
          <cell r="G119">
            <v>8.1252907606838676E-2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90.012239490130867</v>
          </cell>
          <cell r="O119">
            <v>90.012239490130867</v>
          </cell>
          <cell r="P119">
            <v>297.915206658606</v>
          </cell>
          <cell r="S119">
            <v>297.915206658606</v>
          </cell>
          <cell r="T119">
            <v>139.69495712738492</v>
          </cell>
          <cell r="W119">
            <v>139.69495712738492</v>
          </cell>
          <cell r="X119">
            <v>141.11929361248846</v>
          </cell>
          <cell r="AA119">
            <v>141.11929361248846</v>
          </cell>
          <cell r="AB119">
            <v>58.981684042721191</v>
          </cell>
          <cell r="AC119">
            <v>0</v>
          </cell>
          <cell r="AD119">
            <v>0</v>
          </cell>
          <cell r="AE119">
            <v>58.981684042721191</v>
          </cell>
          <cell r="AF119">
            <v>21.018912549382375</v>
          </cell>
          <cell r="AI119">
            <v>21.018912549382375</v>
          </cell>
        </row>
        <row r="120">
          <cell r="E120">
            <v>23</v>
          </cell>
          <cell r="F120" t="str">
            <v>Cont</v>
          </cell>
          <cell r="G120">
            <v>8.1252907606838662E-2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37.953583769665173</v>
          </cell>
          <cell r="O120">
            <v>37.953583769665173</v>
          </cell>
          <cell r="P120">
            <v>125.61569200168863</v>
          </cell>
          <cell r="S120">
            <v>125.61569200168863</v>
          </cell>
          <cell r="T120">
            <v>58.902259154604209</v>
          </cell>
          <cell r="W120">
            <v>58.902259154604209</v>
          </cell>
          <cell r="X120">
            <v>59.502829414935242</v>
          </cell>
          <cell r="AA120">
            <v>59.502829414935242</v>
          </cell>
          <cell r="AB120">
            <v>24.869576613931301</v>
          </cell>
          <cell r="AC120">
            <v>0</v>
          </cell>
          <cell r="AD120">
            <v>0</v>
          </cell>
          <cell r="AE120">
            <v>24.869576613931301</v>
          </cell>
          <cell r="AF120">
            <v>8.8626064933948978</v>
          </cell>
          <cell r="AI120">
            <v>8.8626064933948978</v>
          </cell>
        </row>
        <row r="121">
          <cell r="E121">
            <v>29</v>
          </cell>
          <cell r="F121" t="str">
            <v>Cont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S121">
            <v>0</v>
          </cell>
          <cell r="T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I121">
            <v>0</v>
          </cell>
        </row>
        <row r="122">
          <cell r="E122">
            <v>28</v>
          </cell>
          <cell r="F122" t="str">
            <v>Cont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O122">
            <v>0</v>
          </cell>
          <cell r="P122">
            <v>0</v>
          </cell>
          <cell r="S122">
            <v>0</v>
          </cell>
          <cell r="T122">
            <v>0</v>
          </cell>
          <cell r="W122">
            <v>0</v>
          </cell>
          <cell r="X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I122">
            <v>0</v>
          </cell>
        </row>
        <row r="123">
          <cell r="E123">
            <v>26</v>
          </cell>
          <cell r="F123" t="str">
            <v>Cont</v>
          </cell>
          <cell r="G123">
            <v>8.1252907606838662E-2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13.204311180016864</v>
          </cell>
          <cell r="O123">
            <v>13.204311180016864</v>
          </cell>
          <cell r="P123">
            <v>43.702557743945164</v>
          </cell>
          <cell r="S123">
            <v>43.702557743945164</v>
          </cell>
          <cell r="T123">
            <v>20.492498516175107</v>
          </cell>
          <cell r="W123">
            <v>20.492498516175107</v>
          </cell>
          <cell r="X123">
            <v>20.701441014227505</v>
          </cell>
          <cell r="AA123">
            <v>20.701441014227505</v>
          </cell>
          <cell r="AB123">
            <v>8.6522956703784306</v>
          </cell>
          <cell r="AC123">
            <v>0</v>
          </cell>
          <cell r="AD123">
            <v>0</v>
          </cell>
          <cell r="AE123">
            <v>8.6522956703784306</v>
          </cell>
          <cell r="AF123">
            <v>3.0833613688506949</v>
          </cell>
          <cell r="AI123">
            <v>3.0833613688506949</v>
          </cell>
        </row>
        <row r="124">
          <cell r="E124">
            <v>32</v>
          </cell>
          <cell r="F124" t="str">
            <v>Cont</v>
          </cell>
          <cell r="G124">
            <v>6.3544208719584716E-2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  <cell r="P124">
            <v>1535.0979023714008</v>
          </cell>
          <cell r="S124">
            <v>1535.0979023714008</v>
          </cell>
          <cell r="T124">
            <v>0</v>
          </cell>
          <cell r="W124">
            <v>0</v>
          </cell>
          <cell r="X124">
            <v>727.15969768173943</v>
          </cell>
          <cell r="AA124">
            <v>727.15969768173943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144.38907242474826</v>
          </cell>
          <cell r="AI124">
            <v>144.38907242474826</v>
          </cell>
        </row>
        <row r="125">
          <cell r="E125">
            <v>32</v>
          </cell>
          <cell r="F125" t="str">
            <v>Cont</v>
          </cell>
          <cell r="G125">
            <v>6.3544208719584716E-2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O125">
            <v>0</v>
          </cell>
          <cell r="P125">
            <v>1736.4174798253289</v>
          </cell>
          <cell r="S125">
            <v>1736.4174798253289</v>
          </cell>
          <cell r="T125">
            <v>0</v>
          </cell>
          <cell r="W125">
            <v>0</v>
          </cell>
          <cell r="X125">
            <v>822.52265977859975</v>
          </cell>
          <cell r="AA125">
            <v>822.52265977859975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163.32489860535242</v>
          </cell>
          <cell r="AI125">
            <v>163.32489860535242</v>
          </cell>
        </row>
        <row r="126">
          <cell r="E126">
            <v>32</v>
          </cell>
          <cell r="F126" t="str">
            <v>Cont</v>
          </cell>
          <cell r="G126">
            <v>6.3544208719584716E-2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O126">
            <v>0</v>
          </cell>
          <cell r="P126">
            <v>32.369791469194311</v>
          </cell>
          <cell r="S126">
            <v>32.369791469194311</v>
          </cell>
          <cell r="T126">
            <v>0</v>
          </cell>
          <cell r="W126">
            <v>0</v>
          </cell>
          <cell r="X126">
            <v>15.333229067930489</v>
          </cell>
          <cell r="AA126">
            <v>15.333229067930489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3.0446554305099349</v>
          </cell>
          <cell r="AI126">
            <v>3.0446554305099349</v>
          </cell>
        </row>
        <row r="127">
          <cell r="E127">
            <v>32</v>
          </cell>
          <cell r="F127" t="str">
            <v>Cont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S127">
            <v>0</v>
          </cell>
          <cell r="T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I127">
            <v>0</v>
          </cell>
        </row>
        <row r="128">
          <cell r="E128">
            <v>32</v>
          </cell>
          <cell r="F128" t="str">
            <v>Cont</v>
          </cell>
          <cell r="G128">
            <v>6.3544208719584702E-2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O128">
            <v>0</v>
          </cell>
          <cell r="P128">
            <v>2.371131202509162</v>
          </cell>
          <cell r="S128">
            <v>2.371131202509162</v>
          </cell>
          <cell r="T128">
            <v>0</v>
          </cell>
          <cell r="W128">
            <v>0</v>
          </cell>
          <cell r="X128">
            <v>1.1231798608523873</v>
          </cell>
          <cell r="AA128">
            <v>1.1231798608523873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0.22302514673415544</v>
          </cell>
          <cell r="AI128">
            <v>0.22302514673415544</v>
          </cell>
        </row>
        <row r="129">
          <cell r="E129">
            <v>32</v>
          </cell>
          <cell r="F129" t="str">
            <v>Cont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S129">
            <v>0</v>
          </cell>
          <cell r="T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</row>
        <row r="130">
          <cell r="E130">
            <v>32</v>
          </cell>
          <cell r="F130" t="str">
            <v>ACT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S130">
            <v>0</v>
          </cell>
          <cell r="T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I130">
            <v>0</v>
          </cell>
        </row>
        <row r="131">
          <cell r="E131">
            <v>32</v>
          </cell>
          <cell r="F131" t="str">
            <v>Cont</v>
          </cell>
          <cell r="G131">
            <v>6.3544208719584716E-2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10.43662518519802</v>
          </cell>
          <cell r="S131">
            <v>10.43662518519802</v>
          </cell>
          <cell r="T131">
            <v>0</v>
          </cell>
          <cell r="W131">
            <v>0</v>
          </cell>
          <cell r="X131">
            <v>4.9437193567671995</v>
          </cell>
          <cell r="AA131">
            <v>4.9437193567671995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0.98165376124064407</v>
          </cell>
          <cell r="AI131">
            <v>0.98165376124064407</v>
          </cell>
        </row>
        <row r="132">
          <cell r="E132">
            <v>56</v>
          </cell>
          <cell r="F132" t="str">
            <v>DH</v>
          </cell>
          <cell r="G132">
            <v>0.11021083809358596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18008.821526107193</v>
          </cell>
          <cell r="O132">
            <v>18008.821526107193</v>
          </cell>
          <cell r="P132">
            <v>7925.3555071714309</v>
          </cell>
          <cell r="S132">
            <v>7925.3555071714309</v>
          </cell>
          <cell r="T132">
            <v>15705.382636418868</v>
          </cell>
          <cell r="W132">
            <v>15705.382636418868</v>
          </cell>
          <cell r="X132">
            <v>6889.9388645711497</v>
          </cell>
          <cell r="AA132">
            <v>6889.9388645711497</v>
          </cell>
          <cell r="AB132">
            <v>14778.329917012754</v>
          </cell>
          <cell r="AC132">
            <v>0</v>
          </cell>
          <cell r="AD132">
            <v>0</v>
          </cell>
          <cell r="AE132">
            <v>14778.329917012754</v>
          </cell>
          <cell r="AF132">
            <v>3223.2792509444957</v>
          </cell>
          <cell r="AI132">
            <v>3223.2792509444957</v>
          </cell>
        </row>
        <row r="133">
          <cell r="E133">
            <v>62</v>
          </cell>
          <cell r="F133" t="str">
            <v>CUST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O133">
            <v>0</v>
          </cell>
          <cell r="P133">
            <v>0</v>
          </cell>
          <cell r="S133">
            <v>0</v>
          </cell>
          <cell r="T133">
            <v>0</v>
          </cell>
          <cell r="W133">
            <v>0</v>
          </cell>
          <cell r="X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I133">
            <v>0</v>
          </cell>
        </row>
        <row r="134">
          <cell r="E134">
            <v>62</v>
          </cell>
          <cell r="F134" t="str">
            <v>CUST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S134">
            <v>0</v>
          </cell>
          <cell r="T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I134">
            <v>0</v>
          </cell>
        </row>
        <row r="135">
          <cell r="E135">
            <v>62</v>
          </cell>
          <cell r="F135" t="str">
            <v>CUST</v>
          </cell>
          <cell r="G135">
            <v>0.1683087563617382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196.05898473182825</v>
          </cell>
          <cell r="O135">
            <v>196.05898473182825</v>
          </cell>
          <cell r="P135">
            <v>5.7940754273783117</v>
          </cell>
          <cell r="S135">
            <v>5.7940754273783117</v>
          </cell>
          <cell r="T135">
            <v>0</v>
          </cell>
          <cell r="W135">
            <v>0</v>
          </cell>
          <cell r="X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0.1174474748792901</v>
          </cell>
          <cell r="AI135">
            <v>0.1174474748792901</v>
          </cell>
        </row>
        <row r="136">
          <cell r="E136">
            <v>56</v>
          </cell>
          <cell r="F136" t="str">
            <v>DH</v>
          </cell>
          <cell r="G136">
            <v>0.11021083809358595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1028.8183552539012</v>
          </cell>
          <cell r="O136">
            <v>1028.8183552539012</v>
          </cell>
          <cell r="P136">
            <v>452.76428587346237</v>
          </cell>
          <cell r="S136">
            <v>452.76428587346237</v>
          </cell>
          <cell r="T136">
            <v>897.22616825368539</v>
          </cell>
          <cell r="W136">
            <v>897.22616825368539</v>
          </cell>
          <cell r="X136">
            <v>393.6124060184564</v>
          </cell>
          <cell r="AA136">
            <v>393.6124060184564</v>
          </cell>
          <cell r="AB136">
            <v>844.26496517716021</v>
          </cell>
          <cell r="AC136">
            <v>0</v>
          </cell>
          <cell r="AD136">
            <v>0</v>
          </cell>
          <cell r="AE136">
            <v>844.26496517716021</v>
          </cell>
          <cell r="AF136">
            <v>184.14135831560822</v>
          </cell>
          <cell r="AI136">
            <v>184.14135831560822</v>
          </cell>
        </row>
        <row r="137">
          <cell r="E137">
            <v>57</v>
          </cell>
          <cell r="F137" t="str">
            <v>DH</v>
          </cell>
          <cell r="G137">
            <v>0.11021083809358595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1208.5194496403387</v>
          </cell>
          <cell r="O137">
            <v>1208.5194496403387</v>
          </cell>
          <cell r="P137">
            <v>531.8474760742007</v>
          </cell>
          <cell r="S137">
            <v>531.8474760742007</v>
          </cell>
          <cell r="T137">
            <v>1053.9423888809374</v>
          </cell>
          <cell r="W137">
            <v>1053.9423888809374</v>
          </cell>
          <cell r="X137">
            <v>462.36368729603367</v>
          </cell>
          <cell r="AA137">
            <v>462.36368729603367</v>
          </cell>
          <cell r="AB137">
            <v>991.73058670276146</v>
          </cell>
          <cell r="AC137">
            <v>0</v>
          </cell>
          <cell r="AD137">
            <v>0</v>
          </cell>
          <cell r="AE137">
            <v>991.73058670276146</v>
          </cell>
          <cell r="AF137">
            <v>216.30486263309641</v>
          </cell>
          <cell r="AI137">
            <v>216.30486263309641</v>
          </cell>
        </row>
        <row r="138">
          <cell r="E138">
            <v>58</v>
          </cell>
          <cell r="F138" t="str">
            <v>DH</v>
          </cell>
          <cell r="G138">
            <v>0.11021083809358594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1295.4175311477331</v>
          </cell>
          <cell r="O138">
            <v>1295.4175311477331</v>
          </cell>
          <cell r="P138">
            <v>570.08974461125422</v>
          </cell>
          <cell r="S138">
            <v>570.08974461125422</v>
          </cell>
          <cell r="T138">
            <v>1129.7256720050361</v>
          </cell>
          <cell r="W138">
            <v>1129.7256720050361</v>
          </cell>
          <cell r="X138">
            <v>495.60975329577207</v>
          </cell>
          <cell r="AA138">
            <v>495.60975329577207</v>
          </cell>
          <cell r="AB138">
            <v>1063.0405564201044</v>
          </cell>
          <cell r="AC138">
            <v>0</v>
          </cell>
          <cell r="AD138">
            <v>0</v>
          </cell>
          <cell r="AE138">
            <v>1063.0405564201044</v>
          </cell>
          <cell r="AF138">
            <v>231.85817258531148</v>
          </cell>
          <cell r="AI138">
            <v>231.85817258531148</v>
          </cell>
        </row>
        <row r="139">
          <cell r="E139">
            <v>56</v>
          </cell>
          <cell r="F139" t="str">
            <v>DH</v>
          </cell>
          <cell r="G139">
            <v>0.11021083809358596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240.69967014099589</v>
          </cell>
          <cell r="O139">
            <v>240.69967014099589</v>
          </cell>
          <cell r="P139">
            <v>105.92755631237821</v>
          </cell>
          <cell r="S139">
            <v>105.92755631237821</v>
          </cell>
          <cell r="T139">
            <v>209.91270386815236</v>
          </cell>
          <cell r="W139">
            <v>209.91270386815236</v>
          </cell>
          <cell r="X139">
            <v>92.088536142674869</v>
          </cell>
          <cell r="AA139">
            <v>92.088536142674869</v>
          </cell>
          <cell r="AB139">
            <v>197.52203835787006</v>
          </cell>
          <cell r="AC139">
            <v>0</v>
          </cell>
          <cell r="AD139">
            <v>0</v>
          </cell>
          <cell r="AE139">
            <v>197.52203835787006</v>
          </cell>
          <cell r="AF139">
            <v>43.081233902503087</v>
          </cell>
          <cell r="AI139">
            <v>43.081233902503087</v>
          </cell>
        </row>
        <row r="140">
          <cell r="E140">
            <v>56</v>
          </cell>
          <cell r="F140" t="str">
            <v>DH</v>
          </cell>
          <cell r="G140">
            <v>0.11021083809358598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10.548655302481038</v>
          </cell>
          <cell r="O140">
            <v>10.548655302481038</v>
          </cell>
          <cell r="P140">
            <v>4.6422717485191649</v>
          </cell>
          <cell r="S140">
            <v>4.6422717485191649</v>
          </cell>
          <cell r="T140">
            <v>9.1994174957524333</v>
          </cell>
          <cell r="W140">
            <v>9.1994174957524333</v>
          </cell>
          <cell r="X140">
            <v>4.0357771346762377</v>
          </cell>
          <cell r="AA140">
            <v>4.0357771346762377</v>
          </cell>
          <cell r="AB140">
            <v>8.6563969782762591</v>
          </cell>
          <cell r="AC140">
            <v>0</v>
          </cell>
          <cell r="AD140">
            <v>0</v>
          </cell>
          <cell r="AE140">
            <v>8.6563969782762591</v>
          </cell>
          <cell r="AF140">
            <v>1.8880336901868624</v>
          </cell>
          <cell r="AI140">
            <v>1.8880336901868624</v>
          </cell>
        </row>
        <row r="141">
          <cell r="E141">
            <v>29</v>
          </cell>
          <cell r="F141" t="str">
            <v>DH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S141">
            <v>0</v>
          </cell>
          <cell r="T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I141">
            <v>0</v>
          </cell>
        </row>
        <row r="142">
          <cell r="E142">
            <v>28</v>
          </cell>
          <cell r="F142" t="str">
            <v>DH</v>
          </cell>
          <cell r="G142">
            <v>0.11021083809358598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48.120185131677005</v>
          </cell>
          <cell r="O142">
            <v>48.120185131677005</v>
          </cell>
          <cell r="P142">
            <v>21.176820131543742</v>
          </cell>
          <cell r="S142">
            <v>21.176820131543742</v>
          </cell>
          <cell r="T142">
            <v>41.965317882278129</v>
          </cell>
          <cell r="W142">
            <v>41.965317882278129</v>
          </cell>
          <cell r="X142">
            <v>18.41015155980433</v>
          </cell>
          <cell r="AA142">
            <v>18.41015155980433</v>
          </cell>
          <cell r="AB142">
            <v>39.488201408000428</v>
          </cell>
          <cell r="AC142">
            <v>0</v>
          </cell>
          <cell r="AD142">
            <v>0</v>
          </cell>
          <cell r="AE142">
            <v>39.488201408000428</v>
          </cell>
          <cell r="AF142">
            <v>8.6127120567933098</v>
          </cell>
          <cell r="AI142">
            <v>8.6127120567933098</v>
          </cell>
        </row>
        <row r="143">
          <cell r="E143">
            <v>86</v>
          </cell>
          <cell r="F143" t="str">
            <v>DH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S143">
            <v>0</v>
          </cell>
          <cell r="T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I143">
            <v>0</v>
          </cell>
        </row>
        <row r="144">
          <cell r="E144">
            <v>60</v>
          </cell>
          <cell r="F144" t="str">
            <v>DH</v>
          </cell>
          <cell r="G144">
            <v>0.11021083809358595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266.00779153765819</v>
          </cell>
          <cell r="O144">
            <v>266.00779153765819</v>
          </cell>
          <cell r="P144">
            <v>117.06520121581779</v>
          </cell>
          <cell r="S144">
            <v>117.06520121581779</v>
          </cell>
          <cell r="T144">
            <v>231.98376108682194</v>
          </cell>
          <cell r="W144">
            <v>231.98376108682194</v>
          </cell>
          <cell r="X144">
            <v>101.77109138080436</v>
          </cell>
          <cell r="AA144">
            <v>101.77109138080436</v>
          </cell>
          <cell r="AB144">
            <v>218.29029168513438</v>
          </cell>
          <cell r="AC144">
            <v>0</v>
          </cell>
          <cell r="AD144">
            <v>0</v>
          </cell>
          <cell r="AE144">
            <v>218.29029168513438</v>
          </cell>
          <cell r="AF144">
            <v>47.610966315031433</v>
          </cell>
          <cell r="AI144">
            <v>47.610966315031433</v>
          </cell>
        </row>
        <row r="145">
          <cell r="E145">
            <v>84</v>
          </cell>
          <cell r="F145" t="str">
            <v>CUST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O145">
            <v>0</v>
          </cell>
          <cell r="P145">
            <v>0</v>
          </cell>
          <cell r="S145">
            <v>0</v>
          </cell>
          <cell r="T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I145">
            <v>0</v>
          </cell>
        </row>
        <row r="146">
          <cell r="E146">
            <v>30</v>
          </cell>
          <cell r="F146" t="str">
            <v>TH</v>
          </cell>
          <cell r="G146">
            <v>0.10792364863995128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2.0122323752089453</v>
          </cell>
          <cell r="O146">
            <v>2.0122323752089453</v>
          </cell>
          <cell r="P146">
            <v>1.0188335424822648</v>
          </cell>
          <cell r="S146">
            <v>1.0188335424822648</v>
          </cell>
          <cell r="T146">
            <v>1.8256225253080067</v>
          </cell>
          <cell r="W146">
            <v>1.8256225253080067</v>
          </cell>
          <cell r="X146">
            <v>0.87735742463692556</v>
          </cell>
          <cell r="AA146">
            <v>0.87735742463692556</v>
          </cell>
          <cell r="AB146">
            <v>1.6348904707634324</v>
          </cell>
          <cell r="AC146">
            <v>0</v>
          </cell>
          <cell r="AD146">
            <v>0</v>
          </cell>
          <cell r="AE146">
            <v>1.6348904707634324</v>
          </cell>
          <cell r="AF146">
            <v>0.4404188771873</v>
          </cell>
          <cell r="AI146">
            <v>0.4404188771873</v>
          </cell>
        </row>
        <row r="147">
          <cell r="E147">
            <v>74</v>
          </cell>
          <cell r="F147" t="str">
            <v>CUST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S147">
            <v>0</v>
          </cell>
          <cell r="T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I147">
            <v>0</v>
          </cell>
        </row>
        <row r="148">
          <cell r="E148">
            <v>87</v>
          </cell>
          <cell r="F148" t="str">
            <v>REV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O148">
            <v>0</v>
          </cell>
          <cell r="P148">
            <v>0</v>
          </cell>
          <cell r="S148">
            <v>0</v>
          </cell>
          <cell r="T148">
            <v>0</v>
          </cell>
          <cell r="W148">
            <v>0</v>
          </cell>
          <cell r="X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I148">
            <v>0</v>
          </cell>
        </row>
        <row r="149">
          <cell r="E149">
            <v>87</v>
          </cell>
          <cell r="F149" t="str">
            <v>REV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S149">
            <v>0</v>
          </cell>
          <cell r="T149">
            <v>0</v>
          </cell>
          <cell r="W149">
            <v>0</v>
          </cell>
          <cell r="X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I149">
            <v>0</v>
          </cell>
        </row>
        <row r="150">
          <cell r="E150">
            <v>56</v>
          </cell>
          <cell r="F150" t="str">
            <v>DH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S150">
            <v>0</v>
          </cell>
          <cell r="T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I150">
            <v>0</v>
          </cell>
        </row>
        <row r="151">
          <cell r="E151">
            <v>42</v>
          </cell>
          <cell r="F151" t="str">
            <v>DH</v>
          </cell>
          <cell r="G151">
            <v>0.11021083809358594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486.50451952948498</v>
          </cell>
          <cell r="O151">
            <v>486.50451952948498</v>
          </cell>
          <cell r="P151">
            <v>214.1018093564422</v>
          </cell>
          <cell r="S151">
            <v>214.1018093564422</v>
          </cell>
          <cell r="T151">
            <v>424.27760320024169</v>
          </cell>
          <cell r="W151">
            <v>424.27760320024169</v>
          </cell>
          <cell r="X151">
            <v>186.1302468924118</v>
          </cell>
          <cell r="AA151">
            <v>186.1302468924118</v>
          </cell>
          <cell r="AB151">
            <v>399.23346929179331</v>
          </cell>
          <cell r="AC151">
            <v>0</v>
          </cell>
          <cell r="AD151">
            <v>0</v>
          </cell>
          <cell r="AE151">
            <v>399.23346929179331</v>
          </cell>
          <cell r="AF151">
            <v>87.076209901730365</v>
          </cell>
          <cell r="AI151">
            <v>87.076209901730365</v>
          </cell>
        </row>
        <row r="152">
          <cell r="E152">
            <v>42</v>
          </cell>
          <cell r="F152" t="str">
            <v>DH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S152">
            <v>0</v>
          </cell>
          <cell r="T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I152">
            <v>0</v>
          </cell>
        </row>
        <row r="153">
          <cell r="E153">
            <v>34</v>
          </cell>
          <cell r="F153" t="str">
            <v>DH</v>
          </cell>
          <cell r="G153">
            <v>0.11021083809358596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1018.4556651176597</v>
          </cell>
          <cell r="O153">
            <v>1018.4556651176597</v>
          </cell>
          <cell r="P153">
            <v>448.20385401947829</v>
          </cell>
          <cell r="S153">
            <v>448.20385401947829</v>
          </cell>
          <cell r="T153">
            <v>888.18892983714693</v>
          </cell>
          <cell r="W153">
            <v>888.18892983714693</v>
          </cell>
          <cell r="X153">
            <v>389.64777671677257</v>
          </cell>
          <cell r="AA153">
            <v>389.64777671677257</v>
          </cell>
          <cell r="AB153">
            <v>835.76117421898209</v>
          </cell>
          <cell r="AC153">
            <v>0</v>
          </cell>
          <cell r="AD153">
            <v>0</v>
          </cell>
          <cell r="AE153">
            <v>835.76117421898209</v>
          </cell>
          <cell r="AF153">
            <v>182.28660929431925</v>
          </cell>
          <cell r="AI153">
            <v>182.28660929431925</v>
          </cell>
        </row>
        <row r="154">
          <cell r="E154">
            <v>75</v>
          </cell>
          <cell r="F154" t="str">
            <v>CUST</v>
          </cell>
          <cell r="G154">
            <v>0.1683087563617382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4784.3163043194572</v>
          </cell>
          <cell r="O154">
            <v>4784.3163043194572</v>
          </cell>
          <cell r="P154">
            <v>141.38953934490408</v>
          </cell>
          <cell r="S154">
            <v>141.38953934490408</v>
          </cell>
          <cell r="T154">
            <v>0</v>
          </cell>
          <cell r="W154">
            <v>0</v>
          </cell>
          <cell r="X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2.8660041759102182</v>
          </cell>
          <cell r="AI154">
            <v>2.8660041759102182</v>
          </cell>
        </row>
        <row r="155">
          <cell r="E155">
            <v>75</v>
          </cell>
          <cell r="F155" t="str">
            <v>CUST</v>
          </cell>
          <cell r="G155">
            <v>0.1683087563617382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369.60059506720597</v>
          </cell>
          <cell r="O155">
            <v>369.60059506720597</v>
          </cell>
          <cell r="P155">
            <v>10.922701291922222</v>
          </cell>
          <cell r="S155">
            <v>10.922701291922222</v>
          </cell>
          <cell r="T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0.22140610726869375</v>
          </cell>
          <cell r="AI155">
            <v>0.22140610726869375</v>
          </cell>
        </row>
        <row r="156">
          <cell r="E156">
            <v>43</v>
          </cell>
          <cell r="F156" t="str">
            <v>DH</v>
          </cell>
          <cell r="G156">
            <v>0.11021083809358594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8224.6681056296711</v>
          </cell>
          <cell r="O156">
            <v>8224.6681056296711</v>
          </cell>
          <cell r="P156">
            <v>3619.5271617919948</v>
          </cell>
          <cell r="S156">
            <v>3619.5271617919948</v>
          </cell>
          <cell r="T156">
            <v>7172.6825361229621</v>
          </cell>
          <cell r="W156">
            <v>7172.6825361229621</v>
          </cell>
          <cell r="X156">
            <v>3146.6501207214724</v>
          </cell>
          <cell r="AA156">
            <v>3146.6501207214724</v>
          </cell>
          <cell r="AB156">
            <v>6749.2955353420784</v>
          </cell>
          <cell r="AC156">
            <v>0</v>
          </cell>
          <cell r="AD156">
            <v>0</v>
          </cell>
          <cell r="AE156">
            <v>6749.2955353420784</v>
          </cell>
          <cell r="AF156">
            <v>1472.0786705753762</v>
          </cell>
          <cell r="AI156">
            <v>1472.0786705753762</v>
          </cell>
        </row>
        <row r="157">
          <cell r="E157">
            <v>43</v>
          </cell>
          <cell r="F157" t="str">
            <v>DH</v>
          </cell>
          <cell r="G157">
            <v>0.11021083809358596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51.609654053428152</v>
          </cell>
          <cell r="O157">
            <v>51.609654053428152</v>
          </cell>
          <cell r="P157">
            <v>22.712472072788898</v>
          </cell>
          <cell r="S157">
            <v>22.712472072788898</v>
          </cell>
          <cell r="T157">
            <v>45.008462295395098</v>
          </cell>
          <cell r="W157">
            <v>45.008462295395098</v>
          </cell>
          <cell r="X157">
            <v>19.745176592165983</v>
          </cell>
          <cell r="AA157">
            <v>19.745176592165983</v>
          </cell>
          <cell r="AB157">
            <v>42.351715985344811</v>
          </cell>
          <cell r="AC157">
            <v>0</v>
          </cell>
          <cell r="AD157">
            <v>0</v>
          </cell>
          <cell r="AE157">
            <v>42.351715985344811</v>
          </cell>
          <cell r="AF157">
            <v>9.2372689027807464</v>
          </cell>
          <cell r="AI157">
            <v>9.2372689027807464</v>
          </cell>
        </row>
        <row r="158">
          <cell r="E158">
            <v>85</v>
          </cell>
          <cell r="F158" t="str">
            <v>DH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S158">
            <v>0</v>
          </cell>
          <cell r="T158">
            <v>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I158">
            <v>0</v>
          </cell>
        </row>
        <row r="159">
          <cell r="E159">
            <v>54</v>
          </cell>
          <cell r="F159" t="str">
            <v>DH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O159">
            <v>0</v>
          </cell>
          <cell r="P159">
            <v>0</v>
          </cell>
          <cell r="S159">
            <v>0</v>
          </cell>
          <cell r="T159">
            <v>0</v>
          </cell>
          <cell r="W159">
            <v>0</v>
          </cell>
          <cell r="X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I159">
            <v>0</v>
          </cell>
        </row>
        <row r="160">
          <cell r="E160">
            <v>54</v>
          </cell>
          <cell r="F160" t="str">
            <v>DH</v>
          </cell>
          <cell r="G160">
            <v>0.11021083809358595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1415.8347869223701</v>
          </cell>
          <cell r="O160">
            <v>1415.8347869223701</v>
          </cell>
          <cell r="P160">
            <v>623.08319339570005</v>
          </cell>
          <cell r="S160">
            <v>623.08319339570005</v>
          </cell>
          <cell r="T160">
            <v>1234.7408211210702</v>
          </cell>
          <cell r="W160">
            <v>1234.7408211210702</v>
          </cell>
          <cell r="X160">
            <v>541.67981564404477</v>
          </cell>
          <cell r="AA160">
            <v>541.67981564404477</v>
          </cell>
          <cell r="AB160">
            <v>1161.8569021181877</v>
          </cell>
          <cell r="AC160">
            <v>0</v>
          </cell>
          <cell r="AD160">
            <v>0</v>
          </cell>
          <cell r="AE160">
            <v>1161.8569021181877</v>
          </cell>
          <cell r="AF160">
            <v>253.41085672021629</v>
          </cell>
          <cell r="AI160">
            <v>253.41085672021629</v>
          </cell>
        </row>
        <row r="161">
          <cell r="E161">
            <v>54</v>
          </cell>
          <cell r="F161" t="str">
            <v>DH</v>
          </cell>
          <cell r="G161">
            <v>0.11021083809358598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205.44132677151256</v>
          </cell>
          <cell r="O161">
            <v>205.44132677151256</v>
          </cell>
          <cell r="P161">
            <v>90.410999307691228</v>
          </cell>
          <cell r="S161">
            <v>90.410999307691228</v>
          </cell>
          <cell r="T161">
            <v>179.16411918473932</v>
          </cell>
          <cell r="W161">
            <v>179.16411918473932</v>
          </cell>
          <cell r="X161">
            <v>78.599156511163287</v>
          </cell>
          <cell r="AA161">
            <v>78.599156511163287</v>
          </cell>
          <cell r="AB161">
            <v>168.58847211167401</v>
          </cell>
          <cell r="AC161">
            <v>0</v>
          </cell>
          <cell r="AD161">
            <v>0</v>
          </cell>
          <cell r="AE161">
            <v>168.58847211167401</v>
          </cell>
          <cell r="AF161">
            <v>36.770577403365778</v>
          </cell>
          <cell r="AI161">
            <v>36.770577403365778</v>
          </cell>
        </row>
        <row r="162">
          <cell r="E162">
            <v>37</v>
          </cell>
          <cell r="F162" t="str">
            <v>DH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O162">
            <v>0</v>
          </cell>
          <cell r="P162">
            <v>0</v>
          </cell>
          <cell r="S162">
            <v>0</v>
          </cell>
          <cell r="T162">
            <v>0</v>
          </cell>
          <cell r="W162">
            <v>0</v>
          </cell>
          <cell r="X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I162">
            <v>0</v>
          </cell>
        </row>
        <row r="163">
          <cell r="E163">
            <v>54</v>
          </cell>
          <cell r="F163" t="str">
            <v>DH</v>
          </cell>
          <cell r="G163">
            <v>0.11021083809358596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2003.17770907316</v>
          </cell>
          <cell r="O163">
            <v>2003.17770907316</v>
          </cell>
          <cell r="P163">
            <v>881.56215360515989</v>
          </cell>
          <cell r="S163">
            <v>881.56215360515989</v>
          </cell>
          <cell r="T163">
            <v>1746.9589758625095</v>
          </cell>
          <cell r="W163">
            <v>1746.9589758625095</v>
          </cell>
          <cell r="X163">
            <v>766.38951251626793</v>
          </cell>
          <cell r="AA163">
            <v>766.38951251626793</v>
          </cell>
          <cell r="AB163">
            <v>1643.8399938703874</v>
          </cell>
          <cell r="AC163">
            <v>0</v>
          </cell>
          <cell r="AD163">
            <v>0</v>
          </cell>
          <cell r="AE163">
            <v>1643.8399938703874</v>
          </cell>
          <cell r="AF163">
            <v>358.53546198176775</v>
          </cell>
          <cell r="AI163">
            <v>358.53546198176775</v>
          </cell>
        </row>
        <row r="164">
          <cell r="E164">
            <v>47</v>
          </cell>
          <cell r="F164" t="str">
            <v>TH</v>
          </cell>
          <cell r="G164">
            <v>0.10792364863995126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2816.2960719836683</v>
          </cell>
          <cell r="O164">
            <v>2816.2960719836683</v>
          </cell>
          <cell r="P164">
            <v>1425.9470919207643</v>
          </cell>
          <cell r="S164">
            <v>1425.9470919207643</v>
          </cell>
          <cell r="T164">
            <v>2555.1191851865342</v>
          </cell>
          <cell r="W164">
            <v>2555.1191851865342</v>
          </cell>
          <cell r="X164">
            <v>1227.9388301135493</v>
          </cell>
          <cell r="AA164">
            <v>1227.9388301135493</v>
          </cell>
          <cell r="AB164">
            <v>2288.1729106741373</v>
          </cell>
          <cell r="AC164">
            <v>0</v>
          </cell>
          <cell r="AD164">
            <v>0</v>
          </cell>
          <cell r="AE164">
            <v>2288.1729106741373</v>
          </cell>
          <cell r="AF164">
            <v>616.40492874052677</v>
          </cell>
          <cell r="AI164">
            <v>616.40492874052677</v>
          </cell>
        </row>
        <row r="165">
          <cell r="E165">
            <v>86</v>
          </cell>
          <cell r="F165" t="str">
            <v>REV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O165">
            <v>0</v>
          </cell>
          <cell r="P165">
            <v>0</v>
          </cell>
          <cell r="S165">
            <v>0</v>
          </cell>
          <cell r="T165">
            <v>0</v>
          </cell>
          <cell r="W165">
            <v>0</v>
          </cell>
          <cell r="X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I165">
            <v>0</v>
          </cell>
        </row>
        <row r="166">
          <cell r="E166">
            <v>54</v>
          </cell>
          <cell r="F166" t="str">
            <v>DH</v>
          </cell>
          <cell r="G166">
            <v>0.11021083809358595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156.0043496572238</v>
          </cell>
          <cell r="O166">
            <v>156.0043496572238</v>
          </cell>
          <cell r="P166">
            <v>68.654682923377024</v>
          </cell>
          <cell r="S166">
            <v>68.654682923377024</v>
          </cell>
          <cell r="T166">
            <v>136.05043510262377</v>
          </cell>
          <cell r="W166">
            <v>136.05043510262377</v>
          </cell>
          <cell r="X166">
            <v>59.685217613336867</v>
          </cell>
          <cell r="AA166">
            <v>59.685217613336867</v>
          </cell>
          <cell r="AB166">
            <v>128.01968992703016</v>
          </cell>
          <cell r="AC166">
            <v>0</v>
          </cell>
          <cell r="AD166">
            <v>0</v>
          </cell>
          <cell r="AE166">
            <v>128.01968992703016</v>
          </cell>
          <cell r="AF166">
            <v>27.922181503006723</v>
          </cell>
          <cell r="AI166">
            <v>27.922181503006723</v>
          </cell>
        </row>
        <row r="167">
          <cell r="E167">
            <v>34</v>
          </cell>
          <cell r="F167" t="str">
            <v>DH</v>
          </cell>
          <cell r="G167">
            <v>0.11021083809358595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45.065967569833091</v>
          </cell>
          <cell r="O167">
            <v>45.065967569833091</v>
          </cell>
          <cell r="P167">
            <v>19.832714414311301</v>
          </cell>
          <cell r="S167">
            <v>19.832714414311301</v>
          </cell>
          <cell r="T167">
            <v>39.301753506669719</v>
          </cell>
          <cell r="W167">
            <v>39.301753506669719</v>
          </cell>
          <cell r="X167">
            <v>17.241647987835574</v>
          </cell>
          <cell r="AA167">
            <v>17.241647987835574</v>
          </cell>
          <cell r="AB167">
            <v>36.981861129052682</v>
          </cell>
          <cell r="AC167">
            <v>0</v>
          </cell>
          <cell r="AD167">
            <v>0</v>
          </cell>
          <cell r="AE167">
            <v>36.981861129052682</v>
          </cell>
          <cell r="AF167">
            <v>8.066057958373257</v>
          </cell>
          <cell r="AI167">
            <v>8.066057958373257</v>
          </cell>
        </row>
        <row r="168">
          <cell r="E168">
            <v>47</v>
          </cell>
          <cell r="F168" t="str">
            <v>TH</v>
          </cell>
          <cell r="G168">
            <v>0.10792364863995128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226.53631991251552</v>
          </cell>
          <cell r="O168">
            <v>226.53631991251552</v>
          </cell>
          <cell r="P168">
            <v>114.69987470676581</v>
          </cell>
          <cell r="S168">
            <v>114.69987470676581</v>
          </cell>
          <cell r="T168">
            <v>205.52785728324491</v>
          </cell>
          <cell r="W168">
            <v>205.52785728324491</v>
          </cell>
          <cell r="X168">
            <v>98.772549668640167</v>
          </cell>
          <cell r="AA168">
            <v>98.772549668640167</v>
          </cell>
          <cell r="AB168">
            <v>184.05531849587229</v>
          </cell>
          <cell r="AC168">
            <v>0</v>
          </cell>
          <cell r="AD168">
            <v>0</v>
          </cell>
          <cell r="AE168">
            <v>184.05531849587229</v>
          </cell>
          <cell r="AF168">
            <v>49.582181902650838</v>
          </cell>
          <cell r="AI168">
            <v>49.582181902650838</v>
          </cell>
        </row>
        <row r="169">
          <cell r="E169">
            <v>46</v>
          </cell>
          <cell r="F169" t="str">
            <v>DH</v>
          </cell>
          <cell r="G169">
            <v>0.11021083809358598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4.6239863458273778</v>
          </cell>
          <cell r="O169">
            <v>4.6239863458273778</v>
          </cell>
          <cell r="P169">
            <v>2.0349324689492945</v>
          </cell>
          <cell r="S169">
            <v>2.0349324689492945</v>
          </cell>
          <cell r="T169">
            <v>4.0325500900498499</v>
          </cell>
          <cell r="W169">
            <v>4.0325500900498499</v>
          </cell>
          <cell r="X169">
            <v>1.7690765154830794</v>
          </cell>
          <cell r="AA169">
            <v>1.7690765154830794</v>
          </cell>
          <cell r="AB169">
            <v>3.7945179062014138</v>
          </cell>
          <cell r="AC169">
            <v>0</v>
          </cell>
          <cell r="AD169">
            <v>0</v>
          </cell>
          <cell r="AE169">
            <v>3.7945179062014138</v>
          </cell>
          <cell r="AF169">
            <v>0.8276165779948067</v>
          </cell>
          <cell r="AI169">
            <v>0.8276165779948067</v>
          </cell>
        </row>
        <row r="170">
          <cell r="E170">
            <v>46</v>
          </cell>
          <cell r="F170" t="str">
            <v>DH</v>
          </cell>
          <cell r="G170">
            <v>0.11021083809358595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2571.5103792303044</v>
          </cell>
          <cell r="O170">
            <v>2571.5103792303044</v>
          </cell>
          <cell r="P170">
            <v>1131.675046933889</v>
          </cell>
          <cell r="S170">
            <v>1131.675046933889</v>
          </cell>
          <cell r="T170">
            <v>2242.5984066079268</v>
          </cell>
          <cell r="W170">
            <v>2242.5984066079268</v>
          </cell>
          <cell r="X170">
            <v>983.82613636444955</v>
          </cell>
          <cell r="AA170">
            <v>983.82613636444955</v>
          </cell>
          <cell r="AB170">
            <v>2110.2229656835689</v>
          </cell>
          <cell r="AC170">
            <v>0</v>
          </cell>
          <cell r="AD170">
            <v>0</v>
          </cell>
          <cell r="AE170">
            <v>2110.2229656835689</v>
          </cell>
          <cell r="AF170">
            <v>460.2575486100198</v>
          </cell>
          <cell r="AI170">
            <v>460.2575486100198</v>
          </cell>
        </row>
        <row r="171">
          <cell r="E171">
            <v>46</v>
          </cell>
          <cell r="F171" t="str">
            <v>DH</v>
          </cell>
          <cell r="G171">
            <v>0.11021083809358595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1554.1307604835738</v>
          </cell>
          <cell r="O171">
            <v>1554.1307604835738</v>
          </cell>
          <cell r="P171">
            <v>683.94474139283</v>
          </cell>
          <cell r="S171">
            <v>683.94474139283</v>
          </cell>
          <cell r="T171">
            <v>1355.3478902014128</v>
          </cell>
          <cell r="W171">
            <v>1355.3478902014128</v>
          </cell>
          <cell r="X171">
            <v>594.59004087292521</v>
          </cell>
          <cell r="AA171">
            <v>594.59004087292521</v>
          </cell>
          <cell r="AB171">
            <v>1275.3448125025009</v>
          </cell>
          <cell r="AC171">
            <v>0</v>
          </cell>
          <cell r="AD171">
            <v>0</v>
          </cell>
          <cell r="AE171">
            <v>1275.3448125025009</v>
          </cell>
          <cell r="AF171">
            <v>278.16353370259259</v>
          </cell>
          <cell r="AI171">
            <v>278.16353370259259</v>
          </cell>
        </row>
        <row r="172">
          <cell r="E172">
            <v>46</v>
          </cell>
          <cell r="F172" t="str">
            <v>DH</v>
          </cell>
          <cell r="G172">
            <v>0.11021083809358595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274.96579553717464</v>
          </cell>
          <cell r="O172">
            <v>274.96579553717464</v>
          </cell>
          <cell r="P172">
            <v>121.00745619501841</v>
          </cell>
          <cell r="S172">
            <v>121.00745619501841</v>
          </cell>
          <cell r="T172">
            <v>239.79598135159725</v>
          </cell>
          <cell r="W172">
            <v>239.79598135159725</v>
          </cell>
          <cell r="X172">
            <v>105.19830619415443</v>
          </cell>
          <cell r="AA172">
            <v>105.19830619415443</v>
          </cell>
          <cell r="AB172">
            <v>225.64137450367735</v>
          </cell>
          <cell r="AC172">
            <v>0</v>
          </cell>
          <cell r="AD172">
            <v>0</v>
          </cell>
          <cell r="AE172">
            <v>225.64137450367735</v>
          </cell>
          <cell r="AF172">
            <v>49.214299902388085</v>
          </cell>
          <cell r="AI172">
            <v>49.214299902388085</v>
          </cell>
        </row>
        <row r="173">
          <cell r="E173">
            <v>27</v>
          </cell>
          <cell r="F173" t="str">
            <v>DH</v>
          </cell>
          <cell r="G173">
            <v>0.11021083809358596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746.50470867796435</v>
          </cell>
          <cell r="O173">
            <v>746.50470867796435</v>
          </cell>
          <cell r="P173">
            <v>328.52317379421476</v>
          </cell>
          <cell r="S173">
            <v>328.52317379421476</v>
          </cell>
          <cell r="T173">
            <v>651.02217114426207</v>
          </cell>
          <cell r="W173">
            <v>651.02217114426207</v>
          </cell>
          <cell r="X173">
            <v>285.60290841071304</v>
          </cell>
          <cell r="AA173">
            <v>285.60290841071304</v>
          </cell>
          <cell r="AB173">
            <v>612.59382539014814</v>
          </cell>
          <cell r="AC173">
            <v>0</v>
          </cell>
          <cell r="AD173">
            <v>0</v>
          </cell>
          <cell r="AE173">
            <v>612.59382539014814</v>
          </cell>
          <cell r="AF173">
            <v>133.61191540078377</v>
          </cell>
          <cell r="AI173">
            <v>133.61191540078377</v>
          </cell>
        </row>
        <row r="174">
          <cell r="E174">
            <v>27</v>
          </cell>
          <cell r="F174" t="str">
            <v>DH</v>
          </cell>
          <cell r="G174">
            <v>0.11021083809358595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551.57773021346384</v>
          </cell>
          <cell r="O174">
            <v>551.57773021346384</v>
          </cell>
          <cell r="P174">
            <v>242.73934834898273</v>
          </cell>
          <cell r="S174">
            <v>242.73934834898273</v>
          </cell>
          <cell r="T174">
            <v>481.0275505352522</v>
          </cell>
          <cell r="W174">
            <v>481.0275505352522</v>
          </cell>
          <cell r="X174">
            <v>211.02640362782083</v>
          </cell>
          <cell r="AA174">
            <v>211.02640362782083</v>
          </cell>
          <cell r="AB174">
            <v>452.63359738196243</v>
          </cell>
          <cell r="AC174">
            <v>0</v>
          </cell>
          <cell r="AD174">
            <v>0</v>
          </cell>
          <cell r="AE174">
            <v>452.63359738196243</v>
          </cell>
          <cell r="AF174">
            <v>98.723231306542317</v>
          </cell>
          <cell r="AI174">
            <v>98.723231306542317</v>
          </cell>
        </row>
        <row r="175">
          <cell r="E175">
            <v>46</v>
          </cell>
          <cell r="F175" t="str">
            <v>DH</v>
          </cell>
          <cell r="G175">
            <v>0.11021083809358595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1033.0987857489456</v>
          </cell>
          <cell r="O175">
            <v>1033.0987857489456</v>
          </cell>
          <cell r="P175">
            <v>454.64802564776056</v>
          </cell>
          <cell r="S175">
            <v>454.64802564776056</v>
          </cell>
          <cell r="T175">
            <v>900.95910539650799</v>
          </cell>
          <cell r="W175">
            <v>900.95910539650799</v>
          </cell>
          <cell r="X175">
            <v>395.25004257241682</v>
          </cell>
          <cell r="AA175">
            <v>395.25004257241682</v>
          </cell>
          <cell r="AB175">
            <v>847.7775556012981</v>
          </cell>
          <cell r="AC175">
            <v>0</v>
          </cell>
          <cell r="AD175">
            <v>0</v>
          </cell>
          <cell r="AE175">
            <v>847.7775556012981</v>
          </cell>
          <cell r="AF175">
            <v>184.90748411566602</v>
          </cell>
          <cell r="AI175">
            <v>184.90748411566602</v>
          </cell>
        </row>
        <row r="176">
          <cell r="E176">
            <v>46</v>
          </cell>
          <cell r="F176" t="str">
            <v>DH</v>
          </cell>
          <cell r="G176">
            <v>0.11021083809358596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-391.0451554760262</v>
          </cell>
          <cell r="O176">
            <v>-391.0451554760262</v>
          </cell>
          <cell r="P176">
            <v>-172.09187575165853</v>
          </cell>
          <cell r="S176">
            <v>-172.09187575165853</v>
          </cell>
          <cell r="T176">
            <v>-341.02807815412092</v>
          </cell>
          <cell r="W176">
            <v>-341.02807815412092</v>
          </cell>
          <cell r="X176">
            <v>-149.60874650296668</v>
          </cell>
          <cell r="AA176">
            <v>-149.60874650296668</v>
          </cell>
          <cell r="AB176">
            <v>-320.89797279053022</v>
          </cell>
          <cell r="AC176">
            <v>0</v>
          </cell>
          <cell r="AD176">
            <v>0</v>
          </cell>
          <cell r="AE176">
            <v>-320.89797279053022</v>
          </cell>
          <cell r="AF176">
            <v>-69.990572897897977</v>
          </cell>
          <cell r="AI176">
            <v>-69.990572897897977</v>
          </cell>
        </row>
        <row r="177">
          <cell r="E177">
            <v>62</v>
          </cell>
          <cell r="F177" t="str">
            <v>CUST</v>
          </cell>
          <cell r="G177">
            <v>3.3286414346783443E-2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O177">
            <v>0</v>
          </cell>
          <cell r="P177">
            <v>4665.9718695652173</v>
          </cell>
          <cell r="S177">
            <v>4665.9718695652173</v>
          </cell>
          <cell r="T177">
            <v>0</v>
          </cell>
          <cell r="W177">
            <v>0</v>
          </cell>
          <cell r="X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1126.8009064748203</v>
          </cell>
          <cell r="AI177">
            <v>1126.8009064748203</v>
          </cell>
        </row>
        <row r="178">
          <cell r="E178">
            <v>62</v>
          </cell>
          <cell r="F178" t="str">
            <v>CUST</v>
          </cell>
          <cell r="G178">
            <v>0.16830875636173823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81.691243638261781</v>
          </cell>
          <cell r="O178">
            <v>81.691243638261781</v>
          </cell>
          <cell r="P178">
            <v>2.4141980947409629</v>
          </cell>
          <cell r="S178">
            <v>2.4141980947409629</v>
          </cell>
          <cell r="T178">
            <v>0</v>
          </cell>
          <cell r="W178">
            <v>0</v>
          </cell>
          <cell r="X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4.8936447866370879E-2</v>
          </cell>
          <cell r="AI178">
            <v>4.8936447866370879E-2</v>
          </cell>
        </row>
        <row r="179">
          <cell r="E179">
            <v>62</v>
          </cell>
          <cell r="F179" t="str">
            <v>CUST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O179">
            <v>0</v>
          </cell>
          <cell r="P179">
            <v>0</v>
          </cell>
          <cell r="S179">
            <v>0</v>
          </cell>
          <cell r="T179">
            <v>0</v>
          </cell>
          <cell r="W179">
            <v>0</v>
          </cell>
          <cell r="X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I179">
            <v>0</v>
          </cell>
        </row>
        <row r="180">
          <cell r="E180">
            <v>62</v>
          </cell>
          <cell r="F180" t="str">
            <v>CUST</v>
          </cell>
          <cell r="G180">
            <v>3.3286414346783449E-2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O180">
            <v>0</v>
          </cell>
          <cell r="P180">
            <v>2300.8289130434782</v>
          </cell>
          <cell r="S180">
            <v>2300.8289130434782</v>
          </cell>
          <cell r="T180">
            <v>0</v>
          </cell>
          <cell r="W180">
            <v>0</v>
          </cell>
          <cell r="X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555.63474820143892</v>
          </cell>
          <cell r="AI180">
            <v>555.63474820143892</v>
          </cell>
        </row>
        <row r="181">
          <cell r="E181">
            <v>63</v>
          </cell>
          <cell r="F181" t="str">
            <v>CUST</v>
          </cell>
          <cell r="G181">
            <v>3.3286414346783443E-2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O181">
            <v>0</v>
          </cell>
          <cell r="P181">
            <v>620.02481884057966</v>
          </cell>
          <cell r="S181">
            <v>620.02481884057966</v>
          </cell>
          <cell r="T181">
            <v>0</v>
          </cell>
          <cell r="W181">
            <v>0</v>
          </cell>
          <cell r="X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149.73183453237411</v>
          </cell>
          <cell r="AI181">
            <v>149.73183453237411</v>
          </cell>
        </row>
        <row r="182">
          <cell r="E182">
            <v>64</v>
          </cell>
          <cell r="F182" t="str">
            <v>CUST</v>
          </cell>
          <cell r="G182">
            <v>3.3286414346783443E-2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O182">
            <v>0</v>
          </cell>
          <cell r="P182">
            <v>797.544384057971</v>
          </cell>
          <cell r="S182">
            <v>797.544384057971</v>
          </cell>
          <cell r="T182">
            <v>0</v>
          </cell>
          <cell r="W182">
            <v>0</v>
          </cell>
          <cell r="X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192.60161870503597</v>
          </cell>
          <cell r="AI182">
            <v>192.60161870503597</v>
          </cell>
        </row>
        <row r="183">
          <cell r="E183">
            <v>62</v>
          </cell>
          <cell r="F183" t="str">
            <v>CUST</v>
          </cell>
          <cell r="G183">
            <v>3.3286414346783443E-2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O183">
            <v>0</v>
          </cell>
          <cell r="P183">
            <v>-46.133637681159421</v>
          </cell>
          <cell r="S183">
            <v>-46.133637681159421</v>
          </cell>
          <cell r="T183">
            <v>0</v>
          </cell>
          <cell r="W183">
            <v>0</v>
          </cell>
          <cell r="X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-11.140964028776979</v>
          </cell>
          <cell r="AI183">
            <v>-11.140964028776979</v>
          </cell>
        </row>
        <row r="184">
          <cell r="E184">
            <v>62</v>
          </cell>
          <cell r="F184" t="str">
            <v>CUST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O184">
            <v>0</v>
          </cell>
          <cell r="P184">
            <v>0</v>
          </cell>
          <cell r="S184">
            <v>0</v>
          </cell>
          <cell r="T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I184">
            <v>0</v>
          </cell>
        </row>
        <row r="185">
          <cell r="E185">
            <v>86</v>
          </cell>
          <cell r="F185" t="str">
            <v>CUST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O185">
            <v>0</v>
          </cell>
          <cell r="P185">
            <v>0</v>
          </cell>
          <cell r="S185">
            <v>0</v>
          </cell>
          <cell r="T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I185">
            <v>0</v>
          </cell>
        </row>
        <row r="186">
          <cell r="E186">
            <v>66</v>
          </cell>
          <cell r="F186" t="str">
            <v>CUST</v>
          </cell>
          <cell r="G186">
            <v>3.3286414346783443E-2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O186">
            <v>0</v>
          </cell>
          <cell r="P186">
            <v>71.94569565217391</v>
          </cell>
          <cell r="S186">
            <v>71.94569565217391</v>
          </cell>
          <cell r="T186">
            <v>0</v>
          </cell>
          <cell r="W186">
            <v>0</v>
          </cell>
          <cell r="X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17.374402877697843</v>
          </cell>
          <cell r="AI186">
            <v>17.374402877697843</v>
          </cell>
        </row>
        <row r="187">
          <cell r="E187">
            <v>62</v>
          </cell>
          <cell r="F187" t="str">
            <v>CUST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O187">
            <v>0</v>
          </cell>
          <cell r="P187">
            <v>0</v>
          </cell>
          <cell r="S187">
            <v>0</v>
          </cell>
          <cell r="T187">
            <v>0</v>
          </cell>
          <cell r="W187">
            <v>0</v>
          </cell>
          <cell r="X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I187">
            <v>0</v>
          </cell>
        </row>
        <row r="188">
          <cell r="E188">
            <v>74</v>
          </cell>
          <cell r="F188" t="str">
            <v>CUST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O188">
            <v>0</v>
          </cell>
          <cell r="P188">
            <v>0</v>
          </cell>
          <cell r="S188">
            <v>0</v>
          </cell>
          <cell r="T188">
            <v>0</v>
          </cell>
          <cell r="W188">
            <v>0</v>
          </cell>
          <cell r="X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I188">
            <v>0</v>
          </cell>
        </row>
        <row r="189">
          <cell r="E189">
            <v>78</v>
          </cell>
          <cell r="F189" t="str">
            <v>CUST</v>
          </cell>
          <cell r="G189">
            <v>3.3286414346783443E-2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O189">
            <v>0</v>
          </cell>
          <cell r="P189">
            <v>168.53768115942029</v>
          </cell>
          <cell r="S189">
            <v>168.53768115942029</v>
          </cell>
          <cell r="T189">
            <v>0</v>
          </cell>
          <cell r="W189">
            <v>0</v>
          </cell>
          <cell r="X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40.700719424460431</v>
          </cell>
          <cell r="AI189">
            <v>40.700719424460431</v>
          </cell>
        </row>
        <row r="190">
          <cell r="E190">
            <v>87</v>
          </cell>
          <cell r="F190" t="str">
            <v>ACT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O190">
            <v>0</v>
          </cell>
          <cell r="P190">
            <v>0</v>
          </cell>
          <cell r="S190">
            <v>0</v>
          </cell>
          <cell r="T190">
            <v>0</v>
          </cell>
          <cell r="W190">
            <v>0</v>
          </cell>
          <cell r="X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I190">
            <v>0</v>
          </cell>
        </row>
        <row r="191">
          <cell r="E191">
            <v>87</v>
          </cell>
          <cell r="F191" t="str">
            <v>ACT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O191">
            <v>0</v>
          </cell>
          <cell r="P191">
            <v>0</v>
          </cell>
          <cell r="S191">
            <v>0</v>
          </cell>
          <cell r="T191">
            <v>0</v>
          </cell>
          <cell r="W191">
            <v>0</v>
          </cell>
          <cell r="X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I191">
            <v>0</v>
          </cell>
        </row>
        <row r="192">
          <cell r="E192">
            <v>87</v>
          </cell>
          <cell r="F192" t="str">
            <v>ACT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O192">
            <v>0</v>
          </cell>
          <cell r="P192">
            <v>0</v>
          </cell>
          <cell r="S192">
            <v>0</v>
          </cell>
          <cell r="T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I192">
            <v>0</v>
          </cell>
        </row>
        <row r="193">
          <cell r="E193">
            <v>87</v>
          </cell>
          <cell r="F193" t="str">
            <v>ACT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O193">
            <v>0</v>
          </cell>
          <cell r="P193">
            <v>0</v>
          </cell>
          <cell r="S193">
            <v>0</v>
          </cell>
          <cell r="T193">
            <v>0</v>
          </cell>
          <cell r="W193">
            <v>0</v>
          </cell>
          <cell r="X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I193">
            <v>0</v>
          </cell>
        </row>
        <row r="194">
          <cell r="E194">
            <v>84</v>
          </cell>
          <cell r="F194" t="str">
            <v>CUST</v>
          </cell>
          <cell r="G194">
            <v>3.3286414346783443E-2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O194">
            <v>0</v>
          </cell>
          <cell r="P194">
            <v>9.3162246376811595</v>
          </cell>
          <cell r="S194">
            <v>9.3162246376811595</v>
          </cell>
          <cell r="T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2.2498057553956836</v>
          </cell>
          <cell r="AI194">
            <v>2.2498057553956836</v>
          </cell>
        </row>
        <row r="195">
          <cell r="E195">
            <v>69</v>
          </cell>
          <cell r="F195" t="str">
            <v>ACT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O195">
            <v>0</v>
          </cell>
          <cell r="P195">
            <v>0</v>
          </cell>
          <cell r="S195">
            <v>0</v>
          </cell>
          <cell r="T195">
            <v>0</v>
          </cell>
          <cell r="W195">
            <v>0</v>
          </cell>
          <cell r="X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I195">
            <v>0</v>
          </cell>
        </row>
        <row r="196">
          <cell r="E196">
            <v>71</v>
          </cell>
          <cell r="F196" t="str">
            <v>ACT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O196">
            <v>0</v>
          </cell>
          <cell r="P196">
            <v>0</v>
          </cell>
          <cell r="S196">
            <v>0</v>
          </cell>
          <cell r="T196">
            <v>0</v>
          </cell>
          <cell r="W196">
            <v>0</v>
          </cell>
          <cell r="X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I196">
            <v>0</v>
          </cell>
        </row>
        <row r="197">
          <cell r="E197">
            <v>62</v>
          </cell>
          <cell r="F197" t="str">
            <v>CUST</v>
          </cell>
          <cell r="G197">
            <v>0.16830875636173823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43522.800839869538</v>
          </cell>
          <cell r="O197">
            <v>43522.800839869538</v>
          </cell>
          <cell r="P197">
            <v>1286.2169577277739</v>
          </cell>
          <cell r="S197">
            <v>1286.2169577277739</v>
          </cell>
          <cell r="T197">
            <v>0</v>
          </cell>
          <cell r="W197">
            <v>0</v>
          </cell>
          <cell r="X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26.07196535934677</v>
          </cell>
          <cell r="AI197">
            <v>26.07196535934677</v>
          </cell>
        </row>
        <row r="198">
          <cell r="E198">
            <v>62</v>
          </cell>
          <cell r="F198" t="str">
            <v>CUST</v>
          </cell>
          <cell r="G198">
            <v>0.16830875636173823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61031.334698520157</v>
          </cell>
          <cell r="O198">
            <v>61031.334698520157</v>
          </cell>
          <cell r="P198">
            <v>1803.6416803875766</v>
          </cell>
          <cell r="S198">
            <v>1803.6416803875766</v>
          </cell>
          <cell r="T198">
            <v>0</v>
          </cell>
          <cell r="W198">
            <v>0</v>
          </cell>
          <cell r="X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36.560304332180607</v>
          </cell>
          <cell r="AI198">
            <v>36.560304332180607</v>
          </cell>
        </row>
        <row r="199">
          <cell r="E199">
            <v>62</v>
          </cell>
          <cell r="F199" t="str">
            <v>CUST</v>
          </cell>
          <cell r="G199">
            <v>0.1683087563617382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5873.4321336291268</v>
          </cell>
          <cell r="O199">
            <v>5873.4321336291268</v>
          </cell>
          <cell r="P199">
            <v>173.57586976380009</v>
          </cell>
          <cell r="S199">
            <v>173.57586976380009</v>
          </cell>
          <cell r="T199">
            <v>0</v>
          </cell>
          <cell r="W199">
            <v>0</v>
          </cell>
          <cell r="X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3.5184297925094619</v>
          </cell>
          <cell r="AI199">
            <v>3.5184297925094619</v>
          </cell>
        </row>
        <row r="200">
          <cell r="E200">
            <v>62</v>
          </cell>
          <cell r="F200" t="str">
            <v>CUST</v>
          </cell>
          <cell r="G200">
            <v>0.1683087563617382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102.22515463917526</v>
          </cell>
          <cell r="O200">
            <v>102.22515463917526</v>
          </cell>
          <cell r="P200">
            <v>3.0210309278350511</v>
          </cell>
          <cell r="S200">
            <v>3.0210309278350511</v>
          </cell>
          <cell r="T200">
            <v>0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6.1237113402061859E-2</v>
          </cell>
          <cell r="AI200">
            <v>6.1237113402061859E-2</v>
          </cell>
        </row>
        <row r="201">
          <cell r="E201">
            <v>62</v>
          </cell>
          <cell r="F201" t="str">
            <v>DH</v>
          </cell>
          <cell r="G201">
            <v>0.11021083809358594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573.97095028205649</v>
          </cell>
          <cell r="O201">
            <v>573.97095028205649</v>
          </cell>
          <cell r="P201">
            <v>252.59419808118983</v>
          </cell>
          <cell r="S201">
            <v>252.59419808118983</v>
          </cell>
          <cell r="T201">
            <v>500.55654021005876</v>
          </cell>
          <cell r="W201">
            <v>500.55654021005876</v>
          </cell>
          <cell r="X201">
            <v>219.59375585738351</v>
          </cell>
          <cell r="AA201">
            <v>219.59375585738351</v>
          </cell>
          <cell r="AB201">
            <v>471.0098355826787</v>
          </cell>
          <cell r="AC201">
            <v>0</v>
          </cell>
          <cell r="AD201">
            <v>0</v>
          </cell>
          <cell r="AE201">
            <v>471.0098355826787</v>
          </cell>
          <cell r="AF201">
            <v>102.73124490722633</v>
          </cell>
          <cell r="AI201">
            <v>102.73124490722633</v>
          </cell>
        </row>
        <row r="202">
          <cell r="E202">
            <v>62</v>
          </cell>
          <cell r="F202" t="str">
            <v>CUST</v>
          </cell>
          <cell r="G202">
            <v>0.1683087563617382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5629.3305285136366</v>
          </cell>
          <cell r="O202">
            <v>5629.3305285136366</v>
          </cell>
          <cell r="P202">
            <v>166.36200443690458</v>
          </cell>
          <cell r="S202">
            <v>166.36200443690458</v>
          </cell>
          <cell r="T202">
            <v>0</v>
          </cell>
          <cell r="W202">
            <v>0</v>
          </cell>
          <cell r="X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3.3722027926399587</v>
          </cell>
          <cell r="AI202">
            <v>3.3722027926399587</v>
          </cell>
        </row>
        <row r="203">
          <cell r="E203">
            <v>63</v>
          </cell>
          <cell r="F203" t="str">
            <v>CUST</v>
          </cell>
          <cell r="G203">
            <v>0.16830875636173823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11430.114914663713</v>
          </cell>
          <cell r="O203">
            <v>11430.114914663713</v>
          </cell>
          <cell r="P203">
            <v>337.79093597648352</v>
          </cell>
          <cell r="S203">
            <v>337.79093597648352</v>
          </cell>
          <cell r="T203">
            <v>0</v>
          </cell>
          <cell r="W203">
            <v>0</v>
          </cell>
          <cell r="X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6.8471135670908829</v>
          </cell>
          <cell r="AI203">
            <v>6.8471135670908829</v>
          </cell>
        </row>
        <row r="204">
          <cell r="E204">
            <v>64</v>
          </cell>
          <cell r="F204" t="str">
            <v>CUST</v>
          </cell>
          <cell r="G204">
            <v>0.1683087563617382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28572.386558788989</v>
          </cell>
          <cell r="O204">
            <v>28572.386558788989</v>
          </cell>
          <cell r="P204">
            <v>844.39161555526562</v>
          </cell>
          <cell r="S204">
            <v>844.39161555526562</v>
          </cell>
          <cell r="T204">
            <v>0</v>
          </cell>
          <cell r="W204">
            <v>0</v>
          </cell>
          <cell r="X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17.116046261255384</v>
          </cell>
          <cell r="AI204">
            <v>17.116046261255384</v>
          </cell>
        </row>
        <row r="205">
          <cell r="E205">
            <v>62</v>
          </cell>
          <cell r="F205" t="str">
            <v>CUST</v>
          </cell>
          <cell r="G205">
            <v>0.16830875636173823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4352.948959937361</v>
          </cell>
          <cell r="O205">
            <v>4352.948959937361</v>
          </cell>
          <cell r="P205">
            <v>128.64146287354822</v>
          </cell>
          <cell r="S205">
            <v>128.64146287354822</v>
          </cell>
          <cell r="T205">
            <v>0</v>
          </cell>
          <cell r="W205">
            <v>0</v>
          </cell>
          <cell r="X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2.6075972204097613</v>
          </cell>
          <cell r="AI205">
            <v>2.6075972204097613</v>
          </cell>
        </row>
        <row r="206">
          <cell r="E206">
            <v>62</v>
          </cell>
          <cell r="F206" t="str">
            <v>CUST</v>
          </cell>
          <cell r="G206">
            <v>0.16830875636173825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1099.4530392796555</v>
          </cell>
          <cell r="O206">
            <v>1099.4530392796555</v>
          </cell>
          <cell r="P206">
            <v>32.491823045804516</v>
          </cell>
          <cell r="S206">
            <v>32.491823045804516</v>
          </cell>
          <cell r="T206">
            <v>0</v>
          </cell>
          <cell r="W206">
            <v>0</v>
          </cell>
          <cell r="X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0.65861803471225377</v>
          </cell>
          <cell r="AI206">
            <v>0.65861803471225377</v>
          </cell>
        </row>
        <row r="207">
          <cell r="E207">
            <v>72</v>
          </cell>
          <cell r="F207" t="str">
            <v>DH</v>
          </cell>
          <cell r="G207">
            <v>0.11021083809358594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67.182046779375838</v>
          </cell>
          <cell r="O207">
            <v>67.182046779375838</v>
          </cell>
          <cell r="P207">
            <v>29.565599484347167</v>
          </cell>
          <cell r="S207">
            <v>29.565599484347167</v>
          </cell>
          <cell r="T207">
            <v>58.589050340595236</v>
          </cell>
          <cell r="W207">
            <v>58.589050340595236</v>
          </cell>
          <cell r="X207">
            <v>25.70296976043803</v>
          </cell>
          <cell r="AA207">
            <v>25.70296976043803</v>
          </cell>
          <cell r="AB207">
            <v>55.130673063003762</v>
          </cell>
          <cell r="AC207">
            <v>0</v>
          </cell>
          <cell r="AD207">
            <v>0</v>
          </cell>
          <cell r="AE207">
            <v>55.130673063003762</v>
          </cell>
          <cell r="AF207">
            <v>12.024467958995515</v>
          </cell>
          <cell r="AI207">
            <v>12.024467958995515</v>
          </cell>
        </row>
        <row r="208">
          <cell r="E208">
            <v>86</v>
          </cell>
          <cell r="F208" t="str">
            <v>CUST</v>
          </cell>
          <cell r="G208">
            <v>0.16830875636173823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10420.773576928095</v>
          </cell>
          <cell r="O208">
            <v>10420.773576928095</v>
          </cell>
          <cell r="P208">
            <v>307.96215842359391</v>
          </cell>
          <cell r="S208">
            <v>307.96215842359391</v>
          </cell>
          <cell r="T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6.2424761842620384</v>
          </cell>
          <cell r="AI208">
            <v>6.2424761842620384</v>
          </cell>
        </row>
        <row r="209">
          <cell r="E209">
            <v>61</v>
          </cell>
          <cell r="F209" t="str">
            <v>CUST</v>
          </cell>
          <cell r="G209">
            <v>0.16830875636173823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3586.7651520292316</v>
          </cell>
          <cell r="O209">
            <v>3586.7651520292316</v>
          </cell>
          <cell r="P209">
            <v>105.99865065901082</v>
          </cell>
          <cell r="S209">
            <v>105.99865065901082</v>
          </cell>
          <cell r="T209">
            <v>0</v>
          </cell>
          <cell r="W209">
            <v>0</v>
          </cell>
          <cell r="X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2.1486212971421117</v>
          </cell>
          <cell r="AI209">
            <v>2.1486212971421117</v>
          </cell>
        </row>
        <row r="210">
          <cell r="E210">
            <v>61</v>
          </cell>
          <cell r="F210" t="str">
            <v>CUST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O210">
            <v>0</v>
          </cell>
          <cell r="P210">
            <v>0</v>
          </cell>
          <cell r="S210">
            <v>0</v>
          </cell>
          <cell r="T210">
            <v>0</v>
          </cell>
          <cell r="W210">
            <v>0</v>
          </cell>
          <cell r="X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I210">
            <v>0</v>
          </cell>
        </row>
        <row r="211">
          <cell r="E211">
            <v>70</v>
          </cell>
          <cell r="F211" t="str">
            <v>REV</v>
          </cell>
          <cell r="G211">
            <v>0.12050036179656672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897.68374755168111</v>
          </cell>
          <cell r="O211">
            <v>897.68374755168111</v>
          </cell>
          <cell r="P211">
            <v>303.19328444542742</v>
          </cell>
          <cell r="S211">
            <v>303.19328444542742</v>
          </cell>
          <cell r="T211">
            <v>0.68046505247911293</v>
          </cell>
          <cell r="W211">
            <v>0.68046505247911293</v>
          </cell>
          <cell r="X211">
            <v>5.0190527673254701</v>
          </cell>
          <cell r="AA211">
            <v>5.0190527673254701</v>
          </cell>
          <cell r="AB211">
            <v>8.3007651446864585</v>
          </cell>
          <cell r="AC211">
            <v>0</v>
          </cell>
          <cell r="AD211">
            <v>0</v>
          </cell>
          <cell r="AE211">
            <v>8.3007651446864585</v>
          </cell>
          <cell r="AF211">
            <v>62.257819575492341</v>
          </cell>
          <cell r="AI211">
            <v>62.257819575492341</v>
          </cell>
        </row>
        <row r="212">
          <cell r="E212">
            <v>70</v>
          </cell>
          <cell r="F212" t="str">
            <v>REV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O212">
            <v>0</v>
          </cell>
          <cell r="P212">
            <v>0</v>
          </cell>
          <cell r="S212">
            <v>0</v>
          </cell>
          <cell r="T212">
            <v>0</v>
          </cell>
          <cell r="W212">
            <v>0</v>
          </cell>
          <cell r="X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I212">
            <v>0</v>
          </cell>
        </row>
        <row r="213">
          <cell r="E213">
            <v>66</v>
          </cell>
          <cell r="F213" t="str">
            <v>CUST</v>
          </cell>
          <cell r="G213">
            <v>0.1683087563617382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1633.9996920266215</v>
          </cell>
          <cell r="O213">
            <v>1633.9996920266215</v>
          </cell>
          <cell r="P213">
            <v>48.289128278742005</v>
          </cell>
          <cell r="S213">
            <v>48.289128278742005</v>
          </cell>
          <cell r="T213">
            <v>0</v>
          </cell>
          <cell r="W213">
            <v>0</v>
          </cell>
          <cell r="X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0.97883368132585158</v>
          </cell>
          <cell r="AI213">
            <v>0.97883368132585158</v>
          </cell>
        </row>
        <row r="214">
          <cell r="E214">
            <v>81</v>
          </cell>
          <cell r="F214" t="str">
            <v>CUST</v>
          </cell>
          <cell r="G214">
            <v>0.16830875636173823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1711.8383766149029</v>
          </cell>
          <cell r="O214">
            <v>1711.8383766149029</v>
          </cell>
          <cell r="P214">
            <v>50.589472791334984</v>
          </cell>
          <cell r="S214">
            <v>50.589472791334984</v>
          </cell>
          <cell r="T214">
            <v>0</v>
          </cell>
          <cell r="W214">
            <v>0</v>
          </cell>
          <cell r="X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1.0254622863108445</v>
          </cell>
          <cell r="AI214">
            <v>1.0254622863108445</v>
          </cell>
        </row>
        <row r="215">
          <cell r="E215">
            <v>62</v>
          </cell>
          <cell r="F215" t="str">
            <v>CUST</v>
          </cell>
          <cell r="G215">
            <v>0.1683087563617382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9506.601179694635</v>
          </cell>
          <cell r="O215">
            <v>9506.601179694635</v>
          </cell>
          <cell r="P215">
            <v>280.94588150854759</v>
          </cell>
          <cell r="S215">
            <v>280.94588150854759</v>
          </cell>
          <cell r="T215">
            <v>0</v>
          </cell>
          <cell r="W215">
            <v>0</v>
          </cell>
          <cell r="X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5.6948489494975858</v>
          </cell>
          <cell r="AI215">
            <v>5.6948489494975858</v>
          </cell>
        </row>
        <row r="216">
          <cell r="E216">
            <v>90</v>
          </cell>
          <cell r="F216" t="str">
            <v>DH</v>
          </cell>
          <cell r="G216">
            <v>0.11021083809358596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16383.435456180312</v>
          </cell>
          <cell r="O216">
            <v>16383.435456180312</v>
          </cell>
          <cell r="P216">
            <v>7210.0525973224885</v>
          </cell>
          <cell r="S216">
            <v>7210.0525973224885</v>
          </cell>
          <cell r="T216">
            <v>14287.893428527055</v>
          </cell>
          <cell r="W216">
            <v>14287.893428527055</v>
          </cell>
          <cell r="X216">
            <v>6268.0874770782484</v>
          </cell>
          <cell r="AA216">
            <v>6268.0874770782484</v>
          </cell>
          <cell r="AB216">
            <v>13444.51184629258</v>
          </cell>
          <cell r="AC216">
            <v>0</v>
          </cell>
          <cell r="AD216">
            <v>0</v>
          </cell>
          <cell r="AE216">
            <v>13444.51184629258</v>
          </cell>
          <cell r="AF216">
            <v>2932.3622030757883</v>
          </cell>
          <cell r="AI216">
            <v>2932.3622030757883</v>
          </cell>
        </row>
        <row r="217">
          <cell r="E217">
            <v>75</v>
          </cell>
          <cell r="F217" t="str">
            <v>CUST</v>
          </cell>
          <cell r="G217">
            <v>0.16830875636173823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3283.9357118621951</v>
          </cell>
          <cell r="O217">
            <v>3283.9357118621951</v>
          </cell>
          <cell r="P217">
            <v>97.04921832180608</v>
          </cell>
          <cell r="S217">
            <v>97.04921832180608</v>
          </cell>
          <cell r="T217">
            <v>0</v>
          </cell>
          <cell r="W217">
            <v>0</v>
          </cell>
          <cell r="X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1.9672138849014749</v>
          </cell>
          <cell r="AI217">
            <v>1.9672138849014749</v>
          </cell>
        </row>
        <row r="218">
          <cell r="E218">
            <v>74</v>
          </cell>
          <cell r="F218" t="str">
            <v>CUST</v>
          </cell>
          <cell r="G218">
            <v>0.16830875636173823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7557.2373430771231</v>
          </cell>
          <cell r="O218">
            <v>7557.2373430771231</v>
          </cell>
          <cell r="P218">
            <v>223.33688633694376</v>
          </cell>
          <cell r="S218">
            <v>223.33688633694376</v>
          </cell>
          <cell r="T218">
            <v>0</v>
          </cell>
          <cell r="W218">
            <v>0</v>
          </cell>
          <cell r="X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4.5270990473704815</v>
          </cell>
          <cell r="AI218">
            <v>4.5270990473704815</v>
          </cell>
        </row>
        <row r="219">
          <cell r="E219">
            <v>74</v>
          </cell>
          <cell r="F219" t="str">
            <v>CUST</v>
          </cell>
          <cell r="G219">
            <v>0.16830875636173823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7039.2772804384704</v>
          </cell>
          <cell r="O219">
            <v>7039.2772804384704</v>
          </cell>
          <cell r="P219">
            <v>208.02975988516249</v>
          </cell>
          <cell r="S219">
            <v>208.02975988516249</v>
          </cell>
          <cell r="T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4.2168194571316722</v>
          </cell>
          <cell r="AI219">
            <v>4.2168194571316722</v>
          </cell>
        </row>
        <row r="220">
          <cell r="E220">
            <v>74</v>
          </cell>
          <cell r="F220" t="str">
            <v>CUST</v>
          </cell>
          <cell r="G220">
            <v>0.1683087563617382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2240.0621271042673</v>
          </cell>
          <cell r="O220">
            <v>2240.0621271042673</v>
          </cell>
          <cell r="P220">
            <v>66.199919091739531</v>
          </cell>
          <cell r="S220">
            <v>66.199919091739531</v>
          </cell>
          <cell r="T220">
            <v>0</v>
          </cell>
          <cell r="W220">
            <v>0</v>
          </cell>
          <cell r="X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1.3418902518595852</v>
          </cell>
          <cell r="AI220">
            <v>1.3418902518595852</v>
          </cell>
        </row>
        <row r="221">
          <cell r="E221">
            <v>85</v>
          </cell>
          <cell r="F221" t="str">
            <v>CUST</v>
          </cell>
          <cell r="G221">
            <v>0.1683087563617382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1251.1732846143807</v>
          </cell>
          <cell r="O221">
            <v>1251.1732846143807</v>
          </cell>
          <cell r="P221">
            <v>36.975568315281222</v>
          </cell>
          <cell r="S221">
            <v>36.975568315281222</v>
          </cell>
          <cell r="T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0.74950476314759229</v>
          </cell>
          <cell r="AI221">
            <v>0.74950476314759229</v>
          </cell>
        </row>
        <row r="222">
          <cell r="E222">
            <v>78</v>
          </cell>
          <cell r="F222" t="str">
            <v>REV</v>
          </cell>
          <cell r="G222">
            <v>0.12050036179656672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1710.8190785843394</v>
          </cell>
          <cell r="O222">
            <v>1710.8190785843394</v>
          </cell>
          <cell r="P222">
            <v>577.83028482201928</v>
          </cell>
          <cell r="S222">
            <v>577.83028482201928</v>
          </cell>
          <cell r="T222">
            <v>1.2968404488398491</v>
          </cell>
          <cell r="W222">
            <v>1.2968404488398491</v>
          </cell>
          <cell r="X222">
            <v>9.5653856429739896</v>
          </cell>
          <cell r="AA222">
            <v>9.5653856429739896</v>
          </cell>
          <cell r="AB222">
            <v>15.81972205145655</v>
          </cell>
          <cell r="AC222">
            <v>0</v>
          </cell>
          <cell r="AD222">
            <v>0</v>
          </cell>
          <cell r="AE222">
            <v>15.81972205145655</v>
          </cell>
          <cell r="AF222">
            <v>118.65188136836775</v>
          </cell>
          <cell r="AI222">
            <v>118.65188136836775</v>
          </cell>
        </row>
        <row r="223">
          <cell r="E223">
            <v>78</v>
          </cell>
          <cell r="F223" t="str">
            <v>ACT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L223">
            <v>0</v>
          </cell>
          <cell r="O223">
            <v>0</v>
          </cell>
          <cell r="P223">
            <v>0</v>
          </cell>
          <cell r="S223">
            <v>0</v>
          </cell>
          <cell r="T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I223">
            <v>0</v>
          </cell>
        </row>
        <row r="224">
          <cell r="E224">
            <v>87</v>
          </cell>
          <cell r="F224" t="str">
            <v>REV</v>
          </cell>
          <cell r="G224">
            <v>0.1205003617965667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157.08152757999619</v>
          </cell>
          <cell r="O224">
            <v>157.08152757999619</v>
          </cell>
          <cell r="P224">
            <v>53.054390705611077</v>
          </cell>
          <cell r="S224">
            <v>53.054390705611077</v>
          </cell>
          <cell r="T224">
            <v>0.11907143267297216</v>
          </cell>
          <cell r="W224">
            <v>0.11907143267297216</v>
          </cell>
          <cell r="X224">
            <v>0.87826083277808542</v>
          </cell>
          <cell r="AA224">
            <v>0.87826083277808542</v>
          </cell>
          <cell r="AB224">
            <v>1.4525125051738443</v>
          </cell>
          <cell r="AC224">
            <v>0</v>
          </cell>
          <cell r="AD224">
            <v>0</v>
          </cell>
          <cell r="AE224">
            <v>1.4525125051738443</v>
          </cell>
          <cell r="AF224">
            <v>10.89420793168042</v>
          </cell>
          <cell r="AI224">
            <v>10.89420793168042</v>
          </cell>
        </row>
        <row r="225">
          <cell r="E225">
            <v>87</v>
          </cell>
          <cell r="F225" t="str">
            <v>REV</v>
          </cell>
          <cell r="G225">
            <v>0.12050036179656672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1064.5445446099402</v>
          </cell>
          <cell r="O225">
            <v>1064.5445446099402</v>
          </cell>
          <cell r="P225">
            <v>359.55062993960195</v>
          </cell>
          <cell r="S225">
            <v>359.55062993960195</v>
          </cell>
          <cell r="T225">
            <v>0.80694939770272733</v>
          </cell>
          <cell r="W225">
            <v>0.80694939770272733</v>
          </cell>
          <cell r="X225">
            <v>5.9519906171166896</v>
          </cell>
          <cell r="AA225">
            <v>5.9519906171166896</v>
          </cell>
          <cell r="AB225">
            <v>9.8437052859259619</v>
          </cell>
          <cell r="AC225">
            <v>0</v>
          </cell>
          <cell r="AD225">
            <v>0</v>
          </cell>
          <cell r="AE225">
            <v>9.8437052859259619</v>
          </cell>
          <cell r="AF225">
            <v>73.830257447748536</v>
          </cell>
          <cell r="AI225">
            <v>73.830257447748536</v>
          </cell>
        </row>
        <row r="226">
          <cell r="E226">
            <v>87</v>
          </cell>
          <cell r="F226" t="str">
            <v>REV</v>
          </cell>
          <cell r="G226">
            <v>0.12050036179656672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1467.8458189307973</v>
          </cell>
          <cell r="O226">
            <v>1467.8458189307973</v>
          </cell>
          <cell r="P226">
            <v>495.76590432310877</v>
          </cell>
          <cell r="S226">
            <v>495.76590432310877</v>
          </cell>
          <cell r="T226">
            <v>1.1126610957746985</v>
          </cell>
          <cell r="W226">
            <v>1.1126610957746985</v>
          </cell>
          <cell r="X226">
            <v>8.2068942872195603</v>
          </cell>
          <cell r="AA226">
            <v>8.2068942872195603</v>
          </cell>
          <cell r="AB226">
            <v>13.572979843720567</v>
          </cell>
          <cell r="AC226">
            <v>0</v>
          </cell>
          <cell r="AD226">
            <v>0</v>
          </cell>
          <cell r="AE226">
            <v>13.572979843720567</v>
          </cell>
          <cell r="AF226">
            <v>101.80075155518307</v>
          </cell>
          <cell r="AI226">
            <v>101.80075155518307</v>
          </cell>
        </row>
        <row r="227">
          <cell r="E227">
            <v>87</v>
          </cell>
          <cell r="F227" t="str">
            <v>REV</v>
          </cell>
          <cell r="G227">
            <v>0.12050036179656673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95.425376387362647</v>
          </cell>
          <cell r="O227">
            <v>95.425376387362647</v>
          </cell>
          <cell r="P227">
            <v>32.229984518751607</v>
          </cell>
          <cell r="S227">
            <v>32.229984518751607</v>
          </cell>
          <cell r="T227">
            <v>7.2334643384559527E-2</v>
          </cell>
          <cell r="W227">
            <v>7.2334643384559527E-2</v>
          </cell>
          <cell r="X227">
            <v>0.53353422152994179</v>
          </cell>
          <cell r="AA227">
            <v>0.53353422152994179</v>
          </cell>
          <cell r="AB227">
            <v>0.8823860746005131</v>
          </cell>
          <cell r="AC227">
            <v>0</v>
          </cell>
          <cell r="AD227">
            <v>0</v>
          </cell>
          <cell r="AE227">
            <v>0.8823860746005131</v>
          </cell>
          <cell r="AF227">
            <v>6.618116772472634</v>
          </cell>
          <cell r="AI227">
            <v>6.618116772472634</v>
          </cell>
        </row>
        <row r="228">
          <cell r="E228">
            <v>87</v>
          </cell>
          <cell r="F228" t="str">
            <v>REV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O228">
            <v>0</v>
          </cell>
          <cell r="P228">
            <v>0</v>
          </cell>
          <cell r="S228">
            <v>0</v>
          </cell>
          <cell r="T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I228">
            <v>0</v>
          </cell>
        </row>
        <row r="229">
          <cell r="E229">
            <v>87</v>
          </cell>
          <cell r="F229" t="str">
            <v>REV</v>
          </cell>
          <cell r="G229">
            <v>0.1205003617965667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196.6475066556564</v>
          </cell>
          <cell r="O229">
            <v>196.6475066556564</v>
          </cell>
          <cell r="P229">
            <v>66.417826526930583</v>
          </cell>
          <cell r="S229">
            <v>66.417826526930583</v>
          </cell>
          <cell r="T229">
            <v>0.1490633603440884</v>
          </cell>
          <cell r="W229">
            <v>0.1490633603440884</v>
          </cell>
          <cell r="X229">
            <v>1.0994787587049455</v>
          </cell>
          <cell r="AA229">
            <v>1.0994787587049455</v>
          </cell>
          <cell r="AB229">
            <v>1.8183739802449697</v>
          </cell>
          <cell r="AC229">
            <v>0</v>
          </cell>
          <cell r="AD229">
            <v>0</v>
          </cell>
          <cell r="AE229">
            <v>1.8183739802449697</v>
          </cell>
          <cell r="AF229">
            <v>13.638260715679767</v>
          </cell>
          <cell r="AI229">
            <v>13.638260715679767</v>
          </cell>
        </row>
        <row r="230">
          <cell r="E230">
            <v>87</v>
          </cell>
          <cell r="F230" t="str">
            <v>REV</v>
          </cell>
          <cell r="G230">
            <v>0.1205003617965667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50.252367695722818</v>
          </cell>
          <cell r="O230">
            <v>50.252367695722818</v>
          </cell>
          <cell r="P230">
            <v>16.972770705028633</v>
          </cell>
          <cell r="S230">
            <v>16.972770705028633</v>
          </cell>
          <cell r="T230">
            <v>3.8092457521406824E-2</v>
          </cell>
          <cell r="W230">
            <v>3.8092457521406824E-2</v>
          </cell>
          <cell r="X230">
            <v>0.28096675007848909</v>
          </cell>
          <cell r="AA230">
            <v>0.28096675007848909</v>
          </cell>
          <cell r="AB230">
            <v>0.46467712414789897</v>
          </cell>
          <cell r="AC230">
            <v>0</v>
          </cell>
          <cell r="AD230">
            <v>0</v>
          </cell>
          <cell r="AE230">
            <v>0.46467712414789897</v>
          </cell>
          <cell r="AF230">
            <v>3.4851949250217347</v>
          </cell>
          <cell r="AI230">
            <v>3.4851949250217347</v>
          </cell>
        </row>
        <row r="231">
          <cell r="E231">
            <v>87</v>
          </cell>
          <cell r="F231" t="str">
            <v>REV</v>
          </cell>
          <cell r="G231">
            <v>0.1205003617965667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3.0491399724360311</v>
          </cell>
          <cell r="O231">
            <v>3.0491399724360311</v>
          </cell>
          <cell r="P231">
            <v>1.0298490593130589</v>
          </cell>
          <cell r="S231">
            <v>1.0298490593130589</v>
          </cell>
          <cell r="T231">
            <v>2.311318654279628E-3</v>
          </cell>
          <cell r="W231">
            <v>2.311318654279628E-3</v>
          </cell>
          <cell r="X231">
            <v>1.7048091221832779E-2</v>
          </cell>
          <cell r="AA231">
            <v>1.7048091221832779E-2</v>
          </cell>
          <cell r="AB231">
            <v>2.8195001718029973E-2</v>
          </cell>
          <cell r="AC231">
            <v>0</v>
          </cell>
          <cell r="AD231">
            <v>0</v>
          </cell>
          <cell r="AE231">
            <v>2.8195001718029973E-2</v>
          </cell>
          <cell r="AF231">
            <v>0.21146958133316893</v>
          </cell>
          <cell r="AI231">
            <v>0.21146958133316893</v>
          </cell>
        </row>
        <row r="232">
          <cell r="E232">
            <v>84</v>
          </cell>
          <cell r="F232" t="str">
            <v>CUST</v>
          </cell>
          <cell r="G232">
            <v>0.1683087563617382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3515.2542711731703</v>
          </cell>
          <cell r="O232">
            <v>3515.2542711731703</v>
          </cell>
          <cell r="P232">
            <v>103.8853099308365</v>
          </cell>
          <cell r="S232">
            <v>103.8853099308365</v>
          </cell>
          <cell r="T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2.1057833094088481</v>
          </cell>
          <cell r="AI232">
            <v>2.1057833094088481</v>
          </cell>
        </row>
        <row r="233">
          <cell r="E233">
            <v>86</v>
          </cell>
          <cell r="F233" t="str">
            <v>REV</v>
          </cell>
          <cell r="G233">
            <v>0.12050036179656673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6038.7971528931157</v>
          </cell>
          <cell r="O233">
            <v>6038.7971528931157</v>
          </cell>
          <cell r="P233">
            <v>2039.6077659632022</v>
          </cell>
          <cell r="S233">
            <v>2039.6077659632022</v>
          </cell>
          <cell r="T233">
            <v>4.5775479758449773</v>
          </cell>
          <cell r="W233">
            <v>4.5775479758449773</v>
          </cell>
          <cell r="X233">
            <v>33.763607332993871</v>
          </cell>
          <cell r="AA233">
            <v>33.763607332993871</v>
          </cell>
          <cell r="AB233">
            <v>55.839973776155638</v>
          </cell>
          <cell r="AC233">
            <v>0</v>
          </cell>
          <cell r="AD233">
            <v>0</v>
          </cell>
          <cell r="AE233">
            <v>55.839973776155638</v>
          </cell>
          <cell r="AF233">
            <v>418.81380232538038</v>
          </cell>
          <cell r="AI233">
            <v>418.81380232538038</v>
          </cell>
        </row>
        <row r="234">
          <cell r="E234">
            <v>69</v>
          </cell>
          <cell r="F234" t="str">
            <v>CUST</v>
          </cell>
          <cell r="G234">
            <v>0.1683087563617382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4094.8438418374008</v>
          </cell>
          <cell r="O234">
            <v>4094.8438418374008</v>
          </cell>
          <cell r="P234">
            <v>121.01375570925225</v>
          </cell>
          <cell r="S234">
            <v>121.01375570925225</v>
          </cell>
          <cell r="T234">
            <v>0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2.4529815346470052</v>
          </cell>
          <cell r="AI234">
            <v>2.4529815346470052</v>
          </cell>
        </row>
        <row r="235">
          <cell r="E235">
            <v>71</v>
          </cell>
          <cell r="F235" t="str">
            <v>REV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O235">
            <v>0</v>
          </cell>
          <cell r="P235">
            <v>0</v>
          </cell>
          <cell r="S235">
            <v>0</v>
          </cell>
          <cell r="T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I235">
            <v>0</v>
          </cell>
        </row>
        <row r="236">
          <cell r="E236">
            <v>69</v>
          </cell>
          <cell r="F236" t="str">
            <v>REV</v>
          </cell>
          <cell r="G236">
            <v>0.1205003617965667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29.644416398683635</v>
          </cell>
          <cell r="O236">
            <v>29.644416398683635</v>
          </cell>
          <cell r="P236">
            <v>10.012421409988072</v>
          </cell>
          <cell r="S236">
            <v>10.012421409988072</v>
          </cell>
          <cell r="T236">
            <v>2.2471153583274159E-2</v>
          </cell>
          <cell r="W236">
            <v>2.2471153583274159E-2</v>
          </cell>
          <cell r="X236">
            <v>0.16574533132337427</v>
          </cell>
          <cell r="AA236">
            <v>0.16574533132337427</v>
          </cell>
          <cell r="AB236">
            <v>0.27411807225862478</v>
          </cell>
          <cell r="AC236">
            <v>0</v>
          </cell>
          <cell r="AD236">
            <v>0</v>
          </cell>
          <cell r="AE236">
            <v>0.27411807225862478</v>
          </cell>
          <cell r="AF236">
            <v>2.0559542629613645</v>
          </cell>
          <cell r="AI236">
            <v>2.0559542629613645</v>
          </cell>
        </row>
        <row r="237">
          <cell r="E237">
            <v>71</v>
          </cell>
          <cell r="F237" t="str">
            <v>REV</v>
          </cell>
          <cell r="G237">
            <v>0.12050036179656669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1197.0085018291438</v>
          </cell>
          <cell r="O237">
            <v>1197.0085018291438</v>
          </cell>
          <cell r="P237">
            <v>404.29041983717576</v>
          </cell>
          <cell r="S237">
            <v>404.29041983717576</v>
          </cell>
          <cell r="T237">
            <v>0.90736014240718921</v>
          </cell>
          <cell r="W237">
            <v>0.90736014240718921</v>
          </cell>
          <cell r="X237">
            <v>6.6926117911829506</v>
          </cell>
          <cell r="AA237">
            <v>6.6926117911829506</v>
          </cell>
          <cell r="AB237">
            <v>11.068582311951323</v>
          </cell>
          <cell r="AC237">
            <v>0</v>
          </cell>
          <cell r="AD237">
            <v>0</v>
          </cell>
          <cell r="AE237">
            <v>11.068582311951323</v>
          </cell>
          <cell r="AF237">
            <v>83.017142217915463</v>
          </cell>
          <cell r="AI237">
            <v>83.017142217915463</v>
          </cell>
        </row>
        <row r="238">
          <cell r="E238">
            <v>71</v>
          </cell>
          <cell r="F238" t="str">
            <v>REV</v>
          </cell>
          <cell r="G238">
            <v>0.12050036179656672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318.87990530068578</v>
          </cell>
          <cell r="O238">
            <v>318.87990530068578</v>
          </cell>
          <cell r="P238">
            <v>107.70190069214283</v>
          </cell>
          <cell r="S238">
            <v>107.70190069214283</v>
          </cell>
          <cell r="T238">
            <v>0.241718346897523</v>
          </cell>
          <cell r="W238">
            <v>0.241718346897523</v>
          </cell>
          <cell r="X238">
            <v>1.7828941155601672</v>
          </cell>
          <cell r="AA238">
            <v>1.7828941155601672</v>
          </cell>
          <cell r="AB238">
            <v>2.9486411116164963</v>
          </cell>
          <cell r="AC238">
            <v>0</v>
          </cell>
          <cell r="AD238">
            <v>0</v>
          </cell>
          <cell r="AE238">
            <v>2.9486411116164963</v>
          </cell>
          <cell r="AF238">
            <v>22.11554755737318</v>
          </cell>
          <cell r="AI238">
            <v>22.11554755737318</v>
          </cell>
        </row>
        <row r="239">
          <cell r="E239">
            <v>71</v>
          </cell>
          <cell r="F239" t="str">
            <v>REV</v>
          </cell>
          <cell r="G239">
            <v>0.12050036179656669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431.0806334364006</v>
          </cell>
          <cell r="O239">
            <v>431.0806334364006</v>
          </cell>
          <cell r="P239">
            <v>145.59777145221511</v>
          </cell>
          <cell r="S239">
            <v>145.59777145221511</v>
          </cell>
          <cell r="T239">
            <v>0.32676909507837754</v>
          </cell>
          <cell r="W239">
            <v>0.32676909507837754</v>
          </cell>
          <cell r="X239">
            <v>2.4102212522955586</v>
          </cell>
          <cell r="AA239">
            <v>2.4102212522955586</v>
          </cell>
          <cell r="AB239">
            <v>3.9861466873357041</v>
          </cell>
          <cell r="AC239">
            <v>0</v>
          </cell>
          <cell r="AD239">
            <v>0</v>
          </cell>
          <cell r="AE239">
            <v>3.9861466873357041</v>
          </cell>
          <cell r="AF239">
            <v>29.897099476480459</v>
          </cell>
          <cell r="AI239">
            <v>29.897099476480459</v>
          </cell>
        </row>
        <row r="240">
          <cell r="E240">
            <v>71</v>
          </cell>
          <cell r="F240" t="str">
            <v>ACT</v>
          </cell>
          <cell r="G240">
            <v>0.18106525480033178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877.54</v>
          </cell>
          <cell r="N240" t="str">
            <v>LedgerSource</v>
          </cell>
          <cell r="O240">
            <v>877.54</v>
          </cell>
          <cell r="P240">
            <v>0</v>
          </cell>
          <cell r="S240">
            <v>0</v>
          </cell>
          <cell r="T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I240">
            <v>0</v>
          </cell>
        </row>
        <row r="241">
          <cell r="E241">
            <v>76</v>
          </cell>
          <cell r="F241" t="str">
            <v>DH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S241">
            <v>0</v>
          </cell>
          <cell r="T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I241">
            <v>0</v>
          </cell>
        </row>
        <row r="242">
          <cell r="E242">
            <v>80</v>
          </cell>
          <cell r="F242" t="str">
            <v>CUST</v>
          </cell>
          <cell r="G242">
            <v>0.16830875636173823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3732.1216494845357</v>
          </cell>
          <cell r="O242">
            <v>3732.1216494845357</v>
          </cell>
          <cell r="P242">
            <v>110.29432989690721</v>
          </cell>
          <cell r="S242">
            <v>110.29432989690721</v>
          </cell>
          <cell r="T242">
            <v>0</v>
          </cell>
          <cell r="W242">
            <v>0</v>
          </cell>
          <cell r="X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2.2356958762886601</v>
          </cell>
          <cell r="AI242">
            <v>2.2356958762886601</v>
          </cell>
        </row>
        <row r="243">
          <cell r="E243">
            <v>91</v>
          </cell>
          <cell r="F243" t="str">
            <v>ACT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O243">
            <v>0</v>
          </cell>
          <cell r="P243">
            <v>0</v>
          </cell>
          <cell r="S243">
            <v>0</v>
          </cell>
          <cell r="T243">
            <v>0</v>
          </cell>
          <cell r="W243">
            <v>0</v>
          </cell>
          <cell r="X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I243">
            <v>0</v>
          </cell>
        </row>
        <row r="244">
          <cell r="E244">
            <v>91</v>
          </cell>
          <cell r="F244" t="str">
            <v>ACT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O244">
            <v>0</v>
          </cell>
          <cell r="P244">
            <v>0</v>
          </cell>
          <cell r="S244">
            <v>0</v>
          </cell>
          <cell r="T244">
            <v>0</v>
          </cell>
          <cell r="W244">
            <v>0</v>
          </cell>
          <cell r="X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I244">
            <v>0</v>
          </cell>
        </row>
        <row r="245">
          <cell r="E245">
            <v>77</v>
          </cell>
          <cell r="F245" t="str">
            <v>ACT</v>
          </cell>
          <cell r="G245">
            <v>5.3629611088429799E-2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2606.8201291311166</v>
          </cell>
          <cell r="N245" t="str">
            <v>Mult Co Tax</v>
          </cell>
          <cell r="O245">
            <v>2606.8201291311166</v>
          </cell>
          <cell r="P245">
            <v>0</v>
          </cell>
          <cell r="Q245">
            <v>964.24900143612444</v>
          </cell>
          <cell r="R245" t="str">
            <v>Mult Co Tax</v>
          </cell>
          <cell r="S245">
            <v>964.24900143612444</v>
          </cell>
          <cell r="T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183.00364562284466</v>
          </cell>
          <cell r="AH245" t="str">
            <v>Mult Co Tax</v>
          </cell>
          <cell r="AI245">
            <v>183.00364562284466</v>
          </cell>
        </row>
        <row r="246">
          <cell r="E246">
            <v>84</v>
          </cell>
          <cell r="F246" t="str">
            <v>CUST</v>
          </cell>
          <cell r="G246">
            <v>0.16830875636173823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13648.626616207752</v>
          </cell>
          <cell r="O246">
            <v>13648.626616207752</v>
          </cell>
          <cell r="P246">
            <v>403.35398146939843</v>
          </cell>
          <cell r="S246">
            <v>403.35398146939843</v>
          </cell>
          <cell r="T246">
            <v>0</v>
          </cell>
          <cell r="W246">
            <v>0</v>
          </cell>
          <cell r="X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8.176094218974292</v>
          </cell>
          <cell r="AI246">
            <v>8.176094218974292</v>
          </cell>
        </row>
        <row r="247">
          <cell r="E247">
            <v>84</v>
          </cell>
          <cell r="F247" t="str">
            <v>CUST</v>
          </cell>
          <cell r="G247">
            <v>0.1683087563617382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271.01070076993346</v>
          </cell>
          <cell r="O247">
            <v>271.01070076993346</v>
          </cell>
          <cell r="P247">
            <v>8.0091021793031452</v>
          </cell>
          <cell r="S247">
            <v>8.0091021793031452</v>
          </cell>
          <cell r="T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0.16234666579668539</v>
          </cell>
          <cell r="AI247">
            <v>0.16234666579668539</v>
          </cell>
        </row>
        <row r="248">
          <cell r="E248">
            <v>84</v>
          </cell>
          <cell r="F248" t="str">
            <v>CUST</v>
          </cell>
          <cell r="G248">
            <v>0.16830875636173823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650.18224194179822</v>
          </cell>
          <cell r="O248">
            <v>650.18224194179822</v>
          </cell>
          <cell r="P248">
            <v>19.214650920005219</v>
          </cell>
          <cell r="S248">
            <v>19.214650920005219</v>
          </cell>
          <cell r="T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0.38948616729740315</v>
          </cell>
          <cell r="AI248">
            <v>0.38948616729740315</v>
          </cell>
        </row>
        <row r="249">
          <cell r="E249">
            <v>89</v>
          </cell>
          <cell r="F249" t="str">
            <v>ACT</v>
          </cell>
          <cell r="G249">
            <v>5.8968756281498613E-2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1610.7677407759197</v>
          </cell>
          <cell r="O249">
            <v>1610.7677407759197</v>
          </cell>
          <cell r="P249">
            <v>0</v>
          </cell>
          <cell r="Q249">
            <v>543.60869987850617</v>
          </cell>
          <cell r="S249">
            <v>543.60869987850617</v>
          </cell>
          <cell r="T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110.40355934557408</v>
          </cell>
          <cell r="AI249">
            <v>110.40355934557408</v>
          </cell>
        </row>
        <row r="250">
          <cell r="E250">
            <v>89</v>
          </cell>
          <cell r="F250" t="str">
            <v>ACT</v>
          </cell>
          <cell r="G250">
            <v>5.8968756281498627E-2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763.68707974869699</v>
          </cell>
          <cell r="N250">
            <v>0</v>
          </cell>
          <cell r="O250">
            <v>763.68707974869699</v>
          </cell>
          <cell r="P250">
            <v>0</v>
          </cell>
          <cell r="Q250">
            <v>257.73234093713756</v>
          </cell>
          <cell r="S250">
            <v>257.73234093713756</v>
          </cell>
          <cell r="T250">
            <v>0</v>
          </cell>
          <cell r="U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52.343841819099758</v>
          </cell>
          <cell r="AI250">
            <v>52.343841819099758</v>
          </cell>
        </row>
        <row r="251">
          <cell r="E251">
            <v>86</v>
          </cell>
          <cell r="F251" t="str">
            <v>REV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O251">
            <v>0</v>
          </cell>
          <cell r="P251">
            <v>0</v>
          </cell>
          <cell r="S251">
            <v>0</v>
          </cell>
          <cell r="T251">
            <v>0</v>
          </cell>
          <cell r="W251">
            <v>0</v>
          </cell>
          <cell r="X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I251">
            <v>0</v>
          </cell>
        </row>
        <row r="252">
          <cell r="E252">
            <v>86</v>
          </cell>
          <cell r="F252" t="str">
            <v>REV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O252">
            <v>0</v>
          </cell>
          <cell r="P252">
            <v>0</v>
          </cell>
          <cell r="S252">
            <v>0</v>
          </cell>
          <cell r="T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I252">
            <v>0</v>
          </cell>
        </row>
        <row r="253">
          <cell r="E253">
            <v>86</v>
          </cell>
          <cell r="F253" t="str">
            <v>CUST</v>
          </cell>
          <cell r="G253">
            <v>0.1683087563617382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13.560746443951453</v>
          </cell>
          <cell r="O253">
            <v>13.560746443951453</v>
          </cell>
          <cell r="P253">
            <v>0.40075688372699991</v>
          </cell>
          <cell r="S253">
            <v>0.40075688372699991</v>
          </cell>
          <cell r="T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8.1234503458175664E-3</v>
          </cell>
          <cell r="AI253">
            <v>8.1234503458175664E-3</v>
          </cell>
        </row>
        <row r="254">
          <cell r="E254">
            <v>84</v>
          </cell>
          <cell r="F254" t="str">
            <v>CUST</v>
          </cell>
          <cell r="G254">
            <v>0.1683087563617382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3321.0660159206573</v>
          </cell>
          <cell r="O254">
            <v>3321.0660159206573</v>
          </cell>
          <cell r="P254">
            <v>98.14651963982773</v>
          </cell>
          <cell r="S254">
            <v>98.14651963982773</v>
          </cell>
          <cell r="T254">
            <v>0</v>
          </cell>
          <cell r="W254">
            <v>0</v>
          </cell>
          <cell r="X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1.9894564791856975</v>
          </cell>
          <cell r="AI254">
            <v>1.9894564791856975</v>
          </cell>
        </row>
        <row r="255">
          <cell r="E255">
            <v>72</v>
          </cell>
          <cell r="F255" t="str">
            <v>DH</v>
          </cell>
          <cell r="G255">
            <v>0.11021083809358595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16.819377430822421</v>
          </cell>
          <cell r="O255">
            <v>16.819377430822421</v>
          </cell>
          <cell r="P255">
            <v>7.4019027483458846</v>
          </cell>
          <cell r="S255">
            <v>7.4019027483458846</v>
          </cell>
          <cell r="T255">
            <v>14.668075746903906</v>
          </cell>
          <cell r="W255">
            <v>14.668075746903906</v>
          </cell>
          <cell r="X255">
            <v>6.4348731576087745</v>
          </cell>
          <cell r="AA255">
            <v>6.4348731576087745</v>
          </cell>
          <cell r="AB255">
            <v>13.802252874299077</v>
          </cell>
          <cell r="AC255">
            <v>0</v>
          </cell>
          <cell r="AD255">
            <v>0</v>
          </cell>
          <cell r="AE255">
            <v>13.802252874299077</v>
          </cell>
          <cell r="AF255">
            <v>3.0103885591836903</v>
          </cell>
          <cell r="AI255">
            <v>3.0103885591836903</v>
          </cell>
        </row>
        <row r="256">
          <cell r="E256">
            <v>76</v>
          </cell>
          <cell r="F256" t="str">
            <v>DH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O256">
            <v>0</v>
          </cell>
          <cell r="P256">
            <v>0</v>
          </cell>
          <cell r="S256">
            <v>0</v>
          </cell>
          <cell r="T256">
            <v>0</v>
          </cell>
          <cell r="W256">
            <v>0</v>
          </cell>
          <cell r="X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I256">
            <v>0</v>
          </cell>
        </row>
        <row r="257">
          <cell r="E257">
            <v>62</v>
          </cell>
          <cell r="F257" t="str">
            <v>CUST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O257">
            <v>0</v>
          </cell>
          <cell r="P257">
            <v>0</v>
          </cell>
          <cell r="S257">
            <v>0</v>
          </cell>
          <cell r="T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I257">
            <v>0</v>
          </cell>
        </row>
        <row r="258">
          <cell r="E258">
            <v>93</v>
          </cell>
          <cell r="F258" t="str">
            <v>DH</v>
          </cell>
          <cell r="G258">
            <v>0.11021083809358592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12916.824683951092</v>
          </cell>
          <cell r="O258">
            <v>12916.824683951092</v>
          </cell>
          <cell r="P258">
            <v>5684.4601128238392</v>
          </cell>
          <cell r="S258">
            <v>5684.4601128238392</v>
          </cell>
          <cell r="T258">
            <v>11264.683467205385</v>
          </cell>
          <cell r="W258">
            <v>11264.683467205385</v>
          </cell>
          <cell r="X258">
            <v>4941.8076728557644</v>
          </cell>
          <cell r="AA258">
            <v>4941.8076728557644</v>
          </cell>
          <cell r="AB258">
            <v>10599.755035770297</v>
          </cell>
          <cell r="AC258">
            <v>0</v>
          </cell>
          <cell r="AD258">
            <v>0</v>
          </cell>
          <cell r="AE258">
            <v>10599.755035770297</v>
          </cell>
          <cell r="AF258">
            <v>2311.8965853212617</v>
          </cell>
          <cell r="AI258">
            <v>2311.8965853212617</v>
          </cell>
        </row>
        <row r="259">
          <cell r="E259">
            <v>93</v>
          </cell>
          <cell r="F259" t="str">
            <v>REV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O259">
            <v>0</v>
          </cell>
          <cell r="P259">
            <v>0</v>
          </cell>
          <cell r="S259">
            <v>0</v>
          </cell>
          <cell r="T259">
            <v>0</v>
          </cell>
          <cell r="W259">
            <v>0</v>
          </cell>
          <cell r="X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I259">
            <v>0</v>
          </cell>
        </row>
        <row r="260">
          <cell r="E260">
            <v>93</v>
          </cell>
          <cell r="F260" t="str">
            <v>DH</v>
          </cell>
          <cell r="G260">
            <v>0.11021083809358596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-2866.5114842802591</v>
          </cell>
          <cell r="O260">
            <v>-2866.5114842802591</v>
          </cell>
          <cell r="P260">
            <v>-1261.4996792197917</v>
          </cell>
          <cell r="S260">
            <v>-1261.4996792197917</v>
          </cell>
          <cell r="T260">
            <v>-2499.8670583217199</v>
          </cell>
          <cell r="W260">
            <v>-2499.8670583217199</v>
          </cell>
          <cell r="X260">
            <v>-1096.6896891421018</v>
          </cell>
          <cell r="AA260">
            <v>-1096.6896891421018</v>
          </cell>
          <cell r="AB260">
            <v>-2352.3056388885575</v>
          </cell>
          <cell r="AC260">
            <v>0</v>
          </cell>
          <cell r="AD260">
            <v>0</v>
          </cell>
          <cell r="AE260">
            <v>-2352.3056388885575</v>
          </cell>
          <cell r="AF260">
            <v>-513.05783537696618</v>
          </cell>
          <cell r="AI260">
            <v>-513.05783537696618</v>
          </cell>
        </row>
        <row r="261">
          <cell r="E261">
            <v>0</v>
          </cell>
          <cell r="F261">
            <v>0</v>
          </cell>
          <cell r="G261">
            <v>0.11167423884376183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573888.75266681588</v>
          </cell>
          <cell r="M261">
            <v>480530.501069572</v>
          </cell>
          <cell r="N261">
            <v>0</v>
          </cell>
          <cell r="O261">
            <v>1054419.2537363875</v>
          </cell>
          <cell r="P261">
            <v>177431.8162779196</v>
          </cell>
          <cell r="Q261">
            <v>329018.14235054923</v>
          </cell>
          <cell r="R261">
            <v>0</v>
          </cell>
          <cell r="S261">
            <v>506449.95862846845</v>
          </cell>
          <cell r="T261">
            <v>310046.24167260336</v>
          </cell>
          <cell r="U261">
            <v>12023.0091655457</v>
          </cell>
          <cell r="V261">
            <v>0</v>
          </cell>
          <cell r="W261">
            <v>322069.25083814905</v>
          </cell>
          <cell r="X261">
            <v>119697.68546582865</v>
          </cell>
          <cell r="Y261">
            <v>9995.8199366559293</v>
          </cell>
          <cell r="Z261">
            <v>0</v>
          </cell>
          <cell r="AA261">
            <v>129693.50540248457</v>
          </cell>
          <cell r="AB261">
            <v>250249.72314694535</v>
          </cell>
          <cell r="AC261">
            <v>76903.269461026081</v>
          </cell>
          <cell r="AD261">
            <v>0</v>
          </cell>
          <cell r="AE261">
            <v>327152.99260797136</v>
          </cell>
          <cell r="AF261">
            <v>61100.888366053172</v>
          </cell>
          <cell r="AG261">
            <v>82145.490673638415</v>
          </cell>
          <cell r="AH261">
            <v>0</v>
          </cell>
          <cell r="AI261">
            <v>143246.37903969144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001 Piv"/>
      <sheetName val="MM001 Detail"/>
      <sheetName val="JE_Month00"/>
      <sheetName val="JE_Month01"/>
      <sheetName val="JE_Month02"/>
      <sheetName val="JE_Month03"/>
      <sheetName val="JE_Month04"/>
      <sheetName val="JE_Month05"/>
      <sheetName val="JE_Month06"/>
      <sheetName val="JE_Month07"/>
      <sheetName val="JE_Month08"/>
      <sheetName val="JE_Month09"/>
      <sheetName val="JE_Month10"/>
      <sheetName val="JE_Month11"/>
      <sheetName val="JE_Month12"/>
    </sheetNames>
    <sheetDataSet>
      <sheetData sheetId="0"/>
      <sheetData sheetId="1"/>
      <sheetData sheetId="2">
        <row r="21">
          <cell r="I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 (WMofWA)"/>
      <sheetName val="Balance Sheet (WMofWA)"/>
      <sheetName val="Rev. Sum. - Confidential"/>
      <sheetName val="WTB-Confidential"/>
      <sheetName val="Priceout (Staff Method)"/>
      <sheetName val="Priceout (Company Method)"/>
      <sheetName val="Monthly IS"/>
      <sheetName val="Lurito - Garbage"/>
      <sheetName val="Lurito - Recycling (MF)"/>
      <sheetName val="Lurito - Recycling"/>
      <sheetName val="Lurito - YW"/>
      <sheetName val="Total Lurito"/>
      <sheetName val="Lurito-Garbage"/>
      <sheetName val="Lurito-Recycling"/>
      <sheetName val="Lurito-YW"/>
      <sheetName val="Priceout (Proposed)"/>
      <sheetName val="PC 160 - Confidential"/>
      <sheetName val="PC 220"/>
      <sheetName val="PC 230"/>
      <sheetName val="Processing Fees"/>
      <sheetName val="PC 260-Confidential"/>
      <sheetName val="YW Processing Fees"/>
      <sheetName val="WUTC Customer Counts"/>
      <sheetName val="PR Register-Confidential"/>
      <sheetName val="Wage Scale-Confidential"/>
      <sheetName val="PR Detail - Confidential"/>
      <sheetName val="Earn Codes"/>
      <sheetName val="Fuel"/>
      <sheetName val="Legal Fees"/>
      <sheetName val="Facility Costs"/>
      <sheetName val="Sno-King Com'l Recycling"/>
      <sheetName val="City Contract MF Recycling"/>
      <sheetName val="UTC MF Recycling"/>
      <sheetName val="DEPN Summary"/>
      <sheetName val="DEPN"/>
      <sheetName val="Fixed Asset Summary"/>
      <sheetName val="Fixed Asset Detail"/>
      <sheetName val="Balance Sheet"/>
      <sheetName val="Summary (Cart &amp; Containers)"/>
      <sheetName val="OH Analysis"/>
      <sheetName val="Corp. Office OH"/>
      <sheetName val="2008 Group Office TB"/>
      <sheetName val="MA Office OH"/>
      <sheetName val="MA Stats"/>
      <sheetName val="Bothell"/>
      <sheetName val="Woodinville"/>
      <sheetName val="Seattle"/>
      <sheetName val="South Sound"/>
      <sheetName val="Skagit"/>
      <sheetName val="Brem-Air"/>
      <sheetName val="Hours &amp; Services"/>
      <sheetName val="Operating Cost"/>
      <sheetName val="Head Count"/>
      <sheetName val="Summary MA Headcount"/>
      <sheetName val="MA Headcount"/>
      <sheetName val="Headcount"/>
      <sheetName val="WM Sandpoint"/>
      <sheetName val="WM Brem-Air"/>
      <sheetName val="WM Wenatchee"/>
      <sheetName val="WM Ellensburg"/>
      <sheetName val="WM Klamath Falls"/>
      <sheetName val="WM Coeur d'Alene"/>
      <sheetName val="WM Kennewick"/>
      <sheetName val="WM Skagit"/>
      <sheetName val="WM Spokane"/>
      <sheetName val="WM Oregon"/>
      <sheetName val="WM South Sound"/>
      <sheetName val="WM Northwest"/>
      <sheetName val="WM Sno-King"/>
      <sheetName val="WM Seattle"/>
      <sheetName val="2008 West Group IS"/>
      <sheetName val="2008 Group Office IS"/>
      <sheetName val="500500"/>
      <sheetName val="AP-500500"/>
      <sheetName val="500800"/>
      <sheetName val="509000"/>
      <sheetName val="AP-509500"/>
      <sheetName val="509500"/>
      <sheetName val="531200"/>
      <sheetName val="Income Statement (Tonnage)"/>
      <sheetName val="DEPN (CRC)"/>
      <sheetName val="Fixed Assets - Update"/>
      <sheetName val="Fixed Assets"/>
      <sheetName val="Lurito - CRC"/>
      <sheetName val="Lurito"/>
      <sheetName val="unprocessed SS"/>
      <sheetName val="Tonnage"/>
      <sheetName val="Outbound Tons"/>
      <sheetName val="Inbound Tons"/>
      <sheetName val="Labor"/>
      <sheetName val="CDL Pricing"/>
      <sheetName val="CRC Commodity Prices"/>
      <sheetName val="Commodity Mix"/>
      <sheetName val="502500"/>
      <sheetName val="Summary (Disposal)"/>
      <sheetName val="Com'l FL"/>
      <sheetName val="Res'l RL"/>
      <sheetName val="Roll Off"/>
      <sheetName val="Res'l YW"/>
      <sheetName val="Res'l Rec."/>
      <sheetName val="Com'l Rec."/>
      <sheetName val="Summary (Route)"/>
      <sheetName val="Haul Summary"/>
      <sheetName val="Customer Counts"/>
      <sheetName val="Com'l FL-2009"/>
      <sheetName val="Res'l RL (Route)"/>
      <sheetName val="Res'l YW (Route)"/>
      <sheetName val="Res'l Rec. (Route)"/>
      <sheetName val="Roll Off (Route)"/>
      <sheetName val="Com'l Rec. (Route)"/>
      <sheetName val="Hauls Only"/>
      <sheetName val="Container Shop (Arrows)"/>
      <sheetName val="Summary (Bad Debt)"/>
      <sheetName val="115000-115030 2008"/>
      <sheetName val="115000-115030 2007"/>
      <sheetName val="115000-115030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Mo Average Pl"/>
    </sheetNames>
    <sheetDataSet>
      <sheetData sheetId="0">
        <row r="1">
          <cell r="A1" t="str">
            <v>UNITED-UTILITIES, INC. (Co#04 UUI)</v>
          </cell>
        </row>
        <row r="2">
          <cell r="A2" t="str">
            <v>SCHEDULE OF 13-MONTH AVERAGE PLANT IN SERVICE - BEFORE ADJUSTMENTS</v>
          </cell>
        </row>
        <row r="3">
          <cell r="A3" t="str">
            <v>For the Test Year Ended December 31, 2001</v>
          </cell>
        </row>
        <row r="4">
          <cell r="A4" t="str">
            <v>Acct</v>
          </cell>
          <cell r="E4" t="str">
            <v xml:space="preserve"> </v>
          </cell>
          <cell r="G4" t="str">
            <v xml:space="preserve"> </v>
          </cell>
          <cell r="I4" t="str">
            <v xml:space="preserve"> </v>
          </cell>
        </row>
        <row r="5">
          <cell r="A5" t="str">
            <v>No.</v>
          </cell>
          <cell r="C5" t="str">
            <v>Account Title</v>
          </cell>
          <cell r="E5" t="str">
            <v>January 1</v>
          </cell>
          <cell r="G5" t="str">
            <v>January 31</v>
          </cell>
          <cell r="I5" t="str">
            <v>February 28</v>
          </cell>
        </row>
        <row r="6">
          <cell r="C6" t="str">
            <v>(a)</v>
          </cell>
          <cell r="E6" t="str">
            <v>(b)</v>
          </cell>
          <cell r="G6" t="str">
            <v>(c)</v>
          </cell>
          <cell r="I6" t="str">
            <v>(d)</v>
          </cell>
        </row>
        <row r="7">
          <cell r="C7" t="str">
            <v>GENERAL SUPPORT ASSETS</v>
          </cell>
        </row>
        <row r="8">
          <cell r="A8" t="str">
            <v>2111</v>
          </cell>
          <cell r="C8" t="str">
            <v xml:space="preserve">Land </v>
          </cell>
          <cell r="E8">
            <v>668453.96</v>
          </cell>
          <cell r="G8">
            <v>668453.96</v>
          </cell>
          <cell r="I8">
            <v>668453.96</v>
          </cell>
        </row>
        <row r="9">
          <cell r="A9" t="str">
            <v>2112</v>
          </cell>
          <cell r="C9" t="str">
            <v>Motor Vehicles</v>
          </cell>
          <cell r="E9">
            <v>343678.13</v>
          </cell>
          <cell r="G9">
            <v>343678.13</v>
          </cell>
          <cell r="I9">
            <v>343678.13</v>
          </cell>
        </row>
        <row r="10">
          <cell r="A10" t="str">
            <v>2114</v>
          </cell>
          <cell r="C10" t="str">
            <v>Special Purpose Vehicles</v>
          </cell>
          <cell r="E10">
            <v>47580.79</v>
          </cell>
          <cell r="G10">
            <v>47580.79</v>
          </cell>
          <cell r="I10">
            <v>138087.49</v>
          </cell>
        </row>
        <row r="11">
          <cell r="A11" t="str">
            <v>2115</v>
          </cell>
          <cell r="C11" t="str">
            <v>Garage Work Equipment</v>
          </cell>
          <cell r="E11">
            <v>4192.45</v>
          </cell>
          <cell r="G11">
            <v>4192.45</v>
          </cell>
          <cell r="I11">
            <v>4192.45</v>
          </cell>
        </row>
        <row r="12">
          <cell r="A12" t="str">
            <v>2116</v>
          </cell>
          <cell r="C12" t="str">
            <v>Other Work Equipment</v>
          </cell>
          <cell r="E12">
            <v>629716.25</v>
          </cell>
          <cell r="G12">
            <v>629716.25</v>
          </cell>
          <cell r="I12">
            <v>582808.84</v>
          </cell>
        </row>
        <row r="13">
          <cell r="A13" t="str">
            <v>2121-2121.2</v>
          </cell>
          <cell r="C13" t="str">
            <v>Buildings &amp; ESJV</v>
          </cell>
          <cell r="E13">
            <v>7980240.0800000001</v>
          </cell>
          <cell r="G13">
            <v>7986985</v>
          </cell>
          <cell r="I13">
            <v>7986985</v>
          </cell>
        </row>
        <row r="14">
          <cell r="A14" t="str">
            <v>2122</v>
          </cell>
          <cell r="C14" t="str">
            <v>Furniture</v>
          </cell>
          <cell r="E14">
            <v>343167.75</v>
          </cell>
          <cell r="G14">
            <v>377330.17000000004</v>
          </cell>
          <cell r="I14">
            <v>377330.17000000004</v>
          </cell>
        </row>
        <row r="15">
          <cell r="A15" t="str">
            <v>2123.1</v>
          </cell>
          <cell r="C15" t="str">
            <v>Office Support Equipment</v>
          </cell>
          <cell r="E15">
            <v>207324.1</v>
          </cell>
          <cell r="G15">
            <v>207324.1</v>
          </cell>
          <cell r="I15">
            <v>207324.1</v>
          </cell>
        </row>
        <row r="16">
          <cell r="A16" t="str">
            <v>2123.2</v>
          </cell>
          <cell r="C16" t="str">
            <v>Company Communications Equipment</v>
          </cell>
          <cell r="E16">
            <v>362349.6</v>
          </cell>
          <cell r="G16">
            <v>362349.6</v>
          </cell>
          <cell r="I16">
            <v>362349.6</v>
          </cell>
        </row>
        <row r="17">
          <cell r="A17" t="str">
            <v>2124</v>
          </cell>
          <cell r="C17" t="str">
            <v>General Purpose Computers</v>
          </cell>
          <cell r="E17">
            <v>833517.19</v>
          </cell>
          <cell r="G17">
            <v>862252.39</v>
          </cell>
          <cell r="I17">
            <v>876135.59</v>
          </cell>
        </row>
        <row r="18">
          <cell r="C18" t="str">
            <v>Total General Support Assets</v>
          </cell>
          <cell r="E18">
            <v>11420220.299999999</v>
          </cell>
          <cell r="G18">
            <v>11489862.84</v>
          </cell>
          <cell r="I18">
            <v>11547345.33</v>
          </cell>
        </row>
        <row r="20">
          <cell r="C20" t="str">
            <v>CENTRAL OFFICE ASSETS</v>
          </cell>
        </row>
        <row r="21">
          <cell r="A21" t="str">
            <v>2212</v>
          </cell>
          <cell r="C21" t="str">
            <v>Digital Electronic Switching</v>
          </cell>
          <cell r="E21">
            <v>8866498.1600000001</v>
          </cell>
          <cell r="G21">
            <v>8876958.0899999999</v>
          </cell>
          <cell r="I21">
            <v>8895446.6099999994</v>
          </cell>
        </row>
        <row r="22">
          <cell r="A22" t="str">
            <v>2231.2 -2231.1</v>
          </cell>
          <cell r="C22" t="str">
            <v>Radio Systems &amp; Earthstation Facilities</v>
          </cell>
          <cell r="E22">
            <v>7084450.5800000001</v>
          </cell>
          <cell r="G22">
            <v>7085366.7400000002</v>
          </cell>
          <cell r="I22">
            <v>7085366.7400000002</v>
          </cell>
        </row>
        <row r="23">
          <cell r="A23">
            <v>2231.21</v>
          </cell>
          <cell r="C23" t="str">
            <v>Other Radio Systems-BETRS</v>
          </cell>
          <cell r="E23">
            <v>1752407.35</v>
          </cell>
          <cell r="G23">
            <v>1752407.35</v>
          </cell>
          <cell r="I23">
            <v>1752407.35</v>
          </cell>
        </row>
        <row r="24">
          <cell r="A24" t="str">
            <v>2232</v>
          </cell>
          <cell r="C24" t="str">
            <v>Circuit Equipment</v>
          </cell>
          <cell r="E24">
            <v>771469.29</v>
          </cell>
          <cell r="G24">
            <v>771469.29</v>
          </cell>
          <cell r="I24">
            <v>771469.29</v>
          </cell>
        </row>
        <row r="25">
          <cell r="C25" t="str">
            <v>Total Central Office Assets</v>
          </cell>
          <cell r="E25">
            <v>18474825.379999999</v>
          </cell>
          <cell r="G25">
            <v>18486201.469999999</v>
          </cell>
          <cell r="I25">
            <v>18504689.989999998</v>
          </cell>
        </row>
        <row r="27">
          <cell r="C27" t="str">
            <v>INFORMATION ORIGINATION/</v>
          </cell>
        </row>
        <row r="28">
          <cell r="C28" t="str">
            <v xml:space="preserve">   TERMINATION ASSETS</v>
          </cell>
        </row>
        <row r="29">
          <cell r="A29" t="str">
            <v>2351</v>
          </cell>
          <cell r="C29" t="str">
            <v xml:space="preserve">Public Telephone Terminal Equipment </v>
          </cell>
          <cell r="E29">
            <v>0</v>
          </cell>
          <cell r="G29">
            <v>0</v>
          </cell>
          <cell r="I29">
            <v>0</v>
          </cell>
        </row>
        <row r="30">
          <cell r="C30" t="str">
            <v>Total Information Orig./Term. Assets</v>
          </cell>
          <cell r="E30">
            <v>0</v>
          </cell>
          <cell r="G30">
            <v>0</v>
          </cell>
          <cell r="I30">
            <v>0</v>
          </cell>
        </row>
        <row r="32">
          <cell r="C32" t="str">
            <v>CABLE AND WIRE FACILITIES ASSETS</v>
          </cell>
        </row>
        <row r="33">
          <cell r="A33">
            <v>2411</v>
          </cell>
          <cell r="C33" t="str">
            <v>Poles</v>
          </cell>
          <cell r="E33">
            <v>2993634.41</v>
          </cell>
          <cell r="G33">
            <v>2993634.41</v>
          </cell>
          <cell r="I33">
            <v>2993634.41</v>
          </cell>
        </row>
        <row r="34">
          <cell r="A34">
            <v>2421</v>
          </cell>
          <cell r="C34" t="str">
            <v>Aerial Cable</v>
          </cell>
          <cell r="E34">
            <v>5240998.42</v>
          </cell>
          <cell r="G34">
            <v>5240998.42</v>
          </cell>
          <cell r="I34">
            <v>5281995.4000000004</v>
          </cell>
        </row>
        <row r="35">
          <cell r="A35" t="str">
            <v>2423</v>
          </cell>
          <cell r="C35" t="str">
            <v>Buried Cable</v>
          </cell>
          <cell r="E35">
            <v>2236649.88</v>
          </cell>
          <cell r="G35">
            <v>2236649.88</v>
          </cell>
          <cell r="I35">
            <v>2236649.88</v>
          </cell>
        </row>
        <row r="36">
          <cell r="A36">
            <v>2431</v>
          </cell>
          <cell r="C36" t="str">
            <v>Aerial Wire</v>
          </cell>
          <cell r="E36">
            <v>0</v>
          </cell>
          <cell r="G36">
            <v>0</v>
          </cell>
          <cell r="I36">
            <v>0</v>
          </cell>
        </row>
        <row r="37">
          <cell r="C37" t="str">
            <v>Total Cable and Wire Facilities Assets</v>
          </cell>
          <cell r="E37">
            <v>10471282.710000001</v>
          </cell>
          <cell r="G37">
            <v>10471282.710000001</v>
          </cell>
          <cell r="I37">
            <v>10512279.690000001</v>
          </cell>
        </row>
        <row r="39">
          <cell r="C39" t="str">
            <v>AMORTIZABLE ASSETS</v>
          </cell>
        </row>
        <row r="40">
          <cell r="A40">
            <v>2681</v>
          </cell>
          <cell r="C40" t="str">
            <v>Capital Leases</v>
          </cell>
          <cell r="E40">
            <v>0</v>
          </cell>
          <cell r="G40">
            <v>0</v>
          </cell>
          <cell r="I40">
            <v>0</v>
          </cell>
        </row>
        <row r="41">
          <cell r="A41" t="str">
            <v>2690</v>
          </cell>
          <cell r="C41" t="str">
            <v>Intangibles</v>
          </cell>
          <cell r="E41">
            <v>0</v>
          </cell>
          <cell r="G41">
            <v>0</v>
          </cell>
          <cell r="I41">
            <v>0</v>
          </cell>
        </row>
        <row r="42">
          <cell r="C42" t="str">
            <v>Total Amortizable Assets</v>
          </cell>
          <cell r="E42">
            <v>0</v>
          </cell>
          <cell r="G42">
            <v>0</v>
          </cell>
          <cell r="I42">
            <v>0</v>
          </cell>
        </row>
        <row r="44">
          <cell r="C44" t="str">
            <v xml:space="preserve">     TOTAL</v>
          </cell>
          <cell r="E44">
            <v>40366328.390000001</v>
          </cell>
          <cell r="G44">
            <v>40447347.019999996</v>
          </cell>
          <cell r="I44">
            <v>40564315.010000005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Ranges"/>
      <sheetName val="StatEntry_Trend"/>
      <sheetName val="StatEntry_Detail"/>
      <sheetName val="StatEntry_Reclass_LOB_Sbst"/>
      <sheetName val="ChangeHistory"/>
      <sheetName val="Stat Lookup"/>
    </sheetNames>
    <sheetDataSet>
      <sheetData sheetId="0">
        <row r="5">
          <cell r="B5" t="str">
            <v>Can_Commercial</v>
          </cell>
          <cell r="D5" t="str">
            <v>Act</v>
          </cell>
        </row>
        <row r="6">
          <cell r="B6" t="str">
            <v>Can_Commercial Recycling</v>
          </cell>
          <cell r="D6" t="str">
            <v>Bud</v>
          </cell>
        </row>
        <row r="7">
          <cell r="B7" t="str">
            <v>Can_Landfill</v>
          </cell>
          <cell r="D7" t="str">
            <v>Proj</v>
          </cell>
        </row>
        <row r="8">
          <cell r="B8" t="str">
            <v>Can_Landfill Gas</v>
          </cell>
        </row>
        <row r="9">
          <cell r="B9" t="str">
            <v>Can_MRF</v>
          </cell>
        </row>
        <row r="10">
          <cell r="B10" t="str">
            <v>Can_Other</v>
          </cell>
        </row>
        <row r="11">
          <cell r="B11" t="str">
            <v>Can_Residential</v>
          </cell>
        </row>
        <row r="12">
          <cell r="B12" t="str">
            <v>Can_Residential Recycling</v>
          </cell>
        </row>
        <row r="13">
          <cell r="B13" t="str">
            <v>Can_Roll Off</v>
          </cell>
        </row>
        <row r="14">
          <cell r="B14" t="str">
            <v>Can_Transfer Station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10.71</v>
          </cell>
        </row>
        <row r="14">
          <cell r="C14" t="str">
            <v>dist</v>
          </cell>
          <cell r="E14" t="str">
            <v>=</v>
          </cell>
          <cell r="F14">
            <v>2149</v>
          </cell>
        </row>
      </sheetData>
      <sheetData sheetId="4" refreshError="1">
        <row r="6">
          <cell r="F6" t="str">
            <v>Time Series</v>
          </cell>
        </row>
        <row r="17">
          <cell r="B17" t="str">
            <v>ACCT</v>
          </cell>
          <cell r="C17" t="str">
            <v>-</v>
          </cell>
        </row>
        <row r="22">
          <cell r="C22" t="str">
            <v>Financial</v>
          </cell>
        </row>
        <row r="23">
          <cell r="C23" t="str">
            <v>ALL</v>
          </cell>
        </row>
        <row r="24">
          <cell r="C24" t="str">
            <v>Variable</v>
          </cell>
        </row>
      </sheetData>
      <sheetData sheetId="5" refreshError="1">
        <row r="8">
          <cell r="E8" t="str">
            <v>Report</v>
          </cell>
        </row>
        <row r="12">
          <cell r="B12" t="b">
            <v>0</v>
          </cell>
        </row>
      </sheetData>
      <sheetData sheetId="6" refreshError="1"/>
      <sheetData sheetId="7" refreshError="1">
        <row r="11">
          <cell r="D11">
            <v>10002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Cash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Check"/>
      <sheetName val="GetReport"/>
      <sheetName val="JE_Entry"/>
      <sheetName val="AccrualBase"/>
      <sheetName val="InvoicesToAccrue"/>
      <sheetName val="MonthReceiptDetail"/>
      <sheetName val="OtherOpen"/>
      <sheetName val="Within7"/>
      <sheetName val="Sheet10"/>
      <sheetName val="DV-IDENTITY-0"/>
      <sheetName val="21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Source</v>
          </cell>
        </row>
      </sheetData>
      <sheetData sheetId="5" refreshError="1">
        <row r="4">
          <cell r="A4" t="str">
            <v>Source</v>
          </cell>
        </row>
      </sheetData>
      <sheetData sheetId="6" refreshError="1">
        <row r="4">
          <cell r="A4" t="str">
            <v>Source</v>
          </cell>
        </row>
      </sheetData>
      <sheetData sheetId="7" refreshError="1">
        <row r="4">
          <cell r="A4" t="str">
            <v>Source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001Tranx"/>
      <sheetName val="JEexport"/>
      <sheetName val="Intro Memo"/>
      <sheetName val="JE_Summary"/>
      <sheetName val="Mth00"/>
      <sheetName val="Mth01"/>
      <sheetName val="Mth02"/>
      <sheetName val="Mth03"/>
      <sheetName val="Mth04"/>
      <sheetName val="Mth05"/>
      <sheetName val="Mth06"/>
      <sheetName val="Mth07"/>
      <sheetName val="Mth08"/>
      <sheetName val="Mth09"/>
      <sheetName val="Mth10"/>
      <sheetName val="Mth11"/>
      <sheetName val="Mth12"/>
      <sheetName val="TEST"/>
      <sheetName val="To Do"/>
      <sheetName val="GLMapping"/>
      <sheetName val="BatchLog"/>
      <sheetName val="Reference"/>
    </sheetNames>
    <sheetDataSet>
      <sheetData sheetId="0"/>
      <sheetData sheetId="1">
        <row r="9">
          <cell r="L9">
            <v>11501</v>
          </cell>
        </row>
        <row r="10">
          <cell r="L10" t="str">
            <v>11501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001Tranx"/>
      <sheetName val="JEexport"/>
      <sheetName val="Intro Memo"/>
      <sheetName val="JE_Summary"/>
      <sheetName val="Mth00"/>
      <sheetName val="Mth01"/>
      <sheetName val="Mth02"/>
      <sheetName val="Mth03"/>
      <sheetName val="Mth04"/>
      <sheetName val="Mth05"/>
      <sheetName val="Mth06"/>
      <sheetName val="Mth07"/>
      <sheetName val="Mth08"/>
      <sheetName val="Mth09"/>
      <sheetName val="Mth10"/>
      <sheetName val="Mth11"/>
      <sheetName val="Mth12"/>
      <sheetName val="TEST"/>
      <sheetName val="To Do"/>
      <sheetName val="GLMapping"/>
      <sheetName val="BatchLog"/>
      <sheetName val="Reference"/>
    </sheetNames>
    <sheetDataSet>
      <sheetData sheetId="0" refreshError="1"/>
      <sheetData sheetId="1" refreshError="1">
        <row r="9">
          <cell r="L9">
            <v>11501</v>
          </cell>
        </row>
        <row r="10">
          <cell r="L10" t="str">
            <v>11501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ital Summary By PO Type"/>
      <sheetName val="PO vs Truck Center Recon"/>
      <sheetName val="Truck Center Summary"/>
      <sheetName val="Bud Closure Input"/>
      <sheetName val="Closure Summary By PO Type"/>
      <sheetName val="TruckCenterReference"/>
      <sheetName val="AssetTypeList"/>
      <sheetName val="Reference"/>
      <sheetName val="ClosureReference"/>
      <sheetName val="Bud Capita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F11" t="str">
            <v>OK!: ReportRange Formula OK [jAction{}]</v>
          </cell>
        </row>
        <row r="26">
          <cell r="B26" t="str">
            <v>N|Container Delivery</v>
          </cell>
          <cell r="C26" t="str">
            <v>Container Delivery Truck</v>
          </cell>
          <cell r="D26" t="str">
            <v>Container Delivery</v>
          </cell>
        </row>
        <row r="27">
          <cell r="B27" t="str">
            <v>Lookup Key</v>
          </cell>
          <cell r="C27" t="str">
            <v>PO Subtype</v>
          </cell>
          <cell r="D27" t="str">
            <v>Truck Center System Type</v>
          </cell>
        </row>
        <row r="28">
          <cell r="B28" t="str">
            <v>N|Automated Sideloader</v>
          </cell>
          <cell r="C28" t="str">
            <v>Automated</v>
          </cell>
          <cell r="D28" t="str">
            <v>Automated Sideloader</v>
          </cell>
        </row>
        <row r="29">
          <cell r="B29" t="str">
            <v>N|Container Delivery</v>
          </cell>
          <cell r="C29" t="str">
            <v>Container Delivery Truck</v>
          </cell>
          <cell r="D29" t="str">
            <v>Container Delivery</v>
          </cell>
        </row>
        <row r="30">
          <cell r="B30" t="str">
            <v>N|Front Loader</v>
          </cell>
          <cell r="C30" t="str">
            <v>Front Load</v>
          </cell>
          <cell r="D30" t="str">
            <v>Front Loader</v>
          </cell>
        </row>
        <row r="31">
          <cell r="B31" t="str">
            <v>N|Grapple Truck</v>
          </cell>
          <cell r="C31" t="str">
            <v>Grapple Brush Truck</v>
          </cell>
          <cell r="D31" t="str">
            <v>Grapple Truck</v>
          </cell>
        </row>
        <row r="32">
          <cell r="B32" t="str">
            <v>N|Hook Lift</v>
          </cell>
          <cell r="C32" t="str">
            <v>Hook Lift</v>
          </cell>
          <cell r="D32" t="str">
            <v>Hook Lift</v>
          </cell>
        </row>
        <row r="33">
          <cell r="B33" t="str">
            <v>N|Manual Sideloader</v>
          </cell>
          <cell r="C33" t="str">
            <v>Sideloader</v>
          </cell>
          <cell r="D33" t="str">
            <v>Manual Sideloader</v>
          </cell>
        </row>
        <row r="34">
          <cell r="B34" t="str">
            <v>N|Other</v>
          </cell>
          <cell r="C34" t="str">
            <v>Other Truck</v>
          </cell>
          <cell r="D34" t="str">
            <v>Other</v>
          </cell>
        </row>
        <row r="35">
          <cell r="B35" t="str">
            <v>N|Other</v>
          </cell>
          <cell r="C35" t="str">
            <v>Passenger Car</v>
          </cell>
          <cell r="D35" t="str">
            <v>Other</v>
          </cell>
        </row>
        <row r="36">
          <cell r="B36" t="str">
            <v>N|Pickup</v>
          </cell>
          <cell r="C36" t="str">
            <v>Pickup</v>
          </cell>
          <cell r="D36" t="str">
            <v>Pickup</v>
          </cell>
        </row>
        <row r="37">
          <cell r="B37" t="str">
            <v>N|Pumper Truck</v>
          </cell>
          <cell r="C37" t="str">
            <v>Pumper Truck</v>
          </cell>
          <cell r="D37" t="str">
            <v>Pumper Truck</v>
          </cell>
        </row>
        <row r="38">
          <cell r="B38" t="str">
            <v>N|Rear Loader</v>
          </cell>
          <cell r="C38" t="str">
            <v>Rear Load</v>
          </cell>
          <cell r="D38" t="str">
            <v>Rear Loader</v>
          </cell>
        </row>
        <row r="39">
          <cell r="B39" t="str">
            <v>N|Recycle</v>
          </cell>
          <cell r="C39" t="str">
            <v>Recycle Truck</v>
          </cell>
          <cell r="D39" t="str">
            <v>Recycle</v>
          </cell>
        </row>
        <row r="40">
          <cell r="B40" t="str">
            <v>N|Retriever</v>
          </cell>
          <cell r="C40" t="str">
            <v>Retriever</v>
          </cell>
          <cell r="D40" t="str">
            <v>Retriever</v>
          </cell>
        </row>
        <row r="41">
          <cell r="B41" t="str">
            <v>N|Roll Off</v>
          </cell>
          <cell r="C41" t="str">
            <v>Roll Off</v>
          </cell>
          <cell r="D41" t="str">
            <v>Roll Off</v>
          </cell>
        </row>
        <row r="42">
          <cell r="B42" t="str">
            <v>N|Serv Trk-Complete</v>
          </cell>
          <cell r="C42" t="str">
            <v>Service Truck</v>
          </cell>
          <cell r="D42" t="str">
            <v>Serv Trk-Complete</v>
          </cell>
        </row>
        <row r="43">
          <cell r="B43" t="str">
            <v>N|Trailer</v>
          </cell>
          <cell r="C43" t="str">
            <v>Tipper Trailer</v>
          </cell>
          <cell r="D43" t="str">
            <v>Trailer</v>
          </cell>
        </row>
        <row r="44">
          <cell r="B44" t="str">
            <v>N|Trailer</v>
          </cell>
          <cell r="C44" t="str">
            <v>Walking Floor Trailer</v>
          </cell>
          <cell r="D44" t="str">
            <v>Trailer</v>
          </cell>
        </row>
        <row r="45">
          <cell r="B45" t="str">
            <v>N|Trailer</v>
          </cell>
          <cell r="C45" t="str">
            <v>Roll Off Pup Trailer</v>
          </cell>
          <cell r="D45" t="str">
            <v>Trailer</v>
          </cell>
        </row>
        <row r="46">
          <cell r="B46" t="str">
            <v>N|Trailer</v>
          </cell>
          <cell r="C46" t="str">
            <v>Other Trailer</v>
          </cell>
          <cell r="D46" t="str">
            <v>Trailer</v>
          </cell>
        </row>
        <row r="47">
          <cell r="B47" t="str">
            <v>N|Trailer</v>
          </cell>
          <cell r="C47" t="str">
            <v>Container Delivery Trailer</v>
          </cell>
          <cell r="D47" t="str">
            <v>Trailer</v>
          </cell>
        </row>
        <row r="48">
          <cell r="B48" t="str">
            <v>N|Trailer</v>
          </cell>
          <cell r="C48" t="str">
            <v>Railroad Cars</v>
          </cell>
          <cell r="D48" t="str">
            <v>Trailer</v>
          </cell>
        </row>
        <row r="49">
          <cell r="B49" t="str">
            <v>N|Trailer</v>
          </cell>
          <cell r="C49" t="str">
            <v>Barge</v>
          </cell>
          <cell r="D49" t="str">
            <v>Trailer</v>
          </cell>
        </row>
        <row r="50">
          <cell r="B50" t="str">
            <v>N|Transfer Tractor</v>
          </cell>
          <cell r="C50" t="str">
            <v>Transfer Tractor</v>
          </cell>
          <cell r="D50" t="str">
            <v>Transfer Tractor</v>
          </cell>
        </row>
        <row r="51">
          <cell r="B51" t="str">
            <v>N|Yard Mule</v>
          </cell>
          <cell r="C51" t="str">
            <v>ATV/Gator</v>
          </cell>
          <cell r="D51" t="str">
            <v>Yard Mule</v>
          </cell>
        </row>
        <row r="52">
          <cell r="B52" t="str">
            <v>N|Yard Mule</v>
          </cell>
          <cell r="C52" t="str">
            <v>Yard Mule</v>
          </cell>
          <cell r="D52" t="str">
            <v>Yard Mule</v>
          </cell>
        </row>
        <row r="53">
          <cell r="B53" t="str">
            <v>U|Automated Sideloader</v>
          </cell>
          <cell r="C53" t="str">
            <v>Automated</v>
          </cell>
          <cell r="D53" t="str">
            <v>Automated Sideloader</v>
          </cell>
        </row>
        <row r="54">
          <cell r="B54" t="str">
            <v>U|Container Delivery</v>
          </cell>
          <cell r="C54" t="str">
            <v>Container Delivery Truck</v>
          </cell>
          <cell r="D54" t="str">
            <v>Container Delivery</v>
          </cell>
        </row>
        <row r="55">
          <cell r="B55" t="str">
            <v>U|Front Loader</v>
          </cell>
          <cell r="C55" t="str">
            <v>Front Load</v>
          </cell>
          <cell r="D55" t="str">
            <v>Front Loader</v>
          </cell>
        </row>
        <row r="56">
          <cell r="B56" t="str">
            <v>U|Grapple Truck</v>
          </cell>
          <cell r="C56" t="str">
            <v>Grapple Brush Truck</v>
          </cell>
          <cell r="D56" t="str">
            <v>Grapple Truck</v>
          </cell>
        </row>
        <row r="57">
          <cell r="B57" t="str">
            <v>U|Hook Lift</v>
          </cell>
          <cell r="C57" t="str">
            <v>Hook Lift</v>
          </cell>
          <cell r="D57" t="str">
            <v>Hook Lift</v>
          </cell>
        </row>
        <row r="58">
          <cell r="B58" t="str">
            <v>U|Manual Sideloader</v>
          </cell>
          <cell r="C58" t="str">
            <v>Sideloader</v>
          </cell>
          <cell r="D58" t="str">
            <v>Manual Sideloader</v>
          </cell>
        </row>
        <row r="59">
          <cell r="B59" t="str">
            <v>U|Other</v>
          </cell>
          <cell r="C59" t="str">
            <v>Other Truck</v>
          </cell>
          <cell r="D59" t="str">
            <v>Other</v>
          </cell>
        </row>
        <row r="60">
          <cell r="B60" t="str">
            <v>U|Pickup</v>
          </cell>
          <cell r="C60" t="str">
            <v>Pickup</v>
          </cell>
          <cell r="D60" t="str">
            <v>Pickup</v>
          </cell>
        </row>
        <row r="61">
          <cell r="B61" t="str">
            <v>U|Pumper Truck</v>
          </cell>
          <cell r="C61" t="str">
            <v>Pumper Truck</v>
          </cell>
          <cell r="D61" t="str">
            <v>Pumper Truck</v>
          </cell>
        </row>
        <row r="62">
          <cell r="B62" t="str">
            <v>U|Rear Loader</v>
          </cell>
          <cell r="C62" t="str">
            <v>Rear Load</v>
          </cell>
          <cell r="D62" t="str">
            <v>Rear Loader</v>
          </cell>
        </row>
        <row r="63">
          <cell r="B63" t="str">
            <v>U|Recycle</v>
          </cell>
          <cell r="C63" t="str">
            <v>Recycle Truck</v>
          </cell>
          <cell r="D63" t="str">
            <v>Recycle</v>
          </cell>
        </row>
        <row r="64">
          <cell r="B64" t="str">
            <v>U|Retriever</v>
          </cell>
          <cell r="C64" t="str">
            <v>Retriever</v>
          </cell>
          <cell r="D64" t="str">
            <v>Retriever</v>
          </cell>
        </row>
        <row r="65">
          <cell r="B65" t="str">
            <v>U|Roll Off</v>
          </cell>
          <cell r="C65" t="str">
            <v>Roll Off</v>
          </cell>
          <cell r="D65" t="str">
            <v>Roll Off</v>
          </cell>
        </row>
        <row r="66">
          <cell r="B66" t="str">
            <v>U|Serv Trk-Complete</v>
          </cell>
          <cell r="C66" t="str">
            <v>Service Truck</v>
          </cell>
          <cell r="D66" t="str">
            <v>Serv Trk-Complete</v>
          </cell>
        </row>
        <row r="67">
          <cell r="B67" t="str">
            <v>U|Trailer</v>
          </cell>
          <cell r="C67" t="str">
            <v>Tipper Trailer</v>
          </cell>
          <cell r="D67" t="str">
            <v>Trailer</v>
          </cell>
        </row>
        <row r="68">
          <cell r="B68" t="str">
            <v>U|Trailer</v>
          </cell>
          <cell r="C68" t="str">
            <v>Walking Floor Trailer</v>
          </cell>
          <cell r="D68" t="str">
            <v>Trailer</v>
          </cell>
        </row>
        <row r="69">
          <cell r="B69" t="str">
            <v>U|Trailer</v>
          </cell>
          <cell r="C69" t="str">
            <v>Roll Off Pup Trailer</v>
          </cell>
          <cell r="D69" t="str">
            <v>Trailer</v>
          </cell>
        </row>
        <row r="70">
          <cell r="B70" t="str">
            <v>U|Trailer</v>
          </cell>
          <cell r="C70" t="str">
            <v>Barge</v>
          </cell>
          <cell r="D70" t="str">
            <v>Trailer</v>
          </cell>
        </row>
        <row r="71">
          <cell r="B71" t="str">
            <v>U|Trailer</v>
          </cell>
          <cell r="C71" t="str">
            <v>Railroad Cars</v>
          </cell>
          <cell r="D71" t="str">
            <v>Trailer</v>
          </cell>
        </row>
        <row r="72">
          <cell r="B72" t="str">
            <v>U|Trailer</v>
          </cell>
          <cell r="C72" t="str">
            <v>Container Delivery Trailer</v>
          </cell>
          <cell r="D72" t="str">
            <v>Trailer</v>
          </cell>
        </row>
        <row r="73">
          <cell r="B73" t="str">
            <v>U|Trailer</v>
          </cell>
          <cell r="C73" t="str">
            <v>Other Trailer</v>
          </cell>
          <cell r="D73" t="str">
            <v>Trailer</v>
          </cell>
        </row>
        <row r="74">
          <cell r="B74" t="str">
            <v>U|Transfer Tractor</v>
          </cell>
          <cell r="C74" t="str">
            <v>Transfer Tractor</v>
          </cell>
          <cell r="D74" t="str">
            <v>Transfer Tractor</v>
          </cell>
        </row>
      </sheetData>
      <sheetData sheetId="7">
        <row r="7">
          <cell r="C7" t="str">
            <v>OK!: ReportRange Formula OK [jAction{}]</v>
          </cell>
        </row>
      </sheetData>
      <sheetData sheetId="8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 IS"/>
      <sheetName val="2009 BS"/>
      <sheetName val="2010 BS"/>
      <sheetName val="Combined BS"/>
      <sheetName val="2009 IS"/>
      <sheetName val="2010 IS"/>
      <sheetName val="Combined 12 mo IS"/>
      <sheetName val="Consolidated IS 2009 2010"/>
      <sheetName val="Consolidated IS - IRMGARD"/>
      <sheetName val="Pro forma "/>
      <sheetName val="Pro forma-Line of Service"/>
      <sheetName val="Restatements"/>
      <sheetName val="Proforma Adjusts"/>
      <sheetName val="2009 Price Out (REG)"/>
      <sheetName val="GL Recon"/>
      <sheetName val="Customer Count Summary"/>
      <sheetName val="2009 Payroll"/>
      <sheetName val="2010 Payroll"/>
      <sheetName val="2009,2010 Depr Summary"/>
      <sheetName val="Time Study"/>
      <sheetName val="2009 Insurance"/>
      <sheetName val="2010 Insurance"/>
      <sheetName val="2009 Disposal"/>
      <sheetName val="2010 Disposal"/>
      <sheetName val="2009 Fuel"/>
      <sheetName val="2009 Depr Summary"/>
      <sheetName val="2009 Trks"/>
      <sheetName val="2009 Cont, DB"/>
      <sheetName val="2009 Serv, Shop"/>
      <sheetName val="2009 Office"/>
      <sheetName val="2009 Leasehold"/>
      <sheetName val="2010 Fuel"/>
      <sheetName val="2010 Deprec Summary"/>
      <sheetName val="2010 Trks"/>
      <sheetName val="2010 Cont, DB"/>
      <sheetName val="2010 Serv, Shop"/>
      <sheetName val="2010 Office"/>
      <sheetName val="2010 Leasehold"/>
      <sheetName val="Region Allocation (2)"/>
      <sheetName val="LG-Total Company before DF"/>
      <sheetName val="LG-Packer Rts before DF"/>
      <sheetName val="LG-RO Rts before DF"/>
      <sheetName val="LG-Total Company"/>
      <sheetName val="LG-Packer Rts"/>
      <sheetName val="LG-RO Rts"/>
      <sheetName val="LG-Recycl"/>
      <sheetName val="Scenarios"/>
      <sheetName val="Scenarios (2)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A12" t="str">
            <v>Revenue</v>
          </cell>
        </row>
        <row r="13">
          <cell r="A13" t="str">
            <v>Hauling</v>
          </cell>
        </row>
        <row r="14">
          <cell r="A14">
            <v>31000</v>
          </cell>
          <cell r="B14" t="str">
            <v>Hauling Revenue - Roll Off Permanent</v>
          </cell>
          <cell r="E14">
            <v>41429.11</v>
          </cell>
          <cell r="F14">
            <v>39826.22</v>
          </cell>
          <cell r="G14">
            <v>49022.75</v>
          </cell>
          <cell r="H14">
            <v>45137.86</v>
          </cell>
          <cell r="I14">
            <v>48263.81</v>
          </cell>
          <cell r="J14">
            <v>55314.5</v>
          </cell>
          <cell r="K14">
            <v>60046.02</v>
          </cell>
          <cell r="L14">
            <v>64582.7</v>
          </cell>
          <cell r="M14">
            <v>55932.07</v>
          </cell>
          <cell r="N14">
            <v>50932.34</v>
          </cell>
          <cell r="O14">
            <v>38587.67</v>
          </cell>
          <cell r="P14">
            <v>43420.76</v>
          </cell>
          <cell r="Q14">
            <v>592495.81000000006</v>
          </cell>
        </row>
        <row r="15">
          <cell r="A15">
            <v>31001</v>
          </cell>
          <cell r="B15" t="str">
            <v>Hauling Revenue - Roll Off Temporary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>
            <v>31002</v>
          </cell>
          <cell r="B16" t="str">
            <v>Hauling Revenue - Roll Off Rental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31003</v>
          </cell>
          <cell r="B17" t="str">
            <v>Hauling Revenue - Roll Off Compactor Ren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31004</v>
          </cell>
          <cell r="B18" t="str">
            <v>Hauling Revenue - Roll Off Recycling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31005</v>
          </cell>
          <cell r="B19" t="str">
            <v>Corporate Roll Off Disposal Charge</v>
          </cell>
          <cell r="E19">
            <v>93946.63</v>
          </cell>
          <cell r="F19">
            <v>91101.8</v>
          </cell>
          <cell r="G19">
            <v>108743.12</v>
          </cell>
          <cell r="H19">
            <v>100411.54</v>
          </cell>
          <cell r="I19">
            <v>109421.85</v>
          </cell>
          <cell r="J19">
            <v>119111.11</v>
          </cell>
          <cell r="K19">
            <v>114939.05</v>
          </cell>
          <cell r="L19">
            <v>123201.29</v>
          </cell>
          <cell r="M19">
            <v>128616.56</v>
          </cell>
          <cell r="N19">
            <v>103849.76</v>
          </cell>
          <cell r="O19">
            <v>87162.7</v>
          </cell>
          <cell r="P19">
            <v>101585.44</v>
          </cell>
          <cell r="Q19">
            <v>1282090.8499999999</v>
          </cell>
        </row>
        <row r="20">
          <cell r="A20">
            <v>31008</v>
          </cell>
          <cell r="B20" t="str">
            <v>Hauling Revenue - Roll Off Adjustments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31009</v>
          </cell>
          <cell r="B21" t="str">
            <v>Hauling Revenue - Roll Off Intercompany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31010</v>
          </cell>
          <cell r="B22" t="str">
            <v>Hauling Revenue - Roll Off Extras</v>
          </cell>
          <cell r="E22">
            <v>16354.41</v>
          </cell>
          <cell r="F22">
            <v>16430.849999999999</v>
          </cell>
          <cell r="G22">
            <v>18226.63</v>
          </cell>
          <cell r="H22">
            <v>17972.400000000001</v>
          </cell>
          <cell r="I22">
            <v>18790.919999999998</v>
          </cell>
          <cell r="J22">
            <v>19705.3</v>
          </cell>
          <cell r="K22">
            <v>21354.080000000002</v>
          </cell>
          <cell r="L22">
            <v>22365.29</v>
          </cell>
          <cell r="M22">
            <v>20804.36</v>
          </cell>
          <cell r="N22">
            <v>18374.21</v>
          </cell>
          <cell r="O22">
            <v>17346.11</v>
          </cell>
          <cell r="P22">
            <v>15627.2</v>
          </cell>
          <cell r="Q22">
            <v>223351.76</v>
          </cell>
        </row>
        <row r="23">
          <cell r="A23">
            <v>31020</v>
          </cell>
          <cell r="B23" t="str">
            <v>Hauling Revenue - Roll Off Special Waste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31021</v>
          </cell>
          <cell r="B24" t="str">
            <v>Hauling Revenue - Roll Off Special Waste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31029</v>
          </cell>
          <cell r="B25" t="str">
            <v>Hauling Revenue - Roll Off Special Waste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32000</v>
          </cell>
          <cell r="B26" t="str">
            <v>Hauling Revenue - Residential MSW</v>
          </cell>
          <cell r="E26">
            <v>754535.74</v>
          </cell>
          <cell r="F26">
            <v>750848.79</v>
          </cell>
          <cell r="G26">
            <v>751484.07</v>
          </cell>
          <cell r="H26">
            <v>759461.88</v>
          </cell>
          <cell r="I26">
            <v>756344.84</v>
          </cell>
          <cell r="J26">
            <v>762351.19</v>
          </cell>
          <cell r="K26">
            <v>763571.04</v>
          </cell>
          <cell r="L26">
            <v>762014.08</v>
          </cell>
          <cell r="M26">
            <v>763381.19</v>
          </cell>
          <cell r="N26">
            <v>760410.82</v>
          </cell>
          <cell r="O26">
            <v>760222.53</v>
          </cell>
          <cell r="P26">
            <v>757663.07</v>
          </cell>
          <cell r="Q26">
            <v>9102289.2400000002</v>
          </cell>
        </row>
        <row r="27">
          <cell r="A27">
            <v>32001</v>
          </cell>
          <cell r="B27" t="str">
            <v>Hauling Revenue - Residential MSW Extras</v>
          </cell>
          <cell r="E27">
            <v>48676.93</v>
          </cell>
          <cell r="F27">
            <v>46005.81</v>
          </cell>
          <cell r="G27">
            <v>44057.39</v>
          </cell>
          <cell r="H27">
            <v>54145.79</v>
          </cell>
          <cell r="I27">
            <v>47089.22</v>
          </cell>
          <cell r="J27">
            <v>62711.39</v>
          </cell>
          <cell r="K27">
            <v>60222.84</v>
          </cell>
          <cell r="L27">
            <v>63321.38</v>
          </cell>
          <cell r="M27">
            <v>48663.92</v>
          </cell>
          <cell r="N27">
            <v>45750.71</v>
          </cell>
          <cell r="O27">
            <v>44578.41</v>
          </cell>
          <cell r="P27">
            <v>66011.64</v>
          </cell>
          <cell r="Q27">
            <v>631235.43000000005</v>
          </cell>
        </row>
        <row r="28">
          <cell r="A28">
            <v>32002</v>
          </cell>
          <cell r="B28" t="str">
            <v>Hauling Revenue - Residential MSW Adjust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32003</v>
          </cell>
          <cell r="B29" t="str">
            <v>Hauling Revenue - Residential MSW Specia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32009</v>
          </cell>
          <cell r="B30" t="str">
            <v>Hauling Revenue - Residential MSW Interc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>
            <v>32100</v>
          </cell>
          <cell r="B31" t="str">
            <v>Hauling Revenue - Residential Recycling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32101</v>
          </cell>
          <cell r="B32" t="str">
            <v>Hauling Revenue - Residential Recycling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32102</v>
          </cell>
          <cell r="B33" t="str">
            <v>Hauling Revenue - Residential Recycling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32103</v>
          </cell>
          <cell r="B34" t="str">
            <v>Hauling Revenue - Residential Recycling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32109</v>
          </cell>
          <cell r="B35" t="str">
            <v>Hauling Revenue - Residential Recycling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32110</v>
          </cell>
          <cell r="B36" t="str">
            <v>Hauling Revenue - Residential Composting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32111</v>
          </cell>
          <cell r="B37" t="str">
            <v>Hauling Revenue - Residential Composting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32112</v>
          </cell>
          <cell r="B38" t="str">
            <v>Hauling Revenue - Residential Composting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32113</v>
          </cell>
          <cell r="B39" t="str">
            <v>Hauling Revenue - Residential Composting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32119</v>
          </cell>
          <cell r="B40" t="str">
            <v>Hauling Revenue - Residential Composting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33000</v>
          </cell>
          <cell r="B41" t="str">
            <v>Hauling Revenue - Commercial FEL</v>
          </cell>
          <cell r="E41">
            <v>414760.73</v>
          </cell>
          <cell r="F41">
            <v>412841.01</v>
          </cell>
          <cell r="G41">
            <v>416757.93</v>
          </cell>
          <cell r="H41">
            <v>417298.76</v>
          </cell>
          <cell r="I41">
            <v>417121.97</v>
          </cell>
          <cell r="J41">
            <v>421939.51</v>
          </cell>
          <cell r="K41">
            <v>420917.49</v>
          </cell>
          <cell r="L41">
            <v>425821.47</v>
          </cell>
          <cell r="M41">
            <v>424192</v>
          </cell>
          <cell r="N41">
            <v>415412.9</v>
          </cell>
          <cell r="O41">
            <v>413023.47</v>
          </cell>
          <cell r="P41">
            <v>411406.25</v>
          </cell>
          <cell r="Q41">
            <v>5011493.49</v>
          </cell>
        </row>
        <row r="42">
          <cell r="A42">
            <v>33001</v>
          </cell>
          <cell r="B42" t="str">
            <v>Hauling Revenue - Commercial FEL Extras</v>
          </cell>
          <cell r="E42">
            <v>16369.94</v>
          </cell>
          <cell r="F42">
            <v>15223.46</v>
          </cell>
          <cell r="G42">
            <v>18054.59</v>
          </cell>
          <cell r="H42">
            <v>17483.330000000002</v>
          </cell>
          <cell r="I42">
            <v>19168.46</v>
          </cell>
          <cell r="J42">
            <v>18357.68</v>
          </cell>
          <cell r="K42">
            <v>21453.19</v>
          </cell>
          <cell r="L42">
            <v>22591.22</v>
          </cell>
          <cell r="M42">
            <v>16352.74</v>
          </cell>
          <cell r="N42">
            <v>17430.650000000001</v>
          </cell>
          <cell r="O42">
            <v>16278.67</v>
          </cell>
          <cell r="P42">
            <v>16972.88</v>
          </cell>
          <cell r="Q42">
            <v>215736.81</v>
          </cell>
        </row>
        <row r="43">
          <cell r="A43">
            <v>33002</v>
          </cell>
          <cell r="B43" t="str">
            <v>Hauling Revenue - Commercial FEL Adjustm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33009</v>
          </cell>
          <cell r="B44" t="str">
            <v>Hauling Revenue - Commercial FEL Interco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33010</v>
          </cell>
          <cell r="B45" t="str">
            <v>Hauling Revenue - Commercial REL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33011</v>
          </cell>
          <cell r="B46" t="str">
            <v>Hauling Revenue - Commercial REL Extras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33012</v>
          </cell>
          <cell r="B47" t="str">
            <v>Hauling Revenue - Commercial REL Adjustm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33019</v>
          </cell>
          <cell r="B48" t="str">
            <v>Hauling Revenue - Commercial REL Interco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33020</v>
          </cell>
          <cell r="B49" t="str">
            <v>Hauling Revenue - Commercial Recycling F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33021</v>
          </cell>
          <cell r="B50" t="str">
            <v>Hauling Revenue - Commercial Recycling F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33022</v>
          </cell>
          <cell r="B51" t="str">
            <v>Hauling Revenue - Commercial Recycling F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33029</v>
          </cell>
          <cell r="B52" t="str">
            <v>Hauling Revenue - Commercial Recycling F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33030</v>
          </cell>
          <cell r="B53" t="str">
            <v>Hauling Revenue - Commercial Recycling 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33031</v>
          </cell>
          <cell r="B54" t="str">
            <v>Hauling Revenue - Commercial Recycling R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33032</v>
          </cell>
          <cell r="B55" t="str">
            <v>Hauling Revenue - Commercial Recycling R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>
            <v>33039</v>
          </cell>
          <cell r="B56" t="str">
            <v>Hauling Revenue - Commercial Recycling 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>
            <v>33500</v>
          </cell>
          <cell r="B57" t="str">
            <v>Portable Toilet Revenue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33501</v>
          </cell>
          <cell r="B58" t="str">
            <v>Portable Toilet Extras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>
            <v>33502</v>
          </cell>
          <cell r="B59" t="str">
            <v>Portable Toilet Adjustments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A60">
            <v>33509</v>
          </cell>
          <cell r="B60" t="str">
            <v>Portable Toilet Intercompany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Total Hauling</v>
          </cell>
          <cell r="E61">
            <v>1386073.49</v>
          </cell>
          <cell r="F61">
            <v>1372277.94</v>
          </cell>
          <cell r="G61">
            <v>1406346.48</v>
          </cell>
          <cell r="H61">
            <v>1411911.56</v>
          </cell>
          <cell r="I61">
            <v>1416201.0699999998</v>
          </cell>
          <cell r="J61">
            <v>1459490.68</v>
          </cell>
          <cell r="K61">
            <v>1462503.71</v>
          </cell>
          <cell r="L61">
            <v>1483897.43</v>
          </cell>
          <cell r="M61">
            <v>1457942.84</v>
          </cell>
          <cell r="N61">
            <v>1412161.3899999997</v>
          </cell>
          <cell r="O61">
            <v>1377199.56</v>
          </cell>
          <cell r="P61">
            <v>1412687.2399999998</v>
          </cell>
          <cell r="Q61">
            <v>17058693.389999997</v>
          </cell>
        </row>
        <row r="63">
          <cell r="A63" t="str">
            <v>Transfer</v>
          </cell>
        </row>
        <row r="64">
          <cell r="A64">
            <v>35000</v>
          </cell>
          <cell r="B64" t="str">
            <v>Transfer Station - Third Party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35001</v>
          </cell>
          <cell r="B65" t="str">
            <v>Transfer Station - Third Party Adjustmen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35009</v>
          </cell>
          <cell r="B66" t="str">
            <v>Transfer Station - Intercompany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35500</v>
          </cell>
          <cell r="B67" t="str">
            <v>MRF Processing Charge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35501</v>
          </cell>
          <cell r="B68" t="str">
            <v>MRF Processing Charge Adjustments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35509</v>
          </cell>
          <cell r="B69" t="str">
            <v>MRF Processing Charge Intercompany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 t="str">
            <v>Total Transfer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2">
          <cell r="A72" t="str">
            <v>MRF</v>
          </cell>
        </row>
        <row r="73">
          <cell r="A73">
            <v>35510</v>
          </cell>
          <cell r="B73" t="str">
            <v>Proceeds - OCC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35511</v>
          </cell>
          <cell r="B74" t="str">
            <v>Proceeds - ONP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35512</v>
          </cell>
          <cell r="B75" t="str">
            <v>Proceeds - Other Paper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35513</v>
          </cell>
          <cell r="B76" t="str">
            <v>Proceeds - Aluminum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35514</v>
          </cell>
          <cell r="B77" t="str">
            <v>Proceeds - Metal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35515</v>
          </cell>
          <cell r="B78" t="str">
            <v>Proceeds - Glass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35516</v>
          </cell>
          <cell r="B79" t="str">
            <v>Proceeds - Plastic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35517</v>
          </cell>
          <cell r="B80" t="str">
            <v>Proceeds - Other Recyclables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35518</v>
          </cell>
          <cell r="B81" t="str">
            <v>Proceeds - Commingled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35519</v>
          </cell>
          <cell r="B82" t="str">
            <v>Proceeds - Intercompany Material Sales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35520</v>
          </cell>
          <cell r="B83" t="str">
            <v>Support - OCC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35521</v>
          </cell>
          <cell r="B84" t="str">
            <v>Support - ONP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35522</v>
          </cell>
          <cell r="B85" t="str">
            <v>Support - Other Paper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35523</v>
          </cell>
          <cell r="B86" t="str">
            <v>Support - Aluminum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35524</v>
          </cell>
          <cell r="B87" t="str">
            <v>Support - Metal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35525</v>
          </cell>
          <cell r="B88" t="str">
            <v>Support - Glass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35526</v>
          </cell>
          <cell r="B89" t="str">
            <v>Support - Plastic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35527</v>
          </cell>
          <cell r="B90" t="str">
            <v>Support - Other Recyclables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35529</v>
          </cell>
          <cell r="B91" t="str">
            <v>Support - Intercompany Material Sales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35551</v>
          </cell>
          <cell r="B92" t="str">
            <v>Proceeds - Compost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35552</v>
          </cell>
          <cell r="B93" t="str">
            <v>Proceeds - Fuel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35553</v>
          </cell>
          <cell r="B94" t="str">
            <v>Proceeds - Landscape Materials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MRF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7">
          <cell r="A97" t="str">
            <v>Landfill</v>
          </cell>
        </row>
        <row r="98">
          <cell r="A98">
            <v>36000</v>
          </cell>
          <cell r="B98" t="str">
            <v>Landfill Revenue - MSW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36001</v>
          </cell>
          <cell r="B99" t="str">
            <v>Landfill Revenue - MSW Adjustments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36002</v>
          </cell>
          <cell r="B100" t="str">
            <v>Landfill Revenue - Extras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36009</v>
          </cell>
          <cell r="B101" t="str">
            <v>Landfill Revenue - MSW Intercompany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36010</v>
          </cell>
          <cell r="B102" t="str">
            <v>Landfill Revenue - C&amp;D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36011</v>
          </cell>
          <cell r="B103" t="str">
            <v>Landfill Revenue - C&amp;D Adjustments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36019</v>
          </cell>
          <cell r="B104" t="str">
            <v>Landfill Revenue - C&amp;D Intercompany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36020</v>
          </cell>
          <cell r="B105" t="str">
            <v>Landfill Revenue - Special Waste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36021</v>
          </cell>
          <cell r="B106" t="str">
            <v>Landfill Revenue - Special Waste Adjustm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36029</v>
          </cell>
          <cell r="B107" t="str">
            <v>Landfill Revenue - Special Waste Interco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>
            <v>36030</v>
          </cell>
          <cell r="B108" t="str">
            <v>Landfill Revenue - Asbestos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36031</v>
          </cell>
          <cell r="B109" t="str">
            <v>Landfill Revenue - Asbestos Adjustments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36039</v>
          </cell>
          <cell r="B110" t="str">
            <v>Landfill Revenue - Asbestos Intercompany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A111">
            <v>36040</v>
          </cell>
          <cell r="B111" t="str">
            <v>Landfill Revenue - Contaminated Soil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36041</v>
          </cell>
          <cell r="B112" t="str">
            <v>Landfill Revenue - Contaminated Soil Adj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36049</v>
          </cell>
          <cell r="B113" t="str">
            <v>Landfill Revenue - Contaminated Soil Int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36050</v>
          </cell>
          <cell r="B114" t="str">
            <v>Landfill Revenue - Yard Waste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>
            <v>36051</v>
          </cell>
          <cell r="B115" t="str">
            <v>Landfill Revenue - Yard Waste Adjustment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36059</v>
          </cell>
          <cell r="B116" t="str">
            <v>Landfill Revenue - Yard Waste Intercompa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>
            <v>36090</v>
          </cell>
          <cell r="B117" t="str">
            <v>Landfill Pass Through Revenue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36099</v>
          </cell>
          <cell r="B118" t="str">
            <v>Landfill Pass Through Revenue Intercompany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36301</v>
          </cell>
          <cell r="B119" t="str">
            <v>E&amp;P Liquids - Non Count Waste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36309</v>
          </cell>
          <cell r="B120" t="str">
            <v>E&amp;P Liquids - Non Count Waste Intercompany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36311</v>
          </cell>
          <cell r="B121" t="str">
            <v>E&amp;P Liquids - Count Waste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36319</v>
          </cell>
          <cell r="B122" t="str">
            <v>E&amp;P Liquids - Count Waste Intercompany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36321</v>
          </cell>
          <cell r="B123" t="str">
            <v>Other Liquids - Non E&amp;P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36329</v>
          </cell>
          <cell r="B124" t="str">
            <v>Other Liquids - Non E&amp;P Intercompany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36331</v>
          </cell>
          <cell r="B125" t="str">
            <v>E&amp;P Solids - Count Waste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36339</v>
          </cell>
          <cell r="B126" t="str">
            <v>E&amp;P Solids - Count Waste Intercompany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 t="str">
            <v>Total Landfill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9">
          <cell r="A129" t="str">
            <v>Intermodal</v>
          </cell>
        </row>
        <row r="130">
          <cell r="A130">
            <v>36101</v>
          </cell>
          <cell r="B130" t="str">
            <v>Rail Drayage Revenue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36109</v>
          </cell>
          <cell r="B131" t="str">
            <v>Rail Drayage Revenue - Intercompany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36111</v>
          </cell>
          <cell r="B132" t="str">
            <v>Truck Drayage Revenue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36119</v>
          </cell>
          <cell r="B133" t="str">
            <v>Truck Drayage Revenue - Intercompany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36121</v>
          </cell>
          <cell r="B134" t="str">
            <v>Barge Drayage Revenue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36131</v>
          </cell>
          <cell r="B135" t="str">
            <v>Service Labor Revenue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A136">
            <v>36141</v>
          </cell>
          <cell r="B136" t="str">
            <v>Refrigeration Labor Revenue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36145</v>
          </cell>
          <cell r="B137" t="str">
            <v>Parts Revenue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>
            <v>36151</v>
          </cell>
          <cell r="B138" t="str">
            <v>Container Sales Revenue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36161</v>
          </cell>
          <cell r="B139" t="str">
            <v>Container Rental Revenue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>
            <v>36171</v>
          </cell>
          <cell r="B140" t="str">
            <v>Intermodal Revenue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36181</v>
          </cell>
          <cell r="B141" t="str">
            <v>Chassis Lease Revenue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36191</v>
          </cell>
          <cell r="B142" t="str">
            <v>Interchanges Revenue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36201</v>
          </cell>
          <cell r="B143" t="str">
            <v>Storage Revenue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>
            <v>36211</v>
          </cell>
          <cell r="B144" t="str">
            <v>Empty Lifts Revenue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>
            <v>36221</v>
          </cell>
          <cell r="B145" t="str">
            <v>Load Lifts Revenue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Total Intermodal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8">
          <cell r="A148" t="str">
            <v>Other Revenue</v>
          </cell>
        </row>
        <row r="149">
          <cell r="A149">
            <v>37001</v>
          </cell>
          <cell r="B149" t="str">
            <v>Sale of Equipment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37010</v>
          </cell>
          <cell r="B150" t="str">
            <v>Tire Processing Revenue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37019</v>
          </cell>
          <cell r="B151" t="str">
            <v>Tire Processing Revenue - Intercompany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38000</v>
          </cell>
          <cell r="B152" t="str">
            <v>Corporate Other Revenue</v>
          </cell>
          <cell r="E152">
            <v>3459.12</v>
          </cell>
          <cell r="F152">
            <v>7799.57</v>
          </cell>
          <cell r="G152">
            <v>2100.42</v>
          </cell>
          <cell r="H152">
            <v>7267.51</v>
          </cell>
          <cell r="I152">
            <v>3376.39</v>
          </cell>
          <cell r="J152">
            <v>7176.57</v>
          </cell>
          <cell r="K152">
            <v>3493.22</v>
          </cell>
          <cell r="L152">
            <v>8060.32</v>
          </cell>
          <cell r="M152">
            <v>2594</v>
          </cell>
          <cell r="N152">
            <v>7784.1</v>
          </cell>
          <cell r="O152">
            <v>6369.79</v>
          </cell>
          <cell r="P152">
            <v>9281.82</v>
          </cell>
          <cell r="Q152">
            <v>68762.829999999987</v>
          </cell>
        </row>
        <row r="153">
          <cell r="A153">
            <v>38001</v>
          </cell>
          <cell r="B153" t="str">
            <v>P-Card Rebate Revenue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 t="str">
            <v>Total Other Revenue</v>
          </cell>
          <cell r="E154">
            <v>3459.12</v>
          </cell>
          <cell r="F154">
            <v>7799.57</v>
          </cell>
          <cell r="G154">
            <v>2100.42</v>
          </cell>
          <cell r="H154">
            <v>7267.51</v>
          </cell>
          <cell r="I154">
            <v>3376.39</v>
          </cell>
          <cell r="J154">
            <v>7176.57</v>
          </cell>
          <cell r="K154">
            <v>3493.22</v>
          </cell>
          <cell r="L154">
            <v>8060.32</v>
          </cell>
          <cell r="M154">
            <v>2594</v>
          </cell>
          <cell r="N154">
            <v>7784.1</v>
          </cell>
          <cell r="O154">
            <v>6369.79</v>
          </cell>
          <cell r="P154">
            <v>9281.82</v>
          </cell>
          <cell r="Q154">
            <v>68762.829999999987</v>
          </cell>
        </row>
        <row r="156">
          <cell r="A156" t="str">
            <v>Total Revenue</v>
          </cell>
          <cell r="E156">
            <v>1389532.61</v>
          </cell>
          <cell r="F156">
            <v>1380077.51</v>
          </cell>
          <cell r="G156">
            <v>1408446.9</v>
          </cell>
          <cell r="H156">
            <v>1419179.07</v>
          </cell>
          <cell r="I156">
            <v>1419577.4599999997</v>
          </cell>
          <cell r="J156">
            <v>1466667.25</v>
          </cell>
          <cell r="K156">
            <v>1465996.93</v>
          </cell>
          <cell r="L156">
            <v>1491957.75</v>
          </cell>
          <cell r="M156">
            <v>1460536.84</v>
          </cell>
          <cell r="N156">
            <v>1419945.4899999998</v>
          </cell>
          <cell r="O156">
            <v>1383569.35</v>
          </cell>
          <cell r="P156">
            <v>1421969.0599999998</v>
          </cell>
          <cell r="Q156">
            <v>17127456.219999995</v>
          </cell>
        </row>
        <row r="158">
          <cell r="A158" t="str">
            <v>Revenue Reductions</v>
          </cell>
        </row>
        <row r="159">
          <cell r="A159" t="str">
            <v>Disposal</v>
          </cell>
        </row>
        <row r="160">
          <cell r="A160">
            <v>40101</v>
          </cell>
          <cell r="B160" t="str">
            <v>Disposal Landfill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40109</v>
          </cell>
          <cell r="B161" t="str">
            <v>Disposal Landfill Intercompany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40121</v>
          </cell>
          <cell r="B162" t="str">
            <v>Disposal Incineration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40122</v>
          </cell>
          <cell r="B163" t="str">
            <v>Disposal Other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40129</v>
          </cell>
          <cell r="B164" t="str">
            <v>Disposal Other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40131</v>
          </cell>
          <cell r="B165" t="str">
            <v>Disposal Transfer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>
            <v>40139</v>
          </cell>
          <cell r="B166" t="str">
            <v>Disposal Transfer Intercompany</v>
          </cell>
          <cell r="E166">
            <v>522940.33</v>
          </cell>
          <cell r="F166">
            <v>473522.39</v>
          </cell>
          <cell r="G166">
            <v>554204.89</v>
          </cell>
          <cell r="H166">
            <v>538277.64</v>
          </cell>
          <cell r="I166">
            <v>535071.71</v>
          </cell>
          <cell r="J166">
            <v>582693.4</v>
          </cell>
          <cell r="K166">
            <v>571614.11</v>
          </cell>
          <cell r="L166">
            <v>571380.55000000005</v>
          </cell>
          <cell r="M166">
            <v>569779.74</v>
          </cell>
          <cell r="N166">
            <v>537814.68999999994</v>
          </cell>
          <cell r="O166">
            <v>530807.82999999996</v>
          </cell>
          <cell r="P166">
            <v>576009.71</v>
          </cell>
          <cell r="Q166">
            <v>6564116.9899999993</v>
          </cell>
        </row>
        <row r="167">
          <cell r="A167" t="str">
            <v>Total Disposal</v>
          </cell>
          <cell r="E167">
            <v>522940.33</v>
          </cell>
          <cell r="F167">
            <v>473522.39</v>
          </cell>
          <cell r="G167">
            <v>554204.89</v>
          </cell>
          <cell r="H167">
            <v>538277.64</v>
          </cell>
          <cell r="I167">
            <v>535071.71</v>
          </cell>
          <cell r="J167">
            <v>582693.4</v>
          </cell>
          <cell r="K167">
            <v>571614.11</v>
          </cell>
          <cell r="L167">
            <v>571380.55000000005</v>
          </cell>
          <cell r="M167">
            <v>569779.74</v>
          </cell>
          <cell r="N167">
            <v>537814.68999999994</v>
          </cell>
          <cell r="O167">
            <v>530807.82999999996</v>
          </cell>
          <cell r="P167">
            <v>576009.71</v>
          </cell>
          <cell r="Q167">
            <v>6564116.9899999993</v>
          </cell>
        </row>
        <row r="169">
          <cell r="A169" t="str">
            <v>MRF Processing</v>
          </cell>
        </row>
        <row r="170">
          <cell r="A170">
            <v>40861</v>
          </cell>
          <cell r="B170" t="str">
            <v>Processing Fees MRF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40869</v>
          </cell>
          <cell r="B171" t="str">
            <v>Processing Fees MRF Intercompany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 t="str">
            <v>Total MRF Processing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4">
          <cell r="A174" t="str">
            <v>Brokerage, Rebates and Taxes</v>
          </cell>
        </row>
        <row r="175">
          <cell r="A175">
            <v>41121</v>
          </cell>
          <cell r="B175" t="str">
            <v>Brokerage Cost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A176">
            <v>41129</v>
          </cell>
          <cell r="B176" t="str">
            <v>Brokerage Cost Intercompany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41131</v>
          </cell>
          <cell r="B177" t="str">
            <v>Rail Drayage Expenses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41135</v>
          </cell>
          <cell r="B178" t="str">
            <v>Resale Parts - Cost of Goods Sold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A179">
            <v>41139</v>
          </cell>
          <cell r="B179" t="str">
            <v>Rail Drayage Expenses - Intercompany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A180">
            <v>41141</v>
          </cell>
          <cell r="B180" t="str">
            <v>Truck Drayage Expenses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41149</v>
          </cell>
          <cell r="B181" t="str">
            <v>Truck Drayage Expenses - Intercompany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41151</v>
          </cell>
          <cell r="B182" t="str">
            <v>Intermodal Expenses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41201</v>
          </cell>
          <cell r="B183" t="str">
            <v>Rebates and Revenue Sharing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43001</v>
          </cell>
          <cell r="B184" t="str">
            <v>Taxes and Pass Thru Fees</v>
          </cell>
          <cell r="E184">
            <v>21087.73</v>
          </cell>
          <cell r="F184">
            <v>20959.080000000002</v>
          </cell>
          <cell r="G184">
            <v>21310.05</v>
          </cell>
          <cell r="H184">
            <v>15944.56</v>
          </cell>
          <cell r="I184">
            <v>23292.27</v>
          </cell>
          <cell r="J184">
            <v>26639.14</v>
          </cell>
          <cell r="K184">
            <v>26629.39</v>
          </cell>
          <cell r="L184">
            <v>27074.49</v>
          </cell>
          <cell r="M184">
            <v>26539.13</v>
          </cell>
          <cell r="N184">
            <v>25799.21</v>
          </cell>
          <cell r="O184">
            <v>25079.16</v>
          </cell>
          <cell r="P184">
            <v>25860.43</v>
          </cell>
          <cell r="Q184">
            <v>286214.64</v>
          </cell>
        </row>
        <row r="185">
          <cell r="A185">
            <v>43002</v>
          </cell>
          <cell r="B185" t="str">
            <v>WUTC Taxes</v>
          </cell>
          <cell r="E185">
            <v>5546.62</v>
          </cell>
          <cell r="F185">
            <v>5496.04</v>
          </cell>
          <cell r="G185">
            <v>5619.91</v>
          </cell>
          <cell r="H185">
            <v>5691.97</v>
          </cell>
          <cell r="I185">
            <v>5646.5</v>
          </cell>
          <cell r="J185">
            <v>5841.42</v>
          </cell>
          <cell r="K185">
            <v>5857.81</v>
          </cell>
          <cell r="L185">
            <v>5948.97</v>
          </cell>
          <cell r="M185">
            <v>5802.43</v>
          </cell>
          <cell r="N185">
            <v>5678.9</v>
          </cell>
          <cell r="O185">
            <v>5511.15</v>
          </cell>
          <cell r="P185">
            <v>5695</v>
          </cell>
          <cell r="Q185">
            <v>68336.72</v>
          </cell>
        </row>
        <row r="186">
          <cell r="A186">
            <v>43090</v>
          </cell>
          <cell r="B186" t="str">
            <v>Pass Through Expenses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43099</v>
          </cell>
          <cell r="B187" t="str">
            <v>Pass Through Expenses Intercompany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 t="str">
            <v>Total Brokerage, Rebates and Taxes</v>
          </cell>
          <cell r="E188">
            <v>26634.35</v>
          </cell>
          <cell r="F188">
            <v>26455.120000000003</v>
          </cell>
          <cell r="G188">
            <v>26929.96</v>
          </cell>
          <cell r="H188">
            <v>21636.53</v>
          </cell>
          <cell r="I188">
            <v>28938.77</v>
          </cell>
          <cell r="J188">
            <v>32480.559999999998</v>
          </cell>
          <cell r="K188">
            <v>32487.200000000001</v>
          </cell>
          <cell r="L188">
            <v>33023.46</v>
          </cell>
          <cell r="M188">
            <v>32341.56</v>
          </cell>
          <cell r="N188">
            <v>31478.11</v>
          </cell>
          <cell r="O188">
            <v>30590.309999999998</v>
          </cell>
          <cell r="P188">
            <v>31555.43</v>
          </cell>
          <cell r="Q188">
            <v>354551.36</v>
          </cell>
        </row>
        <row r="190">
          <cell r="A190" t="str">
            <v>Recycling Materials Expense</v>
          </cell>
        </row>
        <row r="191">
          <cell r="A191">
            <v>44161</v>
          </cell>
          <cell r="B191" t="str">
            <v>Cost of Materials - OCC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44162</v>
          </cell>
          <cell r="B192" t="str">
            <v>Cost of Materials - ONP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44163</v>
          </cell>
          <cell r="B193" t="str">
            <v>Cost of Materials - Other Paper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44164</v>
          </cell>
          <cell r="B194" t="str">
            <v>Cost of Materials - Aluminum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44165</v>
          </cell>
          <cell r="B195" t="str">
            <v>Cost of Materials - Metal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44166</v>
          </cell>
          <cell r="B196" t="str">
            <v>Cost of Materials - Glass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44167</v>
          </cell>
          <cell r="B197" t="str">
            <v>Cost of Materials - Plastic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44168</v>
          </cell>
          <cell r="B198" t="str">
            <v>Cost of Materials - Other Recyclables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44169</v>
          </cell>
          <cell r="B199" t="str">
            <v>Cost of Materials - Intercompany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>
            <v>44261</v>
          </cell>
          <cell r="B200" t="str">
            <v>Cost of Materials - Organics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44262</v>
          </cell>
          <cell r="B201" t="str">
            <v>Cost of Materials - Clean Wood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44263</v>
          </cell>
          <cell r="B202" t="str">
            <v>Cost of Materials - Landscaping Materials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Total Recycling Materials Expense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5">
          <cell r="A205" t="str">
            <v>Other Expense</v>
          </cell>
        </row>
        <row r="206">
          <cell r="A206">
            <v>47000</v>
          </cell>
          <cell r="B206" t="str">
            <v>Cost of Containers Sold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47001</v>
          </cell>
          <cell r="B207" t="str">
            <v>Cost of Equipment Sold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47010</v>
          </cell>
          <cell r="B208" t="str">
            <v>Tire Processing Expenses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47019</v>
          </cell>
          <cell r="B209" t="str">
            <v>Tire Processing Expenses - Intercompany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 t="str">
            <v>Total Other Expense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2">
          <cell r="A212" t="str">
            <v>Total Revenue Reductions</v>
          </cell>
          <cell r="E212">
            <v>549574.68000000005</v>
          </cell>
          <cell r="F212">
            <v>499977.51</v>
          </cell>
          <cell r="G212">
            <v>581134.85</v>
          </cell>
          <cell r="H212">
            <v>559914.17000000004</v>
          </cell>
          <cell r="I212">
            <v>564010.48</v>
          </cell>
          <cell r="J212">
            <v>615173.96</v>
          </cell>
          <cell r="K212">
            <v>604101.30999999994</v>
          </cell>
          <cell r="L212">
            <v>604404.01</v>
          </cell>
          <cell r="M212">
            <v>602121.30000000005</v>
          </cell>
          <cell r="N212">
            <v>569292.79999999993</v>
          </cell>
          <cell r="O212">
            <v>561398.1399999999</v>
          </cell>
          <cell r="P212">
            <v>607565.14</v>
          </cell>
          <cell r="Q212">
            <v>6918668.3499999996</v>
          </cell>
        </row>
        <row r="214">
          <cell r="A214" t="str">
            <v>Net Revenue</v>
          </cell>
          <cell r="E214">
            <v>839957.93</v>
          </cell>
          <cell r="F214">
            <v>880100</v>
          </cell>
          <cell r="G214">
            <v>827312.04999999993</v>
          </cell>
          <cell r="H214">
            <v>859264.9</v>
          </cell>
          <cell r="I214">
            <v>855566.97999999975</v>
          </cell>
          <cell r="J214">
            <v>851493.29</v>
          </cell>
          <cell r="K214">
            <v>861895.62</v>
          </cell>
          <cell r="L214">
            <v>887553.74</v>
          </cell>
          <cell r="M214">
            <v>858415.54</v>
          </cell>
          <cell r="N214">
            <v>850652.68999999983</v>
          </cell>
          <cell r="O214">
            <v>822171.2100000002</v>
          </cell>
          <cell r="P214">
            <v>814403.91999999981</v>
          </cell>
          <cell r="Q214">
            <v>10208787.869999995</v>
          </cell>
        </row>
        <row r="216">
          <cell r="A216" t="str">
            <v>Cost of Operations</v>
          </cell>
        </row>
        <row r="217">
          <cell r="A217" t="str">
            <v>Labor</v>
          </cell>
        </row>
        <row r="218">
          <cell r="A218">
            <v>50010</v>
          </cell>
          <cell r="B218" t="str">
            <v>Salaries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50020</v>
          </cell>
          <cell r="B219" t="str">
            <v>Wages Regular</v>
          </cell>
          <cell r="E219">
            <v>148506.62</v>
          </cell>
          <cell r="F219">
            <v>147781.52000000002</v>
          </cell>
          <cell r="G219">
            <v>162872.48000000001</v>
          </cell>
          <cell r="H219">
            <v>152426.56</v>
          </cell>
          <cell r="I219">
            <v>133250.6</v>
          </cell>
          <cell r="J219">
            <v>141014.94</v>
          </cell>
          <cell r="K219">
            <v>138800.41999999998</v>
          </cell>
          <cell r="L219">
            <v>144467.28999999998</v>
          </cell>
          <cell r="M219">
            <v>139411.4</v>
          </cell>
          <cell r="N219">
            <v>131255.16</v>
          </cell>
          <cell r="O219">
            <v>135440.33000000002</v>
          </cell>
          <cell r="P219">
            <v>141049.91999999998</v>
          </cell>
          <cell r="Q219">
            <v>1716277.2399999998</v>
          </cell>
        </row>
        <row r="220">
          <cell r="A220">
            <v>50025</v>
          </cell>
          <cell r="B220" t="str">
            <v>Wages O.T.</v>
          </cell>
          <cell r="E220">
            <v>22975.54</v>
          </cell>
          <cell r="F220">
            <v>6810.35</v>
          </cell>
          <cell r="G220">
            <v>14008.81</v>
          </cell>
          <cell r="H220">
            <v>20795.96</v>
          </cell>
          <cell r="I220">
            <v>28625.24</v>
          </cell>
          <cell r="J220">
            <v>22652.750000000004</v>
          </cell>
          <cell r="K220">
            <v>20035.850000000002</v>
          </cell>
          <cell r="L220">
            <v>20754.88</v>
          </cell>
          <cell r="M220">
            <v>29699.32</v>
          </cell>
          <cell r="N220">
            <v>20332.329999999998</v>
          </cell>
          <cell r="O220">
            <v>32459.590000000004</v>
          </cell>
          <cell r="P220">
            <v>20007.580000000002</v>
          </cell>
          <cell r="Q220">
            <v>259158.2</v>
          </cell>
        </row>
        <row r="221">
          <cell r="A221">
            <v>50035</v>
          </cell>
          <cell r="B221" t="str">
            <v>Safety Bonuses</v>
          </cell>
          <cell r="E221">
            <v>3200</v>
          </cell>
          <cell r="F221">
            <v>3200</v>
          </cell>
          <cell r="G221">
            <v>3200</v>
          </cell>
          <cell r="H221">
            <v>3200</v>
          </cell>
          <cell r="I221">
            <v>3950</v>
          </cell>
          <cell r="J221">
            <v>3950</v>
          </cell>
          <cell r="K221">
            <v>3950</v>
          </cell>
          <cell r="L221">
            <v>3950</v>
          </cell>
          <cell r="M221">
            <v>2000</v>
          </cell>
          <cell r="N221">
            <v>2000</v>
          </cell>
          <cell r="O221">
            <v>3200</v>
          </cell>
          <cell r="P221">
            <v>0</v>
          </cell>
          <cell r="Q221">
            <v>35800</v>
          </cell>
        </row>
        <row r="222">
          <cell r="A222">
            <v>50036</v>
          </cell>
          <cell r="B222" t="str">
            <v>Other Bonus/Commission - Non-Safety</v>
          </cell>
          <cell r="E222">
            <v>0</v>
          </cell>
          <cell r="F222">
            <v>0</v>
          </cell>
          <cell r="G222">
            <v>1125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1125</v>
          </cell>
        </row>
        <row r="223">
          <cell r="A223">
            <v>50045</v>
          </cell>
          <cell r="B223" t="str">
            <v>Contract Labor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50050</v>
          </cell>
          <cell r="B224" t="str">
            <v>Payroll Taxes</v>
          </cell>
          <cell r="E224">
            <v>21085.43</v>
          </cell>
          <cell r="F224">
            <v>16517.190000000002</v>
          </cell>
          <cell r="G224">
            <v>17618.89</v>
          </cell>
          <cell r="H224">
            <v>17201.14</v>
          </cell>
          <cell r="I224">
            <v>16035.320000000002</v>
          </cell>
          <cell r="J224">
            <v>17468.87</v>
          </cell>
          <cell r="K224">
            <v>16392.41</v>
          </cell>
          <cell r="L224">
            <v>16351.01</v>
          </cell>
          <cell r="M224">
            <v>17217.28</v>
          </cell>
          <cell r="N224">
            <v>14701.12</v>
          </cell>
          <cell r="O224">
            <v>17942.59</v>
          </cell>
          <cell r="P224">
            <v>10482.15</v>
          </cell>
          <cell r="Q224">
            <v>199013.4</v>
          </cell>
        </row>
        <row r="225">
          <cell r="A225">
            <v>50060</v>
          </cell>
          <cell r="B225" t="str">
            <v>Group Insurance</v>
          </cell>
          <cell r="E225">
            <v>1330</v>
          </cell>
          <cell r="F225">
            <v>1226</v>
          </cell>
          <cell r="G225">
            <v>729.5</v>
          </cell>
          <cell r="H225">
            <v>1026.5</v>
          </cell>
          <cell r="I225">
            <v>878</v>
          </cell>
          <cell r="J225">
            <v>878</v>
          </cell>
          <cell r="K225">
            <v>878.77</v>
          </cell>
          <cell r="L225">
            <v>826</v>
          </cell>
          <cell r="M225">
            <v>1077.5</v>
          </cell>
          <cell r="N225">
            <v>1826.5</v>
          </cell>
          <cell r="O225">
            <v>1678.77</v>
          </cell>
          <cell r="P225">
            <v>1088.4199999999998</v>
          </cell>
          <cell r="Q225">
            <v>13443.960000000001</v>
          </cell>
        </row>
        <row r="226">
          <cell r="A226">
            <v>50065</v>
          </cell>
          <cell r="B226" t="str">
            <v>Vacation Pay</v>
          </cell>
          <cell r="E226">
            <v>13381.59</v>
          </cell>
          <cell r="F226">
            <v>8706.9500000000007</v>
          </cell>
          <cell r="G226">
            <v>9543.1899999999987</v>
          </cell>
          <cell r="H226">
            <v>7013.4</v>
          </cell>
          <cell r="I226">
            <v>14309.95</v>
          </cell>
          <cell r="J226">
            <v>8179.11</v>
          </cell>
          <cell r="K226">
            <v>14227.68</v>
          </cell>
          <cell r="L226">
            <v>7288.4699999999993</v>
          </cell>
          <cell r="M226">
            <v>15009.16</v>
          </cell>
          <cell r="N226">
            <v>10400.879999999999</v>
          </cell>
          <cell r="O226">
            <v>16702.490000000002</v>
          </cell>
          <cell r="P226">
            <v>14167.710000000001</v>
          </cell>
          <cell r="Q226">
            <v>138930.58000000002</v>
          </cell>
        </row>
        <row r="227">
          <cell r="A227">
            <v>50070</v>
          </cell>
          <cell r="B227" t="str">
            <v>Sick Pay</v>
          </cell>
          <cell r="E227">
            <v>510.84</v>
          </cell>
          <cell r="F227">
            <v>-249.9</v>
          </cell>
          <cell r="G227">
            <v>257.39999999999998</v>
          </cell>
          <cell r="H227">
            <v>14.4</v>
          </cell>
          <cell r="I227">
            <v>0</v>
          </cell>
          <cell r="J227">
            <v>722.88</v>
          </cell>
          <cell r="K227">
            <v>80.319999999999993</v>
          </cell>
          <cell r="L227">
            <v>92</v>
          </cell>
          <cell r="M227">
            <v>0</v>
          </cell>
          <cell r="N227">
            <v>200.8</v>
          </cell>
          <cell r="O227">
            <v>156.4</v>
          </cell>
          <cell r="P227">
            <v>27.6</v>
          </cell>
          <cell r="Q227">
            <v>1812.7399999999998</v>
          </cell>
        </row>
        <row r="228">
          <cell r="A228">
            <v>50086</v>
          </cell>
          <cell r="B228" t="str">
            <v>Safety and Training</v>
          </cell>
          <cell r="E228">
            <v>52.5</v>
          </cell>
          <cell r="F228">
            <v>57.5</v>
          </cell>
          <cell r="G228">
            <v>269.42</v>
          </cell>
          <cell r="H228">
            <v>-147.5</v>
          </cell>
          <cell r="I228">
            <v>423.2</v>
          </cell>
          <cell r="J228">
            <v>0</v>
          </cell>
          <cell r="K228">
            <v>0</v>
          </cell>
          <cell r="L228">
            <v>0</v>
          </cell>
          <cell r="M228">
            <v>1724.48</v>
          </cell>
          <cell r="N228">
            <v>1092.78</v>
          </cell>
          <cell r="O228">
            <v>642.78</v>
          </cell>
          <cell r="P228">
            <v>0</v>
          </cell>
          <cell r="Q228">
            <v>4115.16</v>
          </cell>
        </row>
        <row r="229">
          <cell r="A229">
            <v>50087</v>
          </cell>
          <cell r="B229" t="str">
            <v>Drug Testing</v>
          </cell>
          <cell r="E229">
            <v>60</v>
          </cell>
          <cell r="F229">
            <v>0</v>
          </cell>
          <cell r="G229">
            <v>0</v>
          </cell>
          <cell r="H229">
            <v>240</v>
          </cell>
          <cell r="I229">
            <v>120</v>
          </cell>
          <cell r="J229">
            <v>240</v>
          </cell>
          <cell r="K229">
            <v>694</v>
          </cell>
          <cell r="L229">
            <v>180</v>
          </cell>
          <cell r="M229">
            <v>420</v>
          </cell>
          <cell r="N229">
            <v>60</v>
          </cell>
          <cell r="O229">
            <v>360</v>
          </cell>
          <cell r="P229">
            <v>60</v>
          </cell>
          <cell r="Q229">
            <v>2434</v>
          </cell>
        </row>
        <row r="230">
          <cell r="A230">
            <v>50090</v>
          </cell>
          <cell r="B230" t="str">
            <v>Uniforms</v>
          </cell>
          <cell r="E230">
            <v>6868.59</v>
          </cell>
          <cell r="F230">
            <v>9292.77</v>
          </cell>
          <cell r="G230">
            <v>8124.38</v>
          </cell>
          <cell r="H230">
            <v>7694.95</v>
          </cell>
          <cell r="I230">
            <v>4128.24</v>
          </cell>
          <cell r="J230">
            <v>12100.73</v>
          </cell>
          <cell r="K230">
            <v>9167.7900000000009</v>
          </cell>
          <cell r="L230">
            <v>12042.49</v>
          </cell>
          <cell r="M230">
            <v>8237.0400000000009</v>
          </cell>
          <cell r="N230">
            <v>8038.55</v>
          </cell>
          <cell r="O230">
            <v>7814.48</v>
          </cell>
          <cell r="P230">
            <v>9358.16</v>
          </cell>
          <cell r="Q230">
            <v>102868.17000000001</v>
          </cell>
        </row>
        <row r="231">
          <cell r="A231">
            <v>50115</v>
          </cell>
          <cell r="B231" t="str">
            <v>Pension and Profit Sharing</v>
          </cell>
          <cell r="E231">
            <v>20881.310000000001</v>
          </cell>
          <cell r="F231">
            <v>19908.310000000001</v>
          </cell>
          <cell r="G231">
            <v>22571.059999999998</v>
          </cell>
          <cell r="H231">
            <v>20908.93</v>
          </cell>
          <cell r="I231">
            <v>20644.87</v>
          </cell>
          <cell r="J231">
            <v>20431.82</v>
          </cell>
          <cell r="K231">
            <v>19793.68</v>
          </cell>
          <cell r="L231">
            <v>25409.94</v>
          </cell>
          <cell r="M231">
            <v>19345.43</v>
          </cell>
          <cell r="N231">
            <v>18963.18</v>
          </cell>
          <cell r="O231">
            <v>19131.61</v>
          </cell>
          <cell r="P231">
            <v>16610.04</v>
          </cell>
          <cell r="Q231">
            <v>244600.17999999996</v>
          </cell>
        </row>
        <row r="232">
          <cell r="A232">
            <v>50116</v>
          </cell>
          <cell r="B232" t="str">
            <v>Union Benefit Expense</v>
          </cell>
          <cell r="E232">
            <v>55955.6</v>
          </cell>
          <cell r="F232">
            <v>54981.08</v>
          </cell>
          <cell r="G232">
            <v>57124.76</v>
          </cell>
          <cell r="H232">
            <v>59521.61</v>
          </cell>
          <cell r="I232">
            <v>55020.61</v>
          </cell>
          <cell r="J232">
            <v>53907.77</v>
          </cell>
          <cell r="K232">
            <v>51487.79</v>
          </cell>
          <cell r="L232">
            <v>50364.490000000005</v>
          </cell>
          <cell r="M232">
            <v>51135.950000000004</v>
          </cell>
          <cell r="N232">
            <v>51271.57</v>
          </cell>
          <cell r="O232">
            <v>52010.640000000007</v>
          </cell>
          <cell r="P232">
            <v>49943.11</v>
          </cell>
          <cell r="Q232">
            <v>642724.98</v>
          </cell>
        </row>
        <row r="233">
          <cell r="A233">
            <v>50117</v>
          </cell>
          <cell r="B233" t="str">
            <v>Union Pension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50148</v>
          </cell>
          <cell r="B234" t="str">
            <v>Allocated Exp In - District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50149</v>
          </cell>
          <cell r="B235" t="str">
            <v>Allocated Exp In Out - District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50335</v>
          </cell>
          <cell r="B236" t="str">
            <v>Miscellaneous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50900</v>
          </cell>
          <cell r="B237" t="str">
            <v>Capitalized Costs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50998</v>
          </cell>
          <cell r="B238" t="str">
            <v>Allocation Out - District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50999</v>
          </cell>
          <cell r="B239" t="str">
            <v>Allocation Out - Out District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 t="str">
            <v>Total Labor</v>
          </cell>
          <cell r="E240">
            <v>294808.01999999996</v>
          </cell>
          <cell r="F240">
            <v>268231.77</v>
          </cell>
          <cell r="G240">
            <v>297444.89</v>
          </cell>
          <cell r="H240">
            <v>289895.94999999995</v>
          </cell>
          <cell r="I240">
            <v>277386.03000000003</v>
          </cell>
          <cell r="J240">
            <v>281546.87</v>
          </cell>
          <cell r="K240">
            <v>275508.70999999996</v>
          </cell>
          <cell r="L240">
            <v>281726.57</v>
          </cell>
          <cell r="M240">
            <v>285277.56</v>
          </cell>
          <cell r="N240">
            <v>260142.86999999997</v>
          </cell>
          <cell r="O240">
            <v>287539.68</v>
          </cell>
          <cell r="P240">
            <v>262794.69</v>
          </cell>
          <cell r="Q240">
            <v>3362303.6100000003</v>
          </cell>
        </row>
        <row r="242">
          <cell r="A242" t="str">
            <v>Truck Fixed Expenses</v>
          </cell>
        </row>
        <row r="243">
          <cell r="A243">
            <v>51148</v>
          </cell>
          <cell r="B243" t="str">
            <v>Allocation In - District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>
            <v>51149</v>
          </cell>
          <cell r="B244" t="str">
            <v>Allocation In - Out District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51175</v>
          </cell>
          <cell r="B245" t="str">
            <v>Equipment/Vehicle Rental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51275</v>
          </cell>
          <cell r="B246" t="str">
            <v>Property Taxes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A247">
            <v>51295</v>
          </cell>
          <cell r="B247" t="str">
            <v>Licenses</v>
          </cell>
          <cell r="E247">
            <v>2602.56</v>
          </cell>
          <cell r="F247">
            <v>2531.56</v>
          </cell>
          <cell r="G247">
            <v>2595.5500000000002</v>
          </cell>
          <cell r="H247">
            <v>2489.9299999999998</v>
          </cell>
          <cell r="I247">
            <v>2160.58</v>
          </cell>
          <cell r="J247">
            <v>2256.83</v>
          </cell>
          <cell r="K247">
            <v>2128.83</v>
          </cell>
          <cell r="L247">
            <v>2085.83</v>
          </cell>
          <cell r="M247">
            <v>2085.83</v>
          </cell>
          <cell r="N247">
            <v>2190.83</v>
          </cell>
          <cell r="O247">
            <v>2085.83</v>
          </cell>
          <cell r="P247">
            <v>2550.89</v>
          </cell>
          <cell r="Q247">
            <v>27765.050000000003</v>
          </cell>
        </row>
        <row r="248">
          <cell r="A248">
            <v>51335</v>
          </cell>
          <cell r="B248" t="str">
            <v>Miscellaneous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>
            <v>51998</v>
          </cell>
          <cell r="B249" t="str">
            <v>Allocation Out - District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>
            <v>51999</v>
          </cell>
          <cell r="B250" t="str">
            <v>Allocation Out - Out District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 t="str">
            <v>Total Truck Fixed Expenses</v>
          </cell>
          <cell r="E251">
            <v>2602.56</v>
          </cell>
          <cell r="F251">
            <v>2531.56</v>
          </cell>
          <cell r="G251">
            <v>2595.5500000000002</v>
          </cell>
          <cell r="H251">
            <v>2489.9299999999998</v>
          </cell>
          <cell r="I251">
            <v>2160.58</v>
          </cell>
          <cell r="J251">
            <v>2256.83</v>
          </cell>
          <cell r="K251">
            <v>2128.83</v>
          </cell>
          <cell r="L251">
            <v>2085.83</v>
          </cell>
          <cell r="M251">
            <v>2085.83</v>
          </cell>
          <cell r="N251">
            <v>2190.83</v>
          </cell>
          <cell r="O251">
            <v>2085.83</v>
          </cell>
          <cell r="P251">
            <v>2550.89</v>
          </cell>
          <cell r="Q251">
            <v>27765.050000000003</v>
          </cell>
        </row>
        <row r="253">
          <cell r="A253" t="str">
            <v>Truck Variable Expenses</v>
          </cell>
        </row>
        <row r="254">
          <cell r="A254">
            <v>52010</v>
          </cell>
          <cell r="B254" t="str">
            <v>Salaries</v>
          </cell>
          <cell r="E254">
            <v>6209.13</v>
          </cell>
          <cell r="F254">
            <v>5913.46</v>
          </cell>
          <cell r="G254">
            <v>6800.48</v>
          </cell>
          <cell r="H254">
            <v>6504.81</v>
          </cell>
          <cell r="I254">
            <v>6209.13</v>
          </cell>
          <cell r="J254">
            <v>6504.8</v>
          </cell>
          <cell r="K254">
            <v>6504.81</v>
          </cell>
          <cell r="L254">
            <v>6504.81</v>
          </cell>
          <cell r="M254">
            <v>6504.8</v>
          </cell>
          <cell r="N254">
            <v>6209.14</v>
          </cell>
          <cell r="O254">
            <v>6504.8</v>
          </cell>
          <cell r="P254">
            <v>6800.48</v>
          </cell>
          <cell r="Q254">
            <v>77170.649999999994</v>
          </cell>
        </row>
        <row r="255">
          <cell r="A255">
            <v>52020</v>
          </cell>
          <cell r="B255" t="str">
            <v>Wages Regular</v>
          </cell>
          <cell r="E255">
            <v>11640.62</v>
          </cell>
          <cell r="F255">
            <v>14929.71</v>
          </cell>
          <cell r="G255">
            <v>14082.73</v>
          </cell>
          <cell r="H255">
            <v>13654.74</v>
          </cell>
          <cell r="I255">
            <v>14918.37</v>
          </cell>
          <cell r="J255">
            <v>14754.95</v>
          </cell>
          <cell r="K255">
            <v>12181.44</v>
          </cell>
          <cell r="L255">
            <v>11315.17</v>
          </cell>
          <cell r="M255">
            <v>11931.83</v>
          </cell>
          <cell r="N255">
            <v>11946.65</v>
          </cell>
          <cell r="O255">
            <v>12371.33</v>
          </cell>
          <cell r="P255">
            <v>15662.7</v>
          </cell>
          <cell r="Q255">
            <v>159390.24</v>
          </cell>
        </row>
        <row r="256">
          <cell r="A256">
            <v>52025</v>
          </cell>
          <cell r="B256" t="str">
            <v>Wages O.T.</v>
          </cell>
          <cell r="E256">
            <v>2614.52</v>
          </cell>
          <cell r="F256">
            <v>2473.63</v>
          </cell>
          <cell r="G256">
            <v>2117.09</v>
          </cell>
          <cell r="H256">
            <v>2164.7199999999998</v>
          </cell>
          <cell r="I256">
            <v>2848.44</v>
          </cell>
          <cell r="J256">
            <v>3075.19</v>
          </cell>
          <cell r="K256">
            <v>3378.52</v>
          </cell>
          <cell r="L256">
            <v>1747.37</v>
          </cell>
          <cell r="M256">
            <v>2402.91</v>
          </cell>
          <cell r="N256">
            <v>2322.34</v>
          </cell>
          <cell r="O256">
            <v>3755.06</v>
          </cell>
          <cell r="P256">
            <v>2288.11</v>
          </cell>
          <cell r="Q256">
            <v>31187.9</v>
          </cell>
        </row>
        <row r="257">
          <cell r="A257">
            <v>52035</v>
          </cell>
          <cell r="B257" t="str">
            <v>Safety Bonuses</v>
          </cell>
          <cell r="E257">
            <v>833</v>
          </cell>
          <cell r="F257">
            <v>833</v>
          </cell>
          <cell r="G257">
            <v>833</v>
          </cell>
          <cell r="H257">
            <v>833</v>
          </cell>
          <cell r="I257">
            <v>1583</v>
          </cell>
          <cell r="J257">
            <v>1583</v>
          </cell>
          <cell r="K257">
            <v>1583</v>
          </cell>
          <cell r="L257">
            <v>1583</v>
          </cell>
          <cell r="M257">
            <v>500</v>
          </cell>
          <cell r="N257">
            <v>500</v>
          </cell>
          <cell r="O257">
            <v>1000</v>
          </cell>
          <cell r="P257">
            <v>0</v>
          </cell>
          <cell r="Q257">
            <v>11664</v>
          </cell>
        </row>
        <row r="258">
          <cell r="A258">
            <v>52036</v>
          </cell>
          <cell r="B258" t="str">
            <v>Other Bonus/Commission - Non-Safety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>
            <v>52045</v>
          </cell>
          <cell r="B259" t="str">
            <v>Contract Labor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>
            <v>52050</v>
          </cell>
          <cell r="B260" t="str">
            <v>Payroll Taxes</v>
          </cell>
          <cell r="E260">
            <v>2869.35</v>
          </cell>
          <cell r="F260">
            <v>2242.16</v>
          </cell>
          <cell r="G260">
            <v>2468.5100000000002</v>
          </cell>
          <cell r="H260">
            <v>2064.63</v>
          </cell>
          <cell r="I260">
            <v>2186.88</v>
          </cell>
          <cell r="J260">
            <v>2344.56</v>
          </cell>
          <cell r="K260">
            <v>1962.2</v>
          </cell>
          <cell r="L260">
            <v>1763.36</v>
          </cell>
          <cell r="M260">
            <v>1881.81</v>
          </cell>
          <cell r="N260">
            <v>1731.74</v>
          </cell>
          <cell r="O260">
            <v>2453.91</v>
          </cell>
          <cell r="P260">
            <v>1757.74</v>
          </cell>
          <cell r="Q260">
            <v>25726.850000000006</v>
          </cell>
        </row>
        <row r="261">
          <cell r="A261">
            <v>52060</v>
          </cell>
          <cell r="B261" t="str">
            <v>Group Insurance</v>
          </cell>
          <cell r="E261">
            <v>1441</v>
          </cell>
          <cell r="F261">
            <v>1441</v>
          </cell>
          <cell r="G261">
            <v>561.5</v>
          </cell>
          <cell r="H261">
            <v>720.5</v>
          </cell>
          <cell r="I261">
            <v>641</v>
          </cell>
          <cell r="J261">
            <v>641</v>
          </cell>
          <cell r="K261">
            <v>641</v>
          </cell>
          <cell r="L261">
            <v>641</v>
          </cell>
          <cell r="M261">
            <v>561.5</v>
          </cell>
          <cell r="N261">
            <v>720.5</v>
          </cell>
          <cell r="O261">
            <v>641</v>
          </cell>
          <cell r="P261">
            <v>583.48</v>
          </cell>
          <cell r="Q261">
            <v>9234.48</v>
          </cell>
        </row>
        <row r="262">
          <cell r="A262">
            <v>52065</v>
          </cell>
          <cell r="B262" t="str">
            <v>Vacation Pay</v>
          </cell>
          <cell r="E262">
            <v>1511.38</v>
          </cell>
          <cell r="F262">
            <v>-838.54</v>
          </cell>
          <cell r="G262">
            <v>2800.68</v>
          </cell>
          <cell r="H262">
            <v>381.27</v>
          </cell>
          <cell r="I262">
            <v>800.29</v>
          </cell>
          <cell r="J262">
            <v>1912.65</v>
          </cell>
          <cell r="K262">
            <v>745.69</v>
          </cell>
          <cell r="L262">
            <v>1755.74</v>
          </cell>
          <cell r="M262">
            <v>996.88</v>
          </cell>
          <cell r="N262">
            <v>1492.04</v>
          </cell>
          <cell r="O262">
            <v>2476.17</v>
          </cell>
          <cell r="P262">
            <v>1846.32</v>
          </cell>
          <cell r="Q262">
            <v>15880.569999999998</v>
          </cell>
        </row>
        <row r="263">
          <cell r="A263">
            <v>52070</v>
          </cell>
          <cell r="B263" t="str">
            <v>Sick Pay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>
            <v>52086</v>
          </cell>
          <cell r="B264" t="str">
            <v>Safety and Training</v>
          </cell>
          <cell r="E264">
            <v>104.55</v>
          </cell>
          <cell r="F264">
            <v>112.64</v>
          </cell>
          <cell r="G264">
            <v>154.71</v>
          </cell>
          <cell r="H264">
            <v>299.60000000000002</v>
          </cell>
          <cell r="I264">
            <v>846.98</v>
          </cell>
          <cell r="J264">
            <v>185.38</v>
          </cell>
          <cell r="K264">
            <v>78.989999999999995</v>
          </cell>
          <cell r="L264">
            <v>145.65</v>
          </cell>
          <cell r="M264">
            <v>0</v>
          </cell>
          <cell r="N264">
            <v>876.33</v>
          </cell>
          <cell r="O264">
            <v>-395.59</v>
          </cell>
          <cell r="P264">
            <v>1720.49</v>
          </cell>
          <cell r="Q264">
            <v>4129.7300000000005</v>
          </cell>
        </row>
        <row r="265">
          <cell r="A265">
            <v>52087</v>
          </cell>
          <cell r="B265" t="str">
            <v>Drug Screening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A266">
            <v>52090</v>
          </cell>
          <cell r="B266" t="str">
            <v>Uniforms</v>
          </cell>
          <cell r="E266">
            <v>1040.42</v>
          </cell>
          <cell r="F266">
            <v>1033.9000000000001</v>
          </cell>
          <cell r="G266">
            <v>1397.48</v>
          </cell>
          <cell r="H266">
            <v>1377.31</v>
          </cell>
          <cell r="I266">
            <v>475.1</v>
          </cell>
          <cell r="J266">
            <v>1617.7</v>
          </cell>
          <cell r="K266">
            <v>910.5</v>
          </cell>
          <cell r="L266">
            <v>1633.6</v>
          </cell>
          <cell r="M266">
            <v>1021.73</v>
          </cell>
          <cell r="N266">
            <v>756.54</v>
          </cell>
          <cell r="O266">
            <v>828.81</v>
          </cell>
          <cell r="P266">
            <v>987.61</v>
          </cell>
          <cell r="Q266">
            <v>13080.699999999999</v>
          </cell>
        </row>
        <row r="267">
          <cell r="A267">
            <v>52115</v>
          </cell>
          <cell r="B267" t="str">
            <v>Pension and Profit Sharing</v>
          </cell>
          <cell r="E267">
            <v>2995.29</v>
          </cell>
          <cell r="F267">
            <v>2862.61</v>
          </cell>
          <cell r="G267">
            <v>3299.63</v>
          </cell>
          <cell r="H267">
            <v>2999.06</v>
          </cell>
          <cell r="I267">
            <v>2963.05</v>
          </cell>
          <cell r="J267">
            <v>2934</v>
          </cell>
          <cell r="K267">
            <v>2846.98</v>
          </cell>
          <cell r="L267">
            <v>2774.57</v>
          </cell>
          <cell r="M267">
            <v>2785.85</v>
          </cell>
          <cell r="N267">
            <v>2807.65</v>
          </cell>
          <cell r="O267">
            <v>2756.7</v>
          </cell>
          <cell r="P267">
            <v>2412.85</v>
          </cell>
          <cell r="Q267">
            <v>34438.239999999998</v>
          </cell>
        </row>
        <row r="268">
          <cell r="A268">
            <v>52116</v>
          </cell>
          <cell r="B268" t="str">
            <v>Union Benefit Expense</v>
          </cell>
          <cell r="E268">
            <v>7876.76</v>
          </cell>
          <cell r="F268">
            <v>7880.62</v>
          </cell>
          <cell r="G268">
            <v>7872.8</v>
          </cell>
          <cell r="H268">
            <v>7884.58</v>
          </cell>
          <cell r="I268">
            <v>7878.69</v>
          </cell>
          <cell r="J268">
            <v>7878.69</v>
          </cell>
          <cell r="K268">
            <v>7881.97</v>
          </cell>
          <cell r="L268">
            <v>6752.1</v>
          </cell>
          <cell r="M268">
            <v>6747.85</v>
          </cell>
          <cell r="N268">
            <v>6756.35</v>
          </cell>
          <cell r="O268">
            <v>7182.94</v>
          </cell>
          <cell r="P268">
            <v>7779.69</v>
          </cell>
          <cell r="Q268">
            <v>90373.040000000023</v>
          </cell>
        </row>
        <row r="269">
          <cell r="A269">
            <v>52117</v>
          </cell>
          <cell r="B269" t="str">
            <v>Union Pension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>
            <v>52120</v>
          </cell>
          <cell r="B270" t="str">
            <v>Parts and Materials</v>
          </cell>
          <cell r="E270">
            <v>13715.59</v>
          </cell>
          <cell r="F270">
            <v>21102.71</v>
          </cell>
          <cell r="G270">
            <v>18678.920000000006</v>
          </cell>
          <cell r="H270">
            <v>30064.99</v>
          </cell>
          <cell r="I270">
            <v>11133.51</v>
          </cell>
          <cell r="J270">
            <v>9706.94</v>
          </cell>
          <cell r="K270">
            <v>12873.069999999998</v>
          </cell>
          <cell r="L270">
            <v>12811.720000000001</v>
          </cell>
          <cell r="M270">
            <v>13514.23</v>
          </cell>
          <cell r="N270">
            <v>8953.7200000000012</v>
          </cell>
          <cell r="O270">
            <v>16547.27</v>
          </cell>
          <cell r="P270">
            <v>15817.25</v>
          </cell>
          <cell r="Q270">
            <v>184919.91999999998</v>
          </cell>
        </row>
        <row r="271">
          <cell r="A271">
            <v>52125</v>
          </cell>
          <cell r="B271" t="str">
            <v>Operating Supplies</v>
          </cell>
          <cell r="E271">
            <v>568.15</v>
          </cell>
          <cell r="F271">
            <v>288.02999999999997</v>
          </cell>
          <cell r="G271">
            <v>385.62</v>
          </cell>
          <cell r="H271">
            <v>179.18</v>
          </cell>
          <cell r="I271">
            <v>339.98</v>
          </cell>
          <cell r="J271">
            <v>264.08</v>
          </cell>
          <cell r="K271">
            <v>131.13</v>
          </cell>
          <cell r="L271">
            <v>13.55</v>
          </cell>
          <cell r="M271">
            <v>9.8699999999999992</v>
          </cell>
          <cell r="N271">
            <v>372.92</v>
          </cell>
          <cell r="O271">
            <v>819.61</v>
          </cell>
          <cell r="P271">
            <v>414.71</v>
          </cell>
          <cell r="Q271">
            <v>3786.8300000000004</v>
          </cell>
        </row>
        <row r="272">
          <cell r="A272">
            <v>52135</v>
          </cell>
          <cell r="B272" t="str">
            <v>Equipment and Maint Repair</v>
          </cell>
          <cell r="E272">
            <v>0</v>
          </cell>
          <cell r="F272">
            <v>0</v>
          </cell>
          <cell r="G272">
            <v>149.16</v>
          </cell>
          <cell r="H272">
            <v>681.98</v>
          </cell>
          <cell r="I272">
            <v>545.25</v>
          </cell>
          <cell r="J272">
            <v>332.59</v>
          </cell>
          <cell r="K272">
            <v>984.37</v>
          </cell>
          <cell r="L272">
            <v>173.37</v>
          </cell>
          <cell r="M272">
            <v>0</v>
          </cell>
          <cell r="N272">
            <v>156.19999999999999</v>
          </cell>
          <cell r="O272">
            <v>-156.19999999999999</v>
          </cell>
          <cell r="P272">
            <v>27.01</v>
          </cell>
          <cell r="Q272">
            <v>2893.73</v>
          </cell>
        </row>
        <row r="273">
          <cell r="A273">
            <v>52140</v>
          </cell>
          <cell r="B273" t="str">
            <v>Tires</v>
          </cell>
          <cell r="E273">
            <v>11282.69</v>
          </cell>
          <cell r="F273">
            <v>1664.63</v>
          </cell>
          <cell r="G273">
            <v>5175.3999999999996</v>
          </cell>
          <cell r="H273">
            <v>8753.43</v>
          </cell>
          <cell r="I273">
            <v>9084.64</v>
          </cell>
          <cell r="J273">
            <v>1370.04</v>
          </cell>
          <cell r="K273">
            <v>8864.5</v>
          </cell>
          <cell r="L273">
            <v>438.2</v>
          </cell>
          <cell r="M273">
            <v>5010.1400000000003</v>
          </cell>
          <cell r="N273">
            <v>1896.06</v>
          </cell>
          <cell r="O273">
            <v>7161.25</v>
          </cell>
          <cell r="P273">
            <v>3395.56</v>
          </cell>
          <cell r="Q273">
            <v>64096.539999999994</v>
          </cell>
        </row>
        <row r="274">
          <cell r="A274">
            <v>52142</v>
          </cell>
          <cell r="B274" t="str">
            <v>Fuel Expense</v>
          </cell>
          <cell r="E274">
            <v>54158.289999999994</v>
          </cell>
          <cell r="F274">
            <v>50956.94</v>
          </cell>
          <cell r="G274">
            <v>60111.49</v>
          </cell>
          <cell r="H274">
            <v>62505</v>
          </cell>
          <cell r="I274">
            <v>58155.18</v>
          </cell>
          <cell r="J274">
            <v>61304.36</v>
          </cell>
          <cell r="K274">
            <v>60908.59</v>
          </cell>
          <cell r="L274">
            <v>64096.240000000005</v>
          </cell>
          <cell r="M274">
            <v>63144.08</v>
          </cell>
          <cell r="N274">
            <v>63868.340000000004</v>
          </cell>
          <cell r="O274">
            <v>56605.93</v>
          </cell>
          <cell r="P274">
            <v>67191.64</v>
          </cell>
          <cell r="Q274">
            <v>723006.08</v>
          </cell>
        </row>
        <row r="275">
          <cell r="A275">
            <v>52143</v>
          </cell>
          <cell r="B275" t="str">
            <v>Transmontagne Fuel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>
            <v>52144</v>
          </cell>
          <cell r="B276" t="str">
            <v>Urea Expense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>
            <v>52146</v>
          </cell>
          <cell r="B277" t="str">
            <v>Oil and Grease</v>
          </cell>
          <cell r="E277">
            <v>3179.71</v>
          </cell>
          <cell r="F277">
            <v>7401.66</v>
          </cell>
          <cell r="G277">
            <v>5696.15</v>
          </cell>
          <cell r="H277">
            <v>6990.25</v>
          </cell>
          <cell r="I277">
            <v>4918.58</v>
          </cell>
          <cell r="J277">
            <v>3341.27</v>
          </cell>
          <cell r="K277">
            <v>1599.94</v>
          </cell>
          <cell r="L277">
            <v>9095.31</v>
          </cell>
          <cell r="M277">
            <v>5629.35</v>
          </cell>
          <cell r="N277">
            <v>4937.97</v>
          </cell>
          <cell r="O277">
            <v>5285.37</v>
          </cell>
          <cell r="P277">
            <v>5402.36</v>
          </cell>
          <cell r="Q277">
            <v>63477.919999999998</v>
          </cell>
        </row>
        <row r="278">
          <cell r="A278">
            <v>52147</v>
          </cell>
          <cell r="B278" t="str">
            <v>Outside Repairs</v>
          </cell>
          <cell r="E278">
            <v>2520.1099999999997</v>
          </cell>
          <cell r="F278">
            <v>148.44</v>
          </cell>
          <cell r="G278">
            <v>4753.75</v>
          </cell>
          <cell r="H278">
            <v>2049.4</v>
          </cell>
          <cell r="I278">
            <v>568.04999999999995</v>
          </cell>
          <cell r="J278">
            <v>4319.34</v>
          </cell>
          <cell r="K278">
            <v>3088.65</v>
          </cell>
          <cell r="L278">
            <v>4131.92</v>
          </cell>
          <cell r="M278">
            <v>939.12</v>
          </cell>
          <cell r="N278">
            <v>4227.5600000000004</v>
          </cell>
          <cell r="O278">
            <v>38.909999999999997</v>
          </cell>
          <cell r="P278">
            <v>448.88</v>
          </cell>
          <cell r="Q278">
            <v>27234.129999999997</v>
          </cell>
        </row>
        <row r="279">
          <cell r="A279">
            <v>52148</v>
          </cell>
          <cell r="B279" t="str">
            <v>Allocated Exp In - District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A280">
            <v>52149</v>
          </cell>
          <cell r="B280" t="str">
            <v>Allocated Exp In Out - District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52150</v>
          </cell>
          <cell r="B281" t="str">
            <v>Utilities</v>
          </cell>
          <cell r="E281">
            <v>1060.3800000000001</v>
          </cell>
          <cell r="F281">
            <v>764.22</v>
          </cell>
          <cell r="G281">
            <v>713.08</v>
          </cell>
          <cell r="H281">
            <v>617.6</v>
          </cell>
          <cell r="I281">
            <v>412.22</v>
          </cell>
          <cell r="J281">
            <v>355.41</v>
          </cell>
          <cell r="K281">
            <v>1187.46</v>
          </cell>
          <cell r="L281">
            <v>314.74</v>
          </cell>
          <cell r="M281">
            <v>291.92</v>
          </cell>
          <cell r="N281">
            <v>296.52999999999997</v>
          </cell>
          <cell r="O281">
            <v>545.01</v>
          </cell>
          <cell r="P281">
            <v>997.3</v>
          </cell>
          <cell r="Q281">
            <v>7555.87</v>
          </cell>
        </row>
        <row r="282">
          <cell r="A282">
            <v>52165</v>
          </cell>
          <cell r="B282" t="str">
            <v>Communications</v>
          </cell>
          <cell r="E282">
            <v>497.52</v>
          </cell>
          <cell r="F282">
            <v>509.58</v>
          </cell>
          <cell r="G282">
            <v>521.71</v>
          </cell>
          <cell r="H282">
            <v>497.47</v>
          </cell>
          <cell r="I282">
            <v>622.69000000000005</v>
          </cell>
          <cell r="J282">
            <v>534.09</v>
          </cell>
          <cell r="K282">
            <v>-388.32</v>
          </cell>
          <cell r="L282">
            <v>662.93</v>
          </cell>
          <cell r="M282">
            <v>678.76</v>
          </cell>
          <cell r="N282">
            <v>509.78</v>
          </cell>
          <cell r="O282">
            <v>678.67</v>
          </cell>
          <cell r="P282">
            <v>546.71</v>
          </cell>
          <cell r="Q282">
            <v>5871.59</v>
          </cell>
        </row>
        <row r="283">
          <cell r="A283">
            <v>52170</v>
          </cell>
          <cell r="B283" t="str">
            <v>Real Estate Rentals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>
            <v>52172</v>
          </cell>
          <cell r="B284" t="str">
            <v>Chassis Lease Expense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52175</v>
          </cell>
          <cell r="B285" t="str">
            <v>Equip/Vehicle Rental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>
            <v>52181</v>
          </cell>
          <cell r="B286" t="str">
            <v>Freight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A287">
            <v>52182</v>
          </cell>
          <cell r="B287" t="str">
            <v>Towing Expense</v>
          </cell>
          <cell r="E287">
            <v>243.9</v>
          </cell>
          <cell r="F287">
            <v>678.32</v>
          </cell>
          <cell r="G287">
            <v>518.41999999999996</v>
          </cell>
          <cell r="H287">
            <v>0</v>
          </cell>
          <cell r="I287">
            <v>0</v>
          </cell>
          <cell r="J287">
            <v>271</v>
          </cell>
          <cell r="K287">
            <v>0</v>
          </cell>
          <cell r="L287">
            <v>211.38</v>
          </cell>
          <cell r="M287">
            <v>563.67999999999995</v>
          </cell>
          <cell r="N287">
            <v>0</v>
          </cell>
          <cell r="O287">
            <v>0</v>
          </cell>
          <cell r="P287">
            <v>243.9</v>
          </cell>
          <cell r="Q287">
            <v>2730.6</v>
          </cell>
        </row>
        <row r="288">
          <cell r="A288">
            <v>52185</v>
          </cell>
          <cell r="B288" t="str">
            <v>Travel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397.98</v>
          </cell>
          <cell r="O288">
            <v>-397.98</v>
          </cell>
          <cell r="P288">
            <v>0</v>
          </cell>
          <cell r="Q288">
            <v>0</v>
          </cell>
        </row>
        <row r="289">
          <cell r="A289">
            <v>52200</v>
          </cell>
          <cell r="B289" t="str">
            <v>Office Supply and Equip</v>
          </cell>
          <cell r="E289">
            <v>100.76</v>
          </cell>
          <cell r="F289">
            <v>168.31</v>
          </cell>
          <cell r="G289">
            <v>81.760000000000005</v>
          </cell>
          <cell r="H289">
            <v>538.53</v>
          </cell>
          <cell r="I289">
            <v>50.95</v>
          </cell>
          <cell r="J289">
            <v>51.81</v>
          </cell>
          <cell r="K289">
            <v>0</v>
          </cell>
          <cell r="L289">
            <v>226.01</v>
          </cell>
          <cell r="M289">
            <v>51.5</v>
          </cell>
          <cell r="N289">
            <v>0</v>
          </cell>
          <cell r="O289">
            <v>556.91</v>
          </cell>
          <cell r="P289">
            <v>324.24</v>
          </cell>
          <cell r="Q289">
            <v>2150.7799999999997</v>
          </cell>
        </row>
        <row r="290">
          <cell r="A290">
            <v>52275</v>
          </cell>
          <cell r="B290" t="str">
            <v>Property Taxes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A291">
            <v>52335</v>
          </cell>
          <cell r="B291" t="str">
            <v>Miscellaneous</v>
          </cell>
          <cell r="E291">
            <v>9</v>
          </cell>
          <cell r="F291">
            <v>0</v>
          </cell>
          <cell r="G291">
            <v>4.5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13.5</v>
          </cell>
        </row>
        <row r="292">
          <cell r="A292">
            <v>52900</v>
          </cell>
          <cell r="B292" t="str">
            <v>Capitalized Costs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>
            <v>52901</v>
          </cell>
          <cell r="B293" t="str">
            <v>Costs Awaiting Capitilization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52998</v>
          </cell>
          <cell r="B294" t="str">
            <v>Allocation Out - District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52999</v>
          </cell>
          <cell r="B295" t="str">
            <v>Allocation Out - Out District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 t="str">
            <v>Total Truck Variable</v>
          </cell>
          <cell r="E296">
            <v>126472.12</v>
          </cell>
          <cell r="F296">
            <v>122567.03000000001</v>
          </cell>
          <cell r="G296">
            <v>139178.57</v>
          </cell>
          <cell r="H296">
            <v>151762.04999999999</v>
          </cell>
          <cell r="I296">
            <v>127181.98000000001</v>
          </cell>
          <cell r="J296">
            <v>125282.85</v>
          </cell>
          <cell r="K296">
            <v>127964.48999999999</v>
          </cell>
          <cell r="L296">
            <v>128791.74</v>
          </cell>
          <cell r="M296">
            <v>125167.81</v>
          </cell>
          <cell r="N296">
            <v>121736.34</v>
          </cell>
          <cell r="O296">
            <v>127259.88000000002</v>
          </cell>
          <cell r="P296">
            <v>136649.02999999997</v>
          </cell>
          <cell r="Q296">
            <v>1560013.8900000001</v>
          </cell>
        </row>
        <row r="298">
          <cell r="A298" t="str">
            <v>Container</v>
          </cell>
        </row>
        <row r="299">
          <cell r="A299">
            <v>54148</v>
          </cell>
          <cell r="B299" t="str">
            <v>Allocation In - District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A300">
            <v>54149</v>
          </cell>
          <cell r="B300" t="str">
            <v>Allocation In - Out District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54175</v>
          </cell>
          <cell r="B301" t="str">
            <v>Equipment/Vehicle Rental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>
            <v>54275</v>
          </cell>
          <cell r="B302" t="str">
            <v>Property Taxes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54335</v>
          </cell>
          <cell r="B303" t="str">
            <v>Miscellaneous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54998</v>
          </cell>
          <cell r="B304" t="str">
            <v>Allocation Out - District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A305">
            <v>54999</v>
          </cell>
          <cell r="B305" t="str">
            <v>Allocation Out - Out District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55010</v>
          </cell>
          <cell r="B306" t="str">
            <v>Salaries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55020</v>
          </cell>
          <cell r="B307" t="str">
            <v>Wages Regular</v>
          </cell>
          <cell r="E307">
            <v>10121.69</v>
          </cell>
          <cell r="F307">
            <v>8242.4699999999993</v>
          </cell>
          <cell r="G307">
            <v>12061.67</v>
          </cell>
          <cell r="H307">
            <v>10915.7</v>
          </cell>
          <cell r="I307">
            <v>8008.44</v>
          </cell>
          <cell r="J307">
            <v>8531.7900000000009</v>
          </cell>
          <cell r="K307">
            <v>9525.08</v>
          </cell>
          <cell r="L307">
            <v>11641.49</v>
          </cell>
          <cell r="M307">
            <v>9358.9</v>
          </cell>
          <cell r="N307">
            <v>9463.3700000000008</v>
          </cell>
          <cell r="O307">
            <v>10355.24</v>
          </cell>
          <cell r="P307">
            <v>9802.01</v>
          </cell>
          <cell r="Q307">
            <v>118027.84999999999</v>
          </cell>
        </row>
        <row r="308">
          <cell r="A308">
            <v>55025</v>
          </cell>
          <cell r="B308" t="str">
            <v>Wages O.T.</v>
          </cell>
          <cell r="E308">
            <v>636.62</v>
          </cell>
          <cell r="F308">
            <v>425.9</v>
          </cell>
          <cell r="G308">
            <v>278.45999999999998</v>
          </cell>
          <cell r="H308">
            <v>1269.6099999999999</v>
          </cell>
          <cell r="I308">
            <v>580.07000000000005</v>
          </cell>
          <cell r="J308">
            <v>803.54</v>
          </cell>
          <cell r="K308">
            <v>467.98</v>
          </cell>
          <cell r="L308">
            <v>832.02</v>
          </cell>
          <cell r="M308">
            <v>17.989999999999998</v>
          </cell>
          <cell r="N308">
            <v>412.16</v>
          </cell>
          <cell r="O308">
            <v>650.38</v>
          </cell>
          <cell r="P308">
            <v>65.599999999999994</v>
          </cell>
          <cell r="Q308">
            <v>6440.3300000000008</v>
          </cell>
        </row>
        <row r="309">
          <cell r="A309">
            <v>55035</v>
          </cell>
          <cell r="B309" t="str">
            <v>Safety Bonuses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A310">
            <v>55036</v>
          </cell>
          <cell r="B310" t="str">
            <v>Other Bonus/Commission - Non-Safety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A311">
            <v>55045</v>
          </cell>
          <cell r="B311" t="str">
            <v>Contract Labor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A312">
            <v>55050</v>
          </cell>
          <cell r="B312" t="str">
            <v>Payroll Taxes</v>
          </cell>
          <cell r="E312">
            <v>1302.32</v>
          </cell>
          <cell r="F312">
            <v>934.4</v>
          </cell>
          <cell r="G312">
            <v>1150.47</v>
          </cell>
          <cell r="H312">
            <v>1167.9000000000001</v>
          </cell>
          <cell r="I312">
            <v>860.19</v>
          </cell>
          <cell r="J312">
            <v>884.97</v>
          </cell>
          <cell r="K312">
            <v>1058.24</v>
          </cell>
          <cell r="L312">
            <v>1180.19</v>
          </cell>
          <cell r="M312">
            <v>1055.3399999999999</v>
          </cell>
          <cell r="N312">
            <v>1038.93</v>
          </cell>
          <cell r="O312">
            <v>1185.43</v>
          </cell>
          <cell r="P312">
            <v>525.12</v>
          </cell>
          <cell r="Q312">
            <v>12343.500000000002</v>
          </cell>
        </row>
        <row r="313">
          <cell r="A313">
            <v>55060</v>
          </cell>
          <cell r="B313" t="str">
            <v>Group Insurance</v>
          </cell>
          <cell r="E313">
            <v>2215</v>
          </cell>
          <cell r="F313">
            <v>2215</v>
          </cell>
          <cell r="G313">
            <v>1935</v>
          </cell>
          <cell r="H313">
            <v>2495</v>
          </cell>
          <cell r="I313">
            <v>2215</v>
          </cell>
          <cell r="J313">
            <v>1919</v>
          </cell>
          <cell r="K313">
            <v>1919</v>
          </cell>
          <cell r="L313">
            <v>1919</v>
          </cell>
          <cell r="M313">
            <v>1691</v>
          </cell>
          <cell r="N313">
            <v>2147</v>
          </cell>
          <cell r="O313">
            <v>1711</v>
          </cell>
          <cell r="P313">
            <v>2215</v>
          </cell>
          <cell r="Q313">
            <v>24596</v>
          </cell>
        </row>
        <row r="314">
          <cell r="A314">
            <v>55065</v>
          </cell>
          <cell r="B314" t="str">
            <v>Vacation Pay</v>
          </cell>
          <cell r="E314">
            <v>303.81</v>
          </cell>
          <cell r="F314">
            <v>1016.29</v>
          </cell>
          <cell r="G314">
            <v>-198.06</v>
          </cell>
          <cell r="H314">
            <v>1145.3599999999999</v>
          </cell>
          <cell r="I314">
            <v>1042.8699999999999</v>
          </cell>
          <cell r="J314">
            <v>-719.54</v>
          </cell>
          <cell r="K314">
            <v>1222.3399999999999</v>
          </cell>
          <cell r="L314">
            <v>925.15</v>
          </cell>
          <cell r="M314">
            <v>1907.53</v>
          </cell>
          <cell r="N314">
            <v>789.75</v>
          </cell>
          <cell r="O314">
            <v>394.38</v>
          </cell>
          <cell r="P314">
            <v>930.27</v>
          </cell>
          <cell r="Q314">
            <v>8760.15</v>
          </cell>
        </row>
        <row r="315">
          <cell r="A315">
            <v>55070</v>
          </cell>
          <cell r="B315" t="str">
            <v>Sick Pay</v>
          </cell>
          <cell r="E315">
            <v>255.74</v>
          </cell>
          <cell r="F315">
            <v>163.92</v>
          </cell>
          <cell r="G315">
            <v>253.25</v>
          </cell>
          <cell r="H315">
            <v>-42.31</v>
          </cell>
          <cell r="I315">
            <v>0</v>
          </cell>
          <cell r="J315">
            <v>317.39999999999998</v>
          </cell>
          <cell r="K315">
            <v>165.6</v>
          </cell>
          <cell r="L315">
            <v>-138</v>
          </cell>
          <cell r="M315">
            <v>138</v>
          </cell>
          <cell r="N315">
            <v>216.36</v>
          </cell>
          <cell r="O315">
            <v>0</v>
          </cell>
          <cell r="P315">
            <v>317.60000000000002</v>
          </cell>
          <cell r="Q315">
            <v>1647.56</v>
          </cell>
        </row>
        <row r="316">
          <cell r="A316">
            <v>55086</v>
          </cell>
          <cell r="B316" t="str">
            <v>Safety and Training</v>
          </cell>
          <cell r="E316">
            <v>0</v>
          </cell>
          <cell r="F316">
            <v>0</v>
          </cell>
          <cell r="G316">
            <v>0</v>
          </cell>
          <cell r="H316">
            <v>34.299999999999997</v>
          </cell>
          <cell r="I316">
            <v>29.01</v>
          </cell>
          <cell r="J316">
            <v>0</v>
          </cell>
          <cell r="K316">
            <v>0</v>
          </cell>
          <cell r="L316">
            <v>1292.83</v>
          </cell>
          <cell r="M316">
            <v>425.23</v>
          </cell>
          <cell r="N316">
            <v>50</v>
          </cell>
          <cell r="O316">
            <v>0</v>
          </cell>
          <cell r="P316">
            <v>0</v>
          </cell>
          <cell r="Q316">
            <v>1831.37</v>
          </cell>
        </row>
        <row r="317">
          <cell r="A317">
            <v>55090</v>
          </cell>
          <cell r="B317" t="str">
            <v>Uniforms</v>
          </cell>
          <cell r="E317">
            <v>711.08</v>
          </cell>
          <cell r="F317">
            <v>516.91999999999996</v>
          </cell>
          <cell r="G317">
            <v>548.66</v>
          </cell>
          <cell r="H317">
            <v>420.37</v>
          </cell>
          <cell r="I317">
            <v>237.53</v>
          </cell>
          <cell r="J317">
            <v>620.41999999999996</v>
          </cell>
          <cell r="K317">
            <v>488.2</v>
          </cell>
          <cell r="L317">
            <v>1071.5999999999999</v>
          </cell>
          <cell r="M317">
            <v>360.8</v>
          </cell>
          <cell r="N317">
            <v>378.21</v>
          </cell>
          <cell r="O317">
            <v>414.33</v>
          </cell>
          <cell r="P317">
            <v>378.31</v>
          </cell>
          <cell r="Q317">
            <v>6146.43</v>
          </cell>
        </row>
        <row r="318">
          <cell r="A318">
            <v>55115</v>
          </cell>
          <cell r="B318" t="str">
            <v>Pension and Profit Sharing</v>
          </cell>
          <cell r="E318">
            <v>75.61</v>
          </cell>
          <cell r="F318">
            <v>80.2</v>
          </cell>
          <cell r="G318">
            <v>115.17</v>
          </cell>
          <cell r="H318">
            <v>81.77</v>
          </cell>
          <cell r="I318">
            <v>90.46</v>
          </cell>
          <cell r="J318">
            <v>86.97</v>
          </cell>
          <cell r="K318">
            <v>86.46</v>
          </cell>
          <cell r="L318">
            <v>85.09</v>
          </cell>
          <cell r="M318">
            <v>75.69</v>
          </cell>
          <cell r="N318">
            <v>120.4</v>
          </cell>
          <cell r="O318">
            <v>78.64</v>
          </cell>
          <cell r="P318">
            <v>73.08</v>
          </cell>
          <cell r="Q318">
            <v>1049.54</v>
          </cell>
        </row>
        <row r="319">
          <cell r="A319">
            <v>55116</v>
          </cell>
          <cell r="B319" t="str">
            <v>Union Benefit Expense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A320">
            <v>55117</v>
          </cell>
          <cell r="B320" t="str">
            <v>Union Pension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55120</v>
          </cell>
          <cell r="B321" t="str">
            <v>Parts and Materials</v>
          </cell>
          <cell r="E321">
            <v>6822.4</v>
          </cell>
          <cell r="F321">
            <v>7408.98</v>
          </cell>
          <cell r="G321">
            <v>6676.59</v>
          </cell>
          <cell r="H321">
            <v>10883.54</v>
          </cell>
          <cell r="I321">
            <v>6756.74</v>
          </cell>
          <cell r="J321">
            <v>6992.66</v>
          </cell>
          <cell r="K321">
            <v>7598.15</v>
          </cell>
          <cell r="L321">
            <v>6124.07</v>
          </cell>
          <cell r="M321">
            <v>6075.32</v>
          </cell>
          <cell r="N321">
            <v>1985.95</v>
          </cell>
          <cell r="O321">
            <v>4110.71</v>
          </cell>
          <cell r="P321">
            <v>5007.25</v>
          </cell>
          <cell r="Q321">
            <v>76442.360000000015</v>
          </cell>
        </row>
        <row r="322">
          <cell r="A322">
            <v>55125</v>
          </cell>
          <cell r="B322" t="str">
            <v>Operating Supplies</v>
          </cell>
          <cell r="E322">
            <v>208.43</v>
          </cell>
          <cell r="F322">
            <v>96</v>
          </cell>
          <cell r="G322">
            <v>0</v>
          </cell>
          <cell r="H322">
            <v>269.91000000000003</v>
          </cell>
          <cell r="I322">
            <v>134.9</v>
          </cell>
          <cell r="J322">
            <v>0</v>
          </cell>
          <cell r="K322">
            <v>0</v>
          </cell>
          <cell r="L322">
            <v>242.16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951.4</v>
          </cell>
        </row>
        <row r="323">
          <cell r="A323">
            <v>55135</v>
          </cell>
          <cell r="B323" t="str">
            <v>Equipment and Maint Repair</v>
          </cell>
          <cell r="E323">
            <v>0</v>
          </cell>
          <cell r="F323">
            <v>107.12</v>
          </cell>
          <cell r="G323">
            <v>103.06</v>
          </cell>
          <cell r="H323">
            <v>127.6</v>
          </cell>
          <cell r="I323">
            <v>177.2</v>
          </cell>
          <cell r="J323">
            <v>0</v>
          </cell>
          <cell r="K323">
            <v>402.9</v>
          </cell>
          <cell r="L323">
            <v>0</v>
          </cell>
          <cell r="M323">
            <v>1045.6400000000001</v>
          </cell>
          <cell r="N323">
            <v>613.79999999999995</v>
          </cell>
          <cell r="O323">
            <v>0.01</v>
          </cell>
          <cell r="P323">
            <v>0</v>
          </cell>
          <cell r="Q323">
            <v>2577.33</v>
          </cell>
        </row>
        <row r="324">
          <cell r="A324">
            <v>55140</v>
          </cell>
          <cell r="B324" t="str">
            <v>Tires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A325">
            <v>55142</v>
          </cell>
          <cell r="B325" t="str">
            <v>Fuel Expense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>
            <v>55143</v>
          </cell>
          <cell r="B326" t="str">
            <v>Corporate Medical Waste Supplies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>
            <v>55146</v>
          </cell>
          <cell r="B327" t="str">
            <v>Oil and Grease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A328">
            <v>55147</v>
          </cell>
          <cell r="B328" t="str">
            <v>Outside Repairs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55148</v>
          </cell>
          <cell r="B329" t="str">
            <v>Allocated Exp In - District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>
            <v>55149</v>
          </cell>
          <cell r="B330" t="str">
            <v>Allocated Exp In Out - District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55150</v>
          </cell>
          <cell r="B331" t="str">
            <v>Utilities</v>
          </cell>
          <cell r="E331">
            <v>145.91</v>
          </cell>
          <cell r="F331">
            <v>170</v>
          </cell>
          <cell r="G331">
            <v>160.13999999999999</v>
          </cell>
          <cell r="H331">
            <v>153.57</v>
          </cell>
          <cell r="I331">
            <v>132.77000000000001</v>
          </cell>
          <cell r="J331">
            <v>124.01</v>
          </cell>
          <cell r="K331">
            <v>109.77</v>
          </cell>
          <cell r="L331">
            <v>522.32000000000005</v>
          </cell>
          <cell r="M331">
            <v>123.5</v>
          </cell>
          <cell r="N331">
            <v>114.69</v>
          </cell>
          <cell r="O331">
            <v>122.68</v>
          </cell>
          <cell r="P331">
            <v>122.68</v>
          </cell>
          <cell r="Q331">
            <v>2002.04</v>
          </cell>
        </row>
        <row r="332">
          <cell r="A332">
            <v>55181</v>
          </cell>
          <cell r="B332" t="str">
            <v>Freight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A333">
            <v>55335</v>
          </cell>
          <cell r="B333" t="str">
            <v>Miscellaneous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>
            <v>55900</v>
          </cell>
          <cell r="B334" t="str">
            <v>Capitalized Costs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A335">
            <v>55998</v>
          </cell>
          <cell r="B335" t="str">
            <v>Allocation Out - District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55999</v>
          </cell>
          <cell r="B336" t="str">
            <v>Allocation Out - Out District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 t="str">
            <v>Total Container</v>
          </cell>
          <cell r="E337">
            <v>22798.61</v>
          </cell>
          <cell r="F337">
            <v>21377.199999999997</v>
          </cell>
          <cell r="G337">
            <v>23084.41</v>
          </cell>
          <cell r="H337">
            <v>28922.319999999996</v>
          </cell>
          <cell r="I337">
            <v>20265.18</v>
          </cell>
          <cell r="J337">
            <v>19561.219999999998</v>
          </cell>
          <cell r="K337">
            <v>23043.72</v>
          </cell>
          <cell r="L337">
            <v>25697.919999999998</v>
          </cell>
          <cell r="M337">
            <v>22274.94</v>
          </cell>
          <cell r="N337">
            <v>17330.62</v>
          </cell>
          <cell r="O337">
            <v>19022.799999999996</v>
          </cell>
          <cell r="P337">
            <v>19436.920000000002</v>
          </cell>
          <cell r="Q337">
            <v>262815.86</v>
          </cell>
        </row>
        <row r="339">
          <cell r="A339" t="str">
            <v>Supervisor</v>
          </cell>
        </row>
        <row r="340">
          <cell r="A340">
            <v>56010</v>
          </cell>
          <cell r="B340" t="str">
            <v>Salaries</v>
          </cell>
          <cell r="E340">
            <v>21484.6</v>
          </cell>
          <cell r="F340">
            <v>20461.52</v>
          </cell>
          <cell r="G340">
            <v>23530.74</v>
          </cell>
          <cell r="H340">
            <v>22507.68</v>
          </cell>
          <cell r="I340">
            <v>21484.6</v>
          </cell>
          <cell r="J340">
            <v>22507.66</v>
          </cell>
          <cell r="K340">
            <v>22636.52</v>
          </cell>
          <cell r="L340">
            <v>22649.4</v>
          </cell>
          <cell r="M340">
            <v>22649.39</v>
          </cell>
          <cell r="N340">
            <v>21768.59</v>
          </cell>
          <cell r="O340">
            <v>22733.7</v>
          </cell>
          <cell r="P340">
            <v>23898.34</v>
          </cell>
          <cell r="Q340">
            <v>268312.74</v>
          </cell>
        </row>
        <row r="341">
          <cell r="A341">
            <v>56020</v>
          </cell>
          <cell r="B341" t="str">
            <v>Wages Regular</v>
          </cell>
          <cell r="E341">
            <v>4948.7299999999996</v>
          </cell>
          <cell r="F341">
            <v>4243.8599999999997</v>
          </cell>
          <cell r="G341">
            <v>5249.43</v>
          </cell>
          <cell r="H341">
            <v>5618.66</v>
          </cell>
          <cell r="I341">
            <v>4920.93</v>
          </cell>
          <cell r="J341">
            <v>5799.39</v>
          </cell>
          <cell r="K341">
            <v>5404.71</v>
          </cell>
          <cell r="L341">
            <v>5365.56</v>
          </cell>
          <cell r="M341">
            <v>4903.59</v>
          </cell>
          <cell r="N341">
            <v>5263.01</v>
          </cell>
          <cell r="O341">
            <v>5800.6</v>
          </cell>
          <cell r="P341">
            <v>5428.54</v>
          </cell>
          <cell r="Q341">
            <v>62947.01</v>
          </cell>
        </row>
        <row r="342">
          <cell r="A342">
            <v>56025</v>
          </cell>
          <cell r="B342" t="str">
            <v>Wages O.T.</v>
          </cell>
          <cell r="E342">
            <v>515.38</v>
          </cell>
          <cell r="F342">
            <v>23.34</v>
          </cell>
          <cell r="G342">
            <v>199.47</v>
          </cell>
          <cell r="H342">
            <v>439.74</v>
          </cell>
          <cell r="I342">
            <v>937.69</v>
          </cell>
          <cell r="J342">
            <v>676.04</v>
          </cell>
          <cell r="K342">
            <v>89.23</v>
          </cell>
          <cell r="L342">
            <v>691.05</v>
          </cell>
          <cell r="M342">
            <v>707.32</v>
          </cell>
          <cell r="N342">
            <v>322.20999999999998</v>
          </cell>
          <cell r="O342">
            <v>737.63</v>
          </cell>
          <cell r="P342">
            <v>791.29</v>
          </cell>
          <cell r="Q342">
            <v>6130.3899999999994</v>
          </cell>
        </row>
        <row r="343">
          <cell r="A343">
            <v>56035</v>
          </cell>
          <cell r="B343" t="str">
            <v>Safety Bonuses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A344">
            <v>56036</v>
          </cell>
          <cell r="B344" t="str">
            <v>Other Bonus/Commission - Non-Safety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A345">
            <v>56037</v>
          </cell>
          <cell r="B345" t="str">
            <v>Termination Pay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A346">
            <v>56045</v>
          </cell>
          <cell r="B346" t="str">
            <v>Contract Labor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A347">
            <v>56050</v>
          </cell>
          <cell r="B347" t="str">
            <v>Payroll Taxes</v>
          </cell>
          <cell r="E347">
            <v>3178.64</v>
          </cell>
          <cell r="F347">
            <v>2251.66</v>
          </cell>
          <cell r="G347">
            <v>2524.9499999999998</v>
          </cell>
          <cell r="H347">
            <v>2497.5100000000002</v>
          </cell>
          <cell r="I347">
            <v>2309.15</v>
          </cell>
          <cell r="J347">
            <v>2588.5</v>
          </cell>
          <cell r="K347">
            <v>2219.94</v>
          </cell>
          <cell r="L347">
            <v>1586.57</v>
          </cell>
          <cell r="M347">
            <v>1804.92</v>
          </cell>
          <cell r="N347">
            <v>1787.26</v>
          </cell>
          <cell r="O347">
            <v>1971.2</v>
          </cell>
          <cell r="P347">
            <v>1725.76</v>
          </cell>
          <cell r="Q347">
            <v>26446.059999999994</v>
          </cell>
        </row>
        <row r="348">
          <cell r="A348">
            <v>56060</v>
          </cell>
          <cell r="B348" t="str">
            <v>Group Insurance</v>
          </cell>
          <cell r="E348">
            <v>2508.5</v>
          </cell>
          <cell r="F348">
            <v>2315.5</v>
          </cell>
          <cell r="G348">
            <v>2043</v>
          </cell>
          <cell r="H348">
            <v>2781</v>
          </cell>
          <cell r="I348">
            <v>2412</v>
          </cell>
          <cell r="J348">
            <v>1237</v>
          </cell>
          <cell r="K348">
            <v>1237</v>
          </cell>
          <cell r="L348">
            <v>1237</v>
          </cell>
          <cell r="M348">
            <v>868</v>
          </cell>
          <cell r="N348">
            <v>1606</v>
          </cell>
          <cell r="O348">
            <v>1237</v>
          </cell>
          <cell r="P348">
            <v>1237</v>
          </cell>
          <cell r="Q348">
            <v>20719</v>
          </cell>
        </row>
        <row r="349">
          <cell r="A349">
            <v>56065</v>
          </cell>
          <cell r="B349" t="str">
            <v>Vacation Pay</v>
          </cell>
          <cell r="E349">
            <v>2015.83</v>
          </cell>
          <cell r="F349">
            <v>1112.7</v>
          </cell>
          <cell r="G349">
            <v>1240.4000000000001</v>
          </cell>
          <cell r="H349">
            <v>1221.3699999999999</v>
          </cell>
          <cell r="I349">
            <v>1789.21</v>
          </cell>
          <cell r="J349">
            <v>2096.9899999999998</v>
          </cell>
          <cell r="K349">
            <v>-3773.2</v>
          </cell>
          <cell r="L349">
            <v>-940.29</v>
          </cell>
          <cell r="M349">
            <v>2549.7399999999998</v>
          </cell>
          <cell r="N349">
            <v>360.95</v>
          </cell>
          <cell r="O349">
            <v>2162.4499999999998</v>
          </cell>
          <cell r="P349">
            <v>2200.5700000000002</v>
          </cell>
          <cell r="Q349">
            <v>12036.72</v>
          </cell>
        </row>
        <row r="350">
          <cell r="A350">
            <v>56070</v>
          </cell>
          <cell r="B350" t="str">
            <v>Sick Pay</v>
          </cell>
          <cell r="E350">
            <v>-88.92</v>
          </cell>
          <cell r="F350">
            <v>208.16</v>
          </cell>
          <cell r="G350">
            <v>-102.08</v>
          </cell>
          <cell r="H350">
            <v>0</v>
          </cell>
          <cell r="I350">
            <v>487.17</v>
          </cell>
          <cell r="J350">
            <v>-182.69</v>
          </cell>
          <cell r="K350">
            <v>304.48</v>
          </cell>
          <cell r="L350">
            <v>182.69</v>
          </cell>
          <cell r="M350">
            <v>124.67</v>
          </cell>
          <cell r="N350">
            <v>66.48</v>
          </cell>
          <cell r="O350">
            <v>0</v>
          </cell>
          <cell r="P350">
            <v>0</v>
          </cell>
          <cell r="Q350">
            <v>999.96000000000015</v>
          </cell>
        </row>
        <row r="351">
          <cell r="A351">
            <v>56086</v>
          </cell>
          <cell r="B351" t="str">
            <v>Safety and Training</v>
          </cell>
          <cell r="E351">
            <v>86.34</v>
          </cell>
          <cell r="F351">
            <v>16.23</v>
          </cell>
          <cell r="G351">
            <v>31.23</v>
          </cell>
          <cell r="H351">
            <v>21.48</v>
          </cell>
          <cell r="I351">
            <v>0</v>
          </cell>
          <cell r="J351">
            <v>64.92</v>
          </cell>
          <cell r="K351">
            <v>0</v>
          </cell>
          <cell r="L351">
            <v>80.650000000000006</v>
          </cell>
          <cell r="M351">
            <v>0</v>
          </cell>
          <cell r="N351">
            <v>121.71</v>
          </cell>
          <cell r="O351">
            <v>0</v>
          </cell>
          <cell r="P351">
            <v>0</v>
          </cell>
          <cell r="Q351">
            <v>422.56</v>
          </cell>
        </row>
        <row r="352">
          <cell r="A352">
            <v>56090</v>
          </cell>
          <cell r="B352" t="str">
            <v>Uniforms</v>
          </cell>
          <cell r="E352">
            <v>356.19</v>
          </cell>
          <cell r="F352">
            <v>519.97</v>
          </cell>
          <cell r="G352">
            <v>1421.43</v>
          </cell>
          <cell r="H352">
            <v>967.63</v>
          </cell>
          <cell r="I352">
            <v>1153.95</v>
          </cell>
          <cell r="J352">
            <v>1314.26</v>
          </cell>
          <cell r="K352">
            <v>1629.69</v>
          </cell>
          <cell r="L352">
            <v>1082.08</v>
          </cell>
          <cell r="M352">
            <v>1087.67</v>
          </cell>
          <cell r="N352">
            <v>1240.51</v>
          </cell>
          <cell r="O352">
            <v>1230.1199999999999</v>
          </cell>
          <cell r="P352">
            <v>1719.85</v>
          </cell>
          <cell r="Q352">
            <v>13723.35</v>
          </cell>
        </row>
        <row r="353">
          <cell r="A353">
            <v>56095</v>
          </cell>
          <cell r="B353" t="str">
            <v>Empl &amp; Commun Activ</v>
          </cell>
          <cell r="E353">
            <v>242.51</v>
          </cell>
          <cell r="F353">
            <v>-88.98</v>
          </cell>
          <cell r="G353">
            <v>0</v>
          </cell>
          <cell r="H353">
            <v>30.82</v>
          </cell>
          <cell r="I353">
            <v>161.91999999999999</v>
          </cell>
          <cell r="J353">
            <v>154.44999999999999</v>
          </cell>
          <cell r="K353">
            <v>0</v>
          </cell>
          <cell r="L353">
            <v>81.739999999999995</v>
          </cell>
          <cell r="M353">
            <v>97.68</v>
          </cell>
          <cell r="N353">
            <v>250.97</v>
          </cell>
          <cell r="O353">
            <v>-60.35</v>
          </cell>
          <cell r="P353">
            <v>0</v>
          </cell>
          <cell r="Q353">
            <v>870.75999999999988</v>
          </cell>
        </row>
        <row r="354">
          <cell r="A354">
            <v>56105</v>
          </cell>
          <cell r="B354" t="str">
            <v>Employee Relocation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A355">
            <v>56108</v>
          </cell>
          <cell r="B355" t="str">
            <v>School Tuition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A356">
            <v>56115</v>
          </cell>
          <cell r="B356" t="str">
            <v>Pension and Profit Sharing</v>
          </cell>
          <cell r="E356">
            <v>259.32</v>
          </cell>
          <cell r="F356">
            <v>257.68</v>
          </cell>
          <cell r="G356">
            <v>386.43</v>
          </cell>
          <cell r="H356">
            <v>258.10000000000002</v>
          </cell>
          <cell r="I356">
            <v>332.41</v>
          </cell>
          <cell r="J356">
            <v>433.93</v>
          </cell>
          <cell r="K356">
            <v>427.05</v>
          </cell>
          <cell r="L356">
            <v>424.39</v>
          </cell>
          <cell r="M356">
            <v>428.34</v>
          </cell>
          <cell r="N356">
            <v>657.37</v>
          </cell>
          <cell r="O356">
            <v>545.69000000000005</v>
          </cell>
          <cell r="P356">
            <v>433.37</v>
          </cell>
          <cell r="Q356">
            <v>4844.0800000000008</v>
          </cell>
        </row>
        <row r="357">
          <cell r="A357">
            <v>56116</v>
          </cell>
          <cell r="B357" t="str">
            <v>Union Benefit Expense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56117</v>
          </cell>
          <cell r="B358" t="str">
            <v>Union Pension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>
            <v>56125</v>
          </cell>
          <cell r="B359" t="str">
            <v>Operating Supplies</v>
          </cell>
          <cell r="E359">
            <v>391.66</v>
          </cell>
          <cell r="F359">
            <v>526.79999999999995</v>
          </cell>
          <cell r="G359">
            <v>580.32000000000005</v>
          </cell>
          <cell r="H359">
            <v>1039.98</v>
          </cell>
          <cell r="I359">
            <v>-623.28</v>
          </cell>
          <cell r="J359">
            <v>102.55</v>
          </cell>
          <cell r="K359">
            <v>582.14</v>
          </cell>
          <cell r="L359">
            <v>366.9</v>
          </cell>
          <cell r="M359">
            <v>350.1</v>
          </cell>
          <cell r="N359">
            <v>0</v>
          </cell>
          <cell r="O359">
            <v>255.27</v>
          </cell>
          <cell r="P359">
            <v>127.61</v>
          </cell>
          <cell r="Q359">
            <v>3700.05</v>
          </cell>
        </row>
        <row r="360">
          <cell r="A360">
            <v>56140</v>
          </cell>
          <cell r="B360" t="str">
            <v>Tires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A361">
            <v>56142</v>
          </cell>
          <cell r="B361" t="str">
            <v>Fuel Expense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A362">
            <v>56148</v>
          </cell>
          <cell r="B362" t="str">
            <v>Allocated Exp In - District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>
            <v>56149</v>
          </cell>
          <cell r="B363" t="str">
            <v>Allocated Exp In Out - District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A364">
            <v>56165</v>
          </cell>
          <cell r="B364" t="str">
            <v>Communications</v>
          </cell>
          <cell r="E364">
            <v>1519.45</v>
          </cell>
          <cell r="F364">
            <v>1450.07</v>
          </cell>
          <cell r="G364">
            <v>1554.65</v>
          </cell>
          <cell r="H364">
            <v>4434.3500000000004</v>
          </cell>
          <cell r="I364">
            <v>-1597.73</v>
          </cell>
          <cell r="J364">
            <v>1513.67</v>
          </cell>
          <cell r="K364">
            <v>1505.33</v>
          </cell>
          <cell r="L364">
            <v>5156.7</v>
          </cell>
          <cell r="M364">
            <v>1422.01</v>
          </cell>
          <cell r="N364">
            <v>1404.71</v>
          </cell>
          <cell r="O364">
            <v>4969.07</v>
          </cell>
          <cell r="P364">
            <v>2885.81</v>
          </cell>
          <cell r="Q364">
            <v>26218.09</v>
          </cell>
        </row>
        <row r="365">
          <cell r="A365">
            <v>56200</v>
          </cell>
          <cell r="B365" t="str">
            <v>Travel</v>
          </cell>
          <cell r="E365">
            <v>0</v>
          </cell>
          <cell r="F365">
            <v>23</v>
          </cell>
          <cell r="G365">
            <v>32.75</v>
          </cell>
          <cell r="H365">
            <v>17.62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14.84</v>
          </cell>
          <cell r="O365">
            <v>-12.97</v>
          </cell>
          <cell r="P365">
            <v>0</v>
          </cell>
          <cell r="Q365">
            <v>75.240000000000009</v>
          </cell>
        </row>
        <row r="366">
          <cell r="A366">
            <v>56201</v>
          </cell>
          <cell r="B366" t="str">
            <v>Meal and Entertainment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34.36</v>
          </cell>
          <cell r="K366">
            <v>0</v>
          </cell>
          <cell r="L366">
            <v>0</v>
          </cell>
          <cell r="M366">
            <v>0</v>
          </cell>
          <cell r="N366">
            <v>348.63</v>
          </cell>
          <cell r="O366">
            <v>-333.79</v>
          </cell>
          <cell r="P366">
            <v>0</v>
          </cell>
          <cell r="Q366">
            <v>49.199999999999989</v>
          </cell>
        </row>
        <row r="367">
          <cell r="A367">
            <v>56210</v>
          </cell>
          <cell r="B367" t="str">
            <v>Office Supply and Equip</v>
          </cell>
          <cell r="E367">
            <v>302.63</v>
          </cell>
          <cell r="F367">
            <v>422.29</v>
          </cell>
          <cell r="G367">
            <v>391.69</v>
          </cell>
          <cell r="H367">
            <v>179.55</v>
          </cell>
          <cell r="I367">
            <v>722.74</v>
          </cell>
          <cell r="J367">
            <v>352.24</v>
          </cell>
          <cell r="K367">
            <v>0</v>
          </cell>
          <cell r="L367">
            <v>741.46</v>
          </cell>
          <cell r="M367">
            <v>364.82</v>
          </cell>
          <cell r="N367">
            <v>0</v>
          </cell>
          <cell r="O367">
            <v>886.4</v>
          </cell>
          <cell r="P367">
            <v>0</v>
          </cell>
          <cell r="Q367">
            <v>4363.8200000000006</v>
          </cell>
        </row>
        <row r="368">
          <cell r="A368">
            <v>56335</v>
          </cell>
          <cell r="B368" t="str">
            <v>Miscellaneous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>
            <v>56998</v>
          </cell>
          <cell r="B369" t="str">
            <v>Allocation Out - District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A370">
            <v>56999</v>
          </cell>
          <cell r="B370" t="str">
            <v>Allocation Out - Out District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 t="str">
            <v>Total Supervisor</v>
          </cell>
          <cell r="E371">
            <v>37720.86</v>
          </cell>
          <cell r="F371">
            <v>33743.800000000003</v>
          </cell>
          <cell r="G371">
            <v>39084.410000000011</v>
          </cell>
          <cell r="H371">
            <v>42015.490000000013</v>
          </cell>
          <cell r="I371">
            <v>34490.759999999995</v>
          </cell>
          <cell r="J371">
            <v>38693.26999999999</v>
          </cell>
          <cell r="K371">
            <v>32262.889999999992</v>
          </cell>
          <cell r="L371">
            <v>38705.899999999994</v>
          </cell>
          <cell r="M371">
            <v>37358.249999999993</v>
          </cell>
          <cell r="N371">
            <v>35213.239999999991</v>
          </cell>
          <cell r="O371">
            <v>42122.020000000004</v>
          </cell>
          <cell r="P371">
            <v>40448.14</v>
          </cell>
          <cell r="Q371">
            <v>451859.03</v>
          </cell>
        </row>
        <row r="373">
          <cell r="A373" t="str">
            <v>Other Operating Expense</v>
          </cell>
        </row>
        <row r="374">
          <cell r="A374">
            <v>46020</v>
          </cell>
          <cell r="B374" t="str">
            <v>Post Closure Amortization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A375">
            <v>57051</v>
          </cell>
          <cell r="B375" t="str">
            <v>AA Premiums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A376">
            <v>57125</v>
          </cell>
          <cell r="B376" t="str">
            <v>Operating Supplies</v>
          </cell>
          <cell r="E376">
            <v>0</v>
          </cell>
          <cell r="F376">
            <v>0</v>
          </cell>
          <cell r="G376">
            <v>0</v>
          </cell>
          <cell r="H376">
            <v>142.55000000000001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1177.5899999999999</v>
          </cell>
          <cell r="O376">
            <v>-1102.77</v>
          </cell>
          <cell r="P376">
            <v>0</v>
          </cell>
          <cell r="Q376">
            <v>217.36999999999989</v>
          </cell>
        </row>
        <row r="377">
          <cell r="A377">
            <v>57147</v>
          </cell>
          <cell r="B377" t="str">
            <v>Bldg &amp; Property</v>
          </cell>
          <cell r="E377">
            <v>5273.81</v>
          </cell>
          <cell r="F377">
            <v>1312.43</v>
          </cell>
          <cell r="G377">
            <v>1899.21</v>
          </cell>
          <cell r="H377">
            <v>1309.79</v>
          </cell>
          <cell r="I377">
            <v>1872.61</v>
          </cell>
          <cell r="J377">
            <v>1128</v>
          </cell>
          <cell r="K377">
            <v>1740.26</v>
          </cell>
          <cell r="L377">
            <v>3083.68</v>
          </cell>
          <cell r="M377">
            <v>2114.81</v>
          </cell>
          <cell r="N377">
            <v>1811.92</v>
          </cell>
          <cell r="O377">
            <v>3002.6</v>
          </cell>
          <cell r="P377">
            <v>2169.63</v>
          </cell>
          <cell r="Q377">
            <v>26718.750000000004</v>
          </cell>
        </row>
        <row r="378">
          <cell r="A378">
            <v>57148</v>
          </cell>
          <cell r="B378" t="str">
            <v>Allocated In - District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A379">
            <v>57149</v>
          </cell>
          <cell r="B379" t="str">
            <v>Allocated In - Out District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A380">
            <v>57150</v>
          </cell>
          <cell r="B380" t="str">
            <v>Utilities</v>
          </cell>
          <cell r="E380">
            <v>461.43</v>
          </cell>
          <cell r="F380">
            <v>96.57</v>
          </cell>
          <cell r="G380">
            <v>117.6</v>
          </cell>
          <cell r="H380">
            <v>83.43</v>
          </cell>
          <cell r="I380">
            <v>90.9</v>
          </cell>
          <cell r="J380">
            <v>57.15</v>
          </cell>
          <cell r="K380">
            <v>89.42</v>
          </cell>
          <cell r="L380">
            <v>52.59</v>
          </cell>
          <cell r="M380">
            <v>307.08</v>
          </cell>
          <cell r="N380">
            <v>59.56</v>
          </cell>
          <cell r="O380">
            <v>541.69000000000005</v>
          </cell>
          <cell r="P380">
            <v>104.21</v>
          </cell>
          <cell r="Q380">
            <v>2061.6299999999997</v>
          </cell>
        </row>
        <row r="381">
          <cell r="A381">
            <v>57165</v>
          </cell>
          <cell r="B381" t="str">
            <v>Communications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A382">
            <v>57166</v>
          </cell>
          <cell r="B382" t="str">
            <v>Leachate Treatment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A383">
            <v>57170</v>
          </cell>
          <cell r="B383" t="str">
            <v>Real Estate Rentals</v>
          </cell>
          <cell r="E383">
            <v>5891.03</v>
          </cell>
          <cell r="F383">
            <v>6528.62</v>
          </cell>
          <cell r="G383">
            <v>5891.03</v>
          </cell>
          <cell r="H383">
            <v>5800.95</v>
          </cell>
          <cell r="I383">
            <v>5800.95</v>
          </cell>
          <cell r="J383">
            <v>5800.95</v>
          </cell>
          <cell r="K383">
            <v>5800.95</v>
          </cell>
          <cell r="L383">
            <v>5800.95</v>
          </cell>
          <cell r="M383">
            <v>4412</v>
          </cell>
          <cell r="N383">
            <v>4412</v>
          </cell>
          <cell r="O383">
            <v>5800.95</v>
          </cell>
          <cell r="P383">
            <v>13259</v>
          </cell>
          <cell r="Q383">
            <v>75199.37999999999</v>
          </cell>
        </row>
        <row r="384">
          <cell r="A384">
            <v>57175</v>
          </cell>
          <cell r="B384" t="str">
            <v>Equipment Vehicle Rental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A385">
            <v>57185</v>
          </cell>
          <cell r="B385" t="str">
            <v>Postage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A386">
            <v>57252</v>
          </cell>
          <cell r="B386" t="str">
            <v>Subcontract Expense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A387">
            <v>57254</v>
          </cell>
          <cell r="B387" t="str">
            <v>Drive Cam Fees</v>
          </cell>
          <cell r="E387">
            <v>1912.5</v>
          </cell>
          <cell r="F387">
            <v>1912.5</v>
          </cell>
          <cell r="G387">
            <v>1912.5</v>
          </cell>
          <cell r="H387">
            <v>1912.5</v>
          </cell>
          <cell r="I387">
            <v>2520</v>
          </cell>
          <cell r="J387">
            <v>2520</v>
          </cell>
          <cell r="K387">
            <v>2678.73</v>
          </cell>
          <cell r="L387">
            <v>2580.4699999999998</v>
          </cell>
          <cell r="M387">
            <v>2576.33</v>
          </cell>
          <cell r="N387">
            <v>2636.37</v>
          </cell>
          <cell r="O387">
            <v>2511.33</v>
          </cell>
          <cell r="P387">
            <v>2531.54</v>
          </cell>
          <cell r="Q387">
            <v>28204.769999999997</v>
          </cell>
        </row>
        <row r="388">
          <cell r="A388">
            <v>57255</v>
          </cell>
          <cell r="B388" t="str">
            <v>Other Prof Fees</v>
          </cell>
          <cell r="E388">
            <v>0</v>
          </cell>
          <cell r="F388">
            <v>0</v>
          </cell>
          <cell r="G388">
            <v>4.5</v>
          </cell>
          <cell r="H388">
            <v>4.5</v>
          </cell>
          <cell r="I388">
            <v>4.5</v>
          </cell>
          <cell r="J388">
            <v>4.5</v>
          </cell>
          <cell r="K388">
            <v>18</v>
          </cell>
          <cell r="L388">
            <v>4.5</v>
          </cell>
          <cell r="M388">
            <v>4.5</v>
          </cell>
          <cell r="N388">
            <v>4.5</v>
          </cell>
          <cell r="O388">
            <v>4.5</v>
          </cell>
          <cell r="P388">
            <v>0</v>
          </cell>
          <cell r="Q388">
            <v>54</v>
          </cell>
        </row>
        <row r="389">
          <cell r="A389">
            <v>57256</v>
          </cell>
          <cell r="B389" t="str">
            <v>Laboratory Fees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A390">
            <v>57257</v>
          </cell>
          <cell r="B390" t="str">
            <v>Engineering Fees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18100.03</v>
          </cell>
          <cell r="K390">
            <v>1254.3699999999999</v>
          </cell>
          <cell r="L390">
            <v>1448.12</v>
          </cell>
          <cell r="M390">
            <v>-11585</v>
          </cell>
          <cell r="N390">
            <v>0</v>
          </cell>
          <cell r="O390">
            <v>0</v>
          </cell>
          <cell r="P390">
            <v>0</v>
          </cell>
          <cell r="Q390">
            <v>9217.5199999999968</v>
          </cell>
        </row>
        <row r="391">
          <cell r="A391">
            <v>57275</v>
          </cell>
          <cell r="B391" t="str">
            <v>Property Taxes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A392">
            <v>57280</v>
          </cell>
          <cell r="B392" t="str">
            <v>Other Taxes</v>
          </cell>
          <cell r="E392">
            <v>459</v>
          </cell>
          <cell r="F392">
            <v>459</v>
          </cell>
          <cell r="G392">
            <v>459</v>
          </cell>
          <cell r="H392">
            <v>459</v>
          </cell>
          <cell r="I392">
            <v>459</v>
          </cell>
          <cell r="J392">
            <v>459</v>
          </cell>
          <cell r="K392">
            <v>459</v>
          </cell>
          <cell r="L392">
            <v>459</v>
          </cell>
          <cell r="M392">
            <v>459</v>
          </cell>
          <cell r="N392">
            <v>459</v>
          </cell>
          <cell r="O392">
            <v>459</v>
          </cell>
          <cell r="P392">
            <v>459</v>
          </cell>
          <cell r="Q392">
            <v>5508</v>
          </cell>
        </row>
        <row r="393">
          <cell r="A393">
            <v>57324</v>
          </cell>
          <cell r="B393" t="str">
            <v>Penalties and Violations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266.95</v>
          </cell>
          <cell r="O393">
            <v>0</v>
          </cell>
          <cell r="P393">
            <v>631.95000000000005</v>
          </cell>
          <cell r="Q393">
            <v>898.90000000000009</v>
          </cell>
        </row>
        <row r="394">
          <cell r="A394">
            <v>57335</v>
          </cell>
          <cell r="B394" t="str">
            <v>Miscellaneous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A395">
            <v>57345</v>
          </cell>
          <cell r="B395" t="str">
            <v>Secruity Services</v>
          </cell>
          <cell r="E395">
            <v>62.5</v>
          </cell>
          <cell r="F395">
            <v>62.5</v>
          </cell>
          <cell r="G395">
            <v>62.5</v>
          </cell>
          <cell r="H395">
            <v>62.5</v>
          </cell>
          <cell r="I395">
            <v>62.5</v>
          </cell>
          <cell r="J395">
            <v>62.5</v>
          </cell>
          <cell r="K395">
            <v>62.5</v>
          </cell>
          <cell r="L395">
            <v>62.5</v>
          </cell>
          <cell r="M395">
            <v>62.5</v>
          </cell>
          <cell r="N395">
            <v>0</v>
          </cell>
          <cell r="O395">
            <v>125</v>
          </cell>
          <cell r="P395">
            <v>0</v>
          </cell>
          <cell r="Q395">
            <v>687.5</v>
          </cell>
        </row>
        <row r="396">
          <cell r="A396">
            <v>57353</v>
          </cell>
          <cell r="B396" t="str">
            <v>Monitoring and Maint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A397">
            <v>57356</v>
          </cell>
          <cell r="B397" t="str">
            <v>Cover Cost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A398">
            <v>57357</v>
          </cell>
          <cell r="B398" t="str">
            <v>Permits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15</v>
          </cell>
          <cell r="O398">
            <v>0</v>
          </cell>
          <cell r="P398">
            <v>80</v>
          </cell>
          <cell r="Q398">
            <v>95</v>
          </cell>
        </row>
        <row r="399">
          <cell r="A399">
            <v>57360</v>
          </cell>
          <cell r="B399" t="str">
            <v>Royalties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A400">
            <v>57370</v>
          </cell>
          <cell r="B400" t="str">
            <v>Bonds Expense</v>
          </cell>
          <cell r="E400">
            <v>79.209999999999994</v>
          </cell>
          <cell r="F400">
            <v>79.209999999999994</v>
          </cell>
          <cell r="G400">
            <v>79.209999999999994</v>
          </cell>
          <cell r="H400">
            <v>129.57</v>
          </cell>
          <cell r="I400">
            <v>342.55</v>
          </cell>
          <cell r="J400">
            <v>129.55000000000001</v>
          </cell>
          <cell r="K400">
            <v>129.55000000000001</v>
          </cell>
          <cell r="L400">
            <v>129.55000000000001</v>
          </cell>
          <cell r="M400">
            <v>129.55000000000001</v>
          </cell>
          <cell r="N400">
            <v>129.55000000000001</v>
          </cell>
          <cell r="O400">
            <v>129.55000000000001</v>
          </cell>
          <cell r="P400">
            <v>39.549999999999997</v>
          </cell>
          <cell r="Q400">
            <v>1526.5999999999997</v>
          </cell>
        </row>
        <row r="401">
          <cell r="A401">
            <v>57900</v>
          </cell>
          <cell r="B401" t="str">
            <v>Capitalized Costs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>
            <v>57998</v>
          </cell>
          <cell r="B402" t="str">
            <v>Allocation Out - District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A403">
            <v>57999</v>
          </cell>
          <cell r="B403" t="str">
            <v>Allocation Out - Out District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A404">
            <v>70265</v>
          </cell>
          <cell r="B404" t="str">
            <v>Amortization of Long Term Contracts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A405">
            <v>80050</v>
          </cell>
          <cell r="B405" t="str">
            <v>Interest Expense Closure/Post Closure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A406" t="str">
            <v>Total Other Operating Expense</v>
          </cell>
          <cell r="E406">
            <v>14139.48</v>
          </cell>
          <cell r="F406">
            <v>10450.829999999998</v>
          </cell>
          <cell r="G406">
            <v>10425.549999999999</v>
          </cell>
          <cell r="H406">
            <v>9904.7899999999991</v>
          </cell>
          <cell r="I406">
            <v>11153.009999999998</v>
          </cell>
          <cell r="J406">
            <v>28261.679999999997</v>
          </cell>
          <cell r="K406">
            <v>12232.779999999999</v>
          </cell>
          <cell r="L406">
            <v>13621.359999999997</v>
          </cell>
          <cell r="M406">
            <v>-1519.2300000000007</v>
          </cell>
          <cell r="N406">
            <v>10972.439999999999</v>
          </cell>
          <cell r="O406">
            <v>11471.849999999999</v>
          </cell>
          <cell r="P406">
            <v>19274.88</v>
          </cell>
          <cell r="Q406">
            <v>150389.41999999998</v>
          </cell>
        </row>
        <row r="408">
          <cell r="A408" t="str">
            <v>Insurance</v>
          </cell>
        </row>
        <row r="409">
          <cell r="A409">
            <v>59148</v>
          </cell>
          <cell r="B409" t="str">
            <v>Allocation In - District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A410">
            <v>59149</v>
          </cell>
          <cell r="B410" t="str">
            <v>Allocation In - Out District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A411">
            <v>59271</v>
          </cell>
          <cell r="B411" t="str">
            <v>Property and Liability Insurance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A412">
            <v>59326</v>
          </cell>
          <cell r="B412" t="str">
            <v>Deductible - Current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</row>
        <row r="413">
          <cell r="A413">
            <v>59327</v>
          </cell>
          <cell r="B413" t="str">
            <v>Deductible - Damage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</row>
        <row r="414">
          <cell r="A414">
            <v>59328</v>
          </cell>
          <cell r="B414" t="str">
            <v>Claim Recoveries</v>
          </cell>
          <cell r="E414">
            <v>0</v>
          </cell>
          <cell r="F414">
            <v>0</v>
          </cell>
          <cell r="G414">
            <v>-2328.46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-2328.46</v>
          </cell>
        </row>
        <row r="415">
          <cell r="A415">
            <v>59330</v>
          </cell>
          <cell r="B415" t="str">
            <v>Deduct - Prior Year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</row>
        <row r="416">
          <cell r="A416">
            <v>59331</v>
          </cell>
          <cell r="B416" t="str">
            <v>RM Fixed Costs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</row>
        <row r="417">
          <cell r="A417">
            <v>59340</v>
          </cell>
          <cell r="B417" t="str">
            <v>Self Insurance Premium</v>
          </cell>
          <cell r="E417">
            <v>6884.94</v>
          </cell>
          <cell r="F417">
            <v>6884.94</v>
          </cell>
          <cell r="G417">
            <v>6884.94</v>
          </cell>
          <cell r="H417">
            <v>6884.94</v>
          </cell>
          <cell r="I417">
            <v>6884.94</v>
          </cell>
          <cell r="J417">
            <v>6884.94</v>
          </cell>
          <cell r="K417">
            <v>6884.94</v>
          </cell>
          <cell r="L417">
            <v>6884.94</v>
          </cell>
          <cell r="M417">
            <v>6884.94</v>
          </cell>
          <cell r="N417">
            <v>6884.94</v>
          </cell>
          <cell r="O417">
            <v>6884.94</v>
          </cell>
          <cell r="P417">
            <v>6884.94</v>
          </cell>
          <cell r="Q417">
            <v>82619.280000000013</v>
          </cell>
        </row>
        <row r="418">
          <cell r="A418">
            <v>59341</v>
          </cell>
          <cell r="B418" t="str">
            <v>A&amp;L - Current Year Claims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2600</v>
          </cell>
          <cell r="Q418">
            <v>2600</v>
          </cell>
        </row>
        <row r="419">
          <cell r="A419">
            <v>59342</v>
          </cell>
          <cell r="B419" t="str">
            <v>A&amp;L - Prior Year Claims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0.3</v>
          </cell>
          <cell r="J419">
            <v>-0.15</v>
          </cell>
          <cell r="K419">
            <v>1577.07</v>
          </cell>
          <cell r="L419">
            <v>0.05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1577.27</v>
          </cell>
        </row>
        <row r="420">
          <cell r="A420">
            <v>59343</v>
          </cell>
          <cell r="B420" t="str">
            <v>WC - Current Year Claims</v>
          </cell>
          <cell r="E420">
            <v>53330.6</v>
          </cell>
          <cell r="F420">
            <v>13301</v>
          </cell>
          <cell r="G420">
            <v>13532.93</v>
          </cell>
          <cell r="H420">
            <v>-35945.980000000003</v>
          </cell>
          <cell r="I420">
            <v>151.47999999999999</v>
          </cell>
          <cell r="J420">
            <v>0</v>
          </cell>
          <cell r="K420">
            <v>-5630.29</v>
          </cell>
          <cell r="L420">
            <v>19.420000000000002</v>
          </cell>
          <cell r="M420">
            <v>28.64</v>
          </cell>
          <cell r="N420">
            <v>6955.88</v>
          </cell>
          <cell r="O420">
            <v>11900</v>
          </cell>
          <cell r="P420">
            <v>2180.23</v>
          </cell>
          <cell r="Q420">
            <v>59823.909999999996</v>
          </cell>
        </row>
        <row r="421">
          <cell r="A421">
            <v>59344</v>
          </cell>
          <cell r="B421" t="str">
            <v>WC - Prior Year Claims</v>
          </cell>
          <cell r="E421">
            <v>0</v>
          </cell>
          <cell r="F421">
            <v>0</v>
          </cell>
          <cell r="G421">
            <v>0</v>
          </cell>
          <cell r="H421">
            <v>66006.16</v>
          </cell>
          <cell r="I421">
            <v>2800</v>
          </cell>
          <cell r="J421">
            <v>-3742.81</v>
          </cell>
          <cell r="K421">
            <v>36406.36</v>
          </cell>
          <cell r="L421">
            <v>0</v>
          </cell>
          <cell r="M421">
            <v>28.28</v>
          </cell>
          <cell r="N421">
            <v>4000</v>
          </cell>
          <cell r="O421">
            <v>-547</v>
          </cell>
          <cell r="P421">
            <v>12729.61</v>
          </cell>
          <cell r="Q421">
            <v>117680.6</v>
          </cell>
        </row>
        <row r="422">
          <cell r="A422">
            <v>59350</v>
          </cell>
          <cell r="B422" t="str">
            <v>Self Isurance IBNR Estimates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>
            <v>59400</v>
          </cell>
          <cell r="B423" t="str">
            <v>Damages paid by District</v>
          </cell>
          <cell r="E423">
            <v>-3539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2099.67</v>
          </cell>
          <cell r="Q423">
            <v>-1439.33</v>
          </cell>
        </row>
        <row r="424">
          <cell r="A424">
            <v>59401</v>
          </cell>
          <cell r="B424" t="str">
            <v>Insurance claim repairs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A425">
            <v>59500</v>
          </cell>
          <cell r="B425" t="str">
            <v>Workers Comp Prem</v>
          </cell>
          <cell r="E425">
            <v>1104</v>
          </cell>
          <cell r="F425">
            <v>4000</v>
          </cell>
          <cell r="G425">
            <v>4000</v>
          </cell>
          <cell r="H425">
            <v>2000</v>
          </cell>
          <cell r="I425">
            <v>1000</v>
          </cell>
          <cell r="J425">
            <v>2000</v>
          </cell>
          <cell r="K425">
            <v>2000</v>
          </cell>
          <cell r="L425">
            <v>2000</v>
          </cell>
          <cell r="M425">
            <v>3000</v>
          </cell>
          <cell r="N425">
            <v>3000</v>
          </cell>
          <cell r="O425">
            <v>3000</v>
          </cell>
          <cell r="P425">
            <v>0</v>
          </cell>
          <cell r="Q425">
            <v>27104</v>
          </cell>
        </row>
        <row r="426">
          <cell r="A426">
            <v>59998</v>
          </cell>
          <cell r="B426" t="str">
            <v>Allocation Out - District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>
            <v>59999</v>
          </cell>
          <cell r="B427" t="str">
            <v>Allocation Out - Out District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 t="str">
            <v>Total Insurance</v>
          </cell>
          <cell r="E428">
            <v>57780.54</v>
          </cell>
          <cell r="F428">
            <v>24185.94</v>
          </cell>
          <cell r="G428">
            <v>22089.41</v>
          </cell>
          <cell r="H428">
            <v>38945.119999999995</v>
          </cell>
          <cell r="I428">
            <v>10836.72</v>
          </cell>
          <cell r="J428">
            <v>5141.9799999999996</v>
          </cell>
          <cell r="K428">
            <v>41238.080000000002</v>
          </cell>
          <cell r="L428">
            <v>8904.41</v>
          </cell>
          <cell r="M428">
            <v>9941.86</v>
          </cell>
          <cell r="N428">
            <v>20840.82</v>
          </cell>
          <cell r="O428">
            <v>21237.94</v>
          </cell>
          <cell r="P428">
            <v>26494.449999999997</v>
          </cell>
          <cell r="Q428">
            <v>287637.27</v>
          </cell>
        </row>
        <row r="430">
          <cell r="A430" t="str">
            <v>Disposal of Assets and Operations</v>
          </cell>
        </row>
        <row r="431">
          <cell r="A431">
            <v>72000</v>
          </cell>
          <cell r="B431" t="str">
            <v>Gain/Loss on Disposal of Operations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A432">
            <v>91010</v>
          </cell>
          <cell r="B432" t="str">
            <v>Gain/Loss on Sale of Asset</v>
          </cell>
          <cell r="E432">
            <v>0</v>
          </cell>
          <cell r="F432">
            <v>0</v>
          </cell>
          <cell r="G432">
            <v>0</v>
          </cell>
          <cell r="H432">
            <v>145.82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145.82</v>
          </cell>
        </row>
        <row r="433">
          <cell r="A433" t="str">
            <v>Total Disposal of Assets and Operations</v>
          </cell>
          <cell r="E433">
            <v>0</v>
          </cell>
          <cell r="F433">
            <v>0</v>
          </cell>
          <cell r="G433">
            <v>0</v>
          </cell>
          <cell r="H433">
            <v>145.82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145.82</v>
          </cell>
        </row>
        <row r="435">
          <cell r="A435" t="str">
            <v>Total Operating Costs</v>
          </cell>
          <cell r="E435">
            <v>556322.18999999994</v>
          </cell>
          <cell r="F435">
            <v>483088.13</v>
          </cell>
          <cell r="G435">
            <v>533902.79</v>
          </cell>
          <cell r="H435">
            <v>564081.47</v>
          </cell>
          <cell r="I435">
            <v>483474.26</v>
          </cell>
          <cell r="J435">
            <v>500744.69999999995</v>
          </cell>
          <cell r="K435">
            <v>514379.49999999994</v>
          </cell>
          <cell r="L435">
            <v>499533.73</v>
          </cell>
          <cell r="M435">
            <v>480587.02</v>
          </cell>
          <cell r="N435">
            <v>468427.15999999992</v>
          </cell>
          <cell r="O435">
            <v>510740</v>
          </cell>
          <cell r="P435">
            <v>507649</v>
          </cell>
          <cell r="Q435">
            <v>6102929.9500000002</v>
          </cell>
        </row>
        <row r="437">
          <cell r="A437" t="str">
            <v>Gross Profit</v>
          </cell>
          <cell r="E437">
            <v>283635.74000000011</v>
          </cell>
          <cell r="F437">
            <v>397011.87</v>
          </cell>
          <cell r="G437">
            <v>293409.25999999989</v>
          </cell>
          <cell r="H437">
            <v>295183.43000000005</v>
          </cell>
          <cell r="I437">
            <v>372092.71999999974</v>
          </cell>
          <cell r="J437">
            <v>350748.59000000008</v>
          </cell>
          <cell r="K437">
            <v>347516.12000000005</v>
          </cell>
          <cell r="L437">
            <v>388020.01</v>
          </cell>
          <cell r="M437">
            <v>377828.52</v>
          </cell>
          <cell r="N437">
            <v>382225.52999999991</v>
          </cell>
          <cell r="O437">
            <v>311431.2100000002</v>
          </cell>
          <cell r="P437">
            <v>306754.91999999981</v>
          </cell>
          <cell r="Q437">
            <v>4105857.9199999953</v>
          </cell>
        </row>
        <row r="439">
          <cell r="A439" t="str">
            <v>SG&amp;A</v>
          </cell>
        </row>
        <row r="440">
          <cell r="A440" t="str">
            <v>Sales</v>
          </cell>
        </row>
        <row r="441">
          <cell r="A441">
            <v>60010</v>
          </cell>
          <cell r="B441" t="str">
            <v>Salaries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>
            <v>60020</v>
          </cell>
          <cell r="B442" t="str">
            <v>Wages Regular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>
            <v>60025</v>
          </cell>
          <cell r="B443" t="str">
            <v>Wages O.T.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>
            <v>60030</v>
          </cell>
          <cell r="B444" t="str">
            <v>Bonuses and Commissions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>
            <v>60035</v>
          </cell>
          <cell r="B445" t="str">
            <v>Safety Bonuses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A446">
            <v>60037</v>
          </cell>
          <cell r="B446" t="str">
            <v>Termination Pay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A447">
            <v>60045</v>
          </cell>
          <cell r="B447" t="str">
            <v>Contract Labor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>
            <v>60050</v>
          </cell>
          <cell r="B448" t="str">
            <v>Payroll Taxes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A449">
            <v>60060</v>
          </cell>
          <cell r="B449" t="str">
            <v>Group Insurance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>
            <v>60065</v>
          </cell>
          <cell r="B450" t="str">
            <v>Vacation Pay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>
            <v>60070</v>
          </cell>
          <cell r="B451" t="str">
            <v>Sick Pay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>
            <v>60086</v>
          </cell>
          <cell r="B452" t="str">
            <v>Safety and Training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>
            <v>60095</v>
          </cell>
          <cell r="B453" t="str">
            <v>Empl &amp; Commun Activ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>
            <v>60105</v>
          </cell>
          <cell r="B454" t="str">
            <v>Employee Relocation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>
            <v>60115</v>
          </cell>
          <cell r="B455" t="str">
            <v>School Tuition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>
            <v>60116</v>
          </cell>
          <cell r="B456" t="str">
            <v>Pension and Profit Sharing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60117</v>
          </cell>
          <cell r="B457" t="str">
            <v>Union Pension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A458">
            <v>60148</v>
          </cell>
          <cell r="B458" t="str">
            <v>Allocated Exp In - District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</row>
        <row r="459">
          <cell r="A459">
            <v>60149</v>
          </cell>
          <cell r="B459" t="str">
            <v>Allocated Exp In Out - District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>
            <v>60165</v>
          </cell>
          <cell r="B460" t="str">
            <v>Communications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A461">
            <v>60170</v>
          </cell>
          <cell r="B461" t="str">
            <v>Real Estate Rentals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A462">
            <v>60175</v>
          </cell>
          <cell r="B462" t="str">
            <v>Equip/Vehicle Rental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A463">
            <v>60185</v>
          </cell>
          <cell r="B463" t="str">
            <v>Postage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A464">
            <v>60195</v>
          </cell>
          <cell r="B464" t="str">
            <v>Dues and Subscriptions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A465">
            <v>60196</v>
          </cell>
          <cell r="B465" t="str">
            <v>Club Dues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A466">
            <v>60200</v>
          </cell>
          <cell r="B466" t="str">
            <v>Travel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A467">
            <v>60201</v>
          </cell>
          <cell r="B467" t="str">
            <v>Entertainment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A468">
            <v>60205</v>
          </cell>
          <cell r="B468" t="str">
            <v>Travel - Auto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A469">
            <v>60210</v>
          </cell>
          <cell r="B469" t="str">
            <v>Office Supplies and Equip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A470">
            <v>60225</v>
          </cell>
          <cell r="B470" t="str">
            <v>Advertising and Promotions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3237.6</v>
          </cell>
          <cell r="Q470">
            <v>3237.6</v>
          </cell>
        </row>
        <row r="471">
          <cell r="A471">
            <v>60234</v>
          </cell>
          <cell r="B471" t="str">
            <v>O/S Sales Exp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A472">
            <v>60255</v>
          </cell>
          <cell r="B472" t="str">
            <v>Other Prof Fees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A473">
            <v>60326</v>
          </cell>
          <cell r="B473" t="str">
            <v>Deduct - Current Yr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A474">
            <v>60327</v>
          </cell>
          <cell r="B474" t="str">
            <v>Deduct - Damage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>
            <v>60328</v>
          </cell>
          <cell r="B475" t="str">
            <v>Claim Recoveries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>
            <v>60330</v>
          </cell>
          <cell r="B476" t="str">
            <v>Deduct Prior Year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>
            <v>60335</v>
          </cell>
          <cell r="B477" t="str">
            <v>Miscellaneous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A478">
            <v>60998</v>
          </cell>
          <cell r="B478" t="str">
            <v>Allocation Out - District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60999</v>
          </cell>
          <cell r="B479" t="str">
            <v>Allocation Out - Out District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A480" t="str">
            <v>Total Sales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3237.6</v>
          </cell>
          <cell r="Q480">
            <v>3237.6</v>
          </cell>
        </row>
        <row r="482">
          <cell r="A482" t="str">
            <v>G&amp;A</v>
          </cell>
        </row>
        <row r="483">
          <cell r="A483">
            <v>70010</v>
          </cell>
          <cell r="B483" t="str">
            <v>Salaries</v>
          </cell>
          <cell r="E483">
            <v>28808.37</v>
          </cell>
          <cell r="F483">
            <v>29237.93</v>
          </cell>
          <cell r="G483">
            <v>34055.660000000003</v>
          </cell>
          <cell r="H483">
            <v>32303.54</v>
          </cell>
          <cell r="I483">
            <v>32394.99</v>
          </cell>
          <cell r="J483">
            <v>34374</v>
          </cell>
          <cell r="K483">
            <v>35547.46</v>
          </cell>
          <cell r="L483">
            <v>34794.910000000003</v>
          </cell>
          <cell r="M483">
            <v>35448.120000000003</v>
          </cell>
          <cell r="N483">
            <v>34195.99</v>
          </cell>
          <cell r="O483">
            <v>35269.089999999997</v>
          </cell>
          <cell r="P483">
            <v>37099.64</v>
          </cell>
          <cell r="Q483">
            <v>403529.69999999995</v>
          </cell>
        </row>
        <row r="484">
          <cell r="A484">
            <v>70015</v>
          </cell>
          <cell r="B484" t="str">
            <v>Deferred Comp Earnings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A485">
            <v>70020</v>
          </cell>
          <cell r="B485" t="str">
            <v>Wages Regular</v>
          </cell>
          <cell r="E485">
            <v>28572.240000000002</v>
          </cell>
          <cell r="F485">
            <v>30096.06</v>
          </cell>
          <cell r="G485">
            <v>32883.68</v>
          </cell>
          <cell r="H485">
            <v>33553.279999999999</v>
          </cell>
          <cell r="I485">
            <v>27323.32</v>
          </cell>
          <cell r="J485">
            <v>31281.360000000001</v>
          </cell>
          <cell r="K485">
            <v>28636.82</v>
          </cell>
          <cell r="L485">
            <v>32591.07</v>
          </cell>
          <cell r="M485">
            <v>25152.99</v>
          </cell>
          <cell r="N485">
            <v>26476.49</v>
          </cell>
          <cell r="O485">
            <v>29556.5</v>
          </cell>
          <cell r="P485">
            <v>26409.97</v>
          </cell>
          <cell r="Q485">
            <v>352533.78</v>
          </cell>
        </row>
        <row r="486">
          <cell r="A486">
            <v>70025</v>
          </cell>
          <cell r="B486" t="str">
            <v>Wages O.T.</v>
          </cell>
          <cell r="E486">
            <v>1534.05</v>
          </cell>
          <cell r="F486">
            <v>1546.14</v>
          </cell>
          <cell r="G486">
            <v>1142.1400000000001</v>
          </cell>
          <cell r="H486">
            <v>1991.39</v>
          </cell>
          <cell r="I486">
            <v>1423.14</v>
          </cell>
          <cell r="J486">
            <v>1581.5</v>
          </cell>
          <cell r="K486">
            <v>577.54</v>
          </cell>
          <cell r="L486">
            <v>3583.2</v>
          </cell>
          <cell r="M486">
            <v>1079.97</v>
          </cell>
          <cell r="N486">
            <v>1516.27</v>
          </cell>
          <cell r="O486">
            <v>2000.96</v>
          </cell>
          <cell r="P486">
            <v>1477.46</v>
          </cell>
          <cell r="Q486">
            <v>19453.760000000002</v>
          </cell>
        </row>
        <row r="487">
          <cell r="A487">
            <v>70030</v>
          </cell>
          <cell r="B487" t="str">
            <v>Corp Allocated Bonus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A488">
            <v>70035</v>
          </cell>
          <cell r="B488" t="str">
            <v>Safety Bonuses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A489">
            <v>70036</v>
          </cell>
          <cell r="B489" t="str">
            <v>Other Bonus/Commission - Non-Safety</v>
          </cell>
          <cell r="E489">
            <v>1075</v>
          </cell>
          <cell r="F489">
            <v>1675</v>
          </cell>
          <cell r="G489">
            <v>7455.5</v>
          </cell>
          <cell r="H489">
            <v>3066.38</v>
          </cell>
          <cell r="I489">
            <v>1438.95</v>
          </cell>
          <cell r="J489">
            <v>3016.36</v>
          </cell>
          <cell r="K489">
            <v>2625</v>
          </cell>
          <cell r="L489">
            <v>2678.43</v>
          </cell>
          <cell r="M489">
            <v>2913.79</v>
          </cell>
          <cell r="N489">
            <v>1746.4</v>
          </cell>
          <cell r="O489">
            <v>2652.32</v>
          </cell>
          <cell r="P489">
            <v>5362.05</v>
          </cell>
          <cell r="Q489">
            <v>35705.180000000008</v>
          </cell>
        </row>
        <row r="490">
          <cell r="A490">
            <v>70037</v>
          </cell>
          <cell r="B490" t="str">
            <v>Termination Pay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A491">
            <v>70045</v>
          </cell>
          <cell r="B491" t="str">
            <v>Contract Labor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A492">
            <v>70050</v>
          </cell>
          <cell r="B492" t="str">
            <v>Payroll Taxes</v>
          </cell>
          <cell r="E492">
            <v>7335.33</v>
          </cell>
          <cell r="F492">
            <v>5253.85</v>
          </cell>
          <cell r="G492">
            <v>6887.21</v>
          </cell>
          <cell r="H492">
            <v>5839.13</v>
          </cell>
          <cell r="I492">
            <v>4643.53</v>
          </cell>
          <cell r="J492">
            <v>5669.76</v>
          </cell>
          <cell r="K492">
            <v>4555.33</v>
          </cell>
          <cell r="L492">
            <v>5742.05</v>
          </cell>
          <cell r="M492">
            <v>4517.6899999999996</v>
          </cell>
          <cell r="N492">
            <v>4408.2</v>
          </cell>
          <cell r="O492">
            <v>4942.4399999999996</v>
          </cell>
          <cell r="P492">
            <v>5199.09</v>
          </cell>
          <cell r="Q492">
            <v>64993.61</v>
          </cell>
        </row>
        <row r="493">
          <cell r="A493">
            <v>70060</v>
          </cell>
          <cell r="B493" t="str">
            <v>Group Insurance</v>
          </cell>
          <cell r="E493">
            <v>11410.52</v>
          </cell>
          <cell r="F493">
            <v>11524.58</v>
          </cell>
          <cell r="G493">
            <v>10554.24</v>
          </cell>
          <cell r="H493">
            <v>13084.2</v>
          </cell>
          <cell r="I493">
            <v>12115.75</v>
          </cell>
          <cell r="J493">
            <v>12494.37</v>
          </cell>
          <cell r="K493">
            <v>12559.75</v>
          </cell>
          <cell r="L493">
            <v>12415.93</v>
          </cell>
          <cell r="M493">
            <v>11362.28</v>
          </cell>
          <cell r="N493">
            <v>13749.11</v>
          </cell>
          <cell r="O493">
            <v>12593.52</v>
          </cell>
          <cell r="P493">
            <v>12600.59</v>
          </cell>
          <cell r="Q493">
            <v>146464.84</v>
          </cell>
        </row>
        <row r="494">
          <cell r="A494">
            <v>70065</v>
          </cell>
          <cell r="B494" t="str">
            <v>Vacation Pay</v>
          </cell>
          <cell r="E494">
            <v>1582.88</v>
          </cell>
          <cell r="F494">
            <v>4413.99</v>
          </cell>
          <cell r="G494">
            <v>48.78</v>
          </cell>
          <cell r="H494">
            <v>2185.79</v>
          </cell>
          <cell r="I494">
            <v>4000.59</v>
          </cell>
          <cell r="J494">
            <v>-891.88</v>
          </cell>
          <cell r="K494">
            <v>4756.8500000000004</v>
          </cell>
          <cell r="L494">
            <v>2920.08</v>
          </cell>
          <cell r="M494">
            <v>4784.29</v>
          </cell>
          <cell r="N494">
            <v>3124.36</v>
          </cell>
          <cell r="O494">
            <v>2610.1999999999998</v>
          </cell>
          <cell r="P494">
            <v>4173.68</v>
          </cell>
          <cell r="Q494">
            <v>33709.61</v>
          </cell>
        </row>
        <row r="495">
          <cell r="A495">
            <v>70070</v>
          </cell>
          <cell r="B495" t="str">
            <v>Sick Pay</v>
          </cell>
          <cell r="E495">
            <v>396.68</v>
          </cell>
          <cell r="F495">
            <v>680.36</v>
          </cell>
          <cell r="G495">
            <v>1133.57</v>
          </cell>
          <cell r="H495">
            <v>674.93</v>
          </cell>
          <cell r="I495">
            <v>892.47</v>
          </cell>
          <cell r="J495">
            <v>554.58000000000004</v>
          </cell>
          <cell r="K495">
            <v>198.93</v>
          </cell>
          <cell r="L495">
            <v>122.21</v>
          </cell>
          <cell r="M495">
            <v>727.21</v>
          </cell>
          <cell r="N495">
            <v>366.82</v>
          </cell>
          <cell r="O495">
            <v>768.29</v>
          </cell>
          <cell r="P495">
            <v>121.28</v>
          </cell>
          <cell r="Q495">
            <v>6637.329999999999</v>
          </cell>
        </row>
        <row r="496">
          <cell r="A496">
            <v>70086</v>
          </cell>
          <cell r="B496" t="str">
            <v>Safety and Training</v>
          </cell>
          <cell r="E496">
            <v>14.8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35.6</v>
          </cell>
          <cell r="K496">
            <v>0</v>
          </cell>
          <cell r="L496">
            <v>70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120.4</v>
          </cell>
        </row>
        <row r="497">
          <cell r="A497">
            <v>70090</v>
          </cell>
          <cell r="B497" t="str">
            <v>WCN Training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708.81</v>
          </cell>
          <cell r="O497">
            <v>-708.81</v>
          </cell>
          <cell r="P497">
            <v>0</v>
          </cell>
          <cell r="Q497">
            <v>0</v>
          </cell>
        </row>
        <row r="498">
          <cell r="A498">
            <v>70095</v>
          </cell>
          <cell r="B498" t="str">
            <v>Empl &amp; Commun Activ</v>
          </cell>
          <cell r="E498">
            <v>16986.41</v>
          </cell>
          <cell r="F498">
            <v>158.86000000000001</v>
          </cell>
          <cell r="G498">
            <v>1019.92</v>
          </cell>
          <cell r="H498">
            <v>210.51</v>
          </cell>
          <cell r="I498">
            <v>1580.13</v>
          </cell>
          <cell r="J498">
            <v>4162.7</v>
          </cell>
          <cell r="K498">
            <v>660.39</v>
          </cell>
          <cell r="L498">
            <v>2656.19</v>
          </cell>
          <cell r="M498">
            <v>517.80999999999995</v>
          </cell>
          <cell r="N498">
            <v>54.01</v>
          </cell>
          <cell r="O498">
            <v>1519.35</v>
          </cell>
          <cell r="P498">
            <v>3351.61</v>
          </cell>
          <cell r="Q498">
            <v>32877.889999999992</v>
          </cell>
        </row>
        <row r="499">
          <cell r="A499">
            <v>70105</v>
          </cell>
          <cell r="B499" t="str">
            <v>Employee Relocation</v>
          </cell>
          <cell r="E499">
            <v>381.64</v>
          </cell>
          <cell r="F499">
            <v>381.64</v>
          </cell>
          <cell r="G499">
            <v>381.64</v>
          </cell>
          <cell r="H499">
            <v>381.64</v>
          </cell>
          <cell r="I499">
            <v>381.64</v>
          </cell>
          <cell r="J499">
            <v>381.64</v>
          </cell>
          <cell r="K499">
            <v>381.64</v>
          </cell>
          <cell r="L499">
            <v>381.64</v>
          </cell>
          <cell r="M499">
            <v>381.64</v>
          </cell>
          <cell r="N499">
            <v>381.64</v>
          </cell>
          <cell r="O499">
            <v>381.64</v>
          </cell>
          <cell r="P499">
            <v>381.64</v>
          </cell>
          <cell r="Q499">
            <v>4579.6799999999994</v>
          </cell>
        </row>
        <row r="500">
          <cell r="A500">
            <v>70107</v>
          </cell>
          <cell r="B500" t="str">
            <v>Housing Subsidy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>
            <v>70108</v>
          </cell>
          <cell r="B501" t="str">
            <v>School Tuition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A502">
            <v>70110</v>
          </cell>
          <cell r="B502" t="str">
            <v>Contributions</v>
          </cell>
          <cell r="E502">
            <v>312.5</v>
          </cell>
          <cell r="F502">
            <v>5000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1308.46</v>
          </cell>
          <cell r="L502">
            <v>0</v>
          </cell>
          <cell r="M502">
            <v>250</v>
          </cell>
          <cell r="N502">
            <v>0</v>
          </cell>
          <cell r="O502">
            <v>0</v>
          </cell>
          <cell r="P502">
            <v>0</v>
          </cell>
          <cell r="Q502">
            <v>6870.96</v>
          </cell>
        </row>
        <row r="503">
          <cell r="A503">
            <v>70111</v>
          </cell>
          <cell r="B503" t="str">
            <v>Non Cash Charitable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A504">
            <v>70112</v>
          </cell>
          <cell r="B504" t="str">
            <v>Political Contributions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A505">
            <v>70116</v>
          </cell>
          <cell r="B505" t="str">
            <v>Pension and Profit Sharing</v>
          </cell>
          <cell r="E505">
            <v>775.31</v>
          </cell>
          <cell r="F505">
            <v>784.92</v>
          </cell>
          <cell r="G505">
            <v>1191.3900000000001</v>
          </cell>
          <cell r="H505">
            <v>882.19</v>
          </cell>
          <cell r="I505">
            <v>848.69</v>
          </cell>
          <cell r="J505">
            <v>942.95</v>
          </cell>
          <cell r="K505">
            <v>949.67</v>
          </cell>
          <cell r="L505">
            <v>1042.08</v>
          </cell>
          <cell r="M505">
            <v>979.97</v>
          </cell>
          <cell r="N505">
            <v>1418.44</v>
          </cell>
          <cell r="O505">
            <v>969.88</v>
          </cell>
          <cell r="P505">
            <v>1066.9100000000001</v>
          </cell>
          <cell r="Q505">
            <v>11852.4</v>
          </cell>
        </row>
        <row r="506">
          <cell r="A506">
            <v>70117</v>
          </cell>
          <cell r="B506" t="str">
            <v>Union Pension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A507">
            <v>70142</v>
          </cell>
          <cell r="B507" t="str">
            <v>Fuel Expense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A508">
            <v>70145</v>
          </cell>
          <cell r="B508" t="str">
            <v>Outside Repairs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A509">
            <v>70147</v>
          </cell>
          <cell r="B509" t="str">
            <v>Bldg &amp; Property Maint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A510">
            <v>70148</v>
          </cell>
          <cell r="B510" t="str">
            <v>Allocated Exp In - District</v>
          </cell>
          <cell r="E510">
            <v>2932.61</v>
          </cell>
          <cell r="F510">
            <v>3215.3</v>
          </cell>
          <cell r="G510">
            <v>3962.99</v>
          </cell>
          <cell r="H510">
            <v>2924.73</v>
          </cell>
          <cell r="I510">
            <v>1275.23</v>
          </cell>
          <cell r="J510">
            <v>4265.58</v>
          </cell>
          <cell r="K510">
            <v>8940.42</v>
          </cell>
          <cell r="L510">
            <v>7247.4</v>
          </cell>
          <cell r="M510">
            <v>-383</v>
          </cell>
          <cell r="N510">
            <v>2709.33</v>
          </cell>
          <cell r="O510">
            <v>3459.2</v>
          </cell>
          <cell r="P510">
            <v>2793.15</v>
          </cell>
          <cell r="Q510">
            <v>43342.94</v>
          </cell>
        </row>
        <row r="511">
          <cell r="A511">
            <v>70150</v>
          </cell>
          <cell r="B511" t="str">
            <v>Utilities</v>
          </cell>
          <cell r="E511">
            <v>380.73</v>
          </cell>
          <cell r="F511">
            <v>364.13</v>
          </cell>
          <cell r="G511">
            <v>364.19</v>
          </cell>
          <cell r="H511">
            <v>352.07</v>
          </cell>
          <cell r="I511">
            <v>323.74</v>
          </cell>
          <cell r="J511">
            <v>309.05</v>
          </cell>
          <cell r="K511">
            <v>1116.01</v>
          </cell>
          <cell r="L511">
            <v>325.92</v>
          </cell>
          <cell r="M511">
            <v>289.63</v>
          </cell>
          <cell r="N511">
            <v>300.67</v>
          </cell>
          <cell r="O511">
            <v>324.64999999999998</v>
          </cell>
          <cell r="P511">
            <v>559.65</v>
          </cell>
          <cell r="Q511">
            <v>5010.4399999999996</v>
          </cell>
        </row>
        <row r="512">
          <cell r="A512">
            <v>70165</v>
          </cell>
          <cell r="B512" t="str">
            <v>Communications</v>
          </cell>
          <cell r="E512">
            <v>471.39</v>
          </cell>
          <cell r="F512">
            <v>299.95</v>
          </cell>
          <cell r="G512">
            <v>548.38</v>
          </cell>
          <cell r="H512">
            <v>403.25</v>
          </cell>
          <cell r="I512">
            <v>472.01</v>
          </cell>
          <cell r="J512">
            <v>532</v>
          </cell>
          <cell r="K512">
            <v>463.52</v>
          </cell>
          <cell r="L512">
            <v>1173.68</v>
          </cell>
          <cell r="M512">
            <v>539.39</v>
          </cell>
          <cell r="N512">
            <v>124.82</v>
          </cell>
          <cell r="O512">
            <v>370.1</v>
          </cell>
          <cell r="P512">
            <v>2409.2399999999998</v>
          </cell>
          <cell r="Q512">
            <v>7807.73</v>
          </cell>
        </row>
        <row r="513">
          <cell r="A513">
            <v>70166</v>
          </cell>
          <cell r="B513" t="str">
            <v>Office Telephone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A514">
            <v>70167</v>
          </cell>
          <cell r="B514" t="str">
            <v>Cellular Telephone</v>
          </cell>
          <cell r="E514">
            <v>18.989999999999998</v>
          </cell>
          <cell r="F514">
            <v>62.24</v>
          </cell>
          <cell r="G514">
            <v>118.47</v>
          </cell>
          <cell r="H514">
            <v>68.52</v>
          </cell>
          <cell r="I514">
            <v>56.02</v>
          </cell>
          <cell r="J514">
            <v>68.52</v>
          </cell>
          <cell r="K514">
            <v>118.98</v>
          </cell>
          <cell r="L514">
            <v>62.5</v>
          </cell>
          <cell r="M514">
            <v>25</v>
          </cell>
          <cell r="N514">
            <v>-73.709999999999994</v>
          </cell>
          <cell r="O514">
            <v>223.71</v>
          </cell>
          <cell r="P514">
            <v>50</v>
          </cell>
          <cell r="Q514">
            <v>799.24</v>
          </cell>
        </row>
        <row r="515">
          <cell r="A515">
            <v>70170</v>
          </cell>
          <cell r="B515" t="str">
            <v>Real Estate Rentals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3168.8</v>
          </cell>
          <cell r="Q515">
            <v>3168.8</v>
          </cell>
        </row>
        <row r="516">
          <cell r="A516">
            <v>70175</v>
          </cell>
          <cell r="B516" t="str">
            <v>Equip/Vehicle Rental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A517">
            <v>70185</v>
          </cell>
          <cell r="B517" t="str">
            <v>Postage</v>
          </cell>
          <cell r="E517">
            <v>554.46</v>
          </cell>
          <cell r="F517">
            <v>488.09</v>
          </cell>
          <cell r="G517">
            <v>167.53</v>
          </cell>
          <cell r="H517">
            <v>594.19000000000005</v>
          </cell>
          <cell r="I517">
            <v>578.76</v>
          </cell>
          <cell r="J517">
            <v>533.45000000000005</v>
          </cell>
          <cell r="K517">
            <v>916.47</v>
          </cell>
          <cell r="L517">
            <v>529.91</v>
          </cell>
          <cell r="M517">
            <v>533.41</v>
          </cell>
          <cell r="N517">
            <v>625</v>
          </cell>
          <cell r="O517">
            <v>547.6</v>
          </cell>
          <cell r="P517">
            <v>547.17999999999995</v>
          </cell>
          <cell r="Q517">
            <v>6616.05</v>
          </cell>
        </row>
        <row r="518">
          <cell r="A518">
            <v>70190</v>
          </cell>
          <cell r="B518" t="str">
            <v>Registration Fees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>
            <v>70195</v>
          </cell>
          <cell r="B519" t="str">
            <v>Dues and Subscriptions</v>
          </cell>
          <cell r="E519">
            <v>913</v>
          </cell>
          <cell r="F519">
            <v>1939.67</v>
          </cell>
          <cell r="G519">
            <v>663</v>
          </cell>
          <cell r="H519">
            <v>2175.4699999999998</v>
          </cell>
          <cell r="I519">
            <v>775.41</v>
          </cell>
          <cell r="J519">
            <v>1375.47</v>
          </cell>
          <cell r="K519">
            <v>833</v>
          </cell>
          <cell r="L519">
            <v>2029.58</v>
          </cell>
          <cell r="M519">
            <v>672.93</v>
          </cell>
          <cell r="N519">
            <v>1244.56</v>
          </cell>
          <cell r="O519">
            <v>2034.76</v>
          </cell>
          <cell r="P519">
            <v>974.76</v>
          </cell>
          <cell r="Q519">
            <v>15631.61</v>
          </cell>
        </row>
        <row r="520">
          <cell r="A520">
            <v>70196</v>
          </cell>
          <cell r="B520" t="str">
            <v>Club Dues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A521">
            <v>70200</v>
          </cell>
          <cell r="B521" t="str">
            <v>Travel</v>
          </cell>
          <cell r="E521">
            <v>284.18</v>
          </cell>
          <cell r="F521">
            <v>570.14</v>
          </cell>
          <cell r="G521">
            <v>-220.29</v>
          </cell>
          <cell r="H521">
            <v>1900</v>
          </cell>
          <cell r="I521">
            <v>-1665.7</v>
          </cell>
          <cell r="J521">
            <v>263.64999999999998</v>
          </cell>
          <cell r="K521">
            <v>203.4</v>
          </cell>
          <cell r="L521">
            <v>-15.5</v>
          </cell>
          <cell r="M521">
            <v>340.62</v>
          </cell>
          <cell r="N521">
            <v>348.94</v>
          </cell>
          <cell r="O521">
            <v>14.75</v>
          </cell>
          <cell r="P521">
            <v>68.2</v>
          </cell>
          <cell r="Q521">
            <v>2092.3899999999994</v>
          </cell>
        </row>
        <row r="522">
          <cell r="A522">
            <v>70201</v>
          </cell>
          <cell r="B522" t="str">
            <v>Entertainment</v>
          </cell>
          <cell r="E522">
            <v>0</v>
          </cell>
          <cell r="F522">
            <v>7.85</v>
          </cell>
          <cell r="G522">
            <v>137.01</v>
          </cell>
          <cell r="H522">
            <v>-29.88</v>
          </cell>
          <cell r="I522">
            <v>73.069999999999993</v>
          </cell>
          <cell r="J522">
            <v>428.59</v>
          </cell>
          <cell r="K522">
            <v>-290.98</v>
          </cell>
          <cell r="L522">
            <v>540.96</v>
          </cell>
          <cell r="M522">
            <v>-468.86</v>
          </cell>
          <cell r="N522">
            <v>13.96</v>
          </cell>
          <cell r="O522">
            <v>0</v>
          </cell>
          <cell r="P522">
            <v>0</v>
          </cell>
          <cell r="Q522">
            <v>411.71999999999997</v>
          </cell>
        </row>
        <row r="523">
          <cell r="A523">
            <v>70202</v>
          </cell>
          <cell r="B523" t="str">
            <v>Excursions Meetings</v>
          </cell>
          <cell r="E523">
            <v>0</v>
          </cell>
          <cell r="F523">
            <v>115.17</v>
          </cell>
          <cell r="G523">
            <v>0</v>
          </cell>
          <cell r="H523">
            <v>0</v>
          </cell>
          <cell r="I523">
            <v>0</v>
          </cell>
          <cell r="J523">
            <v>416.25</v>
          </cell>
          <cell r="K523">
            <v>0</v>
          </cell>
          <cell r="L523">
            <v>0</v>
          </cell>
          <cell r="M523">
            <v>0</v>
          </cell>
          <cell r="N523">
            <v>46.73</v>
          </cell>
          <cell r="O523">
            <v>-46.73</v>
          </cell>
          <cell r="P523">
            <v>0</v>
          </cell>
          <cell r="Q523">
            <v>531.41999999999996</v>
          </cell>
        </row>
        <row r="524">
          <cell r="A524">
            <v>70203</v>
          </cell>
          <cell r="B524" t="str">
            <v>Lodging</v>
          </cell>
          <cell r="E524">
            <v>-462.54</v>
          </cell>
          <cell r="F524">
            <v>0</v>
          </cell>
          <cell r="G524">
            <v>0</v>
          </cell>
          <cell r="H524">
            <v>326.7</v>
          </cell>
          <cell r="I524">
            <v>193</v>
          </cell>
          <cell r="J524">
            <v>436.86</v>
          </cell>
          <cell r="K524">
            <v>-170.97</v>
          </cell>
          <cell r="L524">
            <v>841.43</v>
          </cell>
          <cell r="M524">
            <v>127.5</v>
          </cell>
          <cell r="N524">
            <v>159.44</v>
          </cell>
          <cell r="O524">
            <v>-28.18</v>
          </cell>
          <cell r="P524">
            <v>171.48</v>
          </cell>
          <cell r="Q524">
            <v>1594.72</v>
          </cell>
        </row>
        <row r="525">
          <cell r="A525">
            <v>70204</v>
          </cell>
          <cell r="B525" t="str">
            <v>Gifts to Customers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A526">
            <v>70205</v>
          </cell>
          <cell r="B526" t="str">
            <v>Travel - Auto</v>
          </cell>
          <cell r="E526">
            <v>45.73</v>
          </cell>
          <cell r="F526">
            <v>-10.71</v>
          </cell>
          <cell r="G526">
            <v>526.05999999999995</v>
          </cell>
          <cell r="H526">
            <v>861.17</v>
          </cell>
          <cell r="I526">
            <v>156.44999999999999</v>
          </cell>
          <cell r="J526">
            <v>24.24</v>
          </cell>
          <cell r="K526">
            <v>2459.6</v>
          </cell>
          <cell r="L526">
            <v>-623.04</v>
          </cell>
          <cell r="M526">
            <v>1397.2</v>
          </cell>
          <cell r="N526">
            <v>-382.55</v>
          </cell>
          <cell r="O526">
            <v>-70.31</v>
          </cell>
          <cell r="P526">
            <v>-1079.19</v>
          </cell>
          <cell r="Q526">
            <v>3304.6499999999992</v>
          </cell>
        </row>
        <row r="527">
          <cell r="A527">
            <v>70206</v>
          </cell>
          <cell r="B527" t="str">
            <v>Meals</v>
          </cell>
          <cell r="E527">
            <v>-77.31</v>
          </cell>
          <cell r="F527">
            <v>17.46</v>
          </cell>
          <cell r="G527">
            <v>200.29</v>
          </cell>
          <cell r="H527">
            <v>-74.84</v>
          </cell>
          <cell r="I527">
            <v>191.59</v>
          </cell>
          <cell r="J527">
            <v>1.26</v>
          </cell>
          <cell r="K527">
            <v>-7.59</v>
          </cell>
          <cell r="L527">
            <v>350.62</v>
          </cell>
          <cell r="M527">
            <v>-21.04</v>
          </cell>
          <cell r="N527">
            <v>31.96</v>
          </cell>
          <cell r="O527">
            <v>562.61</v>
          </cell>
          <cell r="P527">
            <v>262.97000000000003</v>
          </cell>
          <cell r="Q527">
            <v>1437.9800000000002</v>
          </cell>
        </row>
        <row r="528">
          <cell r="A528">
            <v>70207</v>
          </cell>
          <cell r="B528" t="str">
            <v>Meals with Customers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A529">
            <v>70209</v>
          </cell>
          <cell r="B529" t="str">
            <v>Photo Supplies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A530">
            <v>70210</v>
          </cell>
          <cell r="B530" t="str">
            <v>Office Supplies and Equip</v>
          </cell>
          <cell r="E530">
            <v>5866.86</v>
          </cell>
          <cell r="F530">
            <v>2088.08</v>
          </cell>
          <cell r="G530">
            <v>1297.8399999999999</v>
          </cell>
          <cell r="H530">
            <v>1260.67</v>
          </cell>
          <cell r="I530">
            <v>1042.3699999999999</v>
          </cell>
          <cell r="J530">
            <v>1576.14</v>
          </cell>
          <cell r="K530">
            <v>1736.71</v>
          </cell>
          <cell r="L530">
            <v>1305.27</v>
          </cell>
          <cell r="M530">
            <v>1356.75</v>
          </cell>
          <cell r="N530">
            <v>4188.3100000000004</v>
          </cell>
          <cell r="O530">
            <v>352.32</v>
          </cell>
          <cell r="P530">
            <v>2617.98</v>
          </cell>
          <cell r="Q530">
            <v>24689.3</v>
          </cell>
        </row>
        <row r="531">
          <cell r="A531">
            <v>70213</v>
          </cell>
          <cell r="B531" t="str">
            <v>Pcard Rebate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A532">
            <v>70214</v>
          </cell>
          <cell r="B532" t="str">
            <v>Credit Card Fees</v>
          </cell>
          <cell r="E532">
            <v>2484.66</v>
          </cell>
          <cell r="F532">
            <v>2690.82</v>
          </cell>
          <cell r="G532">
            <v>2823.76</v>
          </cell>
          <cell r="H532">
            <v>2495.84</v>
          </cell>
          <cell r="I532">
            <v>2467.4499999999998</v>
          </cell>
          <cell r="J532">
            <v>2868.03</v>
          </cell>
          <cell r="K532">
            <v>2914.02</v>
          </cell>
          <cell r="L532">
            <v>3099.61</v>
          </cell>
          <cell r="M532">
            <v>3243.81</v>
          </cell>
          <cell r="N532">
            <v>129.69</v>
          </cell>
          <cell r="O532">
            <v>6329.67</v>
          </cell>
          <cell r="P532">
            <v>3002.76</v>
          </cell>
          <cell r="Q532">
            <v>34550.120000000003</v>
          </cell>
        </row>
        <row r="533">
          <cell r="A533">
            <v>70215</v>
          </cell>
          <cell r="B533" t="str">
            <v>Bank Charges</v>
          </cell>
          <cell r="E533">
            <v>146.88</v>
          </cell>
          <cell r="F533">
            <v>148.75</v>
          </cell>
          <cell r="G533">
            <v>150.41999999999999</v>
          </cell>
          <cell r="H533">
            <v>150.63</v>
          </cell>
          <cell r="I533">
            <v>131.56</v>
          </cell>
          <cell r="J533">
            <v>137.5</v>
          </cell>
          <cell r="K533">
            <v>0</v>
          </cell>
          <cell r="L533">
            <v>129.06</v>
          </cell>
          <cell r="M533">
            <v>133.75</v>
          </cell>
          <cell r="N533">
            <v>0</v>
          </cell>
          <cell r="O533">
            <v>264.07</v>
          </cell>
          <cell r="P533">
            <v>18.73</v>
          </cell>
          <cell r="Q533">
            <v>1411.35</v>
          </cell>
        </row>
        <row r="534">
          <cell r="A534">
            <v>70216</v>
          </cell>
          <cell r="B534" t="str">
            <v>Outside Storages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A535">
            <v>70217</v>
          </cell>
          <cell r="B535" t="str">
            <v>Invoice Printing Costs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>
            <v>70225</v>
          </cell>
          <cell r="B536" t="str">
            <v>Advertising and Promotions</v>
          </cell>
          <cell r="E536">
            <v>0</v>
          </cell>
          <cell r="F536">
            <v>473.41</v>
          </cell>
          <cell r="G536">
            <v>0</v>
          </cell>
          <cell r="H536">
            <v>10.55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311.8</v>
          </cell>
          <cell r="P536">
            <v>0</v>
          </cell>
          <cell r="Q536">
            <v>795.76</v>
          </cell>
        </row>
        <row r="537">
          <cell r="A537">
            <v>70230</v>
          </cell>
          <cell r="B537" t="str">
            <v>External Recruiter Fees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>
            <v>70231</v>
          </cell>
          <cell r="B538" t="str">
            <v>Recruitment Advertising &amp; Expenses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108.21</v>
          </cell>
          <cell r="N538">
            <v>0</v>
          </cell>
          <cell r="O538">
            <v>0</v>
          </cell>
          <cell r="P538">
            <v>0</v>
          </cell>
          <cell r="Q538">
            <v>108.21</v>
          </cell>
        </row>
        <row r="539">
          <cell r="A539">
            <v>70232</v>
          </cell>
          <cell r="B539" t="str">
            <v>Recruitment Travel Expenses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A540">
            <v>70235</v>
          </cell>
          <cell r="B540" t="str">
            <v>Legal</v>
          </cell>
          <cell r="E540">
            <v>2439.5700000000002</v>
          </cell>
          <cell r="F540">
            <v>2131.5700000000002</v>
          </cell>
          <cell r="G540">
            <v>3481.88</v>
          </cell>
          <cell r="H540">
            <v>-1738.5</v>
          </cell>
          <cell r="I540">
            <v>447.82</v>
          </cell>
          <cell r="J540">
            <v>9856.85</v>
          </cell>
          <cell r="K540">
            <v>1380.87</v>
          </cell>
          <cell r="L540">
            <v>9752.81</v>
          </cell>
          <cell r="M540">
            <v>14711.58</v>
          </cell>
          <cell r="N540">
            <v>-607.33000000000004</v>
          </cell>
          <cell r="O540">
            <v>1378.45</v>
          </cell>
          <cell r="P540">
            <v>10240.9</v>
          </cell>
          <cell r="Q540">
            <v>53476.47</v>
          </cell>
        </row>
        <row r="541">
          <cell r="A541">
            <v>70240</v>
          </cell>
          <cell r="B541" t="str">
            <v>Accounting Professional Fees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A542">
            <v>70245</v>
          </cell>
          <cell r="B542" t="str">
            <v>Payroll Processing Fees</v>
          </cell>
          <cell r="E542">
            <v>99.03</v>
          </cell>
          <cell r="F542">
            <v>97.9</v>
          </cell>
          <cell r="G542">
            <v>97.9</v>
          </cell>
          <cell r="H542">
            <v>97.9</v>
          </cell>
          <cell r="I542">
            <v>97.9</v>
          </cell>
          <cell r="J542">
            <v>97.9</v>
          </cell>
          <cell r="K542">
            <v>97.9</v>
          </cell>
          <cell r="L542">
            <v>80.55</v>
          </cell>
          <cell r="M542">
            <v>80.55</v>
          </cell>
          <cell r="N542">
            <v>80.55</v>
          </cell>
          <cell r="O542">
            <v>80.680000000000007</v>
          </cell>
          <cell r="P542">
            <v>80.680000000000007</v>
          </cell>
          <cell r="Q542">
            <v>1089.4399999999998</v>
          </cell>
        </row>
        <row r="543">
          <cell r="A543">
            <v>70250</v>
          </cell>
          <cell r="B543" t="str">
            <v>Acquisition Cost Write Off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>
            <v>70254</v>
          </cell>
          <cell r="B544" t="str">
            <v>Corporate Capitalized Expenses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A545">
            <v>70255</v>
          </cell>
          <cell r="B545" t="str">
            <v>Other Prof Fees</v>
          </cell>
          <cell r="E545">
            <v>0</v>
          </cell>
          <cell r="F545">
            <v>219.75</v>
          </cell>
          <cell r="G545">
            <v>56.21</v>
          </cell>
          <cell r="H545">
            <v>0</v>
          </cell>
          <cell r="I545">
            <v>0</v>
          </cell>
          <cell r="J545">
            <v>56.21</v>
          </cell>
          <cell r="K545">
            <v>0</v>
          </cell>
          <cell r="L545">
            <v>0</v>
          </cell>
          <cell r="M545">
            <v>56.21</v>
          </cell>
          <cell r="N545">
            <v>0</v>
          </cell>
          <cell r="O545">
            <v>-84.14</v>
          </cell>
          <cell r="P545">
            <v>482.7</v>
          </cell>
          <cell r="Q545">
            <v>786.93999999999994</v>
          </cell>
        </row>
        <row r="546">
          <cell r="A546">
            <v>70271</v>
          </cell>
          <cell r="B546" t="str">
            <v>Property and Liability Insurance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>
            <v>70272</v>
          </cell>
          <cell r="B547" t="str">
            <v>Keyman Life Insurance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>
            <v>70273</v>
          </cell>
          <cell r="B548" t="str">
            <v>Directors and Officers Insurance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>
            <v>70275</v>
          </cell>
          <cell r="B549" t="str">
            <v>Property Taxes</v>
          </cell>
          <cell r="E549">
            <v>1875</v>
          </cell>
          <cell r="F549">
            <v>1875</v>
          </cell>
          <cell r="G549">
            <v>2015.82</v>
          </cell>
          <cell r="H549">
            <v>2554.7800000000002</v>
          </cell>
          <cell r="I549">
            <v>2554.7800000000002</v>
          </cell>
          <cell r="J549">
            <v>2554.7800000000002</v>
          </cell>
          <cell r="K549">
            <v>3187.6</v>
          </cell>
          <cell r="L549">
            <v>2396.5700000000002</v>
          </cell>
          <cell r="M549">
            <v>2396.5700000000002</v>
          </cell>
          <cell r="N549">
            <v>2449.23</v>
          </cell>
          <cell r="O549">
            <v>2343.73</v>
          </cell>
          <cell r="P549">
            <v>2554.7199999999998</v>
          </cell>
          <cell r="Q549">
            <v>28758.58</v>
          </cell>
        </row>
        <row r="550">
          <cell r="A550">
            <v>70280</v>
          </cell>
          <cell r="B550" t="str">
            <v>Other Taxes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A551">
            <v>70300</v>
          </cell>
          <cell r="B551" t="str">
            <v>Data Processing</v>
          </cell>
          <cell r="E551">
            <v>24958.15</v>
          </cell>
          <cell r="F551">
            <v>2262.73</v>
          </cell>
          <cell r="G551">
            <v>16300.02</v>
          </cell>
          <cell r="H551">
            <v>2127.0700000000002</v>
          </cell>
          <cell r="I551">
            <v>33912.97</v>
          </cell>
          <cell r="J551">
            <v>1054.05</v>
          </cell>
          <cell r="K551">
            <v>22342.57</v>
          </cell>
          <cell r="L551">
            <v>2410.96</v>
          </cell>
          <cell r="M551">
            <v>22431</v>
          </cell>
          <cell r="N551">
            <v>1947.24</v>
          </cell>
          <cell r="O551">
            <v>21688.02</v>
          </cell>
          <cell r="P551">
            <v>-2059.87</v>
          </cell>
          <cell r="Q551">
            <v>149374.91</v>
          </cell>
        </row>
        <row r="552">
          <cell r="A552">
            <v>70301</v>
          </cell>
          <cell r="B552" t="str">
            <v>Computer Software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A553">
            <v>70302</v>
          </cell>
          <cell r="B553" t="str">
            <v>Computer Supplies</v>
          </cell>
          <cell r="E553">
            <v>0</v>
          </cell>
          <cell r="F553">
            <v>145.26</v>
          </cell>
          <cell r="G553">
            <v>231.28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1365.11</v>
          </cell>
          <cell r="O553">
            <v>-1365.11</v>
          </cell>
          <cell r="P553">
            <v>187.29</v>
          </cell>
          <cell r="Q553">
            <v>563.82999999999993</v>
          </cell>
        </row>
        <row r="554">
          <cell r="A554">
            <v>70310</v>
          </cell>
          <cell r="B554" t="str">
            <v>Bad Debt Provision</v>
          </cell>
          <cell r="E554">
            <v>59587.53</v>
          </cell>
          <cell r="F554">
            <v>-42181.27</v>
          </cell>
          <cell r="G554">
            <v>26327.15</v>
          </cell>
          <cell r="H554">
            <v>-23518.21</v>
          </cell>
          <cell r="I554">
            <v>45403.42</v>
          </cell>
          <cell r="J554">
            <v>-30919.22</v>
          </cell>
          <cell r="K554">
            <v>58231.48</v>
          </cell>
          <cell r="L554">
            <v>-42566.26</v>
          </cell>
          <cell r="M554">
            <v>51551.54</v>
          </cell>
          <cell r="N554">
            <v>-30438.81</v>
          </cell>
          <cell r="O554">
            <v>61503.66</v>
          </cell>
          <cell r="P554">
            <v>-32663.45</v>
          </cell>
          <cell r="Q554">
            <v>100317.56000000001</v>
          </cell>
        </row>
        <row r="555">
          <cell r="A555">
            <v>70315</v>
          </cell>
          <cell r="B555" t="str">
            <v>Bad Debt Recoveries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A556">
            <v>70320</v>
          </cell>
          <cell r="B556" t="str">
            <v>Credit and Collection</v>
          </cell>
          <cell r="E556">
            <v>6202.09</v>
          </cell>
          <cell r="F556">
            <v>-976.61</v>
          </cell>
          <cell r="G556">
            <v>5260.16</v>
          </cell>
          <cell r="H556">
            <v>-803.96</v>
          </cell>
          <cell r="I556">
            <v>1871.95</v>
          </cell>
          <cell r="J556">
            <v>1067.25</v>
          </cell>
          <cell r="K556">
            <v>1589.22</v>
          </cell>
          <cell r="L556">
            <v>936.71</v>
          </cell>
          <cell r="M556">
            <v>1051.27</v>
          </cell>
          <cell r="N556">
            <v>482.15</v>
          </cell>
          <cell r="O556">
            <v>1946.37</v>
          </cell>
          <cell r="P556">
            <v>5166.42</v>
          </cell>
          <cell r="Q556">
            <v>23793.020000000004</v>
          </cell>
        </row>
        <row r="557">
          <cell r="A557">
            <v>70324</v>
          </cell>
          <cell r="B557" t="str">
            <v>Penalties and Violations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A558">
            <v>70325</v>
          </cell>
          <cell r="B558" t="str">
            <v>Legal Settlement Payments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>
            <v>70326</v>
          </cell>
          <cell r="B559" t="str">
            <v>Deductible Current Year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>
            <v>70327</v>
          </cell>
          <cell r="B560" t="str">
            <v>Deductible Dammage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>
            <v>70328</v>
          </cell>
          <cell r="B561" t="str">
            <v>Claim Recoveries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A562">
            <v>70330</v>
          </cell>
          <cell r="B562" t="str">
            <v>Deductible Prior Year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>
            <v>70335</v>
          </cell>
          <cell r="B563" t="str">
            <v>Miscellaneous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A564">
            <v>70336</v>
          </cell>
          <cell r="B564" t="str">
            <v>Coffe Bar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>
            <v>70345</v>
          </cell>
          <cell r="B565" t="str">
            <v>Security Services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A566">
            <v>70357</v>
          </cell>
          <cell r="B566" t="str">
            <v>Permits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A567">
            <v>70370</v>
          </cell>
          <cell r="B567" t="str">
            <v>Bonds Expense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A568">
            <v>70371</v>
          </cell>
          <cell r="B568" t="str">
            <v>Board of Directors Fees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>
            <v>70372</v>
          </cell>
          <cell r="B569" t="str">
            <v>Board of Directors Expense Report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>
            <v>70475</v>
          </cell>
          <cell r="B570" t="str">
            <v>Trade Shows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>
            <v>70900</v>
          </cell>
          <cell r="B571" t="str">
            <v>Entitiy Formation Costs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A572">
            <v>70998</v>
          </cell>
          <cell r="B572" t="str">
            <v>Allocation Out - District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A573">
            <v>70999</v>
          </cell>
          <cell r="B573" t="str">
            <v>Allocation Out - Out District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</row>
        <row r="574">
          <cell r="A574">
            <v>71000</v>
          </cell>
          <cell r="B574" t="str">
            <v>Stock Comp Expense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A575" t="str">
            <v>Total G&amp;A</v>
          </cell>
          <cell r="E575">
            <v>207906.74000000002</v>
          </cell>
          <cell r="F575">
            <v>66798.010000000024</v>
          </cell>
          <cell r="G575">
            <v>161263.80000000002</v>
          </cell>
          <cell r="H575">
            <v>86311.12999999999</v>
          </cell>
          <cell r="I575">
            <v>177403</v>
          </cell>
          <cell r="J575">
            <v>90607.349999999991</v>
          </cell>
          <cell r="K575">
            <v>198820.07000000004</v>
          </cell>
          <cell r="L575">
            <v>89006.530000000013</v>
          </cell>
          <cell r="M575">
            <v>188289.78000000003</v>
          </cell>
          <cell r="N575">
            <v>72891.83</v>
          </cell>
          <cell r="O575">
            <v>194697.06000000006</v>
          </cell>
          <cell r="P575">
            <v>96799.019999999931</v>
          </cell>
          <cell r="Q575">
            <v>1630794.3199999996</v>
          </cell>
        </row>
        <row r="577">
          <cell r="A577" t="str">
            <v>Overhead</v>
          </cell>
        </row>
        <row r="578">
          <cell r="A578">
            <v>70149</v>
          </cell>
          <cell r="B578" t="str">
            <v>Corporate Overhead Allocation In</v>
          </cell>
          <cell r="E578">
            <v>55340.22</v>
          </cell>
          <cell r="F578">
            <v>54315.21</v>
          </cell>
          <cell r="G578">
            <v>54439.91</v>
          </cell>
          <cell r="H578">
            <v>55653.47</v>
          </cell>
          <cell r="I578">
            <v>54826.44</v>
          </cell>
          <cell r="J578">
            <v>55802.53</v>
          </cell>
          <cell r="K578">
            <v>55353.69</v>
          </cell>
          <cell r="L578">
            <v>57179.64</v>
          </cell>
          <cell r="M578">
            <v>55296.08</v>
          </cell>
          <cell r="N578">
            <v>55281.99</v>
          </cell>
          <cell r="O578">
            <v>54995.29</v>
          </cell>
          <cell r="P578">
            <v>55389.94</v>
          </cell>
          <cell r="Q578">
            <v>663874.41000000015</v>
          </cell>
        </row>
        <row r="579">
          <cell r="A579">
            <v>70159</v>
          </cell>
          <cell r="B579" t="str">
            <v>Region Overhead Allocation In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 t="str">
            <v>Total Overhead</v>
          </cell>
          <cell r="E580">
            <v>55340.22</v>
          </cell>
          <cell r="F580">
            <v>54315.21</v>
          </cell>
          <cell r="G580">
            <v>54439.91</v>
          </cell>
          <cell r="H580">
            <v>55653.47</v>
          </cell>
          <cell r="I580">
            <v>54826.44</v>
          </cell>
          <cell r="J580">
            <v>55802.53</v>
          </cell>
          <cell r="K580">
            <v>55353.69</v>
          </cell>
          <cell r="L580">
            <v>57179.64</v>
          </cell>
          <cell r="M580">
            <v>55296.08</v>
          </cell>
          <cell r="N580">
            <v>55281.99</v>
          </cell>
          <cell r="O580">
            <v>54995.29</v>
          </cell>
          <cell r="P580">
            <v>55389.94</v>
          </cell>
          <cell r="Q580">
            <v>663874.41000000015</v>
          </cell>
        </row>
        <row r="582">
          <cell r="A582" t="str">
            <v>Total SG&amp;A</v>
          </cell>
          <cell r="E582">
            <v>263246.96000000002</v>
          </cell>
          <cell r="F582">
            <v>121113.22000000003</v>
          </cell>
          <cell r="G582">
            <v>215703.71000000002</v>
          </cell>
          <cell r="H582">
            <v>141964.59999999998</v>
          </cell>
          <cell r="I582">
            <v>232229.44</v>
          </cell>
          <cell r="J582">
            <v>146409.88</v>
          </cell>
          <cell r="K582">
            <v>254173.76000000004</v>
          </cell>
          <cell r="L582">
            <v>146186.17000000001</v>
          </cell>
          <cell r="M582">
            <v>243585.86000000004</v>
          </cell>
          <cell r="N582">
            <v>128173.82</v>
          </cell>
          <cell r="O582">
            <v>249692.35000000006</v>
          </cell>
          <cell r="P582">
            <v>155426.55999999994</v>
          </cell>
          <cell r="Q582">
            <v>2297906.3299999996</v>
          </cell>
        </row>
        <row r="584">
          <cell r="A584" t="str">
            <v>EBITDA</v>
          </cell>
          <cell r="E584">
            <v>20388.780000000086</v>
          </cell>
          <cell r="F584">
            <v>275898.64999999997</v>
          </cell>
          <cell r="G584">
            <v>77705.549999999872</v>
          </cell>
          <cell r="H584">
            <v>153218.83000000007</v>
          </cell>
          <cell r="I584">
            <v>139863.27999999974</v>
          </cell>
          <cell r="J584">
            <v>204338.71000000008</v>
          </cell>
          <cell r="K584">
            <v>93342.360000000015</v>
          </cell>
          <cell r="L584">
            <v>241833.84</v>
          </cell>
          <cell r="M584">
            <v>134242.65999999997</v>
          </cell>
          <cell r="N584">
            <v>254051.7099999999</v>
          </cell>
          <cell r="O584">
            <v>61738.860000000132</v>
          </cell>
          <cell r="P584">
            <v>151328.35999999987</v>
          </cell>
          <cell r="Q584">
            <v>1807951.5899999957</v>
          </cell>
        </row>
        <row r="586">
          <cell r="A586" t="str">
            <v>DD&amp;A</v>
          </cell>
        </row>
        <row r="587">
          <cell r="A587" t="str">
            <v>Depreciation</v>
          </cell>
        </row>
        <row r="588">
          <cell r="A588">
            <v>51260</v>
          </cell>
          <cell r="B588" t="str">
            <v>Depreciation</v>
          </cell>
          <cell r="E588">
            <v>49490.6</v>
          </cell>
          <cell r="F588">
            <v>49625.87</v>
          </cell>
          <cell r="G588">
            <v>49625.95</v>
          </cell>
          <cell r="H588">
            <v>49620.11</v>
          </cell>
          <cell r="I588">
            <v>49620.2</v>
          </cell>
          <cell r="J588">
            <v>48737.05</v>
          </cell>
          <cell r="K588">
            <v>48736.639999999999</v>
          </cell>
          <cell r="L588">
            <v>47681.86</v>
          </cell>
          <cell r="M588">
            <v>47682.18</v>
          </cell>
          <cell r="N588">
            <v>47681.87</v>
          </cell>
          <cell r="O588">
            <v>47328.05</v>
          </cell>
          <cell r="P588">
            <v>47849.53</v>
          </cell>
          <cell r="Q588">
            <v>583679.91</v>
          </cell>
        </row>
        <row r="589">
          <cell r="A589">
            <v>54260</v>
          </cell>
          <cell r="B589" t="str">
            <v>Depreciation</v>
          </cell>
          <cell r="E589">
            <v>11933.53</v>
          </cell>
          <cell r="F589">
            <v>11933.51</v>
          </cell>
          <cell r="G589">
            <v>11933.4</v>
          </cell>
          <cell r="H589">
            <v>11933.26</v>
          </cell>
          <cell r="I589">
            <v>11933.49</v>
          </cell>
          <cell r="J589">
            <v>11933.83</v>
          </cell>
          <cell r="K589">
            <v>11932.86</v>
          </cell>
          <cell r="L589">
            <v>11933.32</v>
          </cell>
          <cell r="M589">
            <v>11933.62</v>
          </cell>
          <cell r="N589">
            <v>11933.41</v>
          </cell>
          <cell r="O589">
            <v>11933.19</v>
          </cell>
          <cell r="P589">
            <v>11933.37</v>
          </cell>
          <cell r="Q589">
            <v>143200.79</v>
          </cell>
        </row>
        <row r="590">
          <cell r="A590">
            <v>56260</v>
          </cell>
          <cell r="B590" t="str">
            <v>Depreciation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A591">
            <v>57260</v>
          </cell>
          <cell r="B591" t="str">
            <v>Depreciation</v>
          </cell>
          <cell r="E591">
            <v>2414.64</v>
          </cell>
          <cell r="F591">
            <v>2414.6799999999998</v>
          </cell>
          <cell r="G591">
            <v>2414.64</v>
          </cell>
          <cell r="H591">
            <v>2441.84</v>
          </cell>
          <cell r="I591">
            <v>2441.87</v>
          </cell>
          <cell r="J591">
            <v>2441.86</v>
          </cell>
          <cell r="K591">
            <v>2441.83</v>
          </cell>
          <cell r="L591">
            <v>2503.59</v>
          </cell>
          <cell r="M591">
            <v>2503.59</v>
          </cell>
          <cell r="N591">
            <v>3307.76</v>
          </cell>
          <cell r="O591">
            <v>3318.13</v>
          </cell>
          <cell r="P591">
            <v>3312.93</v>
          </cell>
          <cell r="Q591">
            <v>31957.360000000004</v>
          </cell>
        </row>
        <row r="592">
          <cell r="A592">
            <v>60260</v>
          </cell>
          <cell r="B592" t="str">
            <v>Depreciation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>
            <v>70257</v>
          </cell>
          <cell r="B593" t="str">
            <v>Depreciation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A594">
            <v>70260</v>
          </cell>
          <cell r="B594" t="str">
            <v>Depreciation</v>
          </cell>
          <cell r="E594">
            <v>1532.42</v>
          </cell>
          <cell r="F594">
            <v>1532.4</v>
          </cell>
          <cell r="G594">
            <v>1532.42</v>
          </cell>
          <cell r="H594">
            <v>1459.5</v>
          </cell>
          <cell r="I594">
            <v>1459.49</v>
          </cell>
          <cell r="J594">
            <v>1422.66</v>
          </cell>
          <cell r="K594">
            <v>1422.61</v>
          </cell>
          <cell r="L594">
            <v>1422.6</v>
          </cell>
          <cell r="M594">
            <v>1422.64</v>
          </cell>
          <cell r="N594">
            <v>1422.61</v>
          </cell>
          <cell r="O594">
            <v>1422.62</v>
          </cell>
          <cell r="P594">
            <v>1595.38</v>
          </cell>
          <cell r="Q594">
            <v>17647.350000000002</v>
          </cell>
        </row>
        <row r="595">
          <cell r="A595" t="str">
            <v>Total Depreciation</v>
          </cell>
          <cell r="E595">
            <v>65371.189999999995</v>
          </cell>
          <cell r="F595">
            <v>65506.460000000006</v>
          </cell>
          <cell r="G595">
            <v>65506.409999999996</v>
          </cell>
          <cell r="H595">
            <v>65454.710000000006</v>
          </cell>
          <cell r="I595">
            <v>65455.049999999996</v>
          </cell>
          <cell r="J595">
            <v>64535.400000000009</v>
          </cell>
          <cell r="K595">
            <v>64533.94</v>
          </cell>
          <cell r="L595">
            <v>63541.37</v>
          </cell>
          <cell r="M595">
            <v>63542.03</v>
          </cell>
          <cell r="N595">
            <v>64345.65</v>
          </cell>
          <cell r="O595">
            <v>64001.990000000005</v>
          </cell>
          <cell r="P595">
            <v>64691.21</v>
          </cell>
          <cell r="Q595">
            <v>776485.41</v>
          </cell>
        </row>
        <row r="597">
          <cell r="A597" t="str">
            <v>Depletion</v>
          </cell>
        </row>
        <row r="598">
          <cell r="A598">
            <v>46000</v>
          </cell>
          <cell r="B598" t="str">
            <v>Depletion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A599">
            <v>46010</v>
          </cell>
          <cell r="B599" t="str">
            <v>Closure Amortization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A600">
            <v>57261</v>
          </cell>
          <cell r="B600" t="str">
            <v>Airspace Amortization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A601" t="str">
            <v>Total Depletion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3">
          <cell r="A603" t="str">
            <v>Amortization</v>
          </cell>
        </row>
        <row r="604">
          <cell r="A604">
            <v>70264</v>
          </cell>
          <cell r="B604" t="str">
            <v>Amortization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A605">
            <v>70266</v>
          </cell>
          <cell r="B605" t="str">
            <v>Cov. Not to Compete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A606">
            <v>70267</v>
          </cell>
          <cell r="B606" t="str">
            <v>Amortization of Goodwill - Taxable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A607">
            <v>70268</v>
          </cell>
          <cell r="B607" t="str">
            <v>Amortization of Goodwill - Non-Taxable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A608">
            <v>70269</v>
          </cell>
          <cell r="B608" t="str">
            <v>Long Term Contract Amort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A609" t="str">
            <v>Total Amortization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1">
          <cell r="A611" t="str">
            <v>Total DDA</v>
          </cell>
          <cell r="E611">
            <v>65371.189999999995</v>
          </cell>
          <cell r="F611">
            <v>65506.460000000006</v>
          </cell>
          <cell r="G611">
            <v>65506.409999999996</v>
          </cell>
          <cell r="H611">
            <v>65454.710000000006</v>
          </cell>
          <cell r="I611">
            <v>65455.049999999996</v>
          </cell>
          <cell r="J611">
            <v>64535.400000000009</v>
          </cell>
          <cell r="K611">
            <v>64533.94</v>
          </cell>
          <cell r="L611">
            <v>63541.37</v>
          </cell>
          <cell r="M611">
            <v>63542.03</v>
          </cell>
          <cell r="N611">
            <v>64345.65</v>
          </cell>
          <cell r="O611">
            <v>64001.990000000005</v>
          </cell>
          <cell r="P611">
            <v>64691.21</v>
          </cell>
          <cell r="Q611">
            <v>776485.41</v>
          </cell>
        </row>
        <row r="613">
          <cell r="A613" t="str">
            <v>EBIT</v>
          </cell>
          <cell r="E613">
            <v>-44982.409999999909</v>
          </cell>
          <cell r="F613">
            <v>210392.18999999994</v>
          </cell>
          <cell r="G613">
            <v>12199.139999999876</v>
          </cell>
          <cell r="H613">
            <v>87764.120000000068</v>
          </cell>
          <cell r="I613">
            <v>74408.229999999749</v>
          </cell>
          <cell r="J613">
            <v>139803.31000000006</v>
          </cell>
          <cell r="K613">
            <v>28808.420000000013</v>
          </cell>
          <cell r="L613">
            <v>178292.47</v>
          </cell>
          <cell r="M613">
            <v>70700.629999999976</v>
          </cell>
          <cell r="N613">
            <v>189706.05999999991</v>
          </cell>
          <cell r="O613">
            <v>-2263.1299999998737</v>
          </cell>
          <cell r="P613">
            <v>86637.149999999878</v>
          </cell>
          <cell r="Q613">
            <v>1031466.1799999956</v>
          </cell>
        </row>
        <row r="615">
          <cell r="A615" t="str">
            <v>Interest Expense</v>
          </cell>
        </row>
        <row r="616">
          <cell r="A616">
            <v>80000</v>
          </cell>
          <cell r="B616" t="str">
            <v>Interest Expense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>
            <v>80001</v>
          </cell>
          <cell r="B617" t="str">
            <v>Debt Accretion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A618">
            <v>80009</v>
          </cell>
          <cell r="B618" t="str">
            <v>Capitalized Interest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A619">
            <v>80099</v>
          </cell>
          <cell r="B619" t="str">
            <v>Interest Allocation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A620" t="str">
            <v>Total Interest Expense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2">
          <cell r="A622" t="str">
            <v>Interest Income</v>
          </cell>
        </row>
        <row r="623">
          <cell r="A623">
            <v>80010</v>
          </cell>
          <cell r="B623" t="str">
            <v>Interest Income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A624" t="str">
            <v>Total Interest Income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6">
          <cell r="A626" t="str">
            <v>Other (Income) and Expense</v>
          </cell>
        </row>
        <row r="627">
          <cell r="A627">
            <v>70901</v>
          </cell>
          <cell r="B627" t="str">
            <v>Pooling Costs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A628">
            <v>91000</v>
          </cell>
          <cell r="B628" t="str">
            <v>Unusual Gain/Loss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A629">
            <v>91001</v>
          </cell>
          <cell r="B629" t="str">
            <v>Investment Distribution Income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A630">
            <v>91002</v>
          </cell>
          <cell r="B630" t="str">
            <v>NSF Fees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A631" t="str">
            <v>Total Other (Income) and Expense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3">
          <cell r="A633" t="str">
            <v>Income Before Taxes and Extraordinary Items</v>
          </cell>
          <cell r="E633">
            <v>-44982.409999999909</v>
          </cell>
          <cell r="F633">
            <v>210392.18999999994</v>
          </cell>
          <cell r="G633">
            <v>12199.139999999876</v>
          </cell>
          <cell r="H633">
            <v>87764.120000000068</v>
          </cell>
          <cell r="I633">
            <v>74408.229999999749</v>
          </cell>
          <cell r="J633">
            <v>139803.31000000006</v>
          </cell>
          <cell r="K633">
            <v>28808.420000000013</v>
          </cell>
          <cell r="L633">
            <v>178292.47</v>
          </cell>
          <cell r="M633">
            <v>70700.629999999976</v>
          </cell>
          <cell r="N633">
            <v>189706.05999999991</v>
          </cell>
          <cell r="O633">
            <v>-2263.1299999998737</v>
          </cell>
          <cell r="P633">
            <v>86637.149999999878</v>
          </cell>
          <cell r="Q633">
            <v>1031466.1799999956</v>
          </cell>
        </row>
        <row r="635">
          <cell r="A635" t="str">
            <v>Extraordinary Income and Expense</v>
          </cell>
        </row>
        <row r="636">
          <cell r="A636">
            <v>92999</v>
          </cell>
          <cell r="B636" t="str">
            <v>Extraordinary Gain/Loss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Total Extraordinary Income and Expense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9">
          <cell r="A639" t="str">
            <v>Net Income Before Taxes</v>
          </cell>
          <cell r="E639">
            <v>-44982.409999999909</v>
          </cell>
          <cell r="F639">
            <v>210392.18999999994</v>
          </cell>
          <cell r="G639">
            <v>12199.139999999876</v>
          </cell>
          <cell r="H639">
            <v>87764.120000000068</v>
          </cell>
          <cell r="I639">
            <v>74408.229999999749</v>
          </cell>
          <cell r="J639">
            <v>139803.31000000006</v>
          </cell>
          <cell r="K639">
            <v>28808.420000000013</v>
          </cell>
          <cell r="L639">
            <v>178292.47</v>
          </cell>
          <cell r="M639">
            <v>70700.629999999976</v>
          </cell>
          <cell r="N639">
            <v>189706.05999999991</v>
          </cell>
          <cell r="O639">
            <v>-2263.1299999998737</v>
          </cell>
          <cell r="P639">
            <v>86637.149999999878</v>
          </cell>
          <cell r="Q639">
            <v>1031466.1799999956</v>
          </cell>
        </row>
        <row r="641">
          <cell r="A641" t="str">
            <v>Income Taxes</v>
          </cell>
        </row>
        <row r="642">
          <cell r="A642">
            <v>90000</v>
          </cell>
          <cell r="B642" t="str">
            <v>Taxes -Federal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A643">
            <v>90010</v>
          </cell>
          <cell r="B643" t="str">
            <v>Taxes - State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A644" t="str">
            <v>Total Income Taxes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6">
          <cell r="A646" t="str">
            <v>Net Income</v>
          </cell>
          <cell r="E646">
            <v>-44982.409999999909</v>
          </cell>
          <cell r="F646">
            <v>210392.18999999994</v>
          </cell>
          <cell r="G646">
            <v>12199.139999999876</v>
          </cell>
          <cell r="H646">
            <v>87764.120000000068</v>
          </cell>
          <cell r="I646">
            <v>74408.229999999749</v>
          </cell>
          <cell r="J646">
            <v>139803.31000000006</v>
          </cell>
          <cell r="K646">
            <v>28808.420000000013</v>
          </cell>
          <cell r="L646">
            <v>178292.47</v>
          </cell>
          <cell r="M646">
            <v>70700.629999999976</v>
          </cell>
          <cell r="N646">
            <v>189706.05999999991</v>
          </cell>
          <cell r="O646">
            <v>-2263.1299999998737</v>
          </cell>
          <cell r="P646">
            <v>86637.149999999878</v>
          </cell>
          <cell r="Q646">
            <v>1031466.1799999956</v>
          </cell>
        </row>
        <row r="648">
          <cell r="A648" t="str">
            <v>Noncontrolling Interests Expense</v>
          </cell>
        </row>
        <row r="649">
          <cell r="A649">
            <v>92000</v>
          </cell>
          <cell r="B649" t="str">
            <v>Noncontrolling interests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A650" t="str">
            <v>Total Noncontrolling Interests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2">
          <cell r="A652" t="str">
            <v>Net Income Attributable to Waste Connections</v>
          </cell>
          <cell r="E652">
            <v>-44982.409999999909</v>
          </cell>
          <cell r="F652">
            <v>210392.18999999994</v>
          </cell>
          <cell r="G652">
            <v>12199.139999999876</v>
          </cell>
          <cell r="H652">
            <v>87764.120000000068</v>
          </cell>
          <cell r="I652">
            <v>74408.229999999749</v>
          </cell>
          <cell r="J652">
            <v>139803.31000000006</v>
          </cell>
          <cell r="K652">
            <v>28808.420000000013</v>
          </cell>
          <cell r="L652">
            <v>178292.47</v>
          </cell>
          <cell r="M652">
            <v>70700.629999999976</v>
          </cell>
          <cell r="N652">
            <v>189706.05999999991</v>
          </cell>
          <cell r="O652">
            <v>-2263.1299999998737</v>
          </cell>
          <cell r="P652">
            <v>86637.149999999878</v>
          </cell>
          <cell r="Q652">
            <v>1031466.1799999956</v>
          </cell>
        </row>
        <row r="654">
          <cell r="A654" t="str">
            <v>Net Income Attributable to Waste Connections per categories</v>
          </cell>
          <cell r="E654">
            <v>-44982.41</v>
          </cell>
          <cell r="F654">
            <v>210392.19</v>
          </cell>
          <cell r="G654">
            <v>12199.14</v>
          </cell>
          <cell r="H654">
            <v>87764.12</v>
          </cell>
          <cell r="I654">
            <v>74408.23</v>
          </cell>
          <cell r="J654">
            <v>139803.31</v>
          </cell>
          <cell r="K654">
            <v>28808.42</v>
          </cell>
          <cell r="L654">
            <v>178292.47</v>
          </cell>
          <cell r="M654">
            <v>70700.63</v>
          </cell>
          <cell r="N654">
            <v>189706.06</v>
          </cell>
          <cell r="O654">
            <v>-2263.13</v>
          </cell>
          <cell r="P654">
            <v>86637.15</v>
          </cell>
        </row>
      </sheetData>
      <sheetData sheetId="5" refreshError="1">
        <row r="12">
          <cell r="A12" t="str">
            <v>Revenue</v>
          </cell>
        </row>
        <row r="13">
          <cell r="A13" t="str">
            <v>Hauling</v>
          </cell>
        </row>
        <row r="14">
          <cell r="A14">
            <v>31000</v>
          </cell>
          <cell r="B14" t="str">
            <v>Hauling Revenue - Roll Off Permanent</v>
          </cell>
          <cell r="E14">
            <v>102444.08</v>
          </cell>
          <cell r="F14">
            <v>106574.9</v>
          </cell>
          <cell r="G14">
            <v>117486.29</v>
          </cell>
          <cell r="H14">
            <v>113663.22</v>
          </cell>
          <cell r="I14">
            <v>107537.52</v>
          </cell>
          <cell r="J14">
            <v>118709.91</v>
          </cell>
          <cell r="K14">
            <v>120424.95</v>
          </cell>
          <cell r="L14">
            <v>126593.49</v>
          </cell>
          <cell r="M14">
            <v>117849.49</v>
          </cell>
          <cell r="N14">
            <v>117031.26</v>
          </cell>
          <cell r="O14">
            <v>112018.5</v>
          </cell>
          <cell r="P14">
            <v>117369.28</v>
          </cell>
          <cell r="Q14">
            <v>1377702.89</v>
          </cell>
        </row>
        <row r="15">
          <cell r="A15">
            <v>31001</v>
          </cell>
          <cell r="B15" t="str">
            <v>Hauling Revenue - Roll Off Temporary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>
            <v>31002</v>
          </cell>
          <cell r="B16" t="str">
            <v>Hauling Revenue - Roll Off Rental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31003</v>
          </cell>
          <cell r="B17" t="str">
            <v>Hauling Revenue - Roll Off Compactor Ren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31004</v>
          </cell>
          <cell r="B18" t="str">
            <v>Hauling Revenue - Roll Off Recycling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31005</v>
          </cell>
          <cell r="B19" t="str">
            <v>Corporate Roll Off Disposal Charge</v>
          </cell>
          <cell r="E19">
            <v>210983.37</v>
          </cell>
          <cell r="F19">
            <v>189715.35</v>
          </cell>
          <cell r="G19">
            <v>221645.6</v>
          </cell>
          <cell r="H19">
            <v>218362.54</v>
          </cell>
          <cell r="I19">
            <v>210236.77</v>
          </cell>
          <cell r="J19">
            <v>240624.92</v>
          </cell>
          <cell r="K19">
            <v>227991.29</v>
          </cell>
          <cell r="L19">
            <v>234898.35</v>
          </cell>
          <cell r="M19">
            <v>229778.1</v>
          </cell>
          <cell r="N19">
            <v>229912.49</v>
          </cell>
          <cell r="O19">
            <v>225521.76</v>
          </cell>
          <cell r="P19">
            <v>242379.21</v>
          </cell>
          <cell r="Q19">
            <v>2682049.75</v>
          </cell>
        </row>
        <row r="20">
          <cell r="A20">
            <v>31008</v>
          </cell>
          <cell r="B20" t="str">
            <v>Hauling Revenue - Roll Off Adjustments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31009</v>
          </cell>
          <cell r="B21" t="str">
            <v>Hauling Revenue - Roll Off Intercompany</v>
          </cell>
          <cell r="E21">
            <v>2048.52</v>
          </cell>
          <cell r="F21">
            <v>2727.36</v>
          </cell>
          <cell r="G21">
            <v>2727.36</v>
          </cell>
          <cell r="H21">
            <v>3409.2</v>
          </cell>
          <cell r="I21">
            <v>2727.36</v>
          </cell>
          <cell r="J21">
            <v>2727.36</v>
          </cell>
          <cell r="K21">
            <v>5009.2</v>
          </cell>
          <cell r="L21">
            <v>3527.36</v>
          </cell>
          <cell r="M21">
            <v>3327.36</v>
          </cell>
          <cell r="N21">
            <v>3409.2</v>
          </cell>
          <cell r="O21">
            <v>2727.36</v>
          </cell>
          <cell r="P21">
            <v>3409.2</v>
          </cell>
          <cell r="Q21">
            <v>37776.839999999997</v>
          </cell>
        </row>
        <row r="22">
          <cell r="A22">
            <v>31010</v>
          </cell>
          <cell r="B22" t="str">
            <v>Hauling Revenue - Roll Off Extras</v>
          </cell>
          <cell r="E22">
            <v>27177.39</v>
          </cell>
          <cell r="F22">
            <v>26583.03</v>
          </cell>
          <cell r="G22">
            <v>26586.07</v>
          </cell>
          <cell r="H22">
            <v>27681.49</v>
          </cell>
          <cell r="I22">
            <v>28895.1</v>
          </cell>
          <cell r="J22">
            <v>30218.400000000001</v>
          </cell>
          <cell r="K22">
            <v>29088.41</v>
          </cell>
          <cell r="L22">
            <v>30882.48</v>
          </cell>
          <cell r="M22">
            <v>30023.54</v>
          </cell>
          <cell r="N22">
            <v>28675.83</v>
          </cell>
          <cell r="O22">
            <v>27741.67</v>
          </cell>
          <cell r="P22">
            <v>26907</v>
          </cell>
          <cell r="Q22">
            <v>340460.41</v>
          </cell>
        </row>
        <row r="23">
          <cell r="A23">
            <v>31020</v>
          </cell>
          <cell r="B23" t="str">
            <v>Hauling Revenue - Roll Off Special Waste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31021</v>
          </cell>
          <cell r="B24" t="str">
            <v>Hauling Revenue - Roll Off Special Waste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31029</v>
          </cell>
          <cell r="B25" t="str">
            <v>Hauling Revenue - Roll Off Special Waste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32000</v>
          </cell>
          <cell r="B26" t="str">
            <v>Hauling Revenue - Residential MSW</v>
          </cell>
          <cell r="E26">
            <v>1215495.77</v>
          </cell>
          <cell r="F26">
            <v>1200770.8</v>
          </cell>
          <cell r="G26">
            <v>1215802.44</v>
          </cell>
          <cell r="H26">
            <v>1220176.8500000001</v>
          </cell>
          <cell r="I26">
            <v>1224050.48</v>
          </cell>
          <cell r="J26">
            <v>1230237.8799999999</v>
          </cell>
          <cell r="K26">
            <v>1235768.5</v>
          </cell>
          <cell r="L26">
            <v>1230565.3500000001</v>
          </cell>
          <cell r="M26">
            <v>1233092.93</v>
          </cell>
          <cell r="N26">
            <v>1227440.83</v>
          </cell>
          <cell r="O26">
            <v>1230545.96</v>
          </cell>
          <cell r="P26">
            <v>1228126.99</v>
          </cell>
          <cell r="Q26">
            <v>14692074.779999999</v>
          </cell>
        </row>
        <row r="27">
          <cell r="A27">
            <v>32001</v>
          </cell>
          <cell r="B27" t="str">
            <v>Hauling Revenue - Residential MSW Extras</v>
          </cell>
          <cell r="E27">
            <v>29897.43</v>
          </cell>
          <cell r="F27">
            <v>23606.09</v>
          </cell>
          <cell r="G27">
            <v>37252.050000000003</v>
          </cell>
          <cell r="H27">
            <v>36299.58</v>
          </cell>
          <cell r="I27">
            <v>42698.61</v>
          </cell>
          <cell r="J27">
            <v>50366.1</v>
          </cell>
          <cell r="K27">
            <v>50649.79</v>
          </cell>
          <cell r="L27">
            <v>43300.24</v>
          </cell>
          <cell r="M27">
            <v>44830.46</v>
          </cell>
          <cell r="N27">
            <v>36083.339999999997</v>
          </cell>
          <cell r="O27">
            <v>44102.97</v>
          </cell>
          <cell r="P27">
            <v>42927.11</v>
          </cell>
          <cell r="Q27">
            <v>482013.77</v>
          </cell>
        </row>
        <row r="28">
          <cell r="A28">
            <v>32002</v>
          </cell>
          <cell r="B28" t="str">
            <v>Hauling Revenue - Residential MSW Adjust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32003</v>
          </cell>
          <cell r="B29" t="str">
            <v>Hauling Revenue - Residential MSW Specia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32009</v>
          </cell>
          <cell r="B30" t="str">
            <v>Hauling Revenue - Residential MSW Interc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>
            <v>32100</v>
          </cell>
          <cell r="B31" t="str">
            <v>Hauling Revenue - Residential Recycling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32101</v>
          </cell>
          <cell r="B32" t="str">
            <v>Hauling Revenue - Residential Recycling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32102</v>
          </cell>
          <cell r="B33" t="str">
            <v>Hauling Revenue - Residential Recycling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32103</v>
          </cell>
          <cell r="B34" t="str">
            <v>Hauling Revenue - Residential Recycling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32109</v>
          </cell>
          <cell r="B35" t="str">
            <v>Hauling Revenue - Residential Recycling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32110</v>
          </cell>
          <cell r="B36" t="str">
            <v>Hauling Revenue - Residential Composting</v>
          </cell>
          <cell r="E36">
            <v>232014.97</v>
          </cell>
          <cell r="F36">
            <v>232365.45</v>
          </cell>
          <cell r="G36">
            <v>257766.36</v>
          </cell>
          <cell r="H36">
            <v>270150.08</v>
          </cell>
          <cell r="I36">
            <v>281923.53999999998</v>
          </cell>
          <cell r="J36">
            <v>287780.03999999998</v>
          </cell>
          <cell r="K36">
            <v>291816.17</v>
          </cell>
          <cell r="L36">
            <v>292493.43</v>
          </cell>
          <cell r="M36">
            <v>290035.87</v>
          </cell>
          <cell r="N36">
            <v>289167.18</v>
          </cell>
          <cell r="O36">
            <v>283845.96999999997</v>
          </cell>
          <cell r="P36">
            <v>275560.67</v>
          </cell>
          <cell r="Q36">
            <v>3284919.7300000004</v>
          </cell>
        </row>
        <row r="37">
          <cell r="A37">
            <v>32111</v>
          </cell>
          <cell r="B37" t="str">
            <v>Hauling Revenue - Residential Composting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32112</v>
          </cell>
          <cell r="B38" t="str">
            <v>Hauling Revenue - Residential Composting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32113</v>
          </cell>
          <cell r="B39" t="str">
            <v>Hauling Revenue - Residential Composting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32119</v>
          </cell>
          <cell r="B40" t="str">
            <v>Hauling Revenue - Residential Composting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33000</v>
          </cell>
          <cell r="B41" t="str">
            <v>Hauling Revenue - Commercial FEL</v>
          </cell>
          <cell r="E41">
            <v>785575.03</v>
          </cell>
          <cell r="F41">
            <v>787034.21</v>
          </cell>
          <cell r="G41">
            <v>790933.58</v>
          </cell>
          <cell r="H41">
            <v>778610.72</v>
          </cell>
          <cell r="I41">
            <v>780041.46</v>
          </cell>
          <cell r="J41">
            <v>778320.61</v>
          </cell>
          <cell r="K41">
            <v>768305.23</v>
          </cell>
          <cell r="L41">
            <v>774319.69</v>
          </cell>
          <cell r="M41">
            <v>801901.87</v>
          </cell>
          <cell r="N41">
            <v>774557.42</v>
          </cell>
          <cell r="O41">
            <v>791933.57</v>
          </cell>
          <cell r="P41">
            <v>766346.74</v>
          </cell>
          <cell r="Q41">
            <v>9377880.129999999</v>
          </cell>
        </row>
        <row r="42">
          <cell r="A42">
            <v>33001</v>
          </cell>
          <cell r="B42" t="str">
            <v>Hauling Revenue - Commercial FEL Extras</v>
          </cell>
          <cell r="E42">
            <v>39516.839999999997</v>
          </cell>
          <cell r="F42">
            <v>40932.36</v>
          </cell>
          <cell r="G42">
            <v>42606.080000000002</v>
          </cell>
          <cell r="H42">
            <v>42197.16</v>
          </cell>
          <cell r="I42">
            <v>43036.11</v>
          </cell>
          <cell r="J42">
            <v>44513.7</v>
          </cell>
          <cell r="K42">
            <v>47317.760000000002</v>
          </cell>
          <cell r="L42">
            <v>46590.51</v>
          </cell>
          <cell r="M42">
            <v>43401.91</v>
          </cell>
          <cell r="N42">
            <v>44637.59</v>
          </cell>
          <cell r="O42">
            <v>43797.96</v>
          </cell>
          <cell r="P42">
            <v>45382.02</v>
          </cell>
          <cell r="Q42">
            <v>523930.00000000006</v>
          </cell>
        </row>
        <row r="43">
          <cell r="A43">
            <v>33002</v>
          </cell>
          <cell r="B43" t="str">
            <v>Hauling Revenue - Commercial FEL Adjustm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33009</v>
          </cell>
          <cell r="B44" t="str">
            <v>Hauling Revenue - Commercial FEL Interco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33010</v>
          </cell>
          <cell r="B45" t="str">
            <v>Hauling Revenue - Commercial REL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33011</v>
          </cell>
          <cell r="B46" t="str">
            <v>Hauling Revenue - Commercial REL Extras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33012</v>
          </cell>
          <cell r="B47" t="str">
            <v>Hauling Revenue - Commercial REL Adjustm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33019</v>
          </cell>
          <cell r="B48" t="str">
            <v>Hauling Revenue - Commercial REL Interco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33020</v>
          </cell>
          <cell r="B49" t="str">
            <v>Hauling Revenue - Commercial Recycling F</v>
          </cell>
          <cell r="E49">
            <v>119520.55</v>
          </cell>
          <cell r="F49">
            <v>122687.61</v>
          </cell>
          <cell r="G49">
            <v>123043.3</v>
          </cell>
          <cell r="H49">
            <v>123772.17</v>
          </cell>
          <cell r="I49">
            <v>125625.36</v>
          </cell>
          <cell r="J49">
            <v>127061.96</v>
          </cell>
          <cell r="K49">
            <v>116074.3</v>
          </cell>
          <cell r="L49">
            <v>111337.44</v>
          </cell>
          <cell r="M49">
            <v>128400.61</v>
          </cell>
          <cell r="N49">
            <v>133541.20000000001</v>
          </cell>
          <cell r="O49">
            <v>129324.87</v>
          </cell>
          <cell r="P49">
            <v>130696.08</v>
          </cell>
          <cell r="Q49">
            <v>1491085.4500000002</v>
          </cell>
        </row>
        <row r="50">
          <cell r="A50">
            <v>33021</v>
          </cell>
          <cell r="B50" t="str">
            <v>Hauling Revenue - Commercial Recycling F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33022</v>
          </cell>
          <cell r="B51" t="str">
            <v>Hauling Revenue - Commercial Recycling F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33029</v>
          </cell>
          <cell r="B52" t="str">
            <v>Hauling Revenue - Commercial Recycling F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33030</v>
          </cell>
          <cell r="B53" t="str">
            <v>Hauling Revenue - Commercial Recycling 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33031</v>
          </cell>
          <cell r="B54" t="str">
            <v>Hauling Revenue - Commercial Recycling R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33032</v>
          </cell>
          <cell r="B55" t="str">
            <v>Hauling Revenue - Commercial Recycling R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>
            <v>33039</v>
          </cell>
          <cell r="B56" t="str">
            <v>Hauling Revenue - Commercial Recycling 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>
            <v>33500</v>
          </cell>
          <cell r="B57" t="str">
            <v>Portable Toilet Revenue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33501</v>
          </cell>
          <cell r="B58" t="str">
            <v>Portable Toilet Extras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>
            <v>33502</v>
          </cell>
          <cell r="B59" t="str">
            <v>Portable Toilet Adjustments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A60">
            <v>33509</v>
          </cell>
          <cell r="B60" t="str">
            <v>Portable Toilet Intercompany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Total Hauling</v>
          </cell>
          <cell r="E61">
            <v>2764673.9499999997</v>
          </cell>
          <cell r="F61">
            <v>2732997.1599999997</v>
          </cell>
          <cell r="G61">
            <v>2835849.13</v>
          </cell>
          <cell r="H61">
            <v>2834323.0100000002</v>
          </cell>
          <cell r="I61">
            <v>2846772.3099999996</v>
          </cell>
          <cell r="J61">
            <v>2910560.8800000004</v>
          </cell>
          <cell r="K61">
            <v>2892445.5999999996</v>
          </cell>
          <cell r="L61">
            <v>2894508.3399999994</v>
          </cell>
          <cell r="M61">
            <v>2922642.14</v>
          </cell>
          <cell r="N61">
            <v>2884456.3400000003</v>
          </cell>
          <cell r="O61">
            <v>2891560.59</v>
          </cell>
          <cell r="P61">
            <v>2879104.3000000003</v>
          </cell>
          <cell r="Q61">
            <v>34289893.75</v>
          </cell>
        </row>
        <row r="63">
          <cell r="A63" t="str">
            <v>Transfer</v>
          </cell>
        </row>
        <row r="64">
          <cell r="A64">
            <v>35000</v>
          </cell>
          <cell r="B64" t="str">
            <v>Transfer Station - Third Party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35001</v>
          </cell>
          <cell r="B65" t="str">
            <v>Transfer Station - Third Party Adjustmen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35009</v>
          </cell>
          <cell r="B66" t="str">
            <v>Transfer Station - Intercompany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35500</v>
          </cell>
          <cell r="B67" t="str">
            <v>MRF Processing Charge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35501</v>
          </cell>
          <cell r="B68" t="str">
            <v>MRF Processing Charge Adjustments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35509</v>
          </cell>
          <cell r="B69" t="str">
            <v>MRF Processing Charge Intercompany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 t="str">
            <v>Total Transfer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2">
          <cell r="A72" t="str">
            <v>MRF</v>
          </cell>
        </row>
        <row r="73">
          <cell r="A73">
            <v>35510</v>
          </cell>
          <cell r="B73" t="str">
            <v>Proceeds - OCC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35511</v>
          </cell>
          <cell r="B74" t="str">
            <v>Proceeds - ONP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35512</v>
          </cell>
          <cell r="B75" t="str">
            <v>Proceeds - Other Paper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35513</v>
          </cell>
          <cell r="B76" t="str">
            <v>Proceeds - Aluminum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35514</v>
          </cell>
          <cell r="B77" t="str">
            <v>Proceeds - Metal</v>
          </cell>
          <cell r="E77">
            <v>745.55</v>
          </cell>
          <cell r="F77">
            <v>533.20000000000005</v>
          </cell>
          <cell r="G77">
            <v>3342.9</v>
          </cell>
          <cell r="H77">
            <v>13178.15</v>
          </cell>
          <cell r="I77">
            <v>5247</v>
          </cell>
          <cell r="J77">
            <v>16966.05</v>
          </cell>
          <cell r="K77">
            <v>7984.5</v>
          </cell>
          <cell r="L77">
            <v>1463.55</v>
          </cell>
          <cell r="M77">
            <v>-1454.1</v>
          </cell>
          <cell r="N77">
            <v>1425.6</v>
          </cell>
          <cell r="O77">
            <v>1051.75</v>
          </cell>
          <cell r="P77">
            <v>1088</v>
          </cell>
          <cell r="Q77">
            <v>51572.15</v>
          </cell>
        </row>
        <row r="78">
          <cell r="A78">
            <v>35515</v>
          </cell>
          <cell r="B78" t="str">
            <v>Proceeds - Glass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35516</v>
          </cell>
          <cell r="B79" t="str">
            <v>Proceeds - Plastic</v>
          </cell>
          <cell r="E79">
            <v>387</v>
          </cell>
          <cell r="F79">
            <v>318.60000000000002</v>
          </cell>
          <cell r="G79">
            <v>0</v>
          </cell>
          <cell r="H79">
            <v>331.2</v>
          </cell>
          <cell r="I79">
            <v>0</v>
          </cell>
          <cell r="J79">
            <v>412.2</v>
          </cell>
          <cell r="K79">
            <v>644.4</v>
          </cell>
          <cell r="L79">
            <v>0</v>
          </cell>
          <cell r="M79">
            <v>0</v>
          </cell>
          <cell r="N79">
            <v>-644.4</v>
          </cell>
          <cell r="O79">
            <v>652</v>
          </cell>
          <cell r="P79">
            <v>0</v>
          </cell>
          <cell r="Q79">
            <v>2101</v>
          </cell>
        </row>
        <row r="80">
          <cell r="A80">
            <v>35517</v>
          </cell>
          <cell r="B80" t="str">
            <v>Proceeds - Other Recyclables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35518</v>
          </cell>
          <cell r="B81" t="str">
            <v>Proceeds - Commingled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35519</v>
          </cell>
          <cell r="B82" t="str">
            <v>Proceeds - Intercompany Material Sales</v>
          </cell>
          <cell r="E82">
            <v>65030.879999999997</v>
          </cell>
          <cell r="F82">
            <v>76173.81</v>
          </cell>
          <cell r="G82">
            <v>70361.429999999993</v>
          </cell>
          <cell r="H82">
            <v>74831.539999999994</v>
          </cell>
          <cell r="I82">
            <v>73578.62</v>
          </cell>
          <cell r="J82">
            <v>75531.38</v>
          </cell>
          <cell r="K82">
            <v>73771.45</v>
          </cell>
          <cell r="L82">
            <v>57407.56</v>
          </cell>
          <cell r="M82">
            <v>68624.86</v>
          </cell>
          <cell r="N82">
            <v>71603.88</v>
          </cell>
          <cell r="O82">
            <v>84200.36</v>
          </cell>
          <cell r="P82">
            <v>95665.68</v>
          </cell>
          <cell r="Q82">
            <v>886781.45</v>
          </cell>
        </row>
        <row r="83">
          <cell r="A83">
            <v>35520</v>
          </cell>
          <cell r="B83" t="str">
            <v>Support - OCC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35521</v>
          </cell>
          <cell r="B84" t="str">
            <v>Support - ONP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35522</v>
          </cell>
          <cell r="B85" t="str">
            <v>Support - Other Paper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35523</v>
          </cell>
          <cell r="B86" t="str">
            <v>Support - Aluminum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35524</v>
          </cell>
          <cell r="B87" t="str">
            <v>Support - Metal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35525</v>
          </cell>
          <cell r="B88" t="str">
            <v>Support - Glass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35526</v>
          </cell>
          <cell r="B89" t="str">
            <v>Support - Plastic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35527</v>
          </cell>
          <cell r="B90" t="str">
            <v>Support - Other Recyclables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35529</v>
          </cell>
          <cell r="B91" t="str">
            <v>Support - Intercompany Material Sales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35551</v>
          </cell>
          <cell r="B92" t="str">
            <v>Proceeds - Compost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35552</v>
          </cell>
          <cell r="B93" t="str">
            <v>Proceeds - Fuel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35553</v>
          </cell>
          <cell r="B94" t="str">
            <v>Proceeds - Landscape Materials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MRF</v>
          </cell>
          <cell r="E95">
            <v>66163.429999999993</v>
          </cell>
          <cell r="F95">
            <v>77025.61</v>
          </cell>
          <cell r="G95">
            <v>73704.329999999987</v>
          </cell>
          <cell r="H95">
            <v>88340.89</v>
          </cell>
          <cell r="I95">
            <v>78825.62</v>
          </cell>
          <cell r="J95">
            <v>92909.63</v>
          </cell>
          <cell r="K95">
            <v>82400.349999999991</v>
          </cell>
          <cell r="L95">
            <v>58871.11</v>
          </cell>
          <cell r="M95">
            <v>67170.759999999995</v>
          </cell>
          <cell r="N95">
            <v>72385.08</v>
          </cell>
          <cell r="O95">
            <v>85904.11</v>
          </cell>
          <cell r="P95">
            <v>96753.68</v>
          </cell>
          <cell r="Q95">
            <v>940454.6</v>
          </cell>
        </row>
        <row r="97">
          <cell r="A97" t="str">
            <v>Landfill</v>
          </cell>
        </row>
        <row r="98">
          <cell r="A98">
            <v>36000</v>
          </cell>
          <cell r="B98" t="str">
            <v>Landfill Revenue - MSW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36001</v>
          </cell>
          <cell r="B99" t="str">
            <v>Landfill Revenue - MSW Adjustments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36002</v>
          </cell>
          <cell r="B100" t="str">
            <v>Landfill Revenue - Extras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36009</v>
          </cell>
          <cell r="B101" t="str">
            <v>Landfill Revenue - MSW Intercompany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36010</v>
          </cell>
          <cell r="B102" t="str">
            <v>Landfill Revenue - C&amp;D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36011</v>
          </cell>
          <cell r="B103" t="str">
            <v>Landfill Revenue - C&amp;D Adjustments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36019</v>
          </cell>
          <cell r="B104" t="str">
            <v>Landfill Revenue - C&amp;D Intercompany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36020</v>
          </cell>
          <cell r="B105" t="str">
            <v>Landfill Revenue - Special Waste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36021</v>
          </cell>
          <cell r="B106" t="str">
            <v>Landfill Revenue - Special Waste Adjustm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36029</v>
          </cell>
          <cell r="B107" t="str">
            <v>Landfill Revenue - Special Waste Interco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>
            <v>36030</v>
          </cell>
          <cell r="B108" t="str">
            <v>Landfill Revenue - Asbestos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36031</v>
          </cell>
          <cell r="B109" t="str">
            <v>Landfill Revenue - Asbestos Adjustments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36039</v>
          </cell>
          <cell r="B110" t="str">
            <v>Landfill Revenue - Asbestos Intercompany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A111">
            <v>36040</v>
          </cell>
          <cell r="B111" t="str">
            <v>Landfill Revenue - Contaminated Soil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36041</v>
          </cell>
          <cell r="B112" t="str">
            <v>Landfill Revenue - Contaminated Soil Adj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36049</v>
          </cell>
          <cell r="B113" t="str">
            <v>Landfill Revenue - Contaminated Soil Int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36050</v>
          </cell>
          <cell r="B114" t="str">
            <v>Landfill Revenue - Yard Waste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>
            <v>36051</v>
          </cell>
          <cell r="B115" t="str">
            <v>Landfill Revenue - Yard Waste Adjustment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36059</v>
          </cell>
          <cell r="B116" t="str">
            <v>Landfill Revenue - Yard Waste Intercompa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>
            <v>36090</v>
          </cell>
          <cell r="B117" t="str">
            <v>Landfill Pass Through Revenue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36099</v>
          </cell>
          <cell r="B118" t="str">
            <v>Landfill Pass Through Revenue Intercompany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36301</v>
          </cell>
          <cell r="B119" t="str">
            <v>E&amp;P Liquids - Non Count Waste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36309</v>
          </cell>
          <cell r="B120" t="str">
            <v>E&amp;P Liquids - Non Count Waste Intercompany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36311</v>
          </cell>
          <cell r="B121" t="str">
            <v>E&amp;P Liquids - Count Waste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36319</v>
          </cell>
          <cell r="B122" t="str">
            <v>E&amp;P Liquids - Count Waste Intercompany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36321</v>
          </cell>
          <cell r="B123" t="str">
            <v>Other Liquids - Non E&amp;P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36329</v>
          </cell>
          <cell r="B124" t="str">
            <v>Other Liquids - Non E&amp;P Intercompany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36331</v>
          </cell>
          <cell r="B125" t="str">
            <v>E&amp;P Solids - Count Waste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36339</v>
          </cell>
          <cell r="B126" t="str">
            <v>E&amp;P Solids - Count Waste Intercompany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 t="str">
            <v>Total Landfill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9">
          <cell r="A129" t="str">
            <v>Intermodal</v>
          </cell>
        </row>
        <row r="130">
          <cell r="A130">
            <v>36101</v>
          </cell>
          <cell r="B130" t="str">
            <v>Rail Drayage Revenue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36109</v>
          </cell>
          <cell r="B131" t="str">
            <v>Rail Drayage Revenue - Intercompany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36111</v>
          </cell>
          <cell r="B132" t="str">
            <v>Truck Drayage Revenue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36119</v>
          </cell>
          <cell r="B133" t="str">
            <v>Truck Drayage Revenue - Intercompany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36121</v>
          </cell>
          <cell r="B134" t="str">
            <v>Barge Drayage Revenue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36131</v>
          </cell>
          <cell r="B135" t="str">
            <v>Service Labor Revenue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A136">
            <v>36141</v>
          </cell>
          <cell r="B136" t="str">
            <v>Refrigeration Labor Revenue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36145</v>
          </cell>
          <cell r="B137" t="str">
            <v>Parts Revenue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>
            <v>36151</v>
          </cell>
          <cell r="B138" t="str">
            <v>Container Sales Revenue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36161</v>
          </cell>
          <cell r="B139" t="str">
            <v>Container Rental Revenue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>
            <v>36171</v>
          </cell>
          <cell r="B140" t="str">
            <v>Intermodal Revenue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36181</v>
          </cell>
          <cell r="B141" t="str">
            <v>Chassis Lease Revenue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36191</v>
          </cell>
          <cell r="B142" t="str">
            <v>Interchanges Revenue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36201</v>
          </cell>
          <cell r="B143" t="str">
            <v>Storage Revenue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>
            <v>36211</v>
          </cell>
          <cell r="B144" t="str">
            <v>Empty Lifts Revenue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>
            <v>36221</v>
          </cell>
          <cell r="B145" t="str">
            <v>Load Lifts Revenue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Total Intermodal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8">
          <cell r="A148" t="str">
            <v>Other Revenue</v>
          </cell>
        </row>
        <row r="149">
          <cell r="A149">
            <v>37001</v>
          </cell>
          <cell r="B149" t="str">
            <v>Sale of Equipment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37010</v>
          </cell>
          <cell r="B150" t="str">
            <v>Tire Processing Revenue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37019</v>
          </cell>
          <cell r="B151" t="str">
            <v>Tire Processing Revenue - Intercompany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38000</v>
          </cell>
          <cell r="B152" t="str">
            <v>Corporate Other Revenue</v>
          </cell>
          <cell r="E152">
            <v>8589.2099999999991</v>
          </cell>
          <cell r="F152">
            <v>1694.09</v>
          </cell>
          <cell r="G152">
            <v>4218.3599999999997</v>
          </cell>
          <cell r="H152">
            <v>1373.97</v>
          </cell>
          <cell r="I152">
            <v>5262.72</v>
          </cell>
          <cell r="J152">
            <v>1769.91</v>
          </cell>
          <cell r="K152">
            <v>5502.45</v>
          </cell>
          <cell r="L152">
            <v>1702.72</v>
          </cell>
          <cell r="M152">
            <v>5805.85</v>
          </cell>
          <cell r="N152">
            <v>2208.19</v>
          </cell>
          <cell r="O152">
            <v>5752.25</v>
          </cell>
          <cell r="P152">
            <v>3433.24</v>
          </cell>
          <cell r="Q152">
            <v>47312.959999999999</v>
          </cell>
        </row>
        <row r="153">
          <cell r="A153">
            <v>38001</v>
          </cell>
          <cell r="B153" t="str">
            <v>P-Card Rebate Revenue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 t="str">
            <v>Total Other Revenue</v>
          </cell>
          <cell r="E154">
            <v>8589.2099999999991</v>
          </cell>
          <cell r="F154">
            <v>1694.09</v>
          </cell>
          <cell r="G154">
            <v>4218.3599999999997</v>
          </cell>
          <cell r="H154">
            <v>1373.97</v>
          </cell>
          <cell r="I154">
            <v>5262.72</v>
          </cell>
          <cell r="J154">
            <v>1769.91</v>
          </cell>
          <cell r="K154">
            <v>5502.45</v>
          </cell>
          <cell r="L154">
            <v>1702.72</v>
          </cell>
          <cell r="M154">
            <v>5805.85</v>
          </cell>
          <cell r="N154">
            <v>2208.19</v>
          </cell>
          <cell r="O154">
            <v>5752.25</v>
          </cell>
          <cell r="P154">
            <v>3433.24</v>
          </cell>
          <cell r="Q154">
            <v>47312.959999999999</v>
          </cell>
        </row>
        <row r="156">
          <cell r="A156" t="str">
            <v>Total Revenue</v>
          </cell>
          <cell r="E156">
            <v>2839426.59</v>
          </cell>
          <cell r="F156">
            <v>2811716.86</v>
          </cell>
          <cell r="G156">
            <v>2913771.82</v>
          </cell>
          <cell r="H156">
            <v>2924037.87</v>
          </cell>
          <cell r="I156">
            <v>2930860.6499999994</v>
          </cell>
          <cell r="J156">
            <v>3005240.4200000004</v>
          </cell>
          <cell r="K156">
            <v>2980348.3999999994</v>
          </cell>
          <cell r="L156">
            <v>2955082.1699999995</v>
          </cell>
          <cell r="M156">
            <v>2995618.75</v>
          </cell>
          <cell r="N156">
            <v>2959049.6100000003</v>
          </cell>
          <cell r="O156">
            <v>2983216.9499999997</v>
          </cell>
          <cell r="P156">
            <v>2979291.22</v>
          </cell>
          <cell r="Q156">
            <v>35277661.310000002</v>
          </cell>
        </row>
        <row r="158">
          <cell r="A158" t="str">
            <v>Revenue Reductions</v>
          </cell>
        </row>
        <row r="159">
          <cell r="A159" t="str">
            <v>Disposal</v>
          </cell>
        </row>
        <row r="160">
          <cell r="A160">
            <v>40101</v>
          </cell>
          <cell r="B160" t="str">
            <v>Disposal Landfill</v>
          </cell>
          <cell r="E160">
            <v>23350.03</v>
          </cell>
          <cell r="F160">
            <v>26834.720000000001</v>
          </cell>
          <cell r="G160">
            <v>42381.84</v>
          </cell>
          <cell r="H160">
            <v>36707.01</v>
          </cell>
          <cell r="I160">
            <v>39327.86</v>
          </cell>
          <cell r="J160">
            <v>44813.91</v>
          </cell>
          <cell r="K160">
            <v>45601.91</v>
          </cell>
          <cell r="L160">
            <v>42594.05</v>
          </cell>
          <cell r="M160">
            <v>39719.949999999997</v>
          </cell>
          <cell r="N160">
            <v>37160.81</v>
          </cell>
          <cell r="O160">
            <v>33518.03</v>
          </cell>
          <cell r="P160">
            <v>28405.79</v>
          </cell>
          <cell r="Q160">
            <v>440415.91</v>
          </cell>
        </row>
        <row r="161">
          <cell r="A161">
            <v>40109</v>
          </cell>
          <cell r="B161" t="str">
            <v>Disposal Landfill Intercompany</v>
          </cell>
          <cell r="E161">
            <v>194.6</v>
          </cell>
          <cell r="F161">
            <v>327.96</v>
          </cell>
          <cell r="G161">
            <v>99.4</v>
          </cell>
          <cell r="H161">
            <v>8930.7999999999993</v>
          </cell>
          <cell r="I161">
            <v>8418</v>
          </cell>
          <cell r="J161">
            <v>10225</v>
          </cell>
          <cell r="K161">
            <v>9550</v>
          </cell>
          <cell r="L161">
            <v>8953</v>
          </cell>
          <cell r="M161">
            <v>8660</v>
          </cell>
          <cell r="N161">
            <v>8485</v>
          </cell>
          <cell r="O161">
            <v>8205</v>
          </cell>
          <cell r="P161">
            <v>8111.2</v>
          </cell>
          <cell r="Q161">
            <v>80159.959999999992</v>
          </cell>
        </row>
        <row r="162">
          <cell r="A162">
            <v>40121</v>
          </cell>
          <cell r="B162" t="str">
            <v>Disposal Incineration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40122</v>
          </cell>
          <cell r="B163" t="str">
            <v>Disposal Other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40129</v>
          </cell>
          <cell r="B164" t="str">
            <v>Disposal Other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40131</v>
          </cell>
          <cell r="B165" t="str">
            <v>Disposal Transfer</v>
          </cell>
          <cell r="E165">
            <v>4652.22</v>
          </cell>
          <cell r="F165">
            <v>5422.23</v>
          </cell>
          <cell r="G165">
            <v>6556.26</v>
          </cell>
          <cell r="H165">
            <v>5248.01</v>
          </cell>
          <cell r="I165">
            <v>6285.68</v>
          </cell>
          <cell r="J165">
            <v>5271.25</v>
          </cell>
          <cell r="K165">
            <v>2375.48</v>
          </cell>
          <cell r="L165">
            <v>2345.9499999999998</v>
          </cell>
          <cell r="M165">
            <v>4253.9399999999996</v>
          </cell>
          <cell r="N165">
            <v>5654.19</v>
          </cell>
          <cell r="O165">
            <v>5131.53</v>
          </cell>
          <cell r="P165">
            <v>5010.78</v>
          </cell>
          <cell r="Q165">
            <v>58207.520000000004</v>
          </cell>
        </row>
        <row r="166">
          <cell r="A166">
            <v>40139</v>
          </cell>
          <cell r="B166" t="str">
            <v>Disposal Transfer Intercompany</v>
          </cell>
          <cell r="E166">
            <v>593825.03</v>
          </cell>
          <cell r="F166">
            <v>547142.99</v>
          </cell>
          <cell r="G166">
            <v>630810.36</v>
          </cell>
          <cell r="H166">
            <v>605643.42000000004</v>
          </cell>
          <cell r="I166">
            <v>594549.89</v>
          </cell>
          <cell r="J166">
            <v>658860.29</v>
          </cell>
          <cell r="K166">
            <v>621190.5</v>
          </cell>
          <cell r="L166">
            <v>619548.27</v>
          </cell>
          <cell r="M166">
            <v>634021.85</v>
          </cell>
          <cell r="N166">
            <v>591478.38</v>
          </cell>
          <cell r="O166">
            <v>635582.61</v>
          </cell>
          <cell r="P166">
            <v>652795.86</v>
          </cell>
          <cell r="Q166">
            <v>7385449.4500000002</v>
          </cell>
        </row>
        <row r="167">
          <cell r="A167" t="str">
            <v>Total Disposal</v>
          </cell>
          <cell r="E167">
            <v>622021.88</v>
          </cell>
          <cell r="F167">
            <v>579727.9</v>
          </cell>
          <cell r="G167">
            <v>679847.86</v>
          </cell>
          <cell r="H167">
            <v>656529.24</v>
          </cell>
          <cell r="I167">
            <v>648581.43000000005</v>
          </cell>
          <cell r="J167">
            <v>719170.45000000007</v>
          </cell>
          <cell r="K167">
            <v>678717.89</v>
          </cell>
          <cell r="L167">
            <v>673441.27</v>
          </cell>
          <cell r="M167">
            <v>686655.74</v>
          </cell>
          <cell r="N167">
            <v>642778.38</v>
          </cell>
          <cell r="O167">
            <v>682437.16999999993</v>
          </cell>
          <cell r="P167">
            <v>694323.63</v>
          </cell>
          <cell r="Q167">
            <v>7964232.8399999999</v>
          </cell>
        </row>
        <row r="169">
          <cell r="A169" t="str">
            <v>MRF Processing</v>
          </cell>
        </row>
        <row r="170">
          <cell r="A170">
            <v>40861</v>
          </cell>
          <cell r="B170" t="str">
            <v>Processing Fees MRF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40869</v>
          </cell>
          <cell r="B171" t="str">
            <v>Processing Fees MRF Intercompany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 t="str">
            <v>Total MRF Processing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4">
          <cell r="A174" t="str">
            <v>Brokerage, Rebates and Taxes</v>
          </cell>
        </row>
        <row r="175">
          <cell r="A175">
            <v>41121</v>
          </cell>
          <cell r="B175" t="str">
            <v>Brokerage Cost</v>
          </cell>
          <cell r="E175">
            <v>0</v>
          </cell>
          <cell r="F175">
            <v>0</v>
          </cell>
          <cell r="G175">
            <v>0</v>
          </cell>
          <cell r="H175">
            <v>178.39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178.39</v>
          </cell>
        </row>
        <row r="176">
          <cell r="A176">
            <v>41129</v>
          </cell>
          <cell r="B176" t="str">
            <v>Brokerage Cost Intercompany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41131</v>
          </cell>
          <cell r="B177" t="str">
            <v>Rail Drayage Expenses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41135</v>
          </cell>
          <cell r="B178" t="str">
            <v>Resale Parts - Cost of Goods Sold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A179">
            <v>41139</v>
          </cell>
          <cell r="B179" t="str">
            <v>Rail Drayage Expenses - Intercompany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A180">
            <v>41141</v>
          </cell>
          <cell r="B180" t="str">
            <v>Truck Drayage Expenses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41149</v>
          </cell>
          <cell r="B181" t="str">
            <v>Truck Drayage Expenses - Intercompany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41151</v>
          </cell>
          <cell r="B182" t="str">
            <v>Intermodal Expenses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41201</v>
          </cell>
          <cell r="B183" t="str">
            <v>Rebates and Revenue Sharing</v>
          </cell>
          <cell r="E183">
            <v>521936.87</v>
          </cell>
          <cell r="F183">
            <v>516837.5</v>
          </cell>
          <cell r="G183">
            <v>526589.43999999994</v>
          </cell>
          <cell r="H183">
            <v>507133.7</v>
          </cell>
          <cell r="I183">
            <v>514778.73</v>
          </cell>
          <cell r="J183">
            <v>520529.95</v>
          </cell>
          <cell r="K183">
            <v>523325.23</v>
          </cell>
          <cell r="L183">
            <v>525169.91</v>
          </cell>
          <cell r="M183">
            <v>526242.24</v>
          </cell>
          <cell r="N183">
            <v>522492.7</v>
          </cell>
          <cell r="O183">
            <v>519798.37</v>
          </cell>
          <cell r="P183">
            <v>519523.19</v>
          </cell>
          <cell r="Q183">
            <v>6244357.830000001</v>
          </cell>
        </row>
        <row r="184">
          <cell r="A184">
            <v>43001</v>
          </cell>
          <cell r="B184" t="str">
            <v>Taxes and Pass Thru Fees</v>
          </cell>
          <cell r="E184">
            <v>41543.1</v>
          </cell>
          <cell r="F184">
            <v>40952.97</v>
          </cell>
          <cell r="G184">
            <v>42462.54</v>
          </cell>
          <cell r="H184">
            <v>45489.33</v>
          </cell>
          <cell r="I184">
            <v>48581.71</v>
          </cell>
          <cell r="J184">
            <v>53321.59</v>
          </cell>
          <cell r="K184">
            <v>51875.89</v>
          </cell>
          <cell r="L184">
            <v>52096.88</v>
          </cell>
          <cell r="M184">
            <v>52109.83</v>
          </cell>
          <cell r="N184">
            <v>51665.29</v>
          </cell>
          <cell r="O184">
            <v>51559.19</v>
          </cell>
          <cell r="P184">
            <v>51703.040000000001</v>
          </cell>
          <cell r="Q184">
            <v>583361.3600000001</v>
          </cell>
        </row>
        <row r="185">
          <cell r="A185">
            <v>43002</v>
          </cell>
          <cell r="B185" t="str">
            <v>WUTC Taxes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43090</v>
          </cell>
          <cell r="B186" t="str">
            <v>Pass Through Expenses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43099</v>
          </cell>
          <cell r="B187" t="str">
            <v>Pass Through Expenses Intercompany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 t="str">
            <v>Total Brokerage, Rebates and Taxes</v>
          </cell>
          <cell r="E188">
            <v>563479.97</v>
          </cell>
          <cell r="F188">
            <v>557790.47</v>
          </cell>
          <cell r="G188">
            <v>569051.98</v>
          </cell>
          <cell r="H188">
            <v>552801.42000000004</v>
          </cell>
          <cell r="I188">
            <v>563360.43999999994</v>
          </cell>
          <cell r="J188">
            <v>573851.54</v>
          </cell>
          <cell r="K188">
            <v>575201.12</v>
          </cell>
          <cell r="L188">
            <v>577266.79</v>
          </cell>
          <cell r="M188">
            <v>578352.06999999995</v>
          </cell>
          <cell r="N188">
            <v>574157.99</v>
          </cell>
          <cell r="O188">
            <v>571357.56000000006</v>
          </cell>
          <cell r="P188">
            <v>571226.23</v>
          </cell>
          <cell r="Q188">
            <v>6827897.580000001</v>
          </cell>
        </row>
        <row r="190">
          <cell r="A190" t="str">
            <v>Recycling Materials Expense</v>
          </cell>
        </row>
        <row r="191">
          <cell r="A191">
            <v>44161</v>
          </cell>
          <cell r="B191" t="str">
            <v>Cost of Materials - OCC</v>
          </cell>
          <cell r="E191">
            <v>2426.64</v>
          </cell>
          <cell r="F191">
            <v>2389.0700000000002</v>
          </cell>
          <cell r="G191">
            <v>2400.6</v>
          </cell>
          <cell r="H191">
            <v>2445.6799999999998</v>
          </cell>
          <cell r="I191">
            <v>2403.29</v>
          </cell>
          <cell r="J191">
            <v>2402.11</v>
          </cell>
          <cell r="K191">
            <v>437.67</v>
          </cell>
          <cell r="L191">
            <v>1356.93</v>
          </cell>
          <cell r="M191">
            <v>2409.56</v>
          </cell>
          <cell r="N191">
            <v>2530.52</v>
          </cell>
          <cell r="O191">
            <v>2633.11</v>
          </cell>
          <cell r="P191">
            <v>2651.26</v>
          </cell>
          <cell r="Q191">
            <v>26486.440000000002</v>
          </cell>
        </row>
        <row r="192">
          <cell r="A192">
            <v>44162</v>
          </cell>
          <cell r="B192" t="str">
            <v>Cost of Materials - ONP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44163</v>
          </cell>
          <cell r="B193" t="str">
            <v>Cost of Materials - Other Paper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44164</v>
          </cell>
          <cell r="B194" t="str">
            <v>Cost of Materials - Aluminum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44165</v>
          </cell>
          <cell r="B195" t="str">
            <v>Cost of Materials - Metal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44166</v>
          </cell>
          <cell r="B196" t="str">
            <v>Cost of Materials - Glass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44167</v>
          </cell>
          <cell r="B197" t="str">
            <v>Cost of Materials - Plastic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44168</v>
          </cell>
          <cell r="B198" t="str">
            <v>Cost of Materials - Other Recyclables</v>
          </cell>
          <cell r="E198">
            <v>0</v>
          </cell>
          <cell r="F198">
            <v>8</v>
          </cell>
          <cell r="G198">
            <v>8</v>
          </cell>
          <cell r="H198">
            <v>0</v>
          </cell>
          <cell r="I198">
            <v>8</v>
          </cell>
          <cell r="J198">
            <v>0</v>
          </cell>
          <cell r="K198">
            <v>8</v>
          </cell>
          <cell r="L198">
            <v>7</v>
          </cell>
          <cell r="M198">
            <v>0</v>
          </cell>
          <cell r="N198">
            <v>7</v>
          </cell>
          <cell r="O198">
            <v>15</v>
          </cell>
          <cell r="P198">
            <v>8</v>
          </cell>
          <cell r="Q198">
            <v>69</v>
          </cell>
        </row>
        <row r="199">
          <cell r="A199">
            <v>44169</v>
          </cell>
          <cell r="B199" t="str">
            <v>Cost of Materials - Intercompany</v>
          </cell>
          <cell r="E199">
            <v>1793.25</v>
          </cell>
          <cell r="F199">
            <v>1711</v>
          </cell>
          <cell r="G199">
            <v>2209.37</v>
          </cell>
          <cell r="H199">
            <v>2644.25</v>
          </cell>
          <cell r="I199">
            <v>3170</v>
          </cell>
          <cell r="J199">
            <v>2275.25</v>
          </cell>
          <cell r="K199">
            <v>1660.5</v>
          </cell>
          <cell r="L199">
            <v>2033.7</v>
          </cell>
          <cell r="M199">
            <v>1648</v>
          </cell>
          <cell r="N199">
            <v>2091.5500000000002</v>
          </cell>
          <cell r="O199">
            <v>2223.8000000000002</v>
          </cell>
          <cell r="P199">
            <v>2182.25</v>
          </cell>
          <cell r="Q199">
            <v>25642.92</v>
          </cell>
        </row>
        <row r="200">
          <cell r="A200">
            <v>44261</v>
          </cell>
          <cell r="B200" t="str">
            <v>Cost of Materials - Organics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44262</v>
          </cell>
          <cell r="B201" t="str">
            <v>Cost of Materials - Clean Wood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44263</v>
          </cell>
          <cell r="B202" t="str">
            <v>Cost of Materials - Landscaping Materials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Total Recycling Materials Expense</v>
          </cell>
          <cell r="E203">
            <v>4219.8899999999994</v>
          </cell>
          <cell r="F203">
            <v>4108.07</v>
          </cell>
          <cell r="G203">
            <v>4617.9699999999993</v>
          </cell>
          <cell r="H203">
            <v>5089.93</v>
          </cell>
          <cell r="I203">
            <v>5581.29</v>
          </cell>
          <cell r="J203">
            <v>4677.3600000000006</v>
          </cell>
          <cell r="K203">
            <v>2106.17</v>
          </cell>
          <cell r="L203">
            <v>3397.63</v>
          </cell>
          <cell r="M203">
            <v>4057.56</v>
          </cell>
          <cell r="N203">
            <v>4629.07</v>
          </cell>
          <cell r="O203">
            <v>4871.91</v>
          </cell>
          <cell r="P203">
            <v>4841.51</v>
          </cell>
          <cell r="Q203">
            <v>52198.36</v>
          </cell>
        </row>
        <row r="205">
          <cell r="A205" t="str">
            <v>Other Expense</v>
          </cell>
        </row>
        <row r="206">
          <cell r="A206">
            <v>47000</v>
          </cell>
          <cell r="B206" t="str">
            <v>Cost of Containers Sold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47001</v>
          </cell>
          <cell r="B207" t="str">
            <v>Cost of Equipment Sold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47010</v>
          </cell>
          <cell r="B208" t="str">
            <v>Tire Processing Expenses</v>
          </cell>
          <cell r="E208">
            <v>0</v>
          </cell>
          <cell r="F208">
            <v>0</v>
          </cell>
          <cell r="G208">
            <v>0</v>
          </cell>
          <cell r="H208">
            <v>205.8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205.8</v>
          </cell>
        </row>
        <row r="209">
          <cell r="A209">
            <v>47019</v>
          </cell>
          <cell r="B209" t="str">
            <v>Tire Processing Expenses - Intercompany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 t="str">
            <v>Total Other Expense</v>
          </cell>
          <cell r="E210">
            <v>0</v>
          </cell>
          <cell r="F210">
            <v>0</v>
          </cell>
          <cell r="G210">
            <v>0</v>
          </cell>
          <cell r="H210">
            <v>205.8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205.8</v>
          </cell>
        </row>
        <row r="212">
          <cell r="A212" t="str">
            <v>Total Revenue Reductions</v>
          </cell>
          <cell r="E212">
            <v>1189721.74</v>
          </cell>
          <cell r="F212">
            <v>1141626.44</v>
          </cell>
          <cell r="G212">
            <v>1253517.81</v>
          </cell>
          <cell r="H212">
            <v>1214626.3900000001</v>
          </cell>
          <cell r="I212">
            <v>1217523.1600000001</v>
          </cell>
          <cell r="J212">
            <v>1297699.3500000001</v>
          </cell>
          <cell r="K212">
            <v>1256025.1800000002</v>
          </cell>
          <cell r="L212">
            <v>1254105.69</v>
          </cell>
          <cell r="M212">
            <v>1269065.3700000001</v>
          </cell>
          <cell r="N212">
            <v>1221565.4399999999</v>
          </cell>
          <cell r="O212">
            <v>1258666.6400000001</v>
          </cell>
          <cell r="P212">
            <v>1270391.3700000001</v>
          </cell>
          <cell r="Q212">
            <v>14844534.580000002</v>
          </cell>
        </row>
        <row r="214">
          <cell r="A214" t="str">
            <v>Net Revenue</v>
          </cell>
          <cell r="E214">
            <v>1649704.8499999999</v>
          </cell>
          <cell r="F214">
            <v>1670090.42</v>
          </cell>
          <cell r="G214">
            <v>1660254.0099999998</v>
          </cell>
          <cell r="H214">
            <v>1709411.48</v>
          </cell>
          <cell r="I214">
            <v>1713337.4899999993</v>
          </cell>
          <cell r="J214">
            <v>1707541.0700000003</v>
          </cell>
          <cell r="K214">
            <v>1724323.2199999993</v>
          </cell>
          <cell r="L214">
            <v>1700976.4799999995</v>
          </cell>
          <cell r="M214">
            <v>1726553.38</v>
          </cell>
          <cell r="N214">
            <v>1737484.1700000004</v>
          </cell>
          <cell r="O214">
            <v>1724550.3099999996</v>
          </cell>
          <cell r="P214">
            <v>1708899.85</v>
          </cell>
          <cell r="Q214">
            <v>20433126.73</v>
          </cell>
        </row>
        <row r="216">
          <cell r="A216" t="str">
            <v>Cost of Operations</v>
          </cell>
        </row>
        <row r="217">
          <cell r="A217" t="str">
            <v>Labor</v>
          </cell>
        </row>
        <row r="218">
          <cell r="A218">
            <v>50010</v>
          </cell>
          <cell r="B218" t="str">
            <v>Salaries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50020</v>
          </cell>
          <cell r="B219" t="str">
            <v>Wages Regular</v>
          </cell>
          <cell r="E219">
            <v>164883.42000000001</v>
          </cell>
          <cell r="F219">
            <v>163593.57</v>
          </cell>
          <cell r="G219">
            <v>188109.33</v>
          </cell>
          <cell r="H219">
            <v>179849.71</v>
          </cell>
          <cell r="I219">
            <v>172347.9</v>
          </cell>
          <cell r="J219">
            <v>187859.47</v>
          </cell>
          <cell r="K219">
            <v>178348.24</v>
          </cell>
          <cell r="L219">
            <v>182091.36</v>
          </cell>
          <cell r="M219">
            <v>176392.37000000002</v>
          </cell>
          <cell r="N219">
            <v>178231.65999999997</v>
          </cell>
          <cell r="O219">
            <v>171402.89</v>
          </cell>
          <cell r="P219">
            <v>200565.78999999998</v>
          </cell>
          <cell r="Q219">
            <v>2143675.71</v>
          </cell>
        </row>
        <row r="220">
          <cell r="A220">
            <v>50025</v>
          </cell>
          <cell r="B220" t="str">
            <v>Wages O.T.</v>
          </cell>
          <cell r="E220">
            <v>32984.839999999997</v>
          </cell>
          <cell r="F220">
            <v>9544.4</v>
          </cell>
          <cell r="G220">
            <v>22471.78</v>
          </cell>
          <cell r="H220">
            <v>31363.030000000002</v>
          </cell>
          <cell r="I220">
            <v>49805.09</v>
          </cell>
          <cell r="J220">
            <v>35207.21</v>
          </cell>
          <cell r="K220">
            <v>36825.21</v>
          </cell>
          <cell r="L220">
            <v>33200.26</v>
          </cell>
          <cell r="M220">
            <v>40758.67</v>
          </cell>
          <cell r="N220">
            <v>31022.81</v>
          </cell>
          <cell r="O220">
            <v>51285.26</v>
          </cell>
          <cell r="P220">
            <v>33854.409999999996</v>
          </cell>
          <cell r="Q220">
            <v>408322.97</v>
          </cell>
        </row>
        <row r="221">
          <cell r="A221">
            <v>50035</v>
          </cell>
          <cell r="B221" t="str">
            <v>Safety Bonuses</v>
          </cell>
          <cell r="E221">
            <v>4800</v>
          </cell>
          <cell r="F221">
            <v>4800</v>
          </cell>
          <cell r="G221">
            <v>4800</v>
          </cell>
          <cell r="H221">
            <v>4800</v>
          </cell>
          <cell r="I221">
            <v>5550</v>
          </cell>
          <cell r="J221">
            <v>5550</v>
          </cell>
          <cell r="K221">
            <v>5550</v>
          </cell>
          <cell r="L221">
            <v>5550</v>
          </cell>
          <cell r="M221">
            <v>3500</v>
          </cell>
          <cell r="N221">
            <v>3500</v>
          </cell>
          <cell r="O221">
            <v>4800</v>
          </cell>
          <cell r="P221">
            <v>-8000</v>
          </cell>
          <cell r="Q221">
            <v>45200</v>
          </cell>
        </row>
        <row r="222">
          <cell r="A222">
            <v>50036</v>
          </cell>
          <cell r="B222" t="str">
            <v>Other Bonus/Commission - Non-Safety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50045</v>
          </cell>
          <cell r="B223" t="str">
            <v>Contract Labor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4788.33</v>
          </cell>
          <cell r="L223">
            <v>3663.38</v>
          </cell>
          <cell r="M223">
            <v>2786.12</v>
          </cell>
          <cell r="N223">
            <v>7835.02</v>
          </cell>
          <cell r="O223">
            <v>2360.66</v>
          </cell>
          <cell r="P223">
            <v>120.48</v>
          </cell>
          <cell r="Q223">
            <v>21553.989999999998</v>
          </cell>
        </row>
        <row r="224">
          <cell r="A224">
            <v>50050</v>
          </cell>
          <cell r="B224" t="str">
            <v>Payroll Taxes</v>
          </cell>
          <cell r="E224">
            <v>25189.960000000003</v>
          </cell>
          <cell r="F224">
            <v>18251.73</v>
          </cell>
          <cell r="G224">
            <v>20679.02</v>
          </cell>
          <cell r="H224">
            <v>21039.350000000002</v>
          </cell>
          <cell r="I224">
            <v>21060.63</v>
          </cell>
          <cell r="J224">
            <v>22770.019999999997</v>
          </cell>
          <cell r="K224">
            <v>23082.989999999998</v>
          </cell>
          <cell r="L224">
            <v>21413.860000000004</v>
          </cell>
          <cell r="M224">
            <v>22297.15</v>
          </cell>
          <cell r="N224">
            <v>19721.989999999998</v>
          </cell>
          <cell r="O224">
            <v>24041.16</v>
          </cell>
          <cell r="P224">
            <v>17044.59</v>
          </cell>
          <cell r="Q224">
            <v>256592.45</v>
          </cell>
        </row>
        <row r="225">
          <cell r="A225">
            <v>50060</v>
          </cell>
          <cell r="B225" t="str">
            <v>Group Insurance</v>
          </cell>
          <cell r="E225">
            <v>-52</v>
          </cell>
          <cell r="F225">
            <v>52</v>
          </cell>
          <cell r="G225">
            <v>400</v>
          </cell>
          <cell r="H225">
            <v>400</v>
          </cell>
          <cell r="I225">
            <v>400</v>
          </cell>
          <cell r="J225">
            <v>400</v>
          </cell>
          <cell r="K225">
            <v>400.77</v>
          </cell>
          <cell r="L225">
            <v>348</v>
          </cell>
          <cell r="M225">
            <v>400</v>
          </cell>
          <cell r="N225">
            <v>400</v>
          </cell>
          <cell r="O225">
            <v>1.54</v>
          </cell>
          <cell r="P225">
            <v>-913.13</v>
          </cell>
          <cell r="Q225">
            <v>2237.1799999999998</v>
          </cell>
        </row>
        <row r="226">
          <cell r="A226">
            <v>50065</v>
          </cell>
          <cell r="B226" t="str">
            <v>Vacation Pay</v>
          </cell>
          <cell r="E226">
            <v>19746.13</v>
          </cell>
          <cell r="F226">
            <v>10715.919999999998</v>
          </cell>
          <cell r="G226">
            <v>10164.220000000001</v>
          </cell>
          <cell r="H226">
            <v>13775.17</v>
          </cell>
          <cell r="I226">
            <v>12214.41</v>
          </cell>
          <cell r="J226">
            <v>9839.7799999999988</v>
          </cell>
          <cell r="K226">
            <v>16829.84</v>
          </cell>
          <cell r="L226">
            <v>10619.08</v>
          </cell>
          <cell r="M226">
            <v>20174.8</v>
          </cell>
          <cell r="N226">
            <v>7964.8900000000012</v>
          </cell>
          <cell r="O226">
            <v>28346.93</v>
          </cell>
          <cell r="P226">
            <v>21322.129999999997</v>
          </cell>
          <cell r="Q226">
            <v>181713.30000000002</v>
          </cell>
        </row>
        <row r="227">
          <cell r="A227">
            <v>50070</v>
          </cell>
          <cell r="B227" t="str">
            <v>Sick Pay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50086</v>
          </cell>
          <cell r="B228" t="str">
            <v>Safety and Training</v>
          </cell>
          <cell r="E228">
            <v>157.5</v>
          </cell>
          <cell r="F228">
            <v>172.5</v>
          </cell>
          <cell r="G228">
            <v>808.28</v>
          </cell>
          <cell r="H228">
            <v>-442.5</v>
          </cell>
          <cell r="I228">
            <v>965.32</v>
          </cell>
          <cell r="J228">
            <v>0</v>
          </cell>
          <cell r="K228">
            <v>0</v>
          </cell>
          <cell r="L228">
            <v>0</v>
          </cell>
          <cell r="M228">
            <v>25</v>
          </cell>
          <cell r="N228">
            <v>675</v>
          </cell>
          <cell r="O228">
            <v>0</v>
          </cell>
          <cell r="P228">
            <v>0</v>
          </cell>
          <cell r="Q228">
            <v>2361.1</v>
          </cell>
        </row>
        <row r="229">
          <cell r="A229">
            <v>50087</v>
          </cell>
          <cell r="B229" t="str">
            <v>Drug Testing</v>
          </cell>
          <cell r="E229">
            <v>60</v>
          </cell>
          <cell r="F229">
            <v>294</v>
          </cell>
          <cell r="G229">
            <v>180</v>
          </cell>
          <cell r="H229">
            <v>60</v>
          </cell>
          <cell r="I229">
            <v>180</v>
          </cell>
          <cell r="J229">
            <v>0</v>
          </cell>
          <cell r="K229">
            <v>660</v>
          </cell>
          <cell r="L229">
            <v>180</v>
          </cell>
          <cell r="M229">
            <v>480</v>
          </cell>
          <cell r="N229">
            <v>360</v>
          </cell>
          <cell r="O229">
            <v>180</v>
          </cell>
          <cell r="P229">
            <v>120</v>
          </cell>
          <cell r="Q229">
            <v>2754</v>
          </cell>
        </row>
        <row r="230">
          <cell r="A230">
            <v>50090</v>
          </cell>
          <cell r="B230" t="str">
            <v>Uniforms</v>
          </cell>
          <cell r="E230">
            <v>4074.6600000000003</v>
          </cell>
          <cell r="F230">
            <v>3623.04</v>
          </cell>
          <cell r="G230">
            <v>5198.9500000000007</v>
          </cell>
          <cell r="H230">
            <v>3689.49</v>
          </cell>
          <cell r="I230">
            <v>10448.56</v>
          </cell>
          <cell r="J230">
            <v>4504.9699999999993</v>
          </cell>
          <cell r="K230">
            <v>4758.2000000000007</v>
          </cell>
          <cell r="L230">
            <v>10818.759999999998</v>
          </cell>
          <cell r="M230">
            <v>4750.04</v>
          </cell>
          <cell r="N230">
            <v>7936.8100000000013</v>
          </cell>
          <cell r="O230">
            <v>4016.29</v>
          </cell>
          <cell r="P230">
            <v>3616.1000000000004</v>
          </cell>
          <cell r="Q230">
            <v>67435.87</v>
          </cell>
        </row>
        <row r="231">
          <cell r="A231">
            <v>50115</v>
          </cell>
          <cell r="B231" t="str">
            <v>Pension and Profit Sharing</v>
          </cell>
          <cell r="E231">
            <v>28983.06</v>
          </cell>
          <cell r="F231">
            <v>25738.78</v>
          </cell>
          <cell r="G231">
            <v>27512.51</v>
          </cell>
          <cell r="H231">
            <v>29149.510000000002</v>
          </cell>
          <cell r="I231">
            <v>28747.71</v>
          </cell>
          <cell r="J231">
            <v>30320.410000000003</v>
          </cell>
          <cell r="K231">
            <v>30592.95</v>
          </cell>
          <cell r="L231">
            <v>30361.019999999997</v>
          </cell>
          <cell r="M231">
            <v>30798.07</v>
          </cell>
          <cell r="N231">
            <v>28965.410000000003</v>
          </cell>
          <cell r="O231">
            <v>29195.13</v>
          </cell>
          <cell r="P231">
            <v>27681.32</v>
          </cell>
          <cell r="Q231">
            <v>348045.87999999995</v>
          </cell>
        </row>
        <row r="232">
          <cell r="A232">
            <v>50116</v>
          </cell>
          <cell r="B232" t="str">
            <v>Union Benefit Expense</v>
          </cell>
          <cell r="E232">
            <v>75002.37000000001</v>
          </cell>
          <cell r="F232">
            <v>76004.59</v>
          </cell>
          <cell r="G232">
            <v>72736.17</v>
          </cell>
          <cell r="H232">
            <v>70560.600000000006</v>
          </cell>
          <cell r="I232">
            <v>73715.539999999994</v>
          </cell>
          <cell r="J232">
            <v>76036.11</v>
          </cell>
          <cell r="K232">
            <v>76033.8</v>
          </cell>
          <cell r="L232">
            <v>76047.17</v>
          </cell>
          <cell r="M232">
            <v>75995.589999999982</v>
          </cell>
          <cell r="N232">
            <v>77106.5</v>
          </cell>
          <cell r="O232">
            <v>74405.170000000013</v>
          </cell>
          <cell r="P232">
            <v>74519.92</v>
          </cell>
          <cell r="Q232">
            <v>898163.53</v>
          </cell>
        </row>
        <row r="233">
          <cell r="A233">
            <v>50117</v>
          </cell>
          <cell r="B233" t="str">
            <v>Union Pension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50148</v>
          </cell>
          <cell r="B234" t="str">
            <v>Allocated Exp In - District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50149</v>
          </cell>
          <cell r="B235" t="str">
            <v>Allocated Exp In Out - District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50335</v>
          </cell>
          <cell r="B236" t="str">
            <v>Miscellaneous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50900</v>
          </cell>
          <cell r="B237" t="str">
            <v>Capitalized Costs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50998</v>
          </cell>
          <cell r="B238" t="str">
            <v>Allocation Out - District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50999</v>
          </cell>
          <cell r="B239" t="str">
            <v>Allocation Out - Out District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 t="str">
            <v>Total Labor</v>
          </cell>
          <cell r="E240">
            <v>355829.94</v>
          </cell>
          <cell r="F240">
            <v>312790.53000000003</v>
          </cell>
          <cell r="G240">
            <v>353060.25999999995</v>
          </cell>
          <cell r="H240">
            <v>354244.36</v>
          </cell>
          <cell r="I240">
            <v>375435.16</v>
          </cell>
          <cell r="J240">
            <v>372487.97</v>
          </cell>
          <cell r="K240">
            <v>377870.32999999996</v>
          </cell>
          <cell r="L240">
            <v>374292.89</v>
          </cell>
          <cell r="M240">
            <v>378357.81</v>
          </cell>
          <cell r="N240">
            <v>363720.08999999997</v>
          </cell>
          <cell r="O240">
            <v>390035.03</v>
          </cell>
          <cell r="P240">
            <v>369931.60999999993</v>
          </cell>
          <cell r="Q240">
            <v>4378055.9800000004</v>
          </cell>
        </row>
        <row r="242">
          <cell r="A242" t="str">
            <v>Truck Fixed Expenses</v>
          </cell>
        </row>
        <row r="243">
          <cell r="A243">
            <v>51148</v>
          </cell>
          <cell r="B243" t="str">
            <v>Allocation In - District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>
            <v>51149</v>
          </cell>
          <cell r="B244" t="str">
            <v>Allocation In - Out District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51175</v>
          </cell>
          <cell r="B245" t="str">
            <v>Equipment/Vehicle Rental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51275</v>
          </cell>
          <cell r="B246" t="str">
            <v>Property Taxes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A247">
            <v>51295</v>
          </cell>
          <cell r="B247" t="str">
            <v>Licenses</v>
          </cell>
          <cell r="E247">
            <v>7094.03</v>
          </cell>
          <cell r="F247">
            <v>5283.39</v>
          </cell>
          <cell r="G247">
            <v>6038.79</v>
          </cell>
          <cell r="H247">
            <v>6260.76</v>
          </cell>
          <cell r="I247">
            <v>7130.37</v>
          </cell>
          <cell r="J247">
            <v>6495.12</v>
          </cell>
          <cell r="K247">
            <v>7155.12</v>
          </cell>
          <cell r="L247">
            <v>8517.26</v>
          </cell>
          <cell r="M247">
            <v>6025.42</v>
          </cell>
          <cell r="N247">
            <v>6730.71</v>
          </cell>
          <cell r="O247">
            <v>6040.84</v>
          </cell>
          <cell r="P247">
            <v>7017.82</v>
          </cell>
          <cell r="Q247">
            <v>79789.63</v>
          </cell>
        </row>
        <row r="248">
          <cell r="A248">
            <v>51335</v>
          </cell>
          <cell r="B248" t="str">
            <v>Miscellaneous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>
            <v>51998</v>
          </cell>
          <cell r="B249" t="str">
            <v>Allocation Out - District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>
            <v>51999</v>
          </cell>
          <cell r="B250" t="str">
            <v>Allocation Out - Out District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 t="str">
            <v>Total Truck Fixed Expenses</v>
          </cell>
          <cell r="E251">
            <v>7094.03</v>
          </cell>
          <cell r="F251">
            <v>5283.39</v>
          </cell>
          <cell r="G251">
            <v>6038.79</v>
          </cell>
          <cell r="H251">
            <v>6260.76</v>
          </cell>
          <cell r="I251">
            <v>7130.37</v>
          </cell>
          <cell r="J251">
            <v>6495.12</v>
          </cell>
          <cell r="K251">
            <v>7155.12</v>
          </cell>
          <cell r="L251">
            <v>8517.26</v>
          </cell>
          <cell r="M251">
            <v>6025.42</v>
          </cell>
          <cell r="N251">
            <v>6730.71</v>
          </cell>
          <cell r="O251">
            <v>6040.84</v>
          </cell>
          <cell r="P251">
            <v>7017.82</v>
          </cell>
          <cell r="Q251">
            <v>79789.63</v>
          </cell>
        </row>
        <row r="253">
          <cell r="A253" t="str">
            <v>Truck Variable Expenses</v>
          </cell>
        </row>
        <row r="254">
          <cell r="A254">
            <v>52010</v>
          </cell>
          <cell r="B254" t="str">
            <v>Salaries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>
            <v>52020</v>
          </cell>
          <cell r="B255" t="str">
            <v>Wages Regular</v>
          </cell>
          <cell r="E255">
            <v>41831.43</v>
          </cell>
          <cell r="F255">
            <v>31547.360000000001</v>
          </cell>
          <cell r="G255">
            <v>41785.230000000003</v>
          </cell>
          <cell r="H255">
            <v>41270.26</v>
          </cell>
          <cell r="I255">
            <v>32339.71</v>
          </cell>
          <cell r="J255">
            <v>31241.200000000001</v>
          </cell>
          <cell r="K255">
            <v>37276.75</v>
          </cell>
          <cell r="L255">
            <v>38079.120000000003</v>
          </cell>
          <cell r="M255">
            <v>35899.410000000003</v>
          </cell>
          <cell r="N255">
            <v>39332.589999999997</v>
          </cell>
          <cell r="O255">
            <v>37890.239999999998</v>
          </cell>
          <cell r="P255">
            <v>44055.94</v>
          </cell>
          <cell r="Q255">
            <v>452549.24000000005</v>
          </cell>
        </row>
        <row r="256">
          <cell r="A256">
            <v>52025</v>
          </cell>
          <cell r="B256" t="str">
            <v>Wages O.T.</v>
          </cell>
          <cell r="E256">
            <v>7524.35</v>
          </cell>
          <cell r="F256">
            <v>4047.27</v>
          </cell>
          <cell r="G256">
            <v>4760.2299999999996</v>
          </cell>
          <cell r="H256">
            <v>4152.5200000000004</v>
          </cell>
          <cell r="I256">
            <v>5808.01</v>
          </cell>
          <cell r="J256">
            <v>4035.92</v>
          </cell>
          <cell r="K256">
            <v>11119.38</v>
          </cell>
          <cell r="L256">
            <v>2971.58</v>
          </cell>
          <cell r="M256">
            <v>6964.42</v>
          </cell>
          <cell r="N256">
            <v>4824.8500000000004</v>
          </cell>
          <cell r="O256">
            <v>7793.34</v>
          </cell>
          <cell r="P256">
            <v>5555.18</v>
          </cell>
          <cell r="Q256">
            <v>69557.049999999988</v>
          </cell>
        </row>
        <row r="257">
          <cell r="A257">
            <v>52035</v>
          </cell>
          <cell r="B257" t="str">
            <v>Safety Bonuses</v>
          </cell>
          <cell r="E257">
            <v>1250</v>
          </cell>
          <cell r="F257">
            <v>1250</v>
          </cell>
          <cell r="G257">
            <v>1250</v>
          </cell>
          <cell r="H257">
            <v>1250</v>
          </cell>
          <cell r="I257">
            <v>2000</v>
          </cell>
          <cell r="J257">
            <v>2000</v>
          </cell>
          <cell r="K257">
            <v>2000</v>
          </cell>
          <cell r="L257">
            <v>2000</v>
          </cell>
          <cell r="M257">
            <v>1000</v>
          </cell>
          <cell r="N257">
            <v>1000</v>
          </cell>
          <cell r="O257">
            <v>1200</v>
          </cell>
          <cell r="P257">
            <v>-2000</v>
          </cell>
          <cell r="Q257">
            <v>14200</v>
          </cell>
        </row>
        <row r="258">
          <cell r="A258">
            <v>52036</v>
          </cell>
          <cell r="B258" t="str">
            <v>Other Bonus/Commission - Non-Safety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>
            <v>52045</v>
          </cell>
          <cell r="B259" t="str">
            <v>Contract Labor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>
            <v>52050</v>
          </cell>
          <cell r="B260" t="str">
            <v>Payroll Taxes</v>
          </cell>
          <cell r="E260">
            <v>5936.87</v>
          </cell>
          <cell r="F260">
            <v>3515.19</v>
          </cell>
          <cell r="G260">
            <v>4535.6499999999996</v>
          </cell>
          <cell r="H260">
            <v>4653.75</v>
          </cell>
          <cell r="I260">
            <v>4561.24</v>
          </cell>
          <cell r="J260">
            <v>5119.2299999999996</v>
          </cell>
          <cell r="K260">
            <v>5503.32</v>
          </cell>
          <cell r="L260">
            <v>4465.1099999999997</v>
          </cell>
          <cell r="M260">
            <v>4260.3100000000004</v>
          </cell>
          <cell r="N260">
            <v>4002.25</v>
          </cell>
          <cell r="O260">
            <v>5640.4</v>
          </cell>
          <cell r="P260">
            <v>3070</v>
          </cell>
          <cell r="Q260">
            <v>55263.32</v>
          </cell>
        </row>
        <row r="261">
          <cell r="A261">
            <v>52060</v>
          </cell>
          <cell r="B261" t="str">
            <v>Group Insurance</v>
          </cell>
          <cell r="E261">
            <v>-159</v>
          </cell>
          <cell r="F261">
            <v>-159</v>
          </cell>
          <cell r="G261">
            <v>561.5</v>
          </cell>
          <cell r="H261">
            <v>720.5</v>
          </cell>
          <cell r="I261">
            <v>641</v>
          </cell>
          <cell r="J261">
            <v>641</v>
          </cell>
          <cell r="K261">
            <v>641</v>
          </cell>
          <cell r="L261">
            <v>641</v>
          </cell>
          <cell r="M261">
            <v>561.5</v>
          </cell>
          <cell r="N261">
            <v>720.5</v>
          </cell>
          <cell r="O261">
            <v>641</v>
          </cell>
          <cell r="P261">
            <v>511.58</v>
          </cell>
          <cell r="Q261">
            <v>5962.58</v>
          </cell>
        </row>
        <row r="262">
          <cell r="A262">
            <v>52065</v>
          </cell>
          <cell r="B262" t="str">
            <v>Vacation Pay</v>
          </cell>
          <cell r="E262">
            <v>5737.5</v>
          </cell>
          <cell r="F262">
            <v>2090.71</v>
          </cell>
          <cell r="G262">
            <v>1979.73</v>
          </cell>
          <cell r="H262">
            <v>3044.17</v>
          </cell>
          <cell r="I262">
            <v>1571.02</v>
          </cell>
          <cell r="J262">
            <v>4642.26</v>
          </cell>
          <cell r="K262">
            <v>3319.05</v>
          </cell>
          <cell r="L262">
            <v>1557.75</v>
          </cell>
          <cell r="M262">
            <v>5888.63</v>
          </cell>
          <cell r="N262">
            <v>2065.0500000000002</v>
          </cell>
          <cell r="O262">
            <v>3190.34</v>
          </cell>
          <cell r="P262">
            <v>2387</v>
          </cell>
          <cell r="Q262">
            <v>37473.21</v>
          </cell>
        </row>
        <row r="263">
          <cell r="A263">
            <v>52070</v>
          </cell>
          <cell r="B263" t="str">
            <v>Sick Pay</v>
          </cell>
          <cell r="E263">
            <v>0</v>
          </cell>
          <cell r="F263">
            <v>0</v>
          </cell>
          <cell r="G263">
            <v>111.2</v>
          </cell>
          <cell r="H263">
            <v>903.6</v>
          </cell>
          <cell r="I263">
            <v>-301.2</v>
          </cell>
          <cell r="J263">
            <v>114.8</v>
          </cell>
          <cell r="K263">
            <v>229.6</v>
          </cell>
          <cell r="L263">
            <v>-114.8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943.2</v>
          </cell>
        </row>
        <row r="264">
          <cell r="A264">
            <v>52086</v>
          </cell>
          <cell r="B264" t="str">
            <v>Safety and Training</v>
          </cell>
          <cell r="E264">
            <v>313.67</v>
          </cell>
          <cell r="F264">
            <v>337.9</v>
          </cell>
          <cell r="G264">
            <v>464.12</v>
          </cell>
          <cell r="H264">
            <v>898.81</v>
          </cell>
          <cell r="I264">
            <v>1000.19</v>
          </cell>
          <cell r="J264">
            <v>951.13</v>
          </cell>
          <cell r="K264">
            <v>348.03</v>
          </cell>
          <cell r="L264">
            <v>1085.5</v>
          </cell>
          <cell r="M264">
            <v>0</v>
          </cell>
          <cell r="N264">
            <v>252.45</v>
          </cell>
          <cell r="O264">
            <v>0</v>
          </cell>
          <cell r="P264">
            <v>1352.06</v>
          </cell>
          <cell r="Q264">
            <v>7003.8600000000006</v>
          </cell>
        </row>
        <row r="265">
          <cell r="A265">
            <v>52087</v>
          </cell>
          <cell r="B265" t="str">
            <v>Drug Screening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A266">
            <v>52090</v>
          </cell>
          <cell r="B266" t="str">
            <v>Uniforms</v>
          </cell>
          <cell r="E266">
            <v>300.83</v>
          </cell>
          <cell r="F266">
            <v>353.71</v>
          </cell>
          <cell r="G266">
            <v>389.7</v>
          </cell>
          <cell r="H266">
            <v>320.22000000000003</v>
          </cell>
          <cell r="I266">
            <v>296.99</v>
          </cell>
          <cell r="J266">
            <v>450.43</v>
          </cell>
          <cell r="K266">
            <v>428.66</v>
          </cell>
          <cell r="L266">
            <v>1034.03</v>
          </cell>
          <cell r="M266">
            <v>250.15</v>
          </cell>
          <cell r="N266">
            <v>3123.18</v>
          </cell>
          <cell r="O266">
            <v>276.32</v>
          </cell>
          <cell r="P266">
            <v>308.07</v>
          </cell>
          <cell r="Q266">
            <v>7532.2899999999991</v>
          </cell>
        </row>
        <row r="267">
          <cell r="A267">
            <v>52115</v>
          </cell>
          <cell r="B267" t="str">
            <v>Pension and Profit Sharing</v>
          </cell>
          <cell r="E267">
            <v>4010.46</v>
          </cell>
          <cell r="F267">
            <v>3565.56</v>
          </cell>
          <cell r="G267">
            <v>3834.74</v>
          </cell>
          <cell r="H267">
            <v>3873.02</v>
          </cell>
          <cell r="I267">
            <v>3977.37</v>
          </cell>
          <cell r="J267">
            <v>4220.3500000000004</v>
          </cell>
          <cell r="K267">
            <v>4228.8599999999997</v>
          </cell>
          <cell r="L267">
            <v>4197.5600000000004</v>
          </cell>
          <cell r="M267">
            <v>4257.6400000000003</v>
          </cell>
          <cell r="N267">
            <v>4035.58</v>
          </cell>
          <cell r="O267">
            <v>4052.24</v>
          </cell>
          <cell r="P267">
            <v>3832.52</v>
          </cell>
          <cell r="Q267">
            <v>48085.9</v>
          </cell>
        </row>
        <row r="268">
          <cell r="A268">
            <v>52116</v>
          </cell>
          <cell r="B268" t="str">
            <v>Union Benefit Expense</v>
          </cell>
          <cell r="E268">
            <v>11221.99</v>
          </cell>
          <cell r="F268">
            <v>11221.61</v>
          </cell>
          <cell r="G268">
            <v>8963.65</v>
          </cell>
          <cell r="H268">
            <v>10117.1</v>
          </cell>
          <cell r="I268">
            <v>10108.799999999999</v>
          </cell>
          <cell r="J268">
            <v>10108.799999999999</v>
          </cell>
          <cell r="K268">
            <v>10108.799999999999</v>
          </cell>
          <cell r="L268">
            <v>10108.799999999999</v>
          </cell>
          <cell r="M268">
            <v>10102.129999999999</v>
          </cell>
          <cell r="N268">
            <v>10118.73</v>
          </cell>
          <cell r="O268">
            <v>8978.93</v>
          </cell>
          <cell r="P268">
            <v>9916.0499999999993</v>
          </cell>
          <cell r="Q268">
            <v>121075.39</v>
          </cell>
        </row>
        <row r="269">
          <cell r="A269">
            <v>52117</v>
          </cell>
          <cell r="B269" t="str">
            <v>Union Pension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>
            <v>52120</v>
          </cell>
          <cell r="B270" t="str">
            <v>Parts and Materials</v>
          </cell>
          <cell r="E270">
            <v>41193.56</v>
          </cell>
          <cell r="F270">
            <v>42024.94</v>
          </cell>
          <cell r="G270">
            <v>38734.660000000003</v>
          </cell>
          <cell r="H270">
            <v>21757.73</v>
          </cell>
          <cell r="I270">
            <v>38676.519999999997</v>
          </cell>
          <cell r="J270">
            <v>21919.95</v>
          </cell>
          <cell r="K270">
            <v>34237.410000000003</v>
          </cell>
          <cell r="L270">
            <v>36723.200000000004</v>
          </cell>
          <cell r="M270">
            <v>30874.03</v>
          </cell>
          <cell r="N270">
            <v>23554.1</v>
          </cell>
          <cell r="O270">
            <v>38660.959999999999</v>
          </cell>
          <cell r="P270">
            <v>71007.829999999987</v>
          </cell>
          <cell r="Q270">
            <v>439364.89</v>
          </cell>
        </row>
        <row r="271">
          <cell r="A271">
            <v>52125</v>
          </cell>
          <cell r="B271" t="str">
            <v>Operating Supplies</v>
          </cell>
          <cell r="E271">
            <v>450.54</v>
          </cell>
          <cell r="F271">
            <v>864.08</v>
          </cell>
          <cell r="G271">
            <v>1556.99</v>
          </cell>
          <cell r="H271">
            <v>537.54</v>
          </cell>
          <cell r="I271">
            <v>1099.93</v>
          </cell>
          <cell r="J271">
            <v>712.27</v>
          </cell>
          <cell r="K271">
            <v>5197.97</v>
          </cell>
          <cell r="L271">
            <v>-137.46</v>
          </cell>
          <cell r="M271">
            <v>1851.48</v>
          </cell>
          <cell r="N271">
            <v>2157.91</v>
          </cell>
          <cell r="O271">
            <v>2427.54</v>
          </cell>
          <cell r="P271">
            <v>1259.3</v>
          </cell>
          <cell r="Q271">
            <v>17978.09</v>
          </cell>
        </row>
        <row r="272">
          <cell r="A272">
            <v>52135</v>
          </cell>
          <cell r="B272" t="str">
            <v>Equipment and Maint Repair</v>
          </cell>
          <cell r="E272">
            <v>1311.54</v>
          </cell>
          <cell r="F272">
            <v>0</v>
          </cell>
          <cell r="G272">
            <v>1331.95</v>
          </cell>
          <cell r="H272">
            <v>2045.95</v>
          </cell>
          <cell r="I272">
            <v>0</v>
          </cell>
          <cell r="J272">
            <v>829.81</v>
          </cell>
          <cell r="K272">
            <v>0</v>
          </cell>
          <cell r="L272">
            <v>606.65</v>
          </cell>
          <cell r="M272">
            <v>0</v>
          </cell>
          <cell r="N272">
            <v>19.89</v>
          </cell>
          <cell r="O272">
            <v>0</v>
          </cell>
          <cell r="P272">
            <v>4997.33</v>
          </cell>
          <cell r="Q272">
            <v>11143.119999999999</v>
          </cell>
        </row>
        <row r="273">
          <cell r="A273">
            <v>52140</v>
          </cell>
          <cell r="B273" t="str">
            <v>Tires</v>
          </cell>
          <cell r="E273">
            <v>10747.01</v>
          </cell>
          <cell r="F273">
            <v>20260.900000000001</v>
          </cell>
          <cell r="G273">
            <v>12967.76</v>
          </cell>
          <cell r="H273">
            <v>15725.04</v>
          </cell>
          <cell r="I273">
            <v>18198.22</v>
          </cell>
          <cell r="J273">
            <v>22108.07</v>
          </cell>
          <cell r="K273">
            <v>15799.4</v>
          </cell>
          <cell r="L273">
            <v>23775.3</v>
          </cell>
          <cell r="M273">
            <v>38329.33</v>
          </cell>
          <cell r="N273">
            <v>6596.26</v>
          </cell>
          <cell r="O273">
            <v>14714.42</v>
          </cell>
          <cell r="P273">
            <v>23906.22</v>
          </cell>
          <cell r="Q273">
            <v>223127.93</v>
          </cell>
        </row>
        <row r="274">
          <cell r="A274">
            <v>52142</v>
          </cell>
          <cell r="B274" t="str">
            <v>Fuel Expense</v>
          </cell>
          <cell r="E274">
            <v>90672.87</v>
          </cell>
          <cell r="F274">
            <v>84188.88</v>
          </cell>
          <cell r="G274">
            <v>96017.58</v>
          </cell>
          <cell r="H274">
            <v>104369.3</v>
          </cell>
          <cell r="I274">
            <v>97844</v>
          </cell>
          <cell r="J274">
            <v>100692.82</v>
          </cell>
          <cell r="K274">
            <v>101529.68</v>
          </cell>
          <cell r="L274">
            <v>100169.49</v>
          </cell>
          <cell r="M274">
            <v>104198.62999999999</v>
          </cell>
          <cell r="N274">
            <v>102536.13</v>
          </cell>
          <cell r="O274">
            <v>101351.78</v>
          </cell>
          <cell r="P274">
            <v>108470.82</v>
          </cell>
          <cell r="Q274">
            <v>1192041.98</v>
          </cell>
        </row>
        <row r="275">
          <cell r="A275">
            <v>52143</v>
          </cell>
          <cell r="B275" t="str">
            <v>Transmontagne Fuel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>
            <v>52144</v>
          </cell>
          <cell r="B276" t="str">
            <v>Urea Expense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>
            <v>52146</v>
          </cell>
          <cell r="B277" t="str">
            <v>Oil and Grease</v>
          </cell>
          <cell r="E277">
            <v>1875.42</v>
          </cell>
          <cell r="F277">
            <v>3140.6</v>
          </cell>
          <cell r="G277">
            <v>5599.47</v>
          </cell>
          <cell r="H277">
            <v>2698.4</v>
          </cell>
          <cell r="I277">
            <v>3948.29</v>
          </cell>
          <cell r="J277">
            <v>2749.6</v>
          </cell>
          <cell r="K277">
            <v>7146.81</v>
          </cell>
          <cell r="L277">
            <v>2889.82</v>
          </cell>
          <cell r="M277">
            <v>9639.18</v>
          </cell>
          <cell r="N277">
            <v>6672.23</v>
          </cell>
          <cell r="O277">
            <v>11463.27</v>
          </cell>
          <cell r="P277">
            <v>-1288.0899999999999</v>
          </cell>
          <cell r="Q277">
            <v>56535</v>
          </cell>
        </row>
        <row r="278">
          <cell r="A278">
            <v>52147</v>
          </cell>
          <cell r="B278" t="str">
            <v>Outside Repairs</v>
          </cell>
          <cell r="E278">
            <v>8076.3899999999994</v>
          </cell>
          <cell r="F278">
            <v>4057.67</v>
          </cell>
          <cell r="G278">
            <v>2887.37</v>
          </cell>
          <cell r="H278">
            <v>4718.95</v>
          </cell>
          <cell r="I278">
            <v>7256.5</v>
          </cell>
          <cell r="J278">
            <v>4191.84</v>
          </cell>
          <cell r="K278">
            <v>8112.14</v>
          </cell>
          <cell r="L278">
            <v>5106.9299999999994</v>
          </cell>
          <cell r="M278">
            <v>11697.4</v>
          </cell>
          <cell r="N278">
            <v>2871.95</v>
          </cell>
          <cell r="O278">
            <v>2463.9499999999998</v>
          </cell>
          <cell r="P278">
            <v>2818.3500000000004</v>
          </cell>
          <cell r="Q278">
            <v>64259.439999999995</v>
          </cell>
        </row>
        <row r="279">
          <cell r="A279">
            <v>52148</v>
          </cell>
          <cell r="B279" t="str">
            <v>Allocated Exp In - District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A280">
            <v>52149</v>
          </cell>
          <cell r="B280" t="str">
            <v>Allocated Exp In Out - District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52150</v>
          </cell>
          <cell r="B281" t="str">
            <v>Utilities</v>
          </cell>
          <cell r="E281">
            <v>3181.16</v>
          </cell>
          <cell r="F281">
            <v>2292.6799999999998</v>
          </cell>
          <cell r="G281">
            <v>2139.2399999999998</v>
          </cell>
          <cell r="H281">
            <v>1852.79</v>
          </cell>
          <cell r="I281">
            <v>1236.6600000000001</v>
          </cell>
          <cell r="J281">
            <v>1066.23</v>
          </cell>
          <cell r="K281">
            <v>890.6</v>
          </cell>
          <cell r="L281">
            <v>864.21</v>
          </cell>
          <cell r="M281">
            <v>875.77</v>
          </cell>
          <cell r="N281">
            <v>889.61</v>
          </cell>
          <cell r="O281">
            <v>1635.02</v>
          </cell>
          <cell r="P281">
            <v>2991.91</v>
          </cell>
          <cell r="Q281">
            <v>19915.88</v>
          </cell>
        </row>
        <row r="282">
          <cell r="A282">
            <v>52165</v>
          </cell>
          <cell r="B282" t="str">
            <v>Communications</v>
          </cell>
          <cell r="E282">
            <v>1324.81</v>
          </cell>
          <cell r="F282">
            <v>1312.75</v>
          </cell>
          <cell r="G282">
            <v>1300.6099999999999</v>
          </cell>
          <cell r="H282">
            <v>1324.91</v>
          </cell>
          <cell r="I282">
            <v>1652.06</v>
          </cell>
          <cell r="J282">
            <v>1336.3</v>
          </cell>
          <cell r="K282">
            <v>1291.19</v>
          </cell>
          <cell r="L282">
            <v>1252.44</v>
          </cell>
          <cell r="M282">
            <v>1871.82</v>
          </cell>
          <cell r="N282">
            <v>1105.6099999999999</v>
          </cell>
          <cell r="O282">
            <v>1351.41</v>
          </cell>
          <cell r="P282">
            <v>1424.14</v>
          </cell>
          <cell r="Q282">
            <v>16548.05</v>
          </cell>
        </row>
        <row r="283">
          <cell r="A283">
            <v>52170</v>
          </cell>
          <cell r="B283" t="str">
            <v>Real Estate Rentals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>
            <v>52172</v>
          </cell>
          <cell r="B284" t="str">
            <v>Chassis Lease Expense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52175</v>
          </cell>
          <cell r="B285" t="str">
            <v>Equip/Vehicle Rental</v>
          </cell>
          <cell r="E285">
            <v>230.74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230.74</v>
          </cell>
        </row>
        <row r="286">
          <cell r="A286">
            <v>52181</v>
          </cell>
          <cell r="B286" t="str">
            <v>Freight</v>
          </cell>
          <cell r="E286">
            <v>0</v>
          </cell>
          <cell r="F286">
            <v>0</v>
          </cell>
          <cell r="G286">
            <v>0</v>
          </cell>
          <cell r="H286">
            <v>16.23</v>
          </cell>
          <cell r="I286">
            <v>369.59000000000003</v>
          </cell>
          <cell r="J286">
            <v>0</v>
          </cell>
          <cell r="K286">
            <v>0</v>
          </cell>
          <cell r="L286">
            <v>95.38</v>
          </cell>
          <cell r="M286">
            <v>0</v>
          </cell>
          <cell r="N286">
            <v>0</v>
          </cell>
          <cell r="O286">
            <v>0</v>
          </cell>
          <cell r="P286">
            <v>103.97</v>
          </cell>
          <cell r="Q286">
            <v>585.17000000000007</v>
          </cell>
        </row>
        <row r="287">
          <cell r="A287">
            <v>52182</v>
          </cell>
          <cell r="B287" t="str">
            <v>Towing Expense</v>
          </cell>
          <cell r="E287">
            <v>455.28</v>
          </cell>
          <cell r="F287">
            <v>428.18</v>
          </cell>
          <cell r="G287">
            <v>195.12</v>
          </cell>
          <cell r="H287">
            <v>627.72</v>
          </cell>
          <cell r="I287">
            <v>1626</v>
          </cell>
          <cell r="J287">
            <v>0</v>
          </cell>
          <cell r="K287">
            <v>569.1</v>
          </cell>
          <cell r="L287">
            <v>0</v>
          </cell>
          <cell r="M287">
            <v>238.48</v>
          </cell>
          <cell r="N287">
            <v>0</v>
          </cell>
          <cell r="O287">
            <v>661.24</v>
          </cell>
          <cell r="P287">
            <v>514.9</v>
          </cell>
          <cell r="Q287">
            <v>5316.0199999999995</v>
          </cell>
        </row>
        <row r="288">
          <cell r="A288">
            <v>52185</v>
          </cell>
          <cell r="B288" t="str">
            <v>Travel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A289">
            <v>52200</v>
          </cell>
          <cell r="B289" t="str">
            <v>Office Supply and Equip</v>
          </cell>
          <cell r="E289">
            <v>302.27999999999997</v>
          </cell>
          <cell r="F289">
            <v>504.92</v>
          </cell>
          <cell r="G289">
            <v>245.31</v>
          </cell>
          <cell r="H289">
            <v>1615.6</v>
          </cell>
          <cell r="I289">
            <v>152.86000000000001</v>
          </cell>
          <cell r="J289">
            <v>155.44</v>
          </cell>
          <cell r="K289">
            <v>66.27</v>
          </cell>
          <cell r="L289">
            <v>678.01</v>
          </cell>
          <cell r="M289">
            <v>154.47999999999999</v>
          </cell>
          <cell r="N289">
            <v>1193.94</v>
          </cell>
          <cell r="O289">
            <v>147.13</v>
          </cell>
          <cell r="P289">
            <v>809.46</v>
          </cell>
          <cell r="Q289">
            <v>6025.7</v>
          </cell>
        </row>
        <row r="290">
          <cell r="A290">
            <v>52275</v>
          </cell>
          <cell r="B290" t="str">
            <v>Property Taxes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A291">
            <v>52335</v>
          </cell>
          <cell r="B291" t="str">
            <v>Miscellaneous</v>
          </cell>
          <cell r="E291">
            <v>27</v>
          </cell>
          <cell r="F291">
            <v>0</v>
          </cell>
          <cell r="G291">
            <v>13.5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40.5</v>
          </cell>
        </row>
        <row r="292">
          <cell r="A292">
            <v>52900</v>
          </cell>
          <cell r="B292" t="str">
            <v>Capitalized Costs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>
            <v>52901</v>
          </cell>
          <cell r="B293" t="str">
            <v>Costs Awaiting Capitilization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52998</v>
          </cell>
          <cell r="B294" t="str">
            <v>Allocation Out - District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52999</v>
          </cell>
          <cell r="B295" t="str">
            <v>Allocation Out - Out District</v>
          </cell>
          <cell r="E295">
            <v>-8839.42</v>
          </cell>
          <cell r="F295">
            <v>-11223.85</v>
          </cell>
          <cell r="G295">
            <v>-12345.57</v>
          </cell>
          <cell r="H295">
            <v>-17818.71</v>
          </cell>
          <cell r="I295">
            <v>-8260.7000000000007</v>
          </cell>
          <cell r="J295">
            <v>-18104.939999999999</v>
          </cell>
          <cell r="K295">
            <v>-8429.56</v>
          </cell>
          <cell r="L295">
            <v>-12829.3</v>
          </cell>
          <cell r="M295">
            <v>-6149.56</v>
          </cell>
          <cell r="N295">
            <v>-5808.26</v>
          </cell>
          <cell r="O295">
            <v>-5947.92</v>
          </cell>
          <cell r="P295">
            <v>-45343.87</v>
          </cell>
          <cell r="Q295">
            <v>-161101.66</v>
          </cell>
        </row>
        <row r="296">
          <cell r="A296" t="str">
            <v>Total Truck Variable</v>
          </cell>
          <cell r="E296">
            <v>228977.27999999997</v>
          </cell>
          <cell r="F296">
            <v>205622.06000000003</v>
          </cell>
          <cell r="G296">
            <v>219279.73999999996</v>
          </cell>
          <cell r="H296">
            <v>210675.40000000005</v>
          </cell>
          <cell r="I296">
            <v>225803.05999999997</v>
          </cell>
          <cell r="J296">
            <v>201182.51</v>
          </cell>
          <cell r="K296">
            <v>241614.46</v>
          </cell>
          <cell r="L296">
            <v>225220.32000000004</v>
          </cell>
          <cell r="M296">
            <v>262765.23</v>
          </cell>
          <cell r="N296">
            <v>211264.55</v>
          </cell>
          <cell r="O296">
            <v>238591.60999999996</v>
          </cell>
          <cell r="P296">
            <v>240660.66999999993</v>
          </cell>
          <cell r="Q296">
            <v>2711656.8899999997</v>
          </cell>
        </row>
        <row r="298">
          <cell r="A298" t="str">
            <v>Container</v>
          </cell>
        </row>
        <row r="299">
          <cell r="A299">
            <v>54148</v>
          </cell>
          <cell r="B299" t="str">
            <v>Allocation In - District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A300">
            <v>54149</v>
          </cell>
          <cell r="B300" t="str">
            <v>Allocation In - Out District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54175</v>
          </cell>
          <cell r="B301" t="str">
            <v>Equipment/Vehicle Rental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>
            <v>54275</v>
          </cell>
          <cell r="B302" t="str">
            <v>Property Taxes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54335</v>
          </cell>
          <cell r="B303" t="str">
            <v>Miscellaneous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54998</v>
          </cell>
          <cell r="B304" t="str">
            <v>Allocation Out - District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A305">
            <v>54999</v>
          </cell>
          <cell r="B305" t="str">
            <v>Allocation Out - Out District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55010</v>
          </cell>
          <cell r="B306" t="str">
            <v>Salaries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55020</v>
          </cell>
          <cell r="B307" t="str">
            <v>Wages Regular</v>
          </cell>
          <cell r="E307">
            <v>4237.87</v>
          </cell>
          <cell r="F307">
            <v>3645.1</v>
          </cell>
          <cell r="G307">
            <v>5053.71</v>
          </cell>
          <cell r="H307">
            <v>3782.98</v>
          </cell>
          <cell r="I307">
            <v>4116.55</v>
          </cell>
          <cell r="J307">
            <v>4866.5600000000004</v>
          </cell>
          <cell r="K307">
            <v>3450.41</v>
          </cell>
          <cell r="L307">
            <v>-895.79</v>
          </cell>
          <cell r="M307">
            <v>2790.36</v>
          </cell>
          <cell r="N307">
            <v>2211.17</v>
          </cell>
          <cell r="O307">
            <v>1382.48</v>
          </cell>
          <cell r="P307">
            <v>2606.41</v>
          </cell>
          <cell r="Q307">
            <v>37247.81</v>
          </cell>
        </row>
        <row r="308">
          <cell r="A308">
            <v>55025</v>
          </cell>
          <cell r="B308" t="str">
            <v>Wages O.T.</v>
          </cell>
          <cell r="E308">
            <v>207.52</v>
          </cell>
          <cell r="F308">
            <v>12.82</v>
          </cell>
          <cell r="G308">
            <v>38.619999999999997</v>
          </cell>
          <cell r="H308">
            <v>37.99</v>
          </cell>
          <cell r="I308">
            <v>485</v>
          </cell>
          <cell r="J308">
            <v>319.70999999999998</v>
          </cell>
          <cell r="K308">
            <v>215.61</v>
          </cell>
          <cell r="L308">
            <v>-99.64</v>
          </cell>
          <cell r="M308">
            <v>16.27</v>
          </cell>
          <cell r="N308">
            <v>59.9</v>
          </cell>
          <cell r="O308">
            <v>192.29</v>
          </cell>
          <cell r="P308">
            <v>-41.94</v>
          </cell>
          <cell r="Q308">
            <v>1444.1499999999999</v>
          </cell>
        </row>
        <row r="309">
          <cell r="A309">
            <v>55035</v>
          </cell>
          <cell r="B309" t="str">
            <v>Safety Bonuses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A310">
            <v>55036</v>
          </cell>
          <cell r="B310" t="str">
            <v>Other Bonus/Commission - Non-Safety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A311">
            <v>55045</v>
          </cell>
          <cell r="B311" t="str">
            <v>Contract Labor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A312">
            <v>55050</v>
          </cell>
          <cell r="B312" t="str">
            <v>Payroll Taxes</v>
          </cell>
          <cell r="E312">
            <v>526.11</v>
          </cell>
          <cell r="F312">
            <v>376.89</v>
          </cell>
          <cell r="G312">
            <v>487.16</v>
          </cell>
          <cell r="H312">
            <v>433.36</v>
          </cell>
          <cell r="I312">
            <v>441.95</v>
          </cell>
          <cell r="J312">
            <v>479.57</v>
          </cell>
          <cell r="K312">
            <v>386.21</v>
          </cell>
          <cell r="L312">
            <v>296.14999999999998</v>
          </cell>
          <cell r="M312">
            <v>200.44</v>
          </cell>
          <cell r="N312">
            <v>209.02</v>
          </cell>
          <cell r="O312">
            <v>287.25</v>
          </cell>
          <cell r="P312">
            <v>160.52000000000001</v>
          </cell>
          <cell r="Q312">
            <v>4284.630000000001</v>
          </cell>
        </row>
        <row r="313">
          <cell r="A313">
            <v>55060</v>
          </cell>
          <cell r="B313" t="str">
            <v>Group Insurance</v>
          </cell>
          <cell r="E313">
            <v>592</v>
          </cell>
          <cell r="F313">
            <v>592</v>
          </cell>
          <cell r="G313">
            <v>488</v>
          </cell>
          <cell r="H313">
            <v>696</v>
          </cell>
          <cell r="I313">
            <v>592</v>
          </cell>
          <cell r="J313">
            <v>592</v>
          </cell>
          <cell r="K313">
            <v>592</v>
          </cell>
          <cell r="L313">
            <v>592</v>
          </cell>
          <cell r="M313">
            <v>589</v>
          </cell>
          <cell r="N313">
            <v>693</v>
          </cell>
          <cell r="O313">
            <v>641</v>
          </cell>
          <cell r="P313">
            <v>641</v>
          </cell>
          <cell r="Q313">
            <v>7300</v>
          </cell>
        </row>
        <row r="314">
          <cell r="A314">
            <v>55065</v>
          </cell>
          <cell r="B314" t="str">
            <v>Vacation Pay</v>
          </cell>
          <cell r="E314">
            <v>1530.51</v>
          </cell>
          <cell r="F314">
            <v>299.68</v>
          </cell>
          <cell r="G314">
            <v>-333.52</v>
          </cell>
          <cell r="H314">
            <v>791.16</v>
          </cell>
          <cell r="I314">
            <v>342.62</v>
          </cell>
          <cell r="J314">
            <v>95.96</v>
          </cell>
          <cell r="K314">
            <v>412.42</v>
          </cell>
          <cell r="L314">
            <v>663.21</v>
          </cell>
          <cell r="M314">
            <v>-476.38</v>
          </cell>
          <cell r="N314">
            <v>100.96</v>
          </cell>
          <cell r="O314">
            <v>-21.16</v>
          </cell>
          <cell r="P314">
            <v>202.89</v>
          </cell>
          <cell r="Q314">
            <v>3608.35</v>
          </cell>
        </row>
        <row r="315">
          <cell r="A315">
            <v>55070</v>
          </cell>
          <cell r="B315" t="str">
            <v>Sick Pay</v>
          </cell>
          <cell r="E315">
            <v>0</v>
          </cell>
          <cell r="F315">
            <v>106.8</v>
          </cell>
          <cell r="G315">
            <v>0</v>
          </cell>
          <cell r="H315">
            <v>207</v>
          </cell>
          <cell r="I315">
            <v>107.64</v>
          </cell>
          <cell r="J315">
            <v>-66.239999999999995</v>
          </cell>
          <cell r="K315">
            <v>386.4</v>
          </cell>
          <cell r="L315">
            <v>0</v>
          </cell>
          <cell r="M315">
            <v>0</v>
          </cell>
          <cell r="N315">
            <v>0</v>
          </cell>
          <cell r="O315">
            <v>1048.8</v>
          </cell>
          <cell r="P315">
            <v>-386.4</v>
          </cell>
          <cell r="Q315">
            <v>1404</v>
          </cell>
        </row>
        <row r="316">
          <cell r="A316">
            <v>55086</v>
          </cell>
          <cell r="B316" t="str">
            <v>Safety and Training</v>
          </cell>
          <cell r="E316">
            <v>0</v>
          </cell>
          <cell r="F316">
            <v>0</v>
          </cell>
          <cell r="G316">
            <v>0</v>
          </cell>
          <cell r="H316">
            <v>102.92</v>
          </cell>
          <cell r="I316">
            <v>87.01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25</v>
          </cell>
          <cell r="O316">
            <v>0</v>
          </cell>
          <cell r="P316">
            <v>0</v>
          </cell>
          <cell r="Q316">
            <v>214.93</v>
          </cell>
        </row>
        <row r="317">
          <cell r="A317">
            <v>55090</v>
          </cell>
          <cell r="B317" t="str">
            <v>Uniforms</v>
          </cell>
          <cell r="E317">
            <v>150.38</v>
          </cell>
          <cell r="F317">
            <v>176.83</v>
          </cell>
          <cell r="G317">
            <v>194.81</v>
          </cell>
          <cell r="H317">
            <v>160.08000000000001</v>
          </cell>
          <cell r="I317">
            <v>148.47</v>
          </cell>
          <cell r="J317">
            <v>225.16</v>
          </cell>
          <cell r="K317">
            <v>214.31</v>
          </cell>
          <cell r="L317">
            <v>616.44000000000005</v>
          </cell>
          <cell r="M317">
            <v>125.04</v>
          </cell>
          <cell r="N317">
            <v>178.98</v>
          </cell>
          <cell r="O317">
            <v>138.13999999999999</v>
          </cell>
          <cell r="P317">
            <v>154.04</v>
          </cell>
          <cell r="Q317">
            <v>2482.6799999999998</v>
          </cell>
        </row>
        <row r="318">
          <cell r="A318">
            <v>55115</v>
          </cell>
          <cell r="B318" t="str">
            <v>Pension and Profit Sharing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A319">
            <v>55116</v>
          </cell>
          <cell r="B319" t="str">
            <v>Union Benefit Expense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A320">
            <v>55117</v>
          </cell>
          <cell r="B320" t="str">
            <v>Union Pension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55120</v>
          </cell>
          <cell r="B321" t="str">
            <v>Parts and Materials</v>
          </cell>
          <cell r="E321">
            <v>8487.7999999999993</v>
          </cell>
          <cell r="F321">
            <v>7446.84</v>
          </cell>
          <cell r="G321">
            <v>15850.27</v>
          </cell>
          <cell r="H321">
            <v>18201.75</v>
          </cell>
          <cell r="I321">
            <v>9184.14</v>
          </cell>
          <cell r="J321">
            <v>13165.81</v>
          </cell>
          <cell r="K321">
            <v>11588.02</v>
          </cell>
          <cell r="L321">
            <v>15366.43</v>
          </cell>
          <cell r="M321">
            <v>-29929.23</v>
          </cell>
          <cell r="N321">
            <v>8572.4699999999993</v>
          </cell>
          <cell r="O321">
            <v>2939.21</v>
          </cell>
          <cell r="P321">
            <v>7744.74</v>
          </cell>
          <cell r="Q321">
            <v>88618.250000000015</v>
          </cell>
        </row>
        <row r="322">
          <cell r="A322">
            <v>55125</v>
          </cell>
          <cell r="B322" t="str">
            <v>Operating Supplies</v>
          </cell>
          <cell r="E322">
            <v>625.29999999999995</v>
          </cell>
          <cell r="F322">
            <v>287.99</v>
          </cell>
          <cell r="G322">
            <v>0</v>
          </cell>
          <cell r="H322">
            <v>809.74</v>
          </cell>
          <cell r="I322">
            <v>404.7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64.819999999999993</v>
          </cell>
          <cell r="P322">
            <v>0</v>
          </cell>
          <cell r="Q322">
            <v>2192.5500000000002</v>
          </cell>
        </row>
        <row r="323">
          <cell r="A323">
            <v>55135</v>
          </cell>
          <cell r="B323" t="str">
            <v>Equipment and Maint Repair</v>
          </cell>
          <cell r="E323">
            <v>0</v>
          </cell>
          <cell r="F323">
            <v>321.35000000000002</v>
          </cell>
          <cell r="G323">
            <v>309.18</v>
          </cell>
          <cell r="H323">
            <v>826.48</v>
          </cell>
          <cell r="I323">
            <v>87.89</v>
          </cell>
          <cell r="J323">
            <v>0</v>
          </cell>
          <cell r="K323">
            <v>0</v>
          </cell>
          <cell r="L323">
            <v>0</v>
          </cell>
          <cell r="M323">
            <v>531.54999999999995</v>
          </cell>
          <cell r="N323">
            <v>172.24</v>
          </cell>
          <cell r="O323">
            <v>0</v>
          </cell>
          <cell r="P323">
            <v>250.34</v>
          </cell>
          <cell r="Q323">
            <v>2499.0299999999997</v>
          </cell>
        </row>
        <row r="324">
          <cell r="A324">
            <v>55140</v>
          </cell>
          <cell r="B324" t="str">
            <v>Tires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A325">
            <v>55142</v>
          </cell>
          <cell r="B325" t="str">
            <v>Fuel Expense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>
            <v>55143</v>
          </cell>
          <cell r="B326" t="str">
            <v>Corporate Medical Waste Supplies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>
            <v>55146</v>
          </cell>
          <cell r="B327" t="str">
            <v>Oil and Grease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A328">
            <v>55147</v>
          </cell>
          <cell r="B328" t="str">
            <v>Outside Repairs</v>
          </cell>
          <cell r="E328">
            <v>0</v>
          </cell>
          <cell r="F328">
            <v>292.57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292.57</v>
          </cell>
        </row>
        <row r="329">
          <cell r="A329">
            <v>55148</v>
          </cell>
          <cell r="B329" t="str">
            <v>Allocated Exp In - District</v>
          </cell>
          <cell r="E329">
            <v>0</v>
          </cell>
          <cell r="F329">
            <v>116.52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116.52</v>
          </cell>
        </row>
        <row r="330">
          <cell r="A330">
            <v>55149</v>
          </cell>
          <cell r="B330" t="str">
            <v>Allocated Exp In Out - District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55150</v>
          </cell>
          <cell r="B331" t="str">
            <v>Utilities</v>
          </cell>
          <cell r="E331">
            <v>437.73</v>
          </cell>
          <cell r="F331">
            <v>510</v>
          </cell>
          <cell r="G331">
            <v>480.44</v>
          </cell>
          <cell r="H331">
            <v>460.73</v>
          </cell>
          <cell r="I331">
            <v>398.31</v>
          </cell>
          <cell r="J331">
            <v>372.03</v>
          </cell>
          <cell r="K331">
            <v>329.33</v>
          </cell>
          <cell r="L331">
            <v>0</v>
          </cell>
          <cell r="M331">
            <v>370.51</v>
          </cell>
          <cell r="N331">
            <v>344.08</v>
          </cell>
          <cell r="O331">
            <v>368.05</v>
          </cell>
          <cell r="P331">
            <v>368.05</v>
          </cell>
          <cell r="Q331">
            <v>4439.26</v>
          </cell>
        </row>
        <row r="332">
          <cell r="A332">
            <v>55181</v>
          </cell>
          <cell r="B332" t="str">
            <v>Freight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A333">
            <v>55335</v>
          </cell>
          <cell r="B333" t="str">
            <v>Miscellaneous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>
            <v>55900</v>
          </cell>
          <cell r="B334" t="str">
            <v>Capitalized Costs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A335">
            <v>55998</v>
          </cell>
          <cell r="B335" t="str">
            <v>Allocation Out - District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55999</v>
          </cell>
          <cell r="B336" t="str">
            <v>Allocation Out - Out District</v>
          </cell>
          <cell r="E336">
            <v>-3211.72</v>
          </cell>
          <cell r="F336">
            <v>-1377.44</v>
          </cell>
          <cell r="G336">
            <v>-15514.36</v>
          </cell>
          <cell r="H336">
            <v>-20245.62</v>
          </cell>
          <cell r="I336">
            <v>-8044.68</v>
          </cell>
          <cell r="J336">
            <v>-1309.6400000000001</v>
          </cell>
          <cell r="K336">
            <v>-416.83</v>
          </cell>
          <cell r="L336">
            <v>-3864.87</v>
          </cell>
          <cell r="M336">
            <v>-3105</v>
          </cell>
          <cell r="N336">
            <v>-3070</v>
          </cell>
          <cell r="O336">
            <v>-7561.32</v>
          </cell>
          <cell r="P336">
            <v>-4472.33</v>
          </cell>
          <cell r="Q336">
            <v>-72193.810000000012</v>
          </cell>
        </row>
        <row r="337">
          <cell r="A337" t="str">
            <v>Total Container</v>
          </cell>
          <cell r="E337">
            <v>13583.499999999998</v>
          </cell>
          <cell r="F337">
            <v>12807.949999999999</v>
          </cell>
          <cell r="G337">
            <v>7054.3099999999977</v>
          </cell>
          <cell r="H337">
            <v>6264.57</v>
          </cell>
          <cell r="I337">
            <v>8351.6000000000022</v>
          </cell>
          <cell r="J337">
            <v>18740.919999999998</v>
          </cell>
          <cell r="K337">
            <v>17157.88</v>
          </cell>
          <cell r="L337">
            <v>12673.93</v>
          </cell>
          <cell r="M337">
            <v>-28887.440000000002</v>
          </cell>
          <cell r="N337">
            <v>9496.82</v>
          </cell>
          <cell r="O337">
            <v>-520.4399999999996</v>
          </cell>
          <cell r="P337">
            <v>7227.3199999999979</v>
          </cell>
          <cell r="Q337">
            <v>83950.92</v>
          </cell>
        </row>
        <row r="339">
          <cell r="A339" t="str">
            <v>Supervisor</v>
          </cell>
        </row>
        <row r="340">
          <cell r="A340">
            <v>56010</v>
          </cell>
          <cell r="B340" t="str">
            <v>Salaries</v>
          </cell>
          <cell r="E340">
            <v>8076.93</v>
          </cell>
          <cell r="F340">
            <v>7692.32</v>
          </cell>
          <cell r="G340">
            <v>8846.17</v>
          </cell>
          <cell r="H340">
            <v>8461.56</v>
          </cell>
          <cell r="I340">
            <v>8176.05</v>
          </cell>
          <cell r="J340">
            <v>8565.3799999999992</v>
          </cell>
          <cell r="K340">
            <v>8565.39</v>
          </cell>
          <cell r="L340">
            <v>8565.39</v>
          </cell>
          <cell r="M340">
            <v>8565.39</v>
          </cell>
          <cell r="N340">
            <v>8176.07</v>
          </cell>
          <cell r="O340">
            <v>8565.39</v>
          </cell>
          <cell r="P340">
            <v>8954.7199999999993</v>
          </cell>
          <cell r="Q340">
            <v>101210.76</v>
          </cell>
        </row>
        <row r="341">
          <cell r="A341">
            <v>56020</v>
          </cell>
          <cell r="B341" t="str">
            <v>Wages Regular</v>
          </cell>
          <cell r="E341">
            <v>2832.84</v>
          </cell>
          <cell r="F341">
            <v>5053.68</v>
          </cell>
          <cell r="G341">
            <v>4774.8999999999996</v>
          </cell>
          <cell r="H341">
            <v>4762.42</v>
          </cell>
          <cell r="I341">
            <v>2680.17</v>
          </cell>
          <cell r="J341">
            <v>3378.56</v>
          </cell>
          <cell r="K341">
            <v>5325.53</v>
          </cell>
          <cell r="L341">
            <v>3835.06</v>
          </cell>
          <cell r="M341">
            <v>4435.92</v>
          </cell>
          <cell r="N341">
            <v>4522.72</v>
          </cell>
          <cell r="O341">
            <v>4731.6499999999996</v>
          </cell>
          <cell r="P341">
            <v>4844.54</v>
          </cell>
          <cell r="Q341">
            <v>51177.990000000005</v>
          </cell>
        </row>
        <row r="342">
          <cell r="A342">
            <v>56025</v>
          </cell>
          <cell r="B342" t="str">
            <v>Wages O.T.</v>
          </cell>
          <cell r="E342">
            <v>274.88</v>
          </cell>
          <cell r="F342">
            <v>259.24</v>
          </cell>
          <cell r="G342">
            <v>649.44000000000005</v>
          </cell>
          <cell r="H342">
            <v>504.21</v>
          </cell>
          <cell r="I342">
            <v>341.07</v>
          </cell>
          <cell r="J342">
            <v>196.68</v>
          </cell>
          <cell r="K342">
            <v>716.35</v>
          </cell>
          <cell r="L342">
            <v>71.97</v>
          </cell>
          <cell r="M342">
            <v>716.15</v>
          </cell>
          <cell r="N342">
            <v>388.74</v>
          </cell>
          <cell r="O342">
            <v>560.69000000000005</v>
          </cell>
          <cell r="P342">
            <v>692.62</v>
          </cell>
          <cell r="Q342">
            <v>5372.04</v>
          </cell>
        </row>
        <row r="343">
          <cell r="A343">
            <v>56035</v>
          </cell>
          <cell r="B343" t="str">
            <v>Safety Bonuses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A344">
            <v>56036</v>
          </cell>
          <cell r="B344" t="str">
            <v>Other Bonus/Commission - Non-Safety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A345">
            <v>56037</v>
          </cell>
          <cell r="B345" t="str">
            <v>Termination Pay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A346">
            <v>56045</v>
          </cell>
          <cell r="B346" t="str">
            <v>Contract Labor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2127.6</v>
          </cell>
          <cell r="J346">
            <v>283.68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2411.2799999999997</v>
          </cell>
        </row>
        <row r="347">
          <cell r="A347">
            <v>56050</v>
          </cell>
          <cell r="B347" t="str">
            <v>Payroll Taxes</v>
          </cell>
          <cell r="E347">
            <v>1457.13</v>
          </cell>
          <cell r="F347">
            <v>1086.04</v>
          </cell>
          <cell r="G347">
            <v>1432.76</v>
          </cell>
          <cell r="H347">
            <v>1237.58</v>
          </cell>
          <cell r="I347">
            <v>1015.69</v>
          </cell>
          <cell r="J347">
            <v>1252.47</v>
          </cell>
          <cell r="K347">
            <v>1534.22</v>
          </cell>
          <cell r="L347">
            <v>1138.26</v>
          </cell>
          <cell r="M347">
            <v>1122.4100000000001</v>
          </cell>
          <cell r="N347">
            <v>1083.83</v>
          </cell>
          <cell r="O347">
            <v>1262.81</v>
          </cell>
          <cell r="P347">
            <v>1237.03</v>
          </cell>
          <cell r="Q347">
            <v>14860.230000000001</v>
          </cell>
        </row>
        <row r="348">
          <cell r="A348">
            <v>56060</v>
          </cell>
          <cell r="B348" t="str">
            <v>Group Insurance</v>
          </cell>
          <cell r="E348">
            <v>2260</v>
          </cell>
          <cell r="F348">
            <v>2260</v>
          </cell>
          <cell r="G348">
            <v>2015</v>
          </cell>
          <cell r="H348">
            <v>2505</v>
          </cell>
          <cell r="I348">
            <v>2286.75</v>
          </cell>
          <cell r="J348">
            <v>2260</v>
          </cell>
          <cell r="K348">
            <v>2233.2399999999998</v>
          </cell>
          <cell r="L348">
            <v>2260</v>
          </cell>
          <cell r="M348">
            <v>2015</v>
          </cell>
          <cell r="N348">
            <v>2505</v>
          </cell>
          <cell r="O348">
            <v>2260</v>
          </cell>
          <cell r="P348">
            <v>2260</v>
          </cell>
          <cell r="Q348">
            <v>27119.989999999998</v>
          </cell>
        </row>
        <row r="349">
          <cell r="A349">
            <v>56065</v>
          </cell>
          <cell r="B349" t="str">
            <v>Vacation Pay</v>
          </cell>
          <cell r="E349">
            <v>1525.21</v>
          </cell>
          <cell r="F349">
            <v>-107.25</v>
          </cell>
          <cell r="G349">
            <v>686</v>
          </cell>
          <cell r="H349">
            <v>651.78</v>
          </cell>
          <cell r="I349">
            <v>5006.99</v>
          </cell>
          <cell r="J349">
            <v>-77.53</v>
          </cell>
          <cell r="K349">
            <v>1031.8800000000001</v>
          </cell>
          <cell r="L349">
            <v>1229.18</v>
          </cell>
          <cell r="M349">
            <v>-193.57</v>
          </cell>
          <cell r="N349">
            <v>1097.0899999999999</v>
          </cell>
          <cell r="O349">
            <v>647.59</v>
          </cell>
          <cell r="P349">
            <v>92.16</v>
          </cell>
          <cell r="Q349">
            <v>11589.53</v>
          </cell>
        </row>
        <row r="350">
          <cell r="A350">
            <v>56070</v>
          </cell>
          <cell r="B350" t="str">
            <v>Sick Pay</v>
          </cell>
          <cell r="E350">
            <v>197.6</v>
          </cell>
          <cell r="F350">
            <v>-54.84</v>
          </cell>
          <cell r="G350">
            <v>58.3</v>
          </cell>
          <cell r="H350">
            <v>30.87</v>
          </cell>
          <cell r="I350">
            <v>0</v>
          </cell>
          <cell r="J350">
            <v>421.35</v>
          </cell>
          <cell r="K350">
            <v>0</v>
          </cell>
          <cell r="L350">
            <v>0</v>
          </cell>
          <cell r="M350">
            <v>371.67</v>
          </cell>
          <cell r="N350">
            <v>-106.19</v>
          </cell>
          <cell r="O350">
            <v>333.34</v>
          </cell>
          <cell r="P350">
            <v>-137.26</v>
          </cell>
          <cell r="Q350">
            <v>1114.8399999999999</v>
          </cell>
        </row>
        <row r="351">
          <cell r="A351">
            <v>56086</v>
          </cell>
          <cell r="B351" t="str">
            <v>Safety and Training</v>
          </cell>
          <cell r="E351">
            <v>259.02</v>
          </cell>
          <cell r="F351">
            <v>48.7</v>
          </cell>
          <cell r="G351">
            <v>93.68</v>
          </cell>
          <cell r="H351">
            <v>64.45</v>
          </cell>
          <cell r="I351">
            <v>0</v>
          </cell>
          <cell r="J351">
            <v>194.76</v>
          </cell>
          <cell r="K351">
            <v>1077.77</v>
          </cell>
          <cell r="L351">
            <v>241.93</v>
          </cell>
          <cell r="M351">
            <v>798.35</v>
          </cell>
          <cell r="N351">
            <v>821.91</v>
          </cell>
          <cell r="O351">
            <v>200.16</v>
          </cell>
          <cell r="P351">
            <v>135.97999999999999</v>
          </cell>
          <cell r="Q351">
            <v>3936.7099999999996</v>
          </cell>
        </row>
        <row r="352">
          <cell r="A352">
            <v>56090</v>
          </cell>
          <cell r="B352" t="str">
            <v>Uniforms</v>
          </cell>
          <cell r="E352">
            <v>1795.66</v>
          </cell>
          <cell r="F352">
            <v>143.75</v>
          </cell>
          <cell r="G352">
            <v>1117.68</v>
          </cell>
          <cell r="H352">
            <v>663</v>
          </cell>
          <cell r="I352">
            <v>503.29</v>
          </cell>
          <cell r="J352">
            <v>889.18</v>
          </cell>
          <cell r="K352">
            <v>1081.28</v>
          </cell>
          <cell r="L352">
            <v>680.36</v>
          </cell>
          <cell r="M352">
            <v>906.86</v>
          </cell>
          <cell r="N352">
            <v>144.98000000000002</v>
          </cell>
          <cell r="O352">
            <v>1093.78</v>
          </cell>
          <cell r="P352">
            <v>477.8</v>
          </cell>
          <cell r="Q352">
            <v>9497.619999999999</v>
          </cell>
        </row>
        <row r="353">
          <cell r="A353">
            <v>56095</v>
          </cell>
          <cell r="B353" t="str">
            <v>Empl &amp; Commun Activ</v>
          </cell>
          <cell r="E353">
            <v>727.54</v>
          </cell>
          <cell r="F353">
            <v>-266.95</v>
          </cell>
          <cell r="G353">
            <v>0</v>
          </cell>
          <cell r="H353">
            <v>92.48</v>
          </cell>
          <cell r="I353">
            <v>485.76</v>
          </cell>
          <cell r="J353">
            <v>463.36</v>
          </cell>
          <cell r="K353">
            <v>0</v>
          </cell>
          <cell r="L353">
            <v>0</v>
          </cell>
          <cell r="M353">
            <v>293.06</v>
          </cell>
          <cell r="N353">
            <v>28.73</v>
          </cell>
          <cell r="O353">
            <v>-181.04</v>
          </cell>
          <cell r="P353">
            <v>0</v>
          </cell>
          <cell r="Q353">
            <v>1642.94</v>
          </cell>
        </row>
        <row r="354">
          <cell r="A354">
            <v>56105</v>
          </cell>
          <cell r="B354" t="str">
            <v>Employee Relocation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A355">
            <v>56108</v>
          </cell>
          <cell r="B355" t="str">
            <v>School Tuition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A356">
            <v>56115</v>
          </cell>
          <cell r="B356" t="str">
            <v>Pension and Profit Sharing</v>
          </cell>
          <cell r="E356">
            <v>226.28</v>
          </cell>
          <cell r="F356">
            <v>217.62</v>
          </cell>
          <cell r="G356">
            <v>333.09</v>
          </cell>
          <cell r="H356">
            <v>220.44</v>
          </cell>
          <cell r="I356">
            <v>189.47</v>
          </cell>
          <cell r="J356">
            <v>211.84</v>
          </cell>
          <cell r="K356">
            <v>270.73</v>
          </cell>
          <cell r="L356">
            <v>224.38</v>
          </cell>
          <cell r="M356">
            <v>228.09</v>
          </cell>
          <cell r="N356">
            <v>329.68</v>
          </cell>
          <cell r="O356">
            <v>224.86</v>
          </cell>
          <cell r="P356">
            <v>246.21</v>
          </cell>
          <cell r="Q356">
            <v>2922.69</v>
          </cell>
        </row>
        <row r="357">
          <cell r="A357">
            <v>56116</v>
          </cell>
          <cell r="B357" t="str">
            <v>Union Benefit Expense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56117</v>
          </cell>
          <cell r="B358" t="str">
            <v>Union Pension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>
            <v>56125</v>
          </cell>
          <cell r="B359" t="str">
            <v>Operating Supplies</v>
          </cell>
          <cell r="E359">
            <v>1415.21</v>
          </cell>
          <cell r="F359">
            <v>1483.02</v>
          </cell>
          <cell r="G359">
            <v>1740.94</v>
          </cell>
          <cell r="H359">
            <v>445.37</v>
          </cell>
          <cell r="I359">
            <v>804.72</v>
          </cell>
          <cell r="J359">
            <v>164.82</v>
          </cell>
          <cell r="K359">
            <v>658.52</v>
          </cell>
          <cell r="L359">
            <v>1100.71</v>
          </cell>
          <cell r="M359">
            <v>1250.03</v>
          </cell>
          <cell r="N359">
            <v>1674.36</v>
          </cell>
          <cell r="O359">
            <v>765.8</v>
          </cell>
          <cell r="P359">
            <v>382.82</v>
          </cell>
          <cell r="Q359">
            <v>11886.32</v>
          </cell>
        </row>
        <row r="360">
          <cell r="A360">
            <v>56140</v>
          </cell>
          <cell r="B360" t="str">
            <v>Tires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A361">
            <v>56142</v>
          </cell>
          <cell r="B361" t="str">
            <v>Fuel Expense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20</v>
          </cell>
          <cell r="Q361">
            <v>20</v>
          </cell>
        </row>
        <row r="362">
          <cell r="A362">
            <v>56148</v>
          </cell>
          <cell r="B362" t="str">
            <v>Allocated Exp In - District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>
            <v>56149</v>
          </cell>
          <cell r="B363" t="str">
            <v>Allocated Exp In Out - District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A364">
            <v>56165</v>
          </cell>
          <cell r="B364" t="str">
            <v>Communications</v>
          </cell>
          <cell r="E364">
            <v>4606.6000000000004</v>
          </cell>
          <cell r="F364">
            <v>4350.2299999999996</v>
          </cell>
          <cell r="G364">
            <v>4615.41</v>
          </cell>
          <cell r="H364">
            <v>1003.34</v>
          </cell>
          <cell r="I364">
            <v>7555.03</v>
          </cell>
          <cell r="J364">
            <v>4491</v>
          </cell>
          <cell r="K364">
            <v>4590.99</v>
          </cell>
          <cell r="L364">
            <v>470.11</v>
          </cell>
          <cell r="M364">
            <v>4254.96</v>
          </cell>
          <cell r="N364">
            <v>4208.18</v>
          </cell>
          <cell r="O364">
            <v>512.84</v>
          </cell>
          <cell r="P364">
            <v>4070.45</v>
          </cell>
          <cell r="Q364">
            <v>44729.139999999992</v>
          </cell>
        </row>
        <row r="365">
          <cell r="A365">
            <v>56200</v>
          </cell>
          <cell r="B365" t="str">
            <v>Travel</v>
          </cell>
          <cell r="E365">
            <v>0</v>
          </cell>
          <cell r="F365">
            <v>69</v>
          </cell>
          <cell r="G365">
            <v>98.25</v>
          </cell>
          <cell r="H365">
            <v>52.88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5.62</v>
          </cell>
          <cell r="O365">
            <v>0</v>
          </cell>
          <cell r="P365">
            <v>0</v>
          </cell>
          <cell r="Q365">
            <v>225.75</v>
          </cell>
        </row>
        <row r="366">
          <cell r="A366">
            <v>56201</v>
          </cell>
          <cell r="B366" t="str">
            <v>Meal and Entertainment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103.1</v>
          </cell>
          <cell r="K366">
            <v>0</v>
          </cell>
          <cell r="L366">
            <v>0</v>
          </cell>
          <cell r="M366">
            <v>0</v>
          </cell>
          <cell r="N366">
            <v>44.52</v>
          </cell>
          <cell r="O366">
            <v>90.55</v>
          </cell>
          <cell r="P366">
            <v>110.62</v>
          </cell>
          <cell r="Q366">
            <v>348.79</v>
          </cell>
        </row>
        <row r="367">
          <cell r="A367">
            <v>56210</v>
          </cell>
          <cell r="B367" t="str">
            <v>Office Supply and Equip</v>
          </cell>
          <cell r="E367">
            <v>907.9</v>
          </cell>
          <cell r="F367">
            <v>1266.8599999999999</v>
          </cell>
          <cell r="G367">
            <v>1175.05</v>
          </cell>
          <cell r="H367">
            <v>2018.74</v>
          </cell>
          <cell r="I367">
            <v>1340.75</v>
          </cell>
          <cell r="J367">
            <v>1056.72</v>
          </cell>
          <cell r="K367">
            <v>1348.09</v>
          </cell>
          <cell r="L367">
            <v>2224.39</v>
          </cell>
          <cell r="M367">
            <v>1094.46</v>
          </cell>
          <cell r="N367">
            <v>1045.8699999999999</v>
          </cell>
          <cell r="O367">
            <v>1613.32</v>
          </cell>
          <cell r="P367">
            <v>1365.17</v>
          </cell>
          <cell r="Q367">
            <v>16457.32</v>
          </cell>
        </row>
        <row r="368">
          <cell r="A368">
            <v>56335</v>
          </cell>
          <cell r="B368" t="str">
            <v>Miscellaneous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>
            <v>56998</v>
          </cell>
          <cell r="B369" t="str">
            <v>Allocation Out - District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A370">
            <v>56999</v>
          </cell>
          <cell r="B370" t="str">
            <v>Allocation Out - Out District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 t="str">
            <v>Total Supervisor</v>
          </cell>
          <cell r="E371">
            <v>26562.799999999996</v>
          </cell>
          <cell r="F371">
            <v>23501.42</v>
          </cell>
          <cell r="G371">
            <v>27636.67</v>
          </cell>
          <cell r="H371">
            <v>22714.119999999995</v>
          </cell>
          <cell r="I371">
            <v>32513.34</v>
          </cell>
          <cell r="J371">
            <v>23855.37</v>
          </cell>
          <cell r="K371">
            <v>28433.989999999994</v>
          </cell>
          <cell r="L371">
            <v>22041.739999999998</v>
          </cell>
          <cell r="M371">
            <v>25858.779999999995</v>
          </cell>
          <cell r="N371">
            <v>25971.11</v>
          </cell>
          <cell r="O371">
            <v>22681.739999999998</v>
          </cell>
          <cell r="P371">
            <v>24752.86</v>
          </cell>
          <cell r="Q371">
            <v>306523.94</v>
          </cell>
        </row>
        <row r="373">
          <cell r="A373" t="str">
            <v>Other Operating Expense</v>
          </cell>
        </row>
        <row r="374">
          <cell r="A374">
            <v>46020</v>
          </cell>
          <cell r="B374" t="str">
            <v>Post Closure Amortization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A375">
            <v>57051</v>
          </cell>
          <cell r="B375" t="str">
            <v>AA Premiums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A376">
            <v>57125</v>
          </cell>
          <cell r="B376" t="str">
            <v>Operating Supplies</v>
          </cell>
          <cell r="E376">
            <v>0</v>
          </cell>
          <cell r="F376">
            <v>0</v>
          </cell>
          <cell r="G376">
            <v>0</v>
          </cell>
          <cell r="H376">
            <v>427.66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224.45</v>
          </cell>
          <cell r="O376">
            <v>3002.92</v>
          </cell>
          <cell r="P376">
            <v>0</v>
          </cell>
          <cell r="Q376">
            <v>3655.03</v>
          </cell>
        </row>
        <row r="377">
          <cell r="A377">
            <v>57147</v>
          </cell>
          <cell r="B377" t="str">
            <v>Bldg &amp; Property</v>
          </cell>
          <cell r="E377">
            <v>8063.84</v>
          </cell>
          <cell r="F377">
            <v>8169.88</v>
          </cell>
          <cell r="G377">
            <v>6041.82</v>
          </cell>
          <cell r="H377">
            <v>6588.54</v>
          </cell>
          <cell r="I377">
            <v>4365.71</v>
          </cell>
          <cell r="J377">
            <v>4713.99</v>
          </cell>
          <cell r="K377">
            <v>10806.84</v>
          </cell>
          <cell r="L377">
            <v>9251.0400000000009</v>
          </cell>
          <cell r="M377">
            <v>6193.48</v>
          </cell>
          <cell r="N377">
            <v>8759.64</v>
          </cell>
          <cell r="O377">
            <v>5195.24</v>
          </cell>
          <cell r="P377">
            <v>16632.82</v>
          </cell>
          <cell r="Q377">
            <v>94782.84</v>
          </cell>
        </row>
        <row r="378">
          <cell r="A378">
            <v>57148</v>
          </cell>
          <cell r="B378" t="str">
            <v>Allocated In - District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A379">
            <v>57149</v>
          </cell>
          <cell r="B379" t="str">
            <v>Allocated In - Out District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A380">
            <v>57150</v>
          </cell>
          <cell r="B380" t="str">
            <v>Utilities</v>
          </cell>
          <cell r="E380">
            <v>1384.3</v>
          </cell>
          <cell r="F380">
            <v>289.72000000000003</v>
          </cell>
          <cell r="G380">
            <v>352.8</v>
          </cell>
          <cell r="H380">
            <v>250.3</v>
          </cell>
          <cell r="I380">
            <v>272.69</v>
          </cell>
          <cell r="J380">
            <v>171.46</v>
          </cell>
          <cell r="K380">
            <v>268.27</v>
          </cell>
          <cell r="L380">
            <v>157.77000000000001</v>
          </cell>
          <cell r="M380">
            <v>921.26</v>
          </cell>
          <cell r="N380">
            <v>178.68</v>
          </cell>
          <cell r="O380">
            <v>1625.08</v>
          </cell>
          <cell r="P380">
            <v>312.62</v>
          </cell>
          <cell r="Q380">
            <v>6184.95</v>
          </cell>
        </row>
        <row r="381">
          <cell r="A381">
            <v>57165</v>
          </cell>
          <cell r="B381" t="str">
            <v>Communications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A382">
            <v>57166</v>
          </cell>
          <cell r="B382" t="str">
            <v>Leachate Treatment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A383">
            <v>57170</v>
          </cell>
          <cell r="B383" t="str">
            <v>Real Estate Rentals</v>
          </cell>
          <cell r="E383">
            <v>17643.07</v>
          </cell>
          <cell r="F383">
            <v>17035.48</v>
          </cell>
          <cell r="G383">
            <v>17673.07</v>
          </cell>
          <cell r="H383">
            <v>17402.849999999999</v>
          </cell>
          <cell r="I383">
            <v>17402.849999999999</v>
          </cell>
          <cell r="J383">
            <v>17402.849999999999</v>
          </cell>
          <cell r="K383">
            <v>17402.849999999999</v>
          </cell>
          <cell r="L383">
            <v>17402.849999999999</v>
          </cell>
          <cell r="M383">
            <v>18791.8</v>
          </cell>
          <cell r="N383">
            <v>17402.849999999999</v>
          </cell>
          <cell r="O383">
            <v>18791.8</v>
          </cell>
          <cell r="P383">
            <v>2852.62</v>
          </cell>
          <cell r="Q383">
            <v>197204.94</v>
          </cell>
        </row>
        <row r="384">
          <cell r="A384">
            <v>57175</v>
          </cell>
          <cell r="B384" t="str">
            <v>Equipment Vehicle Rental</v>
          </cell>
          <cell r="E384">
            <v>328.66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2091.2399999999998</v>
          </cell>
          <cell r="P384">
            <v>397.36</v>
          </cell>
          <cell r="Q384">
            <v>2817.2599999999998</v>
          </cell>
        </row>
        <row r="385">
          <cell r="A385">
            <v>57185</v>
          </cell>
          <cell r="B385" t="str">
            <v>Postage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A386">
            <v>57252</v>
          </cell>
          <cell r="B386" t="str">
            <v>Subcontract Expense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A387">
            <v>57254</v>
          </cell>
          <cell r="B387" t="str">
            <v>Drive Cam Fees</v>
          </cell>
          <cell r="E387">
            <v>5737.5</v>
          </cell>
          <cell r="F387">
            <v>5737.5</v>
          </cell>
          <cell r="G387">
            <v>5737.5</v>
          </cell>
          <cell r="H387">
            <v>5737.5</v>
          </cell>
          <cell r="I387">
            <v>3780</v>
          </cell>
          <cell r="J387">
            <v>3780</v>
          </cell>
          <cell r="K387">
            <v>3780</v>
          </cell>
          <cell r="L387">
            <v>3780</v>
          </cell>
          <cell r="M387">
            <v>3780</v>
          </cell>
          <cell r="N387">
            <v>3780</v>
          </cell>
          <cell r="O387">
            <v>3780</v>
          </cell>
          <cell r="P387">
            <v>3780</v>
          </cell>
          <cell r="Q387">
            <v>53190</v>
          </cell>
        </row>
        <row r="388">
          <cell r="A388">
            <v>57255</v>
          </cell>
          <cell r="B388" t="str">
            <v>Other Prof Fees</v>
          </cell>
          <cell r="E388">
            <v>0</v>
          </cell>
          <cell r="F388">
            <v>0</v>
          </cell>
          <cell r="G388">
            <v>13.5</v>
          </cell>
          <cell r="H388">
            <v>13.5</v>
          </cell>
          <cell r="I388">
            <v>13.5</v>
          </cell>
          <cell r="J388">
            <v>13.5</v>
          </cell>
          <cell r="K388">
            <v>0</v>
          </cell>
          <cell r="L388">
            <v>13.5</v>
          </cell>
          <cell r="M388">
            <v>13.5</v>
          </cell>
          <cell r="N388">
            <v>13.5</v>
          </cell>
          <cell r="O388">
            <v>13.5</v>
          </cell>
          <cell r="P388">
            <v>0</v>
          </cell>
          <cell r="Q388">
            <v>108</v>
          </cell>
        </row>
        <row r="389">
          <cell r="A389">
            <v>57256</v>
          </cell>
          <cell r="B389" t="str">
            <v>Laboratory Fees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A390">
            <v>57257</v>
          </cell>
          <cell r="B390" t="str">
            <v>Engineering Fees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54300.08</v>
          </cell>
          <cell r="K390">
            <v>3763.13</v>
          </cell>
          <cell r="L390">
            <v>4344.38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62407.59</v>
          </cell>
        </row>
        <row r="391">
          <cell r="A391">
            <v>57275</v>
          </cell>
          <cell r="B391" t="str">
            <v>Property Taxes</v>
          </cell>
          <cell r="E391">
            <v>648.66999999999996</v>
          </cell>
          <cell r="F391">
            <v>748.26</v>
          </cell>
          <cell r="G391">
            <v>748.26</v>
          </cell>
          <cell r="H391">
            <v>931.59</v>
          </cell>
          <cell r="I391">
            <v>931.59</v>
          </cell>
          <cell r="J391">
            <v>931.61</v>
          </cell>
          <cell r="K391">
            <v>676.33</v>
          </cell>
          <cell r="L391">
            <v>676.33</v>
          </cell>
          <cell r="M391">
            <v>676.33</v>
          </cell>
          <cell r="N391">
            <v>676.33</v>
          </cell>
          <cell r="O391">
            <v>676.33</v>
          </cell>
          <cell r="P391">
            <v>676.33</v>
          </cell>
          <cell r="Q391">
            <v>8997.9599999999991</v>
          </cell>
        </row>
        <row r="392">
          <cell r="A392">
            <v>57280</v>
          </cell>
          <cell r="B392" t="str">
            <v>Other Taxes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A393">
            <v>57324</v>
          </cell>
          <cell r="B393" t="str">
            <v>Penalties and Violations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266.95</v>
          </cell>
          <cell r="O393">
            <v>266.95</v>
          </cell>
          <cell r="P393">
            <v>0</v>
          </cell>
          <cell r="Q393">
            <v>533.9</v>
          </cell>
        </row>
        <row r="394">
          <cell r="A394">
            <v>57335</v>
          </cell>
          <cell r="B394" t="str">
            <v>Miscellaneous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-33322.47</v>
          </cell>
          <cell r="K394">
            <v>33322.47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A395">
            <v>57345</v>
          </cell>
          <cell r="B395" t="str">
            <v>Secruity Services</v>
          </cell>
          <cell r="E395">
            <v>187.5</v>
          </cell>
          <cell r="F395">
            <v>187.5</v>
          </cell>
          <cell r="G395">
            <v>187.5</v>
          </cell>
          <cell r="H395">
            <v>187.5</v>
          </cell>
          <cell r="I395">
            <v>187.5</v>
          </cell>
          <cell r="J395">
            <v>187.5</v>
          </cell>
          <cell r="K395">
            <v>187.5</v>
          </cell>
          <cell r="L395">
            <v>187.5</v>
          </cell>
          <cell r="M395">
            <v>187.5</v>
          </cell>
          <cell r="N395">
            <v>187.5</v>
          </cell>
          <cell r="O395">
            <v>187.5</v>
          </cell>
          <cell r="P395">
            <v>250</v>
          </cell>
          <cell r="Q395">
            <v>2312.5</v>
          </cell>
        </row>
        <row r="396">
          <cell r="A396">
            <v>57353</v>
          </cell>
          <cell r="B396" t="str">
            <v>Monitoring and Maint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A397">
            <v>57356</v>
          </cell>
          <cell r="B397" t="str">
            <v>Cover Cost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A398">
            <v>57357</v>
          </cell>
          <cell r="B398" t="str">
            <v>Permits</v>
          </cell>
          <cell r="E398">
            <v>65</v>
          </cell>
          <cell r="F398">
            <v>0</v>
          </cell>
          <cell r="G398">
            <v>132.5</v>
          </cell>
          <cell r="H398">
            <v>0</v>
          </cell>
          <cell r="I398">
            <v>0</v>
          </cell>
          <cell r="J398">
            <v>132.5</v>
          </cell>
          <cell r="K398">
            <v>0</v>
          </cell>
          <cell r="L398">
            <v>0</v>
          </cell>
          <cell r="M398">
            <v>132.5</v>
          </cell>
          <cell r="N398">
            <v>1975</v>
          </cell>
          <cell r="O398">
            <v>0</v>
          </cell>
          <cell r="P398">
            <v>132.5</v>
          </cell>
          <cell r="Q398">
            <v>2570</v>
          </cell>
        </row>
        <row r="399">
          <cell r="A399">
            <v>57360</v>
          </cell>
          <cell r="B399" t="str">
            <v>Royalties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A400">
            <v>57370</v>
          </cell>
          <cell r="B400" t="str">
            <v>Bonds Expense</v>
          </cell>
          <cell r="E400">
            <v>4619.28</v>
          </cell>
          <cell r="F400">
            <v>6292.28</v>
          </cell>
          <cell r="G400">
            <v>6547.28</v>
          </cell>
          <cell r="H400">
            <v>5761.53</v>
          </cell>
          <cell r="I400">
            <v>5761.53</v>
          </cell>
          <cell r="J400">
            <v>5761.53</v>
          </cell>
          <cell r="K400">
            <v>5761.49</v>
          </cell>
          <cell r="L400">
            <v>5761.53</v>
          </cell>
          <cell r="M400">
            <v>5761.53</v>
          </cell>
          <cell r="N400">
            <v>5761.53</v>
          </cell>
          <cell r="O400">
            <v>6186.53</v>
          </cell>
          <cell r="P400">
            <v>4741.53</v>
          </cell>
          <cell r="Q400">
            <v>68717.569999999992</v>
          </cell>
        </row>
        <row r="401">
          <cell r="A401">
            <v>57900</v>
          </cell>
          <cell r="B401" t="str">
            <v>Capitalized Costs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>
            <v>57998</v>
          </cell>
          <cell r="B402" t="str">
            <v>Allocation Out - District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A403">
            <v>57999</v>
          </cell>
          <cell r="B403" t="str">
            <v>Allocation Out - Out District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A404">
            <v>70265</v>
          </cell>
          <cell r="B404" t="str">
            <v>Amortization of Long Term Contracts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A405">
            <v>80050</v>
          </cell>
          <cell r="B405" t="str">
            <v>Interest Expense Closure/Post Closure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A406" t="str">
            <v>Total Other Operating Expense</v>
          </cell>
          <cell r="E406">
            <v>38677.819999999992</v>
          </cell>
          <cell r="F406">
            <v>38460.620000000003</v>
          </cell>
          <cell r="G406">
            <v>37434.229999999996</v>
          </cell>
          <cell r="H406">
            <v>37300.97</v>
          </cell>
          <cell r="I406">
            <v>32715.37</v>
          </cell>
          <cell r="J406">
            <v>54072.55</v>
          </cell>
          <cell r="K406">
            <v>75968.88</v>
          </cell>
          <cell r="L406">
            <v>41574.9</v>
          </cell>
          <cell r="M406">
            <v>36457.9</v>
          </cell>
          <cell r="N406">
            <v>39226.43</v>
          </cell>
          <cell r="O406">
            <v>41817.089999999997</v>
          </cell>
          <cell r="P406">
            <v>29775.78</v>
          </cell>
          <cell r="Q406">
            <v>503482.54000000004</v>
          </cell>
        </row>
        <row r="408">
          <cell r="A408" t="str">
            <v>Insurance</v>
          </cell>
        </row>
        <row r="409">
          <cell r="A409">
            <v>59148</v>
          </cell>
          <cell r="B409" t="str">
            <v>Allocation In - District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A410">
            <v>59149</v>
          </cell>
          <cell r="B410" t="str">
            <v>Allocation In - Out District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A411">
            <v>59271</v>
          </cell>
          <cell r="B411" t="str">
            <v>Property and Liability Insurance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A412">
            <v>59326</v>
          </cell>
          <cell r="B412" t="str">
            <v>Deductible - Current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</row>
        <row r="413">
          <cell r="A413">
            <v>59327</v>
          </cell>
          <cell r="B413" t="str">
            <v>Deductible - Damage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</row>
        <row r="414">
          <cell r="A414">
            <v>59328</v>
          </cell>
          <cell r="B414" t="str">
            <v>Claim Recoveries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A415">
            <v>59330</v>
          </cell>
          <cell r="B415" t="str">
            <v>Deduct - Prior Year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</row>
        <row r="416">
          <cell r="A416">
            <v>59331</v>
          </cell>
          <cell r="B416" t="str">
            <v>RM Fixed Costs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</row>
        <row r="417">
          <cell r="A417">
            <v>59340</v>
          </cell>
          <cell r="B417" t="str">
            <v>Self Insurance Premium</v>
          </cell>
          <cell r="E417">
            <v>10091.379999999999</v>
          </cell>
          <cell r="F417">
            <v>10091.379999999999</v>
          </cell>
          <cell r="G417">
            <v>10091.379999999999</v>
          </cell>
          <cell r="H417">
            <v>10091.379999999999</v>
          </cell>
          <cell r="I417">
            <v>10091.379999999999</v>
          </cell>
          <cell r="J417">
            <v>10091.379999999999</v>
          </cell>
          <cell r="K417">
            <v>10091.379999999999</v>
          </cell>
          <cell r="L417">
            <v>10091.379999999999</v>
          </cell>
          <cell r="M417">
            <v>10091.379999999999</v>
          </cell>
          <cell r="N417">
            <v>10091.379999999999</v>
          </cell>
          <cell r="O417">
            <v>10091.379999999999</v>
          </cell>
          <cell r="P417">
            <v>10091.379999999999</v>
          </cell>
          <cell r="Q417">
            <v>121096.56000000001</v>
          </cell>
        </row>
        <row r="418">
          <cell r="A418">
            <v>59341</v>
          </cell>
          <cell r="B418" t="str">
            <v>A&amp;L - Current Year Claims</v>
          </cell>
          <cell r="E418">
            <v>-6142.07</v>
          </cell>
          <cell r="F418">
            <v>-2400</v>
          </cell>
          <cell r="G418">
            <v>400</v>
          </cell>
          <cell r="H418">
            <v>9853.9</v>
          </cell>
          <cell r="I418">
            <v>0</v>
          </cell>
          <cell r="J418">
            <v>0</v>
          </cell>
          <cell r="K418">
            <v>0</v>
          </cell>
          <cell r="L418">
            <v>4250</v>
          </cell>
          <cell r="M418">
            <v>8924.2000000000007</v>
          </cell>
          <cell r="N418">
            <v>751</v>
          </cell>
          <cell r="O418">
            <v>2071.27</v>
          </cell>
          <cell r="P418">
            <v>24430</v>
          </cell>
          <cell r="Q418">
            <v>42138.3</v>
          </cell>
        </row>
        <row r="419">
          <cell r="A419">
            <v>59342</v>
          </cell>
          <cell r="B419" t="str">
            <v>A&amp;L - Prior Year Claims</v>
          </cell>
          <cell r="E419">
            <v>0</v>
          </cell>
          <cell r="F419">
            <v>0</v>
          </cell>
          <cell r="G419">
            <v>0</v>
          </cell>
          <cell r="H419">
            <v>-10802.07</v>
          </cell>
          <cell r="I419">
            <v>-2004.25</v>
          </cell>
          <cell r="J419">
            <v>1249.05</v>
          </cell>
          <cell r="K419">
            <v>6999.75</v>
          </cell>
          <cell r="L419">
            <v>0</v>
          </cell>
          <cell r="M419">
            <v>0</v>
          </cell>
          <cell r="N419">
            <v>2499.5</v>
          </cell>
          <cell r="O419">
            <v>0</v>
          </cell>
          <cell r="P419">
            <v>0</v>
          </cell>
          <cell r="Q419">
            <v>-2058.0200000000004</v>
          </cell>
        </row>
        <row r="420">
          <cell r="A420">
            <v>59343</v>
          </cell>
          <cell r="B420" t="str">
            <v>WC - Current Year Claims</v>
          </cell>
          <cell r="E420">
            <v>7290.88</v>
          </cell>
          <cell r="F420">
            <v>-17465.98</v>
          </cell>
          <cell r="G420">
            <v>13819.28</v>
          </cell>
          <cell r="H420">
            <v>8553.6</v>
          </cell>
          <cell r="I420">
            <v>5696</v>
          </cell>
          <cell r="J420">
            <v>3275.7</v>
          </cell>
          <cell r="K420">
            <v>6448.16</v>
          </cell>
          <cell r="L420">
            <v>2722</v>
          </cell>
          <cell r="M420">
            <v>820</v>
          </cell>
          <cell r="N420">
            <v>-18388.02</v>
          </cell>
          <cell r="O420">
            <v>-1818.92</v>
          </cell>
          <cell r="P420">
            <v>2266.29</v>
          </cell>
          <cell r="Q420">
            <v>13218.990000000002</v>
          </cell>
        </row>
        <row r="421">
          <cell r="A421">
            <v>59344</v>
          </cell>
          <cell r="B421" t="str">
            <v>WC - Prior Year Claims</v>
          </cell>
          <cell r="E421">
            <v>0</v>
          </cell>
          <cell r="F421">
            <v>0</v>
          </cell>
          <cell r="G421">
            <v>0</v>
          </cell>
          <cell r="H421">
            <v>-9078.02</v>
          </cell>
          <cell r="I421">
            <v>16579.04</v>
          </cell>
          <cell r="J421">
            <v>98644.06</v>
          </cell>
          <cell r="K421">
            <v>-15344.09</v>
          </cell>
          <cell r="L421">
            <v>-28729.19</v>
          </cell>
          <cell r="M421">
            <v>17918.650000000001</v>
          </cell>
          <cell r="N421">
            <v>-103.64</v>
          </cell>
          <cell r="O421">
            <v>1197.08</v>
          </cell>
          <cell r="P421">
            <v>-19684.740000000002</v>
          </cell>
          <cell r="Q421">
            <v>61399.150000000009</v>
          </cell>
        </row>
        <row r="422">
          <cell r="A422">
            <v>59350</v>
          </cell>
          <cell r="B422" t="str">
            <v>Self Isurance IBNR Estimates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>
            <v>59400</v>
          </cell>
          <cell r="B423" t="str">
            <v>Damages paid by District</v>
          </cell>
          <cell r="E423">
            <v>5142.99</v>
          </cell>
          <cell r="F423">
            <v>1000</v>
          </cell>
          <cell r="G423">
            <v>2757.56</v>
          </cell>
          <cell r="H423">
            <v>0</v>
          </cell>
          <cell r="I423">
            <v>1701.74</v>
          </cell>
          <cell r="J423">
            <v>6490.95</v>
          </cell>
          <cell r="K423">
            <v>104.97</v>
          </cell>
          <cell r="L423">
            <v>48.7</v>
          </cell>
          <cell r="M423">
            <v>0</v>
          </cell>
          <cell r="N423">
            <v>11054.22</v>
          </cell>
          <cell r="O423">
            <v>655.83</v>
          </cell>
          <cell r="P423">
            <v>11383.6</v>
          </cell>
          <cell r="Q423">
            <v>40340.559999999998</v>
          </cell>
        </row>
        <row r="424">
          <cell r="A424">
            <v>59401</v>
          </cell>
          <cell r="B424" t="str">
            <v>Insurance claim repairs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10000</v>
          </cell>
          <cell r="O424">
            <v>31.43</v>
          </cell>
          <cell r="P424">
            <v>-10904.79</v>
          </cell>
          <cell r="Q424">
            <v>-873.36000000000058</v>
          </cell>
        </row>
        <row r="425">
          <cell r="A425">
            <v>59500</v>
          </cell>
          <cell r="B425" t="str">
            <v>Workers Comp Prem</v>
          </cell>
          <cell r="E425">
            <v>4000</v>
          </cell>
          <cell r="F425">
            <v>2000</v>
          </cell>
          <cell r="G425">
            <v>2000</v>
          </cell>
          <cell r="H425">
            <v>2000</v>
          </cell>
          <cell r="I425">
            <v>1000</v>
          </cell>
          <cell r="J425">
            <v>2000</v>
          </cell>
          <cell r="K425">
            <v>2000</v>
          </cell>
          <cell r="L425">
            <v>2000</v>
          </cell>
          <cell r="M425">
            <v>3000</v>
          </cell>
          <cell r="N425">
            <v>3000</v>
          </cell>
          <cell r="O425">
            <v>3000</v>
          </cell>
          <cell r="P425">
            <v>0</v>
          </cell>
          <cell r="Q425">
            <v>26000</v>
          </cell>
        </row>
        <row r="426">
          <cell r="A426">
            <v>59998</v>
          </cell>
          <cell r="B426" t="str">
            <v>Allocation Out - District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>
            <v>59999</v>
          </cell>
          <cell r="B427" t="str">
            <v>Allocation Out - Out District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 t="str">
            <v>Total Insurance</v>
          </cell>
          <cell r="E428">
            <v>20383.18</v>
          </cell>
          <cell r="F428">
            <v>-6774.6</v>
          </cell>
          <cell r="G428">
            <v>29068.22</v>
          </cell>
          <cell r="H428">
            <v>10618.789999999997</v>
          </cell>
          <cell r="I428">
            <v>33063.910000000003</v>
          </cell>
          <cell r="J428">
            <v>121751.14</v>
          </cell>
          <cell r="K428">
            <v>10300.169999999996</v>
          </cell>
          <cell r="L428">
            <v>-9617.11</v>
          </cell>
          <cell r="M428">
            <v>40754.230000000003</v>
          </cell>
          <cell r="N428">
            <v>18904.439999999999</v>
          </cell>
          <cell r="O428">
            <v>15228.07</v>
          </cell>
          <cell r="P428">
            <v>17581.739999999998</v>
          </cell>
          <cell r="Q428">
            <v>301262.18000000005</v>
          </cell>
        </row>
        <row r="430">
          <cell r="A430" t="str">
            <v>Disposal of Assets and Operations</v>
          </cell>
        </row>
        <row r="431">
          <cell r="A431">
            <v>72000</v>
          </cell>
          <cell r="B431" t="str">
            <v>Gain/Loss on Disposal of Operations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A432">
            <v>91010</v>
          </cell>
          <cell r="B432" t="str">
            <v>Gain/Loss on Sale of Asset</v>
          </cell>
          <cell r="E432">
            <v>0</v>
          </cell>
          <cell r="F432">
            <v>0</v>
          </cell>
          <cell r="G432">
            <v>0</v>
          </cell>
          <cell r="H432">
            <v>1319.45</v>
          </cell>
          <cell r="I432">
            <v>0</v>
          </cell>
          <cell r="J432">
            <v>24949.35</v>
          </cell>
          <cell r="K432">
            <v>-33354.22</v>
          </cell>
          <cell r="L432">
            <v>-3080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-10165.420000000002</v>
          </cell>
        </row>
        <row r="433">
          <cell r="A433" t="str">
            <v>Total Disposal of Assets and Operations</v>
          </cell>
          <cell r="E433">
            <v>0</v>
          </cell>
          <cell r="F433">
            <v>0</v>
          </cell>
          <cell r="G433">
            <v>0</v>
          </cell>
          <cell r="H433">
            <v>1319.45</v>
          </cell>
          <cell r="I433">
            <v>0</v>
          </cell>
          <cell r="J433">
            <v>24949.35</v>
          </cell>
          <cell r="K433">
            <v>-33354.22</v>
          </cell>
          <cell r="L433">
            <v>-3080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-10165.420000000002</v>
          </cell>
        </row>
        <row r="435">
          <cell r="A435" t="str">
            <v>Total Operating Costs</v>
          </cell>
          <cell r="E435">
            <v>691108.55</v>
          </cell>
          <cell r="F435">
            <v>591691.37000000011</v>
          </cell>
          <cell r="G435">
            <v>679572.21999999986</v>
          </cell>
          <cell r="H435">
            <v>649398.42000000004</v>
          </cell>
          <cell r="I435">
            <v>715012.80999999994</v>
          </cell>
          <cell r="J435">
            <v>823534.92999999993</v>
          </cell>
          <cell r="K435">
            <v>725146.60999999987</v>
          </cell>
          <cell r="L435">
            <v>671623.93</v>
          </cell>
          <cell r="M435">
            <v>721331.92999999993</v>
          </cell>
          <cell r="N435">
            <v>675314.14999999991</v>
          </cell>
          <cell r="O435">
            <v>713873.94</v>
          </cell>
          <cell r="P435">
            <v>696947.79999999981</v>
          </cell>
          <cell r="Q435">
            <v>8354556.6600000001</v>
          </cell>
        </row>
        <row r="437">
          <cell r="A437" t="str">
            <v>Gross Profit</v>
          </cell>
          <cell r="E437">
            <v>958596.29999999981</v>
          </cell>
          <cell r="F437">
            <v>1078399.0499999998</v>
          </cell>
          <cell r="G437">
            <v>980681.78999999992</v>
          </cell>
          <cell r="H437">
            <v>1060013.06</v>
          </cell>
          <cell r="I437">
            <v>998324.67999999935</v>
          </cell>
          <cell r="J437">
            <v>884006.14000000036</v>
          </cell>
          <cell r="K437">
            <v>999176.6099999994</v>
          </cell>
          <cell r="L437">
            <v>1029352.5499999995</v>
          </cell>
          <cell r="M437">
            <v>1005221.45</v>
          </cell>
          <cell r="N437">
            <v>1062170.0200000005</v>
          </cell>
          <cell r="O437">
            <v>1010676.3699999996</v>
          </cell>
          <cell r="P437">
            <v>1011952.0500000003</v>
          </cell>
          <cell r="Q437">
            <v>12078570.07</v>
          </cell>
        </row>
        <row r="439">
          <cell r="A439" t="str">
            <v>SG&amp;A</v>
          </cell>
        </row>
        <row r="440">
          <cell r="A440" t="str">
            <v>Sales</v>
          </cell>
        </row>
        <row r="441">
          <cell r="A441">
            <v>60010</v>
          </cell>
          <cell r="B441" t="str">
            <v>Salaries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>
            <v>60020</v>
          </cell>
          <cell r="B442" t="str">
            <v>Wages Regular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>
            <v>60025</v>
          </cell>
          <cell r="B443" t="str">
            <v>Wages O.T.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>
            <v>60030</v>
          </cell>
          <cell r="B444" t="str">
            <v>Bonuses and Commissions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>
            <v>60035</v>
          </cell>
          <cell r="B445" t="str">
            <v>Safety Bonuses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A446">
            <v>60037</v>
          </cell>
          <cell r="B446" t="str">
            <v>Termination Pay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A447">
            <v>60045</v>
          </cell>
          <cell r="B447" t="str">
            <v>Contract Labor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>
            <v>60050</v>
          </cell>
          <cell r="B448" t="str">
            <v>Payroll Taxes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A449">
            <v>60060</v>
          </cell>
          <cell r="B449" t="str">
            <v>Group Insurance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>
            <v>60065</v>
          </cell>
          <cell r="B450" t="str">
            <v>Vacation Pay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8.23</v>
          </cell>
          <cell r="M450">
            <v>-8.23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>
            <v>60070</v>
          </cell>
          <cell r="B451" t="str">
            <v>Sick Pay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>
            <v>60086</v>
          </cell>
          <cell r="B452" t="str">
            <v>Safety and Training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>
            <v>60095</v>
          </cell>
          <cell r="B453" t="str">
            <v>Empl &amp; Commun Activ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>
            <v>60105</v>
          </cell>
          <cell r="B454" t="str">
            <v>Employee Relocation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>
            <v>60115</v>
          </cell>
          <cell r="B455" t="str">
            <v>School Tuition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>
            <v>60116</v>
          </cell>
          <cell r="B456" t="str">
            <v>Pension and Profit Sharing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60117</v>
          </cell>
          <cell r="B457" t="str">
            <v>Union Pension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A458">
            <v>60148</v>
          </cell>
          <cell r="B458" t="str">
            <v>Allocated Exp In - District</v>
          </cell>
          <cell r="E458">
            <v>2300</v>
          </cell>
          <cell r="F458">
            <v>2448</v>
          </cell>
          <cell r="G458">
            <v>2391</v>
          </cell>
          <cell r="H458">
            <v>2584.5</v>
          </cell>
          <cell r="I458">
            <v>2565</v>
          </cell>
          <cell r="J458">
            <v>3535</v>
          </cell>
          <cell r="K458">
            <v>2899</v>
          </cell>
          <cell r="L458">
            <v>2443</v>
          </cell>
          <cell r="M458">
            <v>1800</v>
          </cell>
          <cell r="N458">
            <v>2326</v>
          </cell>
          <cell r="O458">
            <v>2339</v>
          </cell>
          <cell r="P458">
            <v>0</v>
          </cell>
          <cell r="Q458">
            <v>27630.5</v>
          </cell>
        </row>
        <row r="459">
          <cell r="A459">
            <v>60149</v>
          </cell>
          <cell r="B459" t="str">
            <v>Allocated Exp In Out - District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>
            <v>60165</v>
          </cell>
          <cell r="B460" t="str">
            <v>Communications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A461">
            <v>60170</v>
          </cell>
          <cell r="B461" t="str">
            <v>Real Estate Rentals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A462">
            <v>60175</v>
          </cell>
          <cell r="B462" t="str">
            <v>Equip/Vehicle Rental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A463">
            <v>60185</v>
          </cell>
          <cell r="B463" t="str">
            <v>Postage</v>
          </cell>
          <cell r="E463">
            <v>198.54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198.54</v>
          </cell>
        </row>
        <row r="464">
          <cell r="A464">
            <v>60195</v>
          </cell>
          <cell r="B464" t="str">
            <v>Dues and Subscriptions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A465">
            <v>60196</v>
          </cell>
          <cell r="B465" t="str">
            <v>Club Dues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A466">
            <v>60200</v>
          </cell>
          <cell r="B466" t="str">
            <v>Travel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A467">
            <v>60201</v>
          </cell>
          <cell r="B467" t="str">
            <v>Entertainment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A468">
            <v>60205</v>
          </cell>
          <cell r="B468" t="str">
            <v>Travel - Auto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58.5</v>
          </cell>
          <cell r="L468">
            <v>177.74</v>
          </cell>
          <cell r="M468">
            <v>-77.739999999999995</v>
          </cell>
          <cell r="N468">
            <v>0</v>
          </cell>
          <cell r="O468">
            <v>75.52</v>
          </cell>
          <cell r="P468">
            <v>23.74</v>
          </cell>
          <cell r="Q468">
            <v>257.76</v>
          </cell>
        </row>
        <row r="469">
          <cell r="A469">
            <v>60210</v>
          </cell>
          <cell r="B469" t="str">
            <v>Office Supplies and Equip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A470">
            <v>60225</v>
          </cell>
          <cell r="B470" t="str">
            <v>Advertising and Promotions</v>
          </cell>
          <cell r="E470">
            <v>12977.33</v>
          </cell>
          <cell r="F470">
            <v>949.64</v>
          </cell>
          <cell r="G470">
            <v>5900.84</v>
          </cell>
          <cell r="H470">
            <v>4161.1099999999997</v>
          </cell>
          <cell r="I470">
            <v>3165.78</v>
          </cell>
          <cell r="J470">
            <v>4520.0600000000004</v>
          </cell>
          <cell r="K470">
            <v>1806.35</v>
          </cell>
          <cell r="L470">
            <v>955.59</v>
          </cell>
          <cell r="M470">
            <v>28827.18</v>
          </cell>
          <cell r="N470">
            <v>25999.119999999999</v>
          </cell>
          <cell r="O470">
            <v>1245.2</v>
          </cell>
          <cell r="P470">
            <v>38523.21</v>
          </cell>
          <cell r="Q470">
            <v>129031.41</v>
          </cell>
        </row>
        <row r="471">
          <cell r="A471">
            <v>60234</v>
          </cell>
          <cell r="B471" t="str">
            <v>O/S Sales Exp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A472">
            <v>60255</v>
          </cell>
          <cell r="B472" t="str">
            <v>Other Prof Fees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A473">
            <v>60326</v>
          </cell>
          <cell r="B473" t="str">
            <v>Deduct - Current Yr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A474">
            <v>60327</v>
          </cell>
          <cell r="B474" t="str">
            <v>Deduct - Damage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>
            <v>60328</v>
          </cell>
          <cell r="B475" t="str">
            <v>Claim Recoveries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>
            <v>60330</v>
          </cell>
          <cell r="B476" t="str">
            <v>Deduct Prior Year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>
            <v>60335</v>
          </cell>
          <cell r="B477" t="str">
            <v>Miscellaneous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A478">
            <v>60998</v>
          </cell>
          <cell r="B478" t="str">
            <v>Allocation Out - District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60999</v>
          </cell>
          <cell r="B479" t="str">
            <v>Allocation Out - Out District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A480" t="str">
            <v>Total Sales</v>
          </cell>
          <cell r="E480">
            <v>15475.869999999999</v>
          </cell>
          <cell r="F480">
            <v>3397.64</v>
          </cell>
          <cell r="G480">
            <v>8291.84</v>
          </cell>
          <cell r="H480">
            <v>6745.61</v>
          </cell>
          <cell r="I480">
            <v>5730.7800000000007</v>
          </cell>
          <cell r="J480">
            <v>8055.06</v>
          </cell>
          <cell r="K480">
            <v>4763.8500000000004</v>
          </cell>
          <cell r="L480">
            <v>3584.5600000000004</v>
          </cell>
          <cell r="M480">
            <v>30541.21</v>
          </cell>
          <cell r="N480">
            <v>28325.119999999999</v>
          </cell>
          <cell r="O480">
            <v>3659.7200000000003</v>
          </cell>
          <cell r="P480">
            <v>38546.949999999997</v>
          </cell>
          <cell r="Q480">
            <v>157118.21</v>
          </cell>
        </row>
        <row r="482">
          <cell r="A482" t="str">
            <v>G&amp;A</v>
          </cell>
        </row>
        <row r="483">
          <cell r="A483">
            <v>70010</v>
          </cell>
          <cell r="B483" t="str">
            <v>Salaries</v>
          </cell>
          <cell r="E483">
            <v>31950.25</v>
          </cell>
          <cell r="F483">
            <v>29217.37</v>
          </cell>
          <cell r="G483">
            <v>34993.21</v>
          </cell>
          <cell r="H483">
            <v>32805.65</v>
          </cell>
          <cell r="I483">
            <v>33117.839999999997</v>
          </cell>
          <cell r="J483">
            <v>36102.11</v>
          </cell>
          <cell r="K483">
            <v>36862.230000000003</v>
          </cell>
          <cell r="L483">
            <v>32246.880000000001</v>
          </cell>
          <cell r="M483">
            <v>35474.660000000003</v>
          </cell>
          <cell r="N483">
            <v>34757.17</v>
          </cell>
          <cell r="O483">
            <v>34601.15</v>
          </cell>
          <cell r="P483">
            <v>36751.879999999997</v>
          </cell>
          <cell r="Q483">
            <v>408880.39999999997</v>
          </cell>
        </row>
        <row r="484">
          <cell r="A484">
            <v>70015</v>
          </cell>
          <cell r="B484" t="str">
            <v>Deferred Comp Earnings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A485">
            <v>70020</v>
          </cell>
          <cell r="B485" t="str">
            <v>Wages Regular</v>
          </cell>
          <cell r="E485">
            <v>39238.25</v>
          </cell>
          <cell r="F485">
            <v>41055.800000000003</v>
          </cell>
          <cell r="G485">
            <v>43441.67</v>
          </cell>
          <cell r="H485">
            <v>43159.68</v>
          </cell>
          <cell r="I485">
            <v>40707.99</v>
          </cell>
          <cell r="J485">
            <v>44340.75</v>
          </cell>
          <cell r="K485">
            <v>44034.15</v>
          </cell>
          <cell r="L485">
            <v>37123.65</v>
          </cell>
          <cell r="M485">
            <v>40606.129999999997</v>
          </cell>
          <cell r="N485">
            <v>42194.06</v>
          </cell>
          <cell r="O485">
            <v>45471.69</v>
          </cell>
          <cell r="P485">
            <v>48949.11</v>
          </cell>
          <cell r="Q485">
            <v>510322.93</v>
          </cell>
        </row>
        <row r="486">
          <cell r="A486">
            <v>70025</v>
          </cell>
          <cell r="B486" t="str">
            <v>Wages O.T.</v>
          </cell>
          <cell r="E486">
            <v>2096.58</v>
          </cell>
          <cell r="F486">
            <v>2256.92</v>
          </cell>
          <cell r="G486">
            <v>520.88</v>
          </cell>
          <cell r="H486">
            <v>1862.34</v>
          </cell>
          <cell r="I486">
            <v>3126.98</v>
          </cell>
          <cell r="J486">
            <v>1540.45</v>
          </cell>
          <cell r="K486">
            <v>2442.46</v>
          </cell>
          <cell r="L486">
            <v>2985.84</v>
          </cell>
          <cell r="M486">
            <v>1455.97</v>
          </cell>
          <cell r="N486">
            <v>1845.98</v>
          </cell>
          <cell r="O486">
            <v>2373.81</v>
          </cell>
          <cell r="P486">
            <v>1626.79</v>
          </cell>
          <cell r="Q486">
            <v>24135.000000000004</v>
          </cell>
        </row>
        <row r="487">
          <cell r="A487">
            <v>70030</v>
          </cell>
          <cell r="B487" t="str">
            <v>Corp Allocated Bonus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A488">
            <v>70035</v>
          </cell>
          <cell r="B488" t="str">
            <v>Safety Bonuses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A489">
            <v>70036</v>
          </cell>
          <cell r="B489" t="str">
            <v>Other Bonus/Commission - Non-Safety</v>
          </cell>
          <cell r="E489">
            <v>4809.7700000000004</v>
          </cell>
          <cell r="F489">
            <v>2140.23</v>
          </cell>
          <cell r="G489">
            <v>5107.6499999999996</v>
          </cell>
          <cell r="H489">
            <v>4226.5600000000004</v>
          </cell>
          <cell r="I489">
            <v>1425.85</v>
          </cell>
          <cell r="J489">
            <v>387.84</v>
          </cell>
          <cell r="K489">
            <v>100</v>
          </cell>
          <cell r="L489">
            <v>3426.61</v>
          </cell>
          <cell r="M489">
            <v>665.4</v>
          </cell>
          <cell r="N489">
            <v>-1015.84</v>
          </cell>
          <cell r="O489">
            <v>581.19000000000005</v>
          </cell>
          <cell r="P489">
            <v>5025.8500000000004</v>
          </cell>
          <cell r="Q489">
            <v>26881.11</v>
          </cell>
        </row>
        <row r="490">
          <cell r="A490">
            <v>70037</v>
          </cell>
          <cell r="B490" t="str">
            <v>Termination Pay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A491">
            <v>70045</v>
          </cell>
          <cell r="B491" t="str">
            <v>Contract Labor</v>
          </cell>
          <cell r="E491">
            <v>6680.67</v>
          </cell>
          <cell r="F491">
            <v>232.03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10440.92</v>
          </cell>
          <cell r="M491">
            <v>7401.37</v>
          </cell>
          <cell r="N491">
            <v>14152.75</v>
          </cell>
          <cell r="O491">
            <v>1820.49</v>
          </cell>
          <cell r="P491">
            <v>6453.68</v>
          </cell>
          <cell r="Q491">
            <v>47181.909999999996</v>
          </cell>
        </row>
        <row r="492">
          <cell r="A492">
            <v>70050</v>
          </cell>
          <cell r="B492" t="str">
            <v>Payroll Taxes</v>
          </cell>
          <cell r="E492">
            <v>9179.65</v>
          </cell>
          <cell r="F492">
            <v>6291.4</v>
          </cell>
          <cell r="G492">
            <v>7661.43</v>
          </cell>
          <cell r="H492">
            <v>6697.51</v>
          </cell>
          <cell r="I492">
            <v>6629.71</v>
          </cell>
          <cell r="J492">
            <v>7324.51</v>
          </cell>
          <cell r="K492">
            <v>5887.85</v>
          </cell>
          <cell r="L492">
            <v>5608.72</v>
          </cell>
          <cell r="M492">
            <v>5768.98</v>
          </cell>
          <cell r="N492">
            <v>5999.27</v>
          </cell>
          <cell r="O492">
            <v>6190.7</v>
          </cell>
          <cell r="P492">
            <v>6776.28</v>
          </cell>
          <cell r="Q492">
            <v>80016.009999999995</v>
          </cell>
        </row>
        <row r="493">
          <cell r="A493">
            <v>70060</v>
          </cell>
          <cell r="B493" t="str">
            <v>Group Insurance</v>
          </cell>
          <cell r="E493">
            <v>10365.61</v>
          </cell>
          <cell r="F493">
            <v>10230.65</v>
          </cell>
          <cell r="G493">
            <v>8851.43</v>
          </cell>
          <cell r="H493">
            <v>12049.32</v>
          </cell>
          <cell r="I493">
            <v>9943.51</v>
          </cell>
          <cell r="J493">
            <v>9742.43</v>
          </cell>
          <cell r="K493">
            <v>9734.74</v>
          </cell>
          <cell r="L493">
            <v>9561.06</v>
          </cell>
          <cell r="M493">
            <v>8494.4699999999993</v>
          </cell>
          <cell r="N493">
            <v>11177.83</v>
          </cell>
          <cell r="O493">
            <v>11411.65</v>
          </cell>
          <cell r="P493">
            <v>11731.69</v>
          </cell>
          <cell r="Q493">
            <v>123294.39</v>
          </cell>
        </row>
        <row r="494">
          <cell r="A494">
            <v>70065</v>
          </cell>
          <cell r="B494" t="str">
            <v>Vacation Pay</v>
          </cell>
          <cell r="E494">
            <v>5445.15</v>
          </cell>
          <cell r="F494">
            <v>2867.53</v>
          </cell>
          <cell r="G494">
            <v>2000.31</v>
          </cell>
          <cell r="H494">
            <v>3981.39</v>
          </cell>
          <cell r="I494">
            <v>4870.18</v>
          </cell>
          <cell r="J494">
            <v>3114.5</v>
          </cell>
          <cell r="K494">
            <v>4765.6099999999997</v>
          </cell>
          <cell r="L494">
            <v>2058.0100000000002</v>
          </cell>
          <cell r="M494">
            <v>3147.12</v>
          </cell>
          <cell r="N494">
            <v>4048.56</v>
          </cell>
          <cell r="O494">
            <v>2256.75</v>
          </cell>
          <cell r="P494">
            <v>3468.68</v>
          </cell>
          <cell r="Q494">
            <v>42023.79</v>
          </cell>
        </row>
        <row r="495">
          <cell r="A495">
            <v>70070</v>
          </cell>
          <cell r="B495" t="str">
            <v>Sick Pay</v>
          </cell>
          <cell r="E495">
            <v>334.55</v>
          </cell>
          <cell r="F495">
            <v>550.89</v>
          </cell>
          <cell r="G495">
            <v>1270.23</v>
          </cell>
          <cell r="H495">
            <v>745.77</v>
          </cell>
          <cell r="I495">
            <v>1246.57</v>
          </cell>
          <cell r="J495">
            <v>334.08</v>
          </cell>
          <cell r="K495">
            <v>365.29</v>
          </cell>
          <cell r="L495">
            <v>1258.6099999999999</v>
          </cell>
          <cell r="M495">
            <v>594.48</v>
          </cell>
          <cell r="N495">
            <v>799.28</v>
          </cell>
          <cell r="O495">
            <v>359.64</v>
          </cell>
          <cell r="P495">
            <v>428.72</v>
          </cell>
          <cell r="Q495">
            <v>8288.1099999999988</v>
          </cell>
        </row>
        <row r="496">
          <cell r="A496">
            <v>70086</v>
          </cell>
          <cell r="B496" t="str">
            <v>Safety and Training</v>
          </cell>
          <cell r="E496">
            <v>307.08999999999997</v>
          </cell>
          <cell r="F496">
            <v>-262.68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146.11000000000001</v>
          </cell>
          <cell r="N496">
            <v>550</v>
          </cell>
          <cell r="O496">
            <v>70</v>
          </cell>
          <cell r="P496">
            <v>2091.2399999999998</v>
          </cell>
          <cell r="Q496">
            <v>2901.7599999999998</v>
          </cell>
        </row>
        <row r="497">
          <cell r="A497">
            <v>70090</v>
          </cell>
          <cell r="B497" t="str">
            <v>WCN Training</v>
          </cell>
          <cell r="E497">
            <v>0</v>
          </cell>
          <cell r="F497">
            <v>912.78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912.78</v>
          </cell>
        </row>
        <row r="498">
          <cell r="A498">
            <v>70095</v>
          </cell>
          <cell r="B498" t="str">
            <v>Empl &amp; Commun Activ</v>
          </cell>
          <cell r="E498">
            <v>14055.36</v>
          </cell>
          <cell r="F498">
            <v>3129.49</v>
          </cell>
          <cell r="G498">
            <v>-8366.42</v>
          </cell>
          <cell r="H498">
            <v>1482.03</v>
          </cell>
          <cell r="I498">
            <v>4740.3999999999996</v>
          </cell>
          <cell r="J498">
            <v>5688.11</v>
          </cell>
          <cell r="K498">
            <v>11283.12</v>
          </cell>
          <cell r="L498">
            <v>21266.09</v>
          </cell>
          <cell r="M498">
            <v>1553.42</v>
          </cell>
          <cell r="N498">
            <v>3453.38</v>
          </cell>
          <cell r="O498">
            <v>4558.05</v>
          </cell>
          <cell r="P498">
            <v>3947.63</v>
          </cell>
          <cell r="Q498">
            <v>66790.659999999989</v>
          </cell>
        </row>
        <row r="499">
          <cell r="A499">
            <v>70105</v>
          </cell>
          <cell r="B499" t="str">
            <v>Employee Relocation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A500">
            <v>70107</v>
          </cell>
          <cell r="B500" t="str">
            <v>Housing Subsidy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>
            <v>70108</v>
          </cell>
          <cell r="B501" t="str">
            <v>School Tuition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A502">
            <v>70110</v>
          </cell>
          <cell r="B502" t="str">
            <v>Contributions</v>
          </cell>
          <cell r="E502">
            <v>937.5</v>
          </cell>
          <cell r="F502">
            <v>-1250</v>
          </cell>
          <cell r="G502">
            <v>500</v>
          </cell>
          <cell r="H502">
            <v>2250</v>
          </cell>
          <cell r="I502">
            <v>250</v>
          </cell>
          <cell r="J502">
            <v>500</v>
          </cell>
          <cell r="K502">
            <v>1191.54</v>
          </cell>
          <cell r="L502">
            <v>500</v>
          </cell>
          <cell r="M502">
            <v>0</v>
          </cell>
          <cell r="N502">
            <v>0</v>
          </cell>
          <cell r="O502">
            <v>500</v>
          </cell>
          <cell r="P502">
            <v>0</v>
          </cell>
          <cell r="Q502">
            <v>5379.04</v>
          </cell>
        </row>
        <row r="503">
          <cell r="A503">
            <v>70111</v>
          </cell>
          <cell r="B503" t="str">
            <v>Non Cash Charitable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A504">
            <v>70112</v>
          </cell>
          <cell r="B504" t="str">
            <v>Political Contributions</v>
          </cell>
          <cell r="E504">
            <v>0</v>
          </cell>
          <cell r="F504">
            <v>0</v>
          </cell>
          <cell r="G504">
            <v>0</v>
          </cell>
          <cell r="H504">
            <v>1250</v>
          </cell>
          <cell r="I504">
            <v>0</v>
          </cell>
          <cell r="J504">
            <v>0</v>
          </cell>
          <cell r="K504">
            <v>1250</v>
          </cell>
          <cell r="L504">
            <v>0</v>
          </cell>
          <cell r="M504">
            <v>500</v>
          </cell>
          <cell r="N504">
            <v>250</v>
          </cell>
          <cell r="O504">
            <v>0</v>
          </cell>
          <cell r="P504">
            <v>0</v>
          </cell>
          <cell r="Q504">
            <v>3250</v>
          </cell>
        </row>
        <row r="505">
          <cell r="A505">
            <v>70116</v>
          </cell>
          <cell r="B505" t="str">
            <v>Pension and Profit Sharing</v>
          </cell>
          <cell r="E505">
            <v>991.8</v>
          </cell>
          <cell r="F505">
            <v>1061.8</v>
          </cell>
          <cell r="G505">
            <v>1561.6</v>
          </cell>
          <cell r="H505">
            <v>1001.55</v>
          </cell>
          <cell r="I505">
            <v>1064.48</v>
          </cell>
          <cell r="J505">
            <v>880.04</v>
          </cell>
          <cell r="K505">
            <v>837.46</v>
          </cell>
          <cell r="L505">
            <v>818.44</v>
          </cell>
          <cell r="M505">
            <v>814.08</v>
          </cell>
          <cell r="N505">
            <v>1291.5999999999999</v>
          </cell>
          <cell r="O505">
            <v>832.75</v>
          </cell>
          <cell r="P505">
            <v>978.78</v>
          </cell>
          <cell r="Q505">
            <v>12134.380000000001</v>
          </cell>
        </row>
        <row r="506">
          <cell r="A506">
            <v>70117</v>
          </cell>
          <cell r="B506" t="str">
            <v>Union Pension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A507">
            <v>70142</v>
          </cell>
          <cell r="B507" t="str">
            <v>Fuel Expense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A508">
            <v>70145</v>
          </cell>
          <cell r="B508" t="str">
            <v>Outside Repairs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A509">
            <v>70147</v>
          </cell>
          <cell r="B509" t="str">
            <v>Bldg &amp; Property Maint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A510">
            <v>70148</v>
          </cell>
          <cell r="B510" t="str">
            <v>Allocated Exp In - District</v>
          </cell>
          <cell r="E510">
            <v>9455.33</v>
          </cell>
          <cell r="F510">
            <v>10366.76</v>
          </cell>
          <cell r="G510">
            <v>12777.28</v>
          </cell>
          <cell r="H510">
            <v>9429.9599999999991</v>
          </cell>
          <cell r="I510">
            <v>4111.67</v>
          </cell>
          <cell r="J510">
            <v>13752.97</v>
          </cell>
          <cell r="K510">
            <v>28825.42</v>
          </cell>
          <cell r="L510">
            <v>23366.78</v>
          </cell>
          <cell r="M510">
            <v>-1234.82</v>
          </cell>
          <cell r="N510">
            <v>8735.3799999999992</v>
          </cell>
          <cell r="O510">
            <v>11153.09</v>
          </cell>
          <cell r="P510">
            <v>9005.61</v>
          </cell>
          <cell r="Q510">
            <v>139745.43</v>
          </cell>
        </row>
        <row r="511">
          <cell r="A511">
            <v>70150</v>
          </cell>
          <cell r="B511" t="str">
            <v>Utilities</v>
          </cell>
          <cell r="E511">
            <v>1142.2</v>
          </cell>
          <cell r="F511">
            <v>1092.4000000000001</v>
          </cell>
          <cell r="G511">
            <v>1092.57</v>
          </cell>
          <cell r="H511">
            <v>1056.2</v>
          </cell>
          <cell r="I511">
            <v>971.23</v>
          </cell>
          <cell r="J511">
            <v>927.16</v>
          </cell>
          <cell r="K511">
            <v>0</v>
          </cell>
          <cell r="L511">
            <v>869.77</v>
          </cell>
          <cell r="M511">
            <v>868.91</v>
          </cell>
          <cell r="N511">
            <v>878.75</v>
          </cell>
          <cell r="O511">
            <v>973.97</v>
          </cell>
          <cell r="P511">
            <v>1678.97</v>
          </cell>
          <cell r="Q511">
            <v>11552.13</v>
          </cell>
        </row>
        <row r="512">
          <cell r="A512">
            <v>70165</v>
          </cell>
          <cell r="B512" t="str">
            <v>Communications</v>
          </cell>
          <cell r="E512">
            <v>1837.34</v>
          </cell>
          <cell r="F512">
            <v>1811.33</v>
          </cell>
          <cell r="G512">
            <v>2247.1</v>
          </cell>
          <cell r="H512">
            <v>1908.93</v>
          </cell>
          <cell r="I512">
            <v>2066.65</v>
          </cell>
          <cell r="J512">
            <v>2198.11</v>
          </cell>
          <cell r="K512">
            <v>2042.44</v>
          </cell>
          <cell r="L512">
            <v>2129.4</v>
          </cell>
          <cell r="M512">
            <v>2270.06</v>
          </cell>
          <cell r="N512">
            <v>2682.39</v>
          </cell>
          <cell r="O512">
            <v>1762.11</v>
          </cell>
          <cell r="P512">
            <v>2834.19</v>
          </cell>
          <cell r="Q512">
            <v>25790.05</v>
          </cell>
        </row>
        <row r="513">
          <cell r="A513">
            <v>70166</v>
          </cell>
          <cell r="B513" t="str">
            <v>Office Telephone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A514">
            <v>70167</v>
          </cell>
          <cell r="B514" t="str">
            <v>Cellular Telephone</v>
          </cell>
          <cell r="E514">
            <v>156.94999999999999</v>
          </cell>
          <cell r="F514">
            <v>186.7</v>
          </cell>
          <cell r="G514">
            <v>355.41</v>
          </cell>
          <cell r="H514">
            <v>205.54</v>
          </cell>
          <cell r="I514">
            <v>168.04</v>
          </cell>
          <cell r="J514">
            <v>205.54</v>
          </cell>
          <cell r="K514">
            <v>356.92</v>
          </cell>
          <cell r="L514">
            <v>187.5</v>
          </cell>
          <cell r="M514">
            <v>75</v>
          </cell>
          <cell r="N514">
            <v>223.5</v>
          </cell>
          <cell r="O514">
            <v>226.5</v>
          </cell>
          <cell r="P514">
            <v>150</v>
          </cell>
          <cell r="Q514">
            <v>2497.6</v>
          </cell>
        </row>
        <row r="515">
          <cell r="A515">
            <v>70170</v>
          </cell>
          <cell r="B515" t="str">
            <v>Real Estate Rentals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70175</v>
          </cell>
          <cell r="B516" t="str">
            <v>Equip/Vehicle Rental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A517">
            <v>70185</v>
          </cell>
          <cell r="B517" t="str">
            <v>Postage</v>
          </cell>
          <cell r="E517">
            <v>1663.37</v>
          </cell>
          <cell r="F517">
            <v>1464.26</v>
          </cell>
          <cell r="G517">
            <v>492.87</v>
          </cell>
          <cell r="H517">
            <v>1792.31</v>
          </cell>
          <cell r="I517">
            <v>1736.3</v>
          </cell>
          <cell r="J517">
            <v>1600.37</v>
          </cell>
          <cell r="K517">
            <v>417.65</v>
          </cell>
          <cell r="L517">
            <v>1589.73</v>
          </cell>
          <cell r="M517">
            <v>1686.05</v>
          </cell>
          <cell r="N517">
            <v>1653.87</v>
          </cell>
          <cell r="O517">
            <v>1642.82</v>
          </cell>
          <cell r="P517">
            <v>1641.55</v>
          </cell>
          <cell r="Q517">
            <v>17381.149999999998</v>
          </cell>
        </row>
        <row r="518">
          <cell r="A518">
            <v>70190</v>
          </cell>
          <cell r="B518" t="str">
            <v>Registration Fees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244</v>
          </cell>
          <cell r="K518">
            <v>-244</v>
          </cell>
          <cell r="L518">
            <v>0</v>
          </cell>
          <cell r="M518">
            <v>0</v>
          </cell>
          <cell r="N518">
            <v>450</v>
          </cell>
          <cell r="O518">
            <v>80</v>
          </cell>
          <cell r="P518">
            <v>5</v>
          </cell>
          <cell r="Q518">
            <v>535</v>
          </cell>
        </row>
        <row r="519">
          <cell r="A519">
            <v>70195</v>
          </cell>
          <cell r="B519" t="str">
            <v>Dues and Subscriptions</v>
          </cell>
          <cell r="E519">
            <v>734.67</v>
          </cell>
          <cell r="F519">
            <v>3500</v>
          </cell>
          <cell r="G519">
            <v>654.66999999999996</v>
          </cell>
          <cell r="H519">
            <v>3788.33</v>
          </cell>
          <cell r="I519">
            <v>831.17</v>
          </cell>
          <cell r="J519">
            <v>2522.33</v>
          </cell>
          <cell r="K519">
            <v>3255.67</v>
          </cell>
          <cell r="L519">
            <v>3419.03</v>
          </cell>
          <cell r="M519">
            <v>1208.23</v>
          </cell>
          <cell r="N519">
            <v>2099.1799999999998</v>
          </cell>
          <cell r="O519">
            <v>3420.89</v>
          </cell>
          <cell r="P519">
            <v>1716.89</v>
          </cell>
          <cell r="Q519">
            <v>27151.059999999998</v>
          </cell>
        </row>
        <row r="520">
          <cell r="A520">
            <v>70196</v>
          </cell>
          <cell r="B520" t="str">
            <v>Club Dues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A521">
            <v>70200</v>
          </cell>
          <cell r="B521" t="str">
            <v>Travel</v>
          </cell>
          <cell r="E521">
            <v>225.54</v>
          </cell>
          <cell r="F521">
            <v>769.5</v>
          </cell>
          <cell r="G521">
            <v>907.05</v>
          </cell>
          <cell r="H521">
            <v>0</v>
          </cell>
          <cell r="I521">
            <v>627.9</v>
          </cell>
          <cell r="J521">
            <v>18.75</v>
          </cell>
          <cell r="K521">
            <v>51</v>
          </cell>
          <cell r="L521">
            <v>-46.5</v>
          </cell>
          <cell r="M521">
            <v>1021.88</v>
          </cell>
          <cell r="N521">
            <v>876</v>
          </cell>
          <cell r="O521">
            <v>92.25</v>
          </cell>
          <cell r="P521">
            <v>339.6</v>
          </cell>
          <cell r="Q521">
            <v>4882.97</v>
          </cell>
        </row>
        <row r="522">
          <cell r="A522">
            <v>70201</v>
          </cell>
          <cell r="B522" t="str">
            <v>Entertainment</v>
          </cell>
          <cell r="E522">
            <v>0</v>
          </cell>
          <cell r="F522">
            <v>23.53</v>
          </cell>
          <cell r="G522">
            <v>0</v>
          </cell>
          <cell r="H522">
            <v>321.41000000000003</v>
          </cell>
          <cell r="I522">
            <v>0</v>
          </cell>
          <cell r="J522">
            <v>341.1</v>
          </cell>
          <cell r="K522">
            <v>728.42</v>
          </cell>
          <cell r="L522">
            <v>-72.099999999999994</v>
          </cell>
          <cell r="M522">
            <v>0</v>
          </cell>
          <cell r="N522">
            <v>41.89</v>
          </cell>
          <cell r="O522">
            <v>0</v>
          </cell>
          <cell r="P522">
            <v>0</v>
          </cell>
          <cell r="Q522">
            <v>1384.2500000000002</v>
          </cell>
        </row>
        <row r="523">
          <cell r="A523">
            <v>70202</v>
          </cell>
          <cell r="B523" t="str">
            <v>Excursions Meetings</v>
          </cell>
          <cell r="E523">
            <v>300</v>
          </cell>
          <cell r="F523">
            <v>345.51</v>
          </cell>
          <cell r="G523">
            <v>0</v>
          </cell>
          <cell r="H523">
            <v>0</v>
          </cell>
          <cell r="I523">
            <v>485</v>
          </cell>
          <cell r="J523">
            <v>1248.75</v>
          </cell>
          <cell r="K523">
            <v>0</v>
          </cell>
          <cell r="L523">
            <v>288.39999999999998</v>
          </cell>
          <cell r="M523">
            <v>0</v>
          </cell>
          <cell r="N523">
            <v>0</v>
          </cell>
          <cell r="O523">
            <v>279</v>
          </cell>
          <cell r="P523">
            <v>0</v>
          </cell>
          <cell r="Q523">
            <v>2946.6600000000003</v>
          </cell>
        </row>
        <row r="524">
          <cell r="A524">
            <v>70203</v>
          </cell>
          <cell r="B524" t="str">
            <v>Lodging</v>
          </cell>
          <cell r="E524">
            <v>462.54</v>
          </cell>
          <cell r="F524">
            <v>0</v>
          </cell>
          <cell r="G524">
            <v>0</v>
          </cell>
          <cell r="H524">
            <v>653.4</v>
          </cell>
          <cell r="I524">
            <v>579</v>
          </cell>
          <cell r="J524">
            <v>0</v>
          </cell>
          <cell r="K524">
            <v>797.67</v>
          </cell>
          <cell r="L524">
            <v>618.57000000000005</v>
          </cell>
          <cell r="M524">
            <v>382.5</v>
          </cell>
          <cell r="N524">
            <v>140.19999999999999</v>
          </cell>
          <cell r="O524">
            <v>457.4</v>
          </cell>
          <cell r="P524">
            <v>1133.44</v>
          </cell>
          <cell r="Q524">
            <v>5224.72</v>
          </cell>
        </row>
        <row r="525">
          <cell r="A525">
            <v>70204</v>
          </cell>
          <cell r="B525" t="str">
            <v>Gifts to Customers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A526">
            <v>70205</v>
          </cell>
          <cell r="B526" t="str">
            <v>Travel - Auto</v>
          </cell>
          <cell r="E526">
            <v>592.16</v>
          </cell>
          <cell r="F526">
            <v>812.81</v>
          </cell>
          <cell r="G526">
            <v>372.79</v>
          </cell>
          <cell r="H526">
            <v>924.67</v>
          </cell>
          <cell r="I526">
            <v>591.26</v>
          </cell>
          <cell r="J526">
            <v>614.52</v>
          </cell>
          <cell r="K526">
            <v>370.59</v>
          </cell>
          <cell r="L526">
            <v>811.62</v>
          </cell>
          <cell r="M526">
            <v>291.60000000000002</v>
          </cell>
          <cell r="N526">
            <v>789.52</v>
          </cell>
          <cell r="O526">
            <v>730.2</v>
          </cell>
          <cell r="P526">
            <v>523.23</v>
          </cell>
          <cell r="Q526">
            <v>7424.9699999999993</v>
          </cell>
        </row>
        <row r="527">
          <cell r="A527">
            <v>70206</v>
          </cell>
          <cell r="B527" t="str">
            <v>Meals</v>
          </cell>
          <cell r="E527">
            <v>155.22</v>
          </cell>
          <cell r="F527">
            <v>199.8</v>
          </cell>
          <cell r="G527">
            <v>112.98</v>
          </cell>
          <cell r="H527">
            <v>115.92</v>
          </cell>
          <cell r="I527">
            <v>277.83</v>
          </cell>
          <cell r="J527">
            <v>270.38</v>
          </cell>
          <cell r="K527">
            <v>579.17999999999995</v>
          </cell>
          <cell r="L527">
            <v>-136.55000000000001</v>
          </cell>
          <cell r="M527">
            <v>50</v>
          </cell>
          <cell r="N527">
            <v>287</v>
          </cell>
          <cell r="O527">
            <v>150.02000000000001</v>
          </cell>
          <cell r="P527">
            <v>59.7</v>
          </cell>
          <cell r="Q527">
            <v>2121.48</v>
          </cell>
        </row>
        <row r="528">
          <cell r="A528">
            <v>70207</v>
          </cell>
          <cell r="B528" t="str">
            <v>Meals with Customers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3.75</v>
          </cell>
          <cell r="O528">
            <v>0</v>
          </cell>
          <cell r="P528">
            <v>0</v>
          </cell>
          <cell r="Q528">
            <v>3.75</v>
          </cell>
        </row>
        <row r="529">
          <cell r="A529">
            <v>70209</v>
          </cell>
          <cell r="B529" t="str">
            <v>Photo Supplies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A530">
            <v>70210</v>
          </cell>
          <cell r="B530" t="str">
            <v>Office Supplies and Equip</v>
          </cell>
          <cell r="E530">
            <v>7068.1</v>
          </cell>
          <cell r="F530">
            <v>6155.01</v>
          </cell>
          <cell r="G530">
            <v>3868.92</v>
          </cell>
          <cell r="H530">
            <v>3782.02</v>
          </cell>
          <cell r="I530">
            <v>2862.22</v>
          </cell>
          <cell r="J530">
            <v>4721.92</v>
          </cell>
          <cell r="K530">
            <v>5210.1099999999997</v>
          </cell>
          <cell r="L530">
            <v>4854.1400000000003</v>
          </cell>
          <cell r="M530">
            <v>4059.64</v>
          </cell>
          <cell r="N530">
            <v>7017.47</v>
          </cell>
          <cell r="O530">
            <v>1056.94</v>
          </cell>
          <cell r="P530">
            <v>7841.63</v>
          </cell>
          <cell r="Q530">
            <v>58498.12</v>
          </cell>
        </row>
        <row r="531">
          <cell r="A531">
            <v>70213</v>
          </cell>
          <cell r="B531" t="str">
            <v>P-Card Rebate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A532">
            <v>70214</v>
          </cell>
          <cell r="B532" t="str">
            <v>Credit Card Fees</v>
          </cell>
          <cell r="E532">
            <v>7453.96</v>
          </cell>
          <cell r="F532">
            <v>8072.47</v>
          </cell>
          <cell r="G532">
            <v>8471.26</v>
          </cell>
          <cell r="H532">
            <v>7487.53</v>
          </cell>
          <cell r="I532">
            <v>7402.35</v>
          </cell>
          <cell r="J532">
            <v>8604.07</v>
          </cell>
          <cell r="K532">
            <v>8742.07</v>
          </cell>
          <cell r="L532">
            <v>9298.84</v>
          </cell>
          <cell r="M532">
            <v>9731.43</v>
          </cell>
          <cell r="N532">
            <v>9257.65</v>
          </cell>
          <cell r="O532">
            <v>10120.43</v>
          </cell>
          <cell r="P532">
            <v>9008.27</v>
          </cell>
          <cell r="Q532">
            <v>103650.33</v>
          </cell>
        </row>
        <row r="533">
          <cell r="A533">
            <v>70215</v>
          </cell>
          <cell r="B533" t="str">
            <v>Bank Charges</v>
          </cell>
          <cell r="E533">
            <v>520.58000000000004</v>
          </cell>
          <cell r="F533">
            <v>527.17999999999995</v>
          </cell>
          <cell r="G533">
            <v>539.19000000000005</v>
          </cell>
          <cell r="H533">
            <v>530.33000000000004</v>
          </cell>
          <cell r="I533">
            <v>471.57</v>
          </cell>
          <cell r="J533">
            <v>491.42</v>
          </cell>
          <cell r="K533">
            <v>465.31</v>
          </cell>
          <cell r="L533">
            <v>559.30999999999995</v>
          </cell>
          <cell r="M533">
            <v>476.99</v>
          </cell>
          <cell r="N533">
            <v>385.37</v>
          </cell>
          <cell r="O533">
            <v>367.56</v>
          </cell>
          <cell r="P533">
            <v>638.20000000000005</v>
          </cell>
          <cell r="Q533">
            <v>5973.01</v>
          </cell>
        </row>
        <row r="534">
          <cell r="A534">
            <v>70216</v>
          </cell>
          <cell r="B534" t="str">
            <v>Outside Storages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A535">
            <v>70217</v>
          </cell>
          <cell r="B535" t="str">
            <v>Invoice Printing Costs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>
            <v>70225</v>
          </cell>
          <cell r="B536" t="str">
            <v>Advertising and Promotions</v>
          </cell>
          <cell r="E536">
            <v>2100</v>
          </cell>
          <cell r="F536">
            <v>-679.79</v>
          </cell>
          <cell r="G536">
            <v>0</v>
          </cell>
          <cell r="H536">
            <v>31.64</v>
          </cell>
          <cell r="I536">
            <v>0</v>
          </cell>
          <cell r="J536">
            <v>0</v>
          </cell>
          <cell r="K536">
            <v>500</v>
          </cell>
          <cell r="L536">
            <v>710.94</v>
          </cell>
          <cell r="M536">
            <v>0</v>
          </cell>
          <cell r="N536">
            <v>3049.29</v>
          </cell>
          <cell r="O536">
            <v>5336.83</v>
          </cell>
          <cell r="P536">
            <v>0</v>
          </cell>
          <cell r="Q536">
            <v>11048.91</v>
          </cell>
        </row>
        <row r="537">
          <cell r="A537">
            <v>70230</v>
          </cell>
          <cell r="B537" t="str">
            <v>External Recruiter Fees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>
            <v>70231</v>
          </cell>
          <cell r="B538" t="str">
            <v>Recruitment Advertising &amp; Expenses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25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25</v>
          </cell>
        </row>
        <row r="539">
          <cell r="A539">
            <v>70232</v>
          </cell>
          <cell r="B539" t="str">
            <v>Recruitment Travel Expenses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A540">
            <v>70235</v>
          </cell>
          <cell r="B540" t="str">
            <v>Legal</v>
          </cell>
          <cell r="E540">
            <v>134.16</v>
          </cell>
          <cell r="F540">
            <v>0</v>
          </cell>
          <cell r="G540">
            <v>198.36</v>
          </cell>
          <cell r="H540">
            <v>3699.71</v>
          </cell>
          <cell r="I540">
            <v>1056.02</v>
          </cell>
          <cell r="J540">
            <v>682.19</v>
          </cell>
          <cell r="K540">
            <v>3008.78</v>
          </cell>
          <cell r="L540">
            <v>-2300.2800000000002</v>
          </cell>
          <cell r="M540">
            <v>3301.28</v>
          </cell>
          <cell r="N540">
            <v>0.2</v>
          </cell>
          <cell r="O540">
            <v>-0.2</v>
          </cell>
          <cell r="P540">
            <v>1207.32</v>
          </cell>
          <cell r="Q540">
            <v>10987.54</v>
          </cell>
        </row>
        <row r="541">
          <cell r="A541">
            <v>70240</v>
          </cell>
          <cell r="B541" t="str">
            <v>Accounting Professional Fees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A542">
            <v>70245</v>
          </cell>
          <cell r="B542" t="str">
            <v>Payroll Processing Fees</v>
          </cell>
          <cell r="E542">
            <v>324.20999999999998</v>
          </cell>
          <cell r="F542">
            <v>333.23</v>
          </cell>
          <cell r="G542">
            <v>333.23</v>
          </cell>
          <cell r="H542">
            <v>333.23</v>
          </cell>
          <cell r="I542">
            <v>333.23</v>
          </cell>
          <cell r="J542">
            <v>333.23</v>
          </cell>
          <cell r="K542">
            <v>333.23</v>
          </cell>
          <cell r="L542">
            <v>300.73</v>
          </cell>
          <cell r="M542">
            <v>300.73</v>
          </cell>
          <cell r="N542">
            <v>300.73</v>
          </cell>
          <cell r="O542">
            <v>300.86</v>
          </cell>
          <cell r="P542">
            <v>300.86</v>
          </cell>
          <cell r="Q542">
            <v>3827.5000000000005</v>
          </cell>
        </row>
        <row r="543">
          <cell r="A543">
            <v>70250</v>
          </cell>
          <cell r="B543" t="str">
            <v>Acquisition Cost Write Off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>
            <v>70254</v>
          </cell>
          <cell r="B544" t="str">
            <v>Corporate Capitalized Expenses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A545">
            <v>70255</v>
          </cell>
          <cell r="B545" t="str">
            <v>Other Prof Fees</v>
          </cell>
          <cell r="E545">
            <v>0</v>
          </cell>
          <cell r="F545">
            <v>659.25</v>
          </cell>
          <cell r="G545">
            <v>168.64</v>
          </cell>
          <cell r="H545">
            <v>0</v>
          </cell>
          <cell r="I545">
            <v>900</v>
          </cell>
          <cell r="J545">
            <v>168.64</v>
          </cell>
          <cell r="K545">
            <v>-900</v>
          </cell>
          <cell r="L545">
            <v>0</v>
          </cell>
          <cell r="M545">
            <v>168.64</v>
          </cell>
          <cell r="N545">
            <v>0</v>
          </cell>
          <cell r="O545">
            <v>548.44000000000005</v>
          </cell>
          <cell r="P545">
            <v>243.29</v>
          </cell>
          <cell r="Q545">
            <v>1956.8999999999996</v>
          </cell>
        </row>
        <row r="546">
          <cell r="A546">
            <v>70271</v>
          </cell>
          <cell r="B546" t="str">
            <v>Property and Liability Insurance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>
            <v>70272</v>
          </cell>
          <cell r="B547" t="str">
            <v>Keyman Life Insurance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>
            <v>70273</v>
          </cell>
          <cell r="B548" t="str">
            <v>Directors and Officers Insurance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>
            <v>70275</v>
          </cell>
          <cell r="B549" t="str">
            <v>Property Taxes</v>
          </cell>
          <cell r="E549">
            <v>3633</v>
          </cell>
          <cell r="F549">
            <v>3633</v>
          </cell>
          <cell r="G549">
            <v>4280.66</v>
          </cell>
          <cell r="H549">
            <v>5100.2</v>
          </cell>
          <cell r="I549">
            <v>5100.2</v>
          </cell>
          <cell r="J549">
            <v>5100.2</v>
          </cell>
          <cell r="K549">
            <v>6353.54</v>
          </cell>
          <cell r="L549">
            <v>4787.74</v>
          </cell>
          <cell r="M549">
            <v>4507.07</v>
          </cell>
          <cell r="N549">
            <v>4985.55</v>
          </cell>
          <cell r="O549">
            <v>5021.75</v>
          </cell>
          <cell r="P549">
            <v>4949.34</v>
          </cell>
          <cell r="Q549">
            <v>57452.25</v>
          </cell>
        </row>
        <row r="550">
          <cell r="A550">
            <v>70280</v>
          </cell>
          <cell r="B550" t="str">
            <v>Other Taxes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A551">
            <v>70300</v>
          </cell>
          <cell r="B551" t="str">
            <v>Data Processing</v>
          </cell>
          <cell r="E551">
            <v>3053.24</v>
          </cell>
          <cell r="F551">
            <v>27123.4</v>
          </cell>
          <cell r="G551">
            <v>1994.05</v>
          </cell>
          <cell r="H551">
            <v>25497.25</v>
          </cell>
          <cell r="I551">
            <v>4148.7299999999996</v>
          </cell>
          <cell r="J551">
            <v>12634.95</v>
          </cell>
          <cell r="K551">
            <v>2733.27</v>
          </cell>
          <cell r="L551">
            <v>28900.27</v>
          </cell>
          <cell r="M551">
            <v>2744.08</v>
          </cell>
          <cell r="N551">
            <v>23341.62</v>
          </cell>
          <cell r="O551">
            <v>2653.19</v>
          </cell>
          <cell r="P551">
            <v>25630.6</v>
          </cell>
          <cell r="Q551">
            <v>160454.65000000002</v>
          </cell>
        </row>
        <row r="552">
          <cell r="A552">
            <v>70301</v>
          </cell>
          <cell r="B552" t="str">
            <v>Computer Software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A553">
            <v>70302</v>
          </cell>
          <cell r="B553" t="str">
            <v>Computer Supplies</v>
          </cell>
          <cell r="E553">
            <v>0</v>
          </cell>
          <cell r="F553">
            <v>435.77</v>
          </cell>
          <cell r="G553">
            <v>693.82</v>
          </cell>
          <cell r="H553">
            <v>0</v>
          </cell>
          <cell r="I553">
            <v>0</v>
          </cell>
          <cell r="J553">
            <v>0</v>
          </cell>
          <cell r="K553">
            <v>71.819999999999993</v>
          </cell>
          <cell r="L553">
            <v>73.77</v>
          </cell>
          <cell r="M553">
            <v>0</v>
          </cell>
          <cell r="N553">
            <v>0</v>
          </cell>
          <cell r="O553">
            <v>0</v>
          </cell>
          <cell r="P553">
            <v>561.86</v>
          </cell>
          <cell r="Q553">
            <v>1837.04</v>
          </cell>
        </row>
        <row r="554">
          <cell r="A554">
            <v>70310</v>
          </cell>
          <cell r="B554" t="str">
            <v>Bad Debt Provision</v>
          </cell>
          <cell r="E554">
            <v>-38144.620000000003</v>
          </cell>
          <cell r="F554">
            <v>34133.97</v>
          </cell>
          <cell r="G554">
            <v>-43595.040000000001</v>
          </cell>
          <cell r="H554">
            <v>39178.03</v>
          </cell>
          <cell r="I554">
            <v>-23435.439999999999</v>
          </cell>
          <cell r="J554">
            <v>54303.69</v>
          </cell>
          <cell r="K554">
            <v>-33171.480000000003</v>
          </cell>
          <cell r="L554">
            <v>54213.2</v>
          </cell>
          <cell r="M554">
            <v>-34096.239999999998</v>
          </cell>
          <cell r="N554">
            <v>57772.45</v>
          </cell>
          <cell r="O554">
            <v>-39518.949999999997</v>
          </cell>
          <cell r="P554">
            <v>53267.67</v>
          </cell>
          <cell r="Q554">
            <v>80907.239999999991</v>
          </cell>
        </row>
        <row r="555">
          <cell r="A555">
            <v>70315</v>
          </cell>
          <cell r="B555" t="str">
            <v>Bad Debt Recoveries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A556">
            <v>70320</v>
          </cell>
          <cell r="B556" t="str">
            <v>Credit and Collection</v>
          </cell>
          <cell r="E556">
            <v>6198.28</v>
          </cell>
          <cell r="F556">
            <v>9319.4599999999991</v>
          </cell>
          <cell r="G556">
            <v>5273.3</v>
          </cell>
          <cell r="H556">
            <v>8215.32</v>
          </cell>
          <cell r="I556">
            <v>5615.84</v>
          </cell>
          <cell r="J556">
            <v>3201.73</v>
          </cell>
          <cell r="K556">
            <v>4767.67</v>
          </cell>
          <cell r="L556">
            <v>2810.14</v>
          </cell>
          <cell r="M556">
            <v>5490.95</v>
          </cell>
          <cell r="N556">
            <v>4968.87</v>
          </cell>
          <cell r="O556">
            <v>5918.1</v>
          </cell>
          <cell r="P556">
            <v>0</v>
          </cell>
          <cell r="Q556">
            <v>61779.659999999996</v>
          </cell>
        </row>
        <row r="557">
          <cell r="A557">
            <v>70324</v>
          </cell>
          <cell r="B557" t="str">
            <v>Penalties and Violations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A558">
            <v>70325</v>
          </cell>
          <cell r="B558" t="str">
            <v>Legal Settlement Payments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>
            <v>70326</v>
          </cell>
          <cell r="B559" t="str">
            <v>Deductible Current Year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>
            <v>70327</v>
          </cell>
          <cell r="B560" t="str">
            <v>Deductible Dammage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>
            <v>70328</v>
          </cell>
          <cell r="B561" t="str">
            <v>Claim Recoveries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A562">
            <v>70330</v>
          </cell>
          <cell r="B562" t="str">
            <v>Deductible Prior Year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>
            <v>70335</v>
          </cell>
          <cell r="B563" t="str">
            <v>Miscellaneous</v>
          </cell>
          <cell r="E563">
            <v>0</v>
          </cell>
          <cell r="F563">
            <v>-78.28</v>
          </cell>
          <cell r="G563">
            <v>0</v>
          </cell>
          <cell r="H563">
            <v>-123.75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-202.03</v>
          </cell>
        </row>
        <row r="564">
          <cell r="A564">
            <v>70336</v>
          </cell>
          <cell r="B564" t="str">
            <v>Coffe Bar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38.020000000000003</v>
          </cell>
          <cell r="M564">
            <v>0</v>
          </cell>
          <cell r="N564">
            <v>-38.020000000000003</v>
          </cell>
          <cell r="O564">
            <v>0</v>
          </cell>
          <cell r="P564">
            <v>0</v>
          </cell>
          <cell r="Q564">
            <v>0</v>
          </cell>
        </row>
        <row r="565">
          <cell r="A565">
            <v>70345</v>
          </cell>
          <cell r="B565" t="str">
            <v>Security Services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A566">
            <v>70357</v>
          </cell>
          <cell r="B566" t="str">
            <v>Permits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A567">
            <v>70370</v>
          </cell>
          <cell r="B567" t="str">
            <v>Bonds Expense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A568">
            <v>70371</v>
          </cell>
          <cell r="B568" t="str">
            <v>Board of Directors Fees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>
            <v>70372</v>
          </cell>
          <cell r="B569" t="str">
            <v>Board of Directors Expense Report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>
            <v>70475</v>
          </cell>
          <cell r="B570" t="str">
            <v>Trade Shows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>
            <v>70900</v>
          </cell>
          <cell r="B571" t="str">
            <v>Entitiy Formation Costs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A572">
            <v>70998</v>
          </cell>
          <cell r="B572" t="str">
            <v>Allocation Out - District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A573">
            <v>70999</v>
          </cell>
          <cell r="B573" t="str">
            <v>Allocation Out - Out District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</row>
        <row r="574">
          <cell r="A574">
            <v>71000</v>
          </cell>
          <cell r="B574" t="str">
            <v>Stock Comp Expense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A575" t="str">
            <v>Total G&amp;A</v>
          </cell>
          <cell r="E575">
            <v>135458.46000000002</v>
          </cell>
          <cell r="F575">
            <v>208641.47999999992</v>
          </cell>
          <cell r="G575">
            <v>98781.099999999962</v>
          </cell>
          <cell r="H575">
            <v>225439.98</v>
          </cell>
          <cell r="I575">
            <v>124024.28</v>
          </cell>
          <cell r="J575">
            <v>224140.84000000008</v>
          </cell>
          <cell r="K575">
            <v>154049.73000000004</v>
          </cell>
          <cell r="L575">
            <v>264592.3</v>
          </cell>
          <cell r="M575">
            <v>109926.17</v>
          </cell>
          <cell r="N575">
            <v>249406.65000000005</v>
          </cell>
          <cell r="O575">
            <v>123801.06999999996</v>
          </cell>
          <cell r="P575">
            <v>250967.55000000005</v>
          </cell>
          <cell r="Q575">
            <v>2169229.61</v>
          </cell>
        </row>
        <row r="577">
          <cell r="A577" t="str">
            <v>Overhead</v>
          </cell>
        </row>
        <row r="578">
          <cell r="A578">
            <v>70149</v>
          </cell>
          <cell r="B578" t="str">
            <v>Corporate Overhead Allocation In</v>
          </cell>
          <cell r="E578">
            <v>95576.95</v>
          </cell>
          <cell r="F578">
            <v>93754.57</v>
          </cell>
          <cell r="G578">
            <v>96892.32</v>
          </cell>
          <cell r="H578">
            <v>96287.7</v>
          </cell>
          <cell r="I578">
            <v>98950.95</v>
          </cell>
          <cell r="J578">
            <v>99254.64</v>
          </cell>
          <cell r="K578">
            <v>97352.26</v>
          </cell>
          <cell r="L578">
            <v>97777.96</v>
          </cell>
          <cell r="M578">
            <v>98592.93</v>
          </cell>
          <cell r="N578">
            <v>101400.48</v>
          </cell>
          <cell r="O578">
            <v>100544.01</v>
          </cell>
          <cell r="P578">
            <v>100617.72</v>
          </cell>
          <cell r="Q578">
            <v>1177002.49</v>
          </cell>
        </row>
        <row r="579">
          <cell r="A579">
            <v>70159</v>
          </cell>
          <cell r="B579" t="str">
            <v>Region Overhead Allocation In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 t="str">
            <v>Total Overhead</v>
          </cell>
          <cell r="E580">
            <v>95576.95</v>
          </cell>
          <cell r="F580">
            <v>93754.57</v>
          </cell>
          <cell r="G580">
            <v>96892.32</v>
          </cell>
          <cell r="H580">
            <v>96287.7</v>
          </cell>
          <cell r="I580">
            <v>98950.95</v>
          </cell>
          <cell r="J580">
            <v>99254.64</v>
          </cell>
          <cell r="K580">
            <v>97352.26</v>
          </cell>
          <cell r="L580">
            <v>97777.96</v>
          </cell>
          <cell r="M580">
            <v>98592.93</v>
          </cell>
          <cell r="N580">
            <v>101400.48</v>
          </cell>
          <cell r="O580">
            <v>100544.01</v>
          </cell>
          <cell r="P580">
            <v>100617.72</v>
          </cell>
          <cell r="Q580">
            <v>1177002.49</v>
          </cell>
        </row>
        <row r="582">
          <cell r="A582" t="str">
            <v>Total SG&amp;A</v>
          </cell>
          <cell r="E582">
            <v>246511.28000000003</v>
          </cell>
          <cell r="F582">
            <v>305793.68999999994</v>
          </cell>
          <cell r="G582">
            <v>203965.25999999998</v>
          </cell>
          <cell r="H582">
            <v>328473.28999999998</v>
          </cell>
          <cell r="I582">
            <v>228706.00999999998</v>
          </cell>
          <cell r="J582">
            <v>331450.5400000001</v>
          </cell>
          <cell r="K582">
            <v>256165.84000000005</v>
          </cell>
          <cell r="L582">
            <v>365954.82</v>
          </cell>
          <cell r="M582">
            <v>239060.30999999997</v>
          </cell>
          <cell r="N582">
            <v>379132.25000000006</v>
          </cell>
          <cell r="O582">
            <v>228004.79999999996</v>
          </cell>
          <cell r="P582">
            <v>390132.22000000003</v>
          </cell>
          <cell r="Q582">
            <v>3503350.3099999996</v>
          </cell>
        </row>
        <row r="584">
          <cell r="A584" t="str">
            <v>EBITDA</v>
          </cell>
          <cell r="E584">
            <v>712085.01999999979</v>
          </cell>
          <cell r="F584">
            <v>772605.35999999987</v>
          </cell>
          <cell r="G584">
            <v>776716.52999999991</v>
          </cell>
          <cell r="H584">
            <v>731539.77</v>
          </cell>
          <cell r="I584">
            <v>769618.66999999934</v>
          </cell>
          <cell r="J584">
            <v>552555.60000000033</v>
          </cell>
          <cell r="K584">
            <v>743010.76999999932</v>
          </cell>
          <cell r="L584">
            <v>663397.72999999952</v>
          </cell>
          <cell r="M584">
            <v>766161.14</v>
          </cell>
          <cell r="N584">
            <v>683037.77000000048</v>
          </cell>
          <cell r="O584">
            <v>782671.56999999972</v>
          </cell>
          <cell r="P584">
            <v>621819.83000000031</v>
          </cell>
          <cell r="Q584">
            <v>8575219.7600000016</v>
          </cell>
        </row>
        <row r="586">
          <cell r="A586" t="str">
            <v>DD&amp;A</v>
          </cell>
        </row>
        <row r="587">
          <cell r="A587" t="str">
            <v>Depreciation</v>
          </cell>
        </row>
        <row r="588">
          <cell r="A588">
            <v>51260</v>
          </cell>
          <cell r="B588" t="str">
            <v>Depreciation</v>
          </cell>
          <cell r="E588">
            <v>128653.02</v>
          </cell>
          <cell r="F588">
            <v>131370.81</v>
          </cell>
          <cell r="G588">
            <v>131344.75</v>
          </cell>
          <cell r="H588">
            <v>130833.62</v>
          </cell>
          <cell r="I588">
            <v>128898.54</v>
          </cell>
          <cell r="J588">
            <v>124756.98</v>
          </cell>
          <cell r="K588">
            <v>129780.01</v>
          </cell>
          <cell r="L588">
            <v>124499.33</v>
          </cell>
          <cell r="M588">
            <v>116250.86</v>
          </cell>
          <cell r="N588">
            <v>116469.34</v>
          </cell>
          <cell r="O588">
            <v>115552.67</v>
          </cell>
          <cell r="P588">
            <v>115400.84</v>
          </cell>
          <cell r="Q588">
            <v>1493810.77</v>
          </cell>
        </row>
        <row r="589">
          <cell r="A589">
            <v>54260</v>
          </cell>
          <cell r="B589" t="str">
            <v>Depreciation</v>
          </cell>
          <cell r="E589">
            <v>44644.21</v>
          </cell>
          <cell r="F589">
            <v>45130.14</v>
          </cell>
          <cell r="G589">
            <v>45176.2</v>
          </cell>
          <cell r="H589">
            <v>45736.24</v>
          </cell>
          <cell r="I589">
            <v>45872.49</v>
          </cell>
          <cell r="J589">
            <v>46097.22</v>
          </cell>
          <cell r="K589">
            <v>46974.19</v>
          </cell>
          <cell r="L589">
            <v>47668</v>
          </cell>
          <cell r="M589">
            <v>47777.17</v>
          </cell>
          <cell r="N589">
            <v>47529.919999999998</v>
          </cell>
          <cell r="O589">
            <v>47583.6</v>
          </cell>
          <cell r="P589">
            <v>47682.03</v>
          </cell>
          <cell r="Q589">
            <v>557871.40999999992</v>
          </cell>
        </row>
        <row r="590">
          <cell r="A590">
            <v>56260</v>
          </cell>
          <cell r="B590" t="str">
            <v>Depreciation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A591">
            <v>57260</v>
          </cell>
          <cell r="B591" t="str">
            <v>Depreciation</v>
          </cell>
          <cell r="E591">
            <v>5579.13</v>
          </cell>
          <cell r="F591">
            <v>5579.15</v>
          </cell>
          <cell r="G591">
            <v>5579.14</v>
          </cell>
          <cell r="H591">
            <v>5579.12</v>
          </cell>
          <cell r="I591">
            <v>5579.14</v>
          </cell>
          <cell r="J591">
            <v>5579.19</v>
          </cell>
          <cell r="K591">
            <v>5579.09</v>
          </cell>
          <cell r="L591">
            <v>5579.1</v>
          </cell>
          <cell r="M591">
            <v>5521.44</v>
          </cell>
          <cell r="N591">
            <v>5521.33</v>
          </cell>
          <cell r="O591">
            <v>5521.37</v>
          </cell>
          <cell r="P591">
            <v>5521.3</v>
          </cell>
          <cell r="Q591">
            <v>66718.5</v>
          </cell>
        </row>
        <row r="592">
          <cell r="A592">
            <v>60260</v>
          </cell>
          <cell r="B592" t="str">
            <v>Depreciation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>
            <v>70257</v>
          </cell>
          <cell r="B593" t="str">
            <v>Depreciation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A594">
            <v>70260</v>
          </cell>
          <cell r="B594" t="str">
            <v>Depreciation</v>
          </cell>
          <cell r="E594">
            <v>819.53</v>
          </cell>
          <cell r="F594">
            <v>819.52</v>
          </cell>
          <cell r="G594">
            <v>819.52</v>
          </cell>
          <cell r="H594">
            <v>819.45</v>
          </cell>
          <cell r="I594">
            <v>622.97</v>
          </cell>
          <cell r="J594">
            <v>622.99</v>
          </cell>
          <cell r="K594">
            <v>622.98</v>
          </cell>
          <cell r="L594">
            <v>622.91</v>
          </cell>
          <cell r="M594">
            <v>451.09</v>
          </cell>
          <cell r="N594">
            <v>451.1</v>
          </cell>
          <cell r="O594">
            <v>430.18</v>
          </cell>
          <cell r="P594">
            <v>386.57</v>
          </cell>
          <cell r="Q594">
            <v>7488.8099999999995</v>
          </cell>
        </row>
        <row r="595">
          <cell r="A595" t="str">
            <v>Total Depreciation</v>
          </cell>
          <cell r="E595">
            <v>179695.89</v>
          </cell>
          <cell r="F595">
            <v>182899.62</v>
          </cell>
          <cell r="G595">
            <v>182919.61000000002</v>
          </cell>
          <cell r="H595">
            <v>182968.43</v>
          </cell>
          <cell r="I595">
            <v>180973.14</v>
          </cell>
          <cell r="J595">
            <v>177056.38</v>
          </cell>
          <cell r="K595">
            <v>182956.27000000002</v>
          </cell>
          <cell r="L595">
            <v>178369.34000000003</v>
          </cell>
          <cell r="M595">
            <v>170000.56</v>
          </cell>
          <cell r="N595">
            <v>169971.69</v>
          </cell>
          <cell r="O595">
            <v>169087.81999999998</v>
          </cell>
          <cell r="P595">
            <v>168990.74</v>
          </cell>
          <cell r="Q595">
            <v>2125889.4899999998</v>
          </cell>
        </row>
        <row r="597">
          <cell r="A597" t="str">
            <v>Depletion</v>
          </cell>
        </row>
        <row r="598">
          <cell r="A598">
            <v>46000</v>
          </cell>
          <cell r="B598" t="str">
            <v>Depletion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A599">
            <v>46010</v>
          </cell>
          <cell r="B599" t="str">
            <v>Closure Amortization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A600">
            <v>57261</v>
          </cell>
          <cell r="B600" t="str">
            <v>Airspace Amortization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A601" t="str">
            <v>Total Depletion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3">
          <cell r="A603" t="str">
            <v>Amortization</v>
          </cell>
        </row>
        <row r="604">
          <cell r="A604">
            <v>70264</v>
          </cell>
          <cell r="B604" t="str">
            <v>Amortization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A605">
            <v>70266</v>
          </cell>
          <cell r="B605" t="str">
            <v>Cov. Not to Compete</v>
          </cell>
          <cell r="E605">
            <v>1987.84</v>
          </cell>
          <cell r="F605">
            <v>1987.84</v>
          </cell>
          <cell r="G605">
            <v>1987.83</v>
          </cell>
          <cell r="H605">
            <v>1987.84</v>
          </cell>
          <cell r="I605">
            <v>1987.83</v>
          </cell>
          <cell r="J605">
            <v>1987.83</v>
          </cell>
          <cell r="K605">
            <v>1987.84</v>
          </cell>
          <cell r="L605">
            <v>1987.8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15902.65</v>
          </cell>
        </row>
        <row r="606">
          <cell r="A606">
            <v>70267</v>
          </cell>
          <cell r="B606" t="str">
            <v>Amortization of Goodwill - Taxable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A607">
            <v>70268</v>
          </cell>
          <cell r="B607" t="str">
            <v>Amortization of Goodwill - Non-Taxable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A608">
            <v>70269</v>
          </cell>
          <cell r="B608" t="str">
            <v>Long Term Contract Amort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A609" t="str">
            <v>Total Amortization</v>
          </cell>
          <cell r="E609">
            <v>1987.84</v>
          </cell>
          <cell r="F609">
            <v>1987.84</v>
          </cell>
          <cell r="G609">
            <v>1987.83</v>
          </cell>
          <cell r="H609">
            <v>1987.84</v>
          </cell>
          <cell r="I609">
            <v>1987.83</v>
          </cell>
          <cell r="J609">
            <v>1987.83</v>
          </cell>
          <cell r="K609">
            <v>1987.84</v>
          </cell>
          <cell r="L609">
            <v>1987.8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15902.65</v>
          </cell>
        </row>
        <row r="611">
          <cell r="A611" t="str">
            <v>Total DDA</v>
          </cell>
          <cell r="E611">
            <v>181683.73</v>
          </cell>
          <cell r="F611">
            <v>184887.46</v>
          </cell>
          <cell r="G611">
            <v>184907.44</v>
          </cell>
          <cell r="H611">
            <v>184956.27</v>
          </cell>
          <cell r="I611">
            <v>182960.97</v>
          </cell>
          <cell r="J611">
            <v>179044.21</v>
          </cell>
          <cell r="K611">
            <v>184944.11000000002</v>
          </cell>
          <cell r="L611">
            <v>180357.14</v>
          </cell>
          <cell r="M611">
            <v>170000.56</v>
          </cell>
          <cell r="N611">
            <v>169971.69</v>
          </cell>
          <cell r="O611">
            <v>169087.81999999998</v>
          </cell>
          <cell r="P611">
            <v>168990.74</v>
          </cell>
          <cell r="Q611">
            <v>2141792.1399999997</v>
          </cell>
        </row>
        <row r="613">
          <cell r="A613" t="str">
            <v>EBIT</v>
          </cell>
          <cell r="E613">
            <v>530401.2899999998</v>
          </cell>
          <cell r="F613">
            <v>587717.89999999991</v>
          </cell>
          <cell r="G613">
            <v>591809.08999999985</v>
          </cell>
          <cell r="H613">
            <v>546583.5</v>
          </cell>
          <cell r="I613">
            <v>586657.69999999937</v>
          </cell>
          <cell r="J613">
            <v>373511.39000000036</v>
          </cell>
          <cell r="K613">
            <v>558066.65999999933</v>
          </cell>
          <cell r="L613">
            <v>483040.5899999995</v>
          </cell>
          <cell r="M613">
            <v>596160.58000000007</v>
          </cell>
          <cell r="N613">
            <v>513066.08000000048</v>
          </cell>
          <cell r="O613">
            <v>613583.74999999977</v>
          </cell>
          <cell r="P613">
            <v>452829.09000000032</v>
          </cell>
          <cell r="Q613">
            <v>6433427.620000002</v>
          </cell>
        </row>
        <row r="615">
          <cell r="A615" t="str">
            <v>Interest Expense</v>
          </cell>
        </row>
        <row r="616">
          <cell r="A616">
            <v>80000</v>
          </cell>
          <cell r="B616" t="str">
            <v>Interest Expense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>
            <v>80001</v>
          </cell>
          <cell r="B617" t="str">
            <v>Debt Accretion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A618">
            <v>80009</v>
          </cell>
          <cell r="B618" t="str">
            <v>Capitalized Interest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A619">
            <v>80099</v>
          </cell>
          <cell r="B619" t="str">
            <v>Interest Allocation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A620" t="str">
            <v>Total Interest Expense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2">
          <cell r="A622" t="str">
            <v>Interest Income</v>
          </cell>
        </row>
        <row r="623">
          <cell r="A623">
            <v>80010</v>
          </cell>
          <cell r="B623" t="str">
            <v>Interest Income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A624" t="str">
            <v>Total Interest Income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6">
          <cell r="A626" t="str">
            <v>Other (Income) and Expense</v>
          </cell>
        </row>
        <row r="627">
          <cell r="A627">
            <v>70901</v>
          </cell>
          <cell r="B627" t="str">
            <v>Pooling Costs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A628">
            <v>91000</v>
          </cell>
          <cell r="B628" t="str">
            <v>Unusual Gain/Loss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A629">
            <v>91001</v>
          </cell>
          <cell r="B629" t="str">
            <v>Investment Distribution Income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A630">
            <v>91002</v>
          </cell>
          <cell r="B630" t="str">
            <v>NSF Fees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A631" t="str">
            <v>Total Other (Income) and Expense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3">
          <cell r="A633" t="str">
            <v>Income Before Taxes and Extraordinary Items</v>
          </cell>
          <cell r="E633">
            <v>530401.2899999998</v>
          </cell>
          <cell r="F633">
            <v>587717.89999999991</v>
          </cell>
          <cell r="G633">
            <v>591809.08999999985</v>
          </cell>
          <cell r="H633">
            <v>546583.5</v>
          </cell>
          <cell r="I633">
            <v>586657.69999999937</v>
          </cell>
          <cell r="J633">
            <v>373511.39000000036</v>
          </cell>
          <cell r="K633">
            <v>558066.65999999933</v>
          </cell>
          <cell r="L633">
            <v>483040.5899999995</v>
          </cell>
          <cell r="M633">
            <v>596160.58000000007</v>
          </cell>
          <cell r="N633">
            <v>513066.08000000048</v>
          </cell>
          <cell r="O633">
            <v>613583.74999999977</v>
          </cell>
          <cell r="P633">
            <v>452829.09000000032</v>
          </cell>
          <cell r="Q633">
            <v>6433427.620000002</v>
          </cell>
        </row>
        <row r="635">
          <cell r="A635" t="str">
            <v>Extraordinary Income and Expense</v>
          </cell>
        </row>
        <row r="636">
          <cell r="A636">
            <v>92999</v>
          </cell>
          <cell r="B636" t="str">
            <v>Extraordinary Gain/Loss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Total Extraordinary Income and Expense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9">
          <cell r="A639" t="str">
            <v>Net Income Before Taxes</v>
          </cell>
          <cell r="E639">
            <v>530401.2899999998</v>
          </cell>
          <cell r="F639">
            <v>587717.89999999991</v>
          </cell>
          <cell r="G639">
            <v>591809.08999999985</v>
          </cell>
          <cell r="H639">
            <v>546583.5</v>
          </cell>
          <cell r="I639">
            <v>586657.69999999937</v>
          </cell>
          <cell r="J639">
            <v>373511.39000000036</v>
          </cell>
          <cell r="K639">
            <v>558066.65999999933</v>
          </cell>
          <cell r="L639">
            <v>483040.5899999995</v>
          </cell>
          <cell r="M639">
            <v>596160.58000000007</v>
          </cell>
          <cell r="N639">
            <v>513066.08000000048</v>
          </cell>
          <cell r="O639">
            <v>613583.74999999977</v>
          </cell>
          <cell r="P639">
            <v>452829.09000000032</v>
          </cell>
          <cell r="Q639">
            <v>6433427.620000002</v>
          </cell>
        </row>
        <row r="641">
          <cell r="A641" t="str">
            <v>Income Taxes</v>
          </cell>
        </row>
        <row r="642">
          <cell r="A642">
            <v>90000</v>
          </cell>
          <cell r="B642" t="str">
            <v>Taxes -Federal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A643">
            <v>90010</v>
          </cell>
          <cell r="B643" t="str">
            <v>Taxes - State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A644" t="str">
            <v>Total Income Taxes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6">
          <cell r="A646" t="str">
            <v>Net Income</v>
          </cell>
          <cell r="E646">
            <v>530401.2899999998</v>
          </cell>
          <cell r="F646">
            <v>587717.89999999991</v>
          </cell>
          <cell r="G646">
            <v>591809.08999999985</v>
          </cell>
          <cell r="H646">
            <v>546583.5</v>
          </cell>
          <cell r="I646">
            <v>586657.69999999937</v>
          </cell>
          <cell r="J646">
            <v>373511.39000000036</v>
          </cell>
          <cell r="K646">
            <v>558066.65999999933</v>
          </cell>
          <cell r="L646">
            <v>483040.5899999995</v>
          </cell>
          <cell r="M646">
            <v>596160.58000000007</v>
          </cell>
          <cell r="N646">
            <v>513066.08000000048</v>
          </cell>
          <cell r="O646">
            <v>613583.74999999977</v>
          </cell>
          <cell r="P646">
            <v>452829.09000000032</v>
          </cell>
          <cell r="Q646">
            <v>6433427.620000002</v>
          </cell>
        </row>
        <row r="648">
          <cell r="A648" t="str">
            <v>Noncontrolling Interests Expense</v>
          </cell>
        </row>
        <row r="649">
          <cell r="A649">
            <v>92000</v>
          </cell>
          <cell r="B649" t="str">
            <v>Noncontrolling interests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A650" t="str">
            <v>Total Noncontrolling Interests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2">
          <cell r="A652" t="str">
            <v>Net Income Attributable to Waste Connections</v>
          </cell>
          <cell r="E652">
            <v>530401.2899999998</v>
          </cell>
          <cell r="F652">
            <v>587717.89999999991</v>
          </cell>
          <cell r="G652">
            <v>591809.08999999985</v>
          </cell>
          <cell r="H652">
            <v>546583.5</v>
          </cell>
          <cell r="I652">
            <v>586657.69999999937</v>
          </cell>
          <cell r="J652">
            <v>373511.39000000036</v>
          </cell>
          <cell r="K652">
            <v>558066.65999999933</v>
          </cell>
          <cell r="L652">
            <v>483040.5899999995</v>
          </cell>
          <cell r="M652">
            <v>596160.58000000007</v>
          </cell>
          <cell r="N652">
            <v>513066.08000000048</v>
          </cell>
          <cell r="O652">
            <v>613583.74999999977</v>
          </cell>
          <cell r="P652">
            <v>452829.09000000032</v>
          </cell>
          <cell r="Q652">
            <v>6433427.620000002</v>
          </cell>
        </row>
        <row r="654">
          <cell r="A654" t="str">
            <v>Net Income Attributable to Waste Connections per categories</v>
          </cell>
          <cell r="E654">
            <v>530401.29</v>
          </cell>
          <cell r="F654">
            <v>587717.9</v>
          </cell>
          <cell r="G654">
            <v>591809.09</v>
          </cell>
          <cell r="H654">
            <v>546583.5</v>
          </cell>
          <cell r="I654">
            <v>586657.69999999995</v>
          </cell>
          <cell r="J654">
            <v>373511.39</v>
          </cell>
          <cell r="K654">
            <v>558066.66</v>
          </cell>
          <cell r="L654">
            <v>483040.59</v>
          </cell>
          <cell r="M654">
            <v>596160.57999999996</v>
          </cell>
          <cell r="N654">
            <v>513066.08</v>
          </cell>
          <cell r="O654">
            <v>613583.75</v>
          </cell>
          <cell r="P654">
            <v>452829.09</v>
          </cell>
        </row>
      </sheetData>
      <sheetData sheetId="6" refreshError="1"/>
      <sheetData sheetId="7" refreshError="1">
        <row r="18">
          <cell r="Z18">
            <v>0.33073677436726834</v>
          </cell>
        </row>
        <row r="20">
          <cell r="AC20">
            <v>0.2095860832011289</v>
          </cell>
          <cell r="AK20">
            <v>0.43549015768657823</v>
          </cell>
        </row>
        <row r="39">
          <cell r="AC39">
            <v>0.37964780853584096</v>
          </cell>
        </row>
        <row r="40">
          <cell r="AC40">
            <v>0.36547527560558957</v>
          </cell>
        </row>
        <row r="120">
          <cell r="AE120">
            <v>0.43886061148837213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Note"/>
      <sheetName val="ControlPanel"/>
      <sheetName val="PL_ActReview"/>
      <sheetName val="PL_ActReview2"/>
      <sheetName val="BS_Close"/>
      <sheetName val="PL_ActTranx"/>
      <sheetName val="IS200PL"/>
      <sheetName val="IS210PL"/>
      <sheetName val="ProjRevCheck"/>
      <sheetName val="BDebtCheck"/>
      <sheetName val="52901Check"/>
      <sheetName val="ICCheck"/>
      <sheetName val="BSCheck"/>
      <sheetName val="BadJECheck"/>
      <sheetName val="JE_Review"/>
      <sheetName val="Proj1"/>
      <sheetName val="Proj2"/>
      <sheetName val="PL_ActReview3"/>
    </sheetNames>
    <sheetDataSet>
      <sheetData sheetId="0"/>
      <sheetData sheetId="1" refreshError="1">
        <row r="2">
          <cell r="S2" t="str">
            <v>P&amp;L Close Report</v>
          </cell>
        </row>
        <row r="3">
          <cell r="S3" t="str">
            <v>P&amp;L Close Report 2</v>
          </cell>
        </row>
        <row r="4">
          <cell r="S4" t="str">
            <v>BS Close Report</v>
          </cell>
        </row>
        <row r="5">
          <cell r="S5" t="str">
            <v>IS 200 - PL Review</v>
          </cell>
        </row>
        <row r="6">
          <cell r="S6" t="str">
            <v>IS 210 - PL Review</v>
          </cell>
        </row>
        <row r="7">
          <cell r="S7" t="str">
            <v>P&amp;L Tranx Report</v>
          </cell>
        </row>
        <row r="8">
          <cell r="S8" t="str">
            <v>JE Review Report</v>
          </cell>
        </row>
        <row r="9">
          <cell r="S9" t="str">
            <v>Corp: Rev/Proj Check</v>
          </cell>
        </row>
        <row r="10">
          <cell r="S10" t="str">
            <v>Corp: 52901 Check</v>
          </cell>
        </row>
        <row r="11">
          <cell r="S11" t="str">
            <v>Corp: BS Check</v>
          </cell>
        </row>
        <row r="12">
          <cell r="S12" t="str">
            <v>Corp: Bad Debt Check</v>
          </cell>
        </row>
        <row r="13">
          <cell r="S13" t="str">
            <v>Corp: IC Check</v>
          </cell>
        </row>
        <row r="14">
          <cell r="S14" t="str">
            <v>Corp: JE Neg Check</v>
          </cell>
        </row>
        <row r="15">
          <cell r="S15" t="str">
            <v>Proj Review Report</v>
          </cell>
        </row>
        <row r="16">
          <cell r="S16" t="str">
            <v>Proj Review Report 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A, Certification"/>
      <sheetName val="OrgControl"/>
      <sheetName val="InsuranceAccident"/>
      <sheetName val="bsasset"/>
      <sheetName val="bsliab"/>
      <sheetName val="FixedAssets"/>
      <sheetName val="RetainedEarnings"/>
      <sheetName val="Income Statement"/>
      <sheetName val="RevenuesCust"/>
      <sheetName val="Recycle"/>
      <sheetName val="contracts"/>
      <sheetName val="GarbageDisp"/>
      <sheetName val="RecycleProcessing"/>
      <sheetName val="Payroll"/>
      <sheetName val="Fee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A, Certification, pg 1-2"/>
      <sheetName val="OrgControl, pg 3"/>
      <sheetName val="BS-Assets, pg 4"/>
      <sheetName val="BS-Liab, pg 5"/>
      <sheetName val="FixedAssets, pg 6"/>
      <sheetName val="Income Statement, pg 7"/>
      <sheetName val="RevenuesCust, pg 8"/>
      <sheetName val="Recyc-YW, pg 9"/>
      <sheetName val="contracts, pg 10"/>
      <sheetName val="GarbageDisp, pg 11"/>
      <sheetName val="RecycleProcessing, pg 12"/>
      <sheetName val="RetainEarn, pg 13"/>
      <sheetName val="Payroll, pg 14"/>
      <sheetName val="Fuel, pg 15"/>
      <sheetName val="FeeCalc, pg 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nce Report"/>
      <sheetName val="Vol&amp;Price"/>
      <sheetName val="Commodity"/>
      <sheetName val="Labor As % of Rev"/>
      <sheetName val="Group Ins Bridge"/>
      <sheetName val="Region Alloc"/>
      <sheetName val="Fuel"/>
      <sheetName val="2008 Inventory Adj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  <sheetName val="Rev YOY Trends"/>
      <sheetName val="VLOOKUP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f"/>
      <sheetName val="pr"/>
      <sheetName val="rev"/>
      <sheetName val="Fuelcosts"/>
      <sheetName val="fuel"/>
      <sheetName val="oth"/>
      <sheetName val="RteHrs"/>
      <sheetName val="debt"/>
      <sheetName val="taxes"/>
      <sheetName val="recy "/>
      <sheetName val="Advertising"/>
      <sheetName val="Parties"/>
      <sheetName val="Donations"/>
      <sheetName val="Dues "/>
      <sheetName val="Hlth Ins"/>
      <sheetName val="Other Ins"/>
      <sheetName val="Postage"/>
      <sheetName val="Pullman EEs"/>
      <sheetName val="Penalties"/>
      <sheetName val="Pensions"/>
      <sheetName val="Payroll"/>
      <sheetName val="LOC"/>
      <sheetName val="Rent "/>
      <sheetName val="2007 COS"/>
      <sheetName val="ProfFees"/>
      <sheetName val="ReplParts"/>
      <sheetName val="RepairMaint"/>
      <sheetName val="LicensesUsedUseful"/>
      <sheetName val="Recycle truck"/>
      <sheetName val="RecycleCarts"/>
      <sheetName val="Depr"/>
      <sheetName val="StaffAdjSummary"/>
      <sheetName val="ProF"/>
      <sheetName val="Balance Sheet"/>
      <sheetName val="nonrg"/>
      <sheetName val="prcout"/>
      <sheetName val="Staff prcout"/>
      <sheetName val="StaffLGAllRegulated"/>
      <sheetName val="LGGarb"/>
      <sheetName val="LGMFam"/>
      <sheetName val="LGCurbRecy"/>
      <sheetName val="LGYdWaste"/>
      <sheetName val="Staff LGCombined"/>
      <sheetName val="LGMedWaste"/>
      <sheetName val="LGCmlEW"/>
      <sheetName val="Sheet1"/>
      <sheetName val="LNI"/>
      <sheetName val="RateCase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G Nonpublic 2018 V5.0"/>
    </sheetNames>
    <sheetDataSet>
      <sheetData sheetId="0">
        <row r="55">
          <cell r="W55">
            <v>5.7225999999999999</v>
          </cell>
          <cell r="Y55">
            <v>5.6985000000000001</v>
          </cell>
        </row>
        <row r="56">
          <cell r="W56">
            <v>5.7082699999999997</v>
          </cell>
          <cell r="Y56">
            <v>5.6921999999999997</v>
          </cell>
        </row>
        <row r="58">
          <cell r="X58">
            <v>0.68367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Truck Schedule"/>
      <sheetName val="Jun 2011 FAR"/>
      <sheetName val="Scrap List"/>
      <sheetName val="Sheet1"/>
      <sheetName val="Sheet2"/>
      <sheetName val="Sheet3"/>
      <sheetName val="Sheet4"/>
      <sheetName val="Feb'12 FAR Data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8"/>
      <sheetName val="2009"/>
      <sheetName val="Sheet3"/>
    </sheetNames>
    <sheetDataSet>
      <sheetData sheetId="0" refreshError="1">
        <row r="3">
          <cell r="C3">
            <v>39783</v>
          </cell>
        </row>
      </sheetData>
      <sheetData sheetId="1" refreshError="1"/>
      <sheetData sheetId="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ud Capital Input"/>
      <sheetName val="Capital Summary By PO Type"/>
      <sheetName val="PO vs Truck Center Recon"/>
      <sheetName val="Truck Center Summary"/>
      <sheetName val="Bud Closure Input"/>
      <sheetName val="Closure Summary By PO Type"/>
      <sheetName val="TruckCenterReference"/>
      <sheetName val="AssetTypeList"/>
      <sheetName val="Reference"/>
      <sheetName val="ClosureRe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F15" t="str">
            <v>OK!: ReportRange Formula OK [jAction{}]</v>
          </cell>
        </row>
        <row r="36">
          <cell r="C36" t="str">
            <v>Sideloader</v>
          </cell>
          <cell r="D36" t="str">
            <v>Sideloader</v>
          </cell>
        </row>
        <row r="37">
          <cell r="C37" t="str">
            <v>Other Truck</v>
          </cell>
          <cell r="D37" t="str">
            <v>Other</v>
          </cell>
        </row>
        <row r="38">
          <cell r="C38" t="str">
            <v>Passenger Car</v>
          </cell>
          <cell r="D38" t="str">
            <v>Other</v>
          </cell>
        </row>
        <row r="39">
          <cell r="C39" t="str">
            <v>Pickup</v>
          </cell>
          <cell r="D39" t="str">
            <v>Pickup</v>
          </cell>
        </row>
        <row r="40">
          <cell r="C40" t="str">
            <v>Pumper Truck</v>
          </cell>
          <cell r="D40" t="str">
            <v>Pumper Truck</v>
          </cell>
        </row>
        <row r="41">
          <cell r="C41" t="str">
            <v>Rear Load</v>
          </cell>
          <cell r="D41" t="str">
            <v>Rear Loader</v>
          </cell>
        </row>
        <row r="42">
          <cell r="C42" t="str">
            <v>Recycle Truck</v>
          </cell>
          <cell r="D42" t="str">
            <v>Recycle</v>
          </cell>
        </row>
        <row r="43">
          <cell r="C43" t="str">
            <v>Retriever</v>
          </cell>
          <cell r="D43" t="str">
            <v>Retriever</v>
          </cell>
        </row>
        <row r="44">
          <cell r="C44" t="str">
            <v>Roll Off</v>
          </cell>
          <cell r="D44" t="str">
            <v>Roll Off</v>
          </cell>
        </row>
        <row r="45">
          <cell r="C45" t="str">
            <v>Service Truck</v>
          </cell>
          <cell r="D45" t="str">
            <v>Service Truck</v>
          </cell>
        </row>
        <row r="46">
          <cell r="C46" t="str">
            <v>Service Truck</v>
          </cell>
          <cell r="D46" t="str">
            <v>Service Truck</v>
          </cell>
        </row>
        <row r="47">
          <cell r="C47" t="str">
            <v>Tipper Trailer</v>
          </cell>
          <cell r="D47" t="str">
            <v>Trailer</v>
          </cell>
        </row>
        <row r="48">
          <cell r="C48" t="str">
            <v>Walking Floor Trailer</v>
          </cell>
          <cell r="D48" t="str">
            <v>Trailer</v>
          </cell>
        </row>
        <row r="49">
          <cell r="C49" t="str">
            <v>Roll Off Pup Trailer</v>
          </cell>
          <cell r="D49" t="str">
            <v>Trailer</v>
          </cell>
        </row>
        <row r="50">
          <cell r="C50" t="str">
            <v>Other Trailer</v>
          </cell>
          <cell r="D50" t="str">
            <v>Trailer</v>
          </cell>
        </row>
        <row r="51">
          <cell r="C51" t="str">
            <v>Container Delivery Trailer</v>
          </cell>
          <cell r="D51" t="str">
            <v>Trailer</v>
          </cell>
        </row>
        <row r="52">
          <cell r="C52" t="str">
            <v>Railroad Cars</v>
          </cell>
          <cell r="D52" t="str">
            <v>Trailer</v>
          </cell>
        </row>
        <row r="53">
          <cell r="C53" t="str">
            <v>Barge</v>
          </cell>
          <cell r="D53" t="str">
            <v>Trailer</v>
          </cell>
        </row>
        <row r="54">
          <cell r="C54" t="str">
            <v>Transfer Tractor</v>
          </cell>
          <cell r="D54" t="str">
            <v>Transfer Tractor</v>
          </cell>
        </row>
        <row r="55">
          <cell r="C55" t="str">
            <v>ATV/Gator</v>
          </cell>
          <cell r="D55" t="str">
            <v>Yard Mule</v>
          </cell>
        </row>
        <row r="56">
          <cell r="C56" t="str">
            <v>Yard Mule</v>
          </cell>
          <cell r="D56" t="str">
            <v>Yard Mule</v>
          </cell>
        </row>
        <row r="57">
          <cell r="C57" t="str">
            <v>Automated</v>
          </cell>
          <cell r="D57" t="str">
            <v>Automated Sideloader</v>
          </cell>
        </row>
        <row r="58">
          <cell r="C58" t="str">
            <v>Container Delivery Truck</v>
          </cell>
          <cell r="D58" t="str">
            <v>Container Delivery</v>
          </cell>
        </row>
        <row r="59">
          <cell r="C59" t="str">
            <v>Front Load</v>
          </cell>
          <cell r="D59" t="str">
            <v>Front Loader</v>
          </cell>
        </row>
        <row r="60">
          <cell r="C60" t="str">
            <v>Grapple Brush Truck</v>
          </cell>
          <cell r="D60" t="str">
            <v>Grapple Truck</v>
          </cell>
        </row>
        <row r="61">
          <cell r="C61" t="str">
            <v>Hook Lift</v>
          </cell>
          <cell r="D61" t="str">
            <v>Hook Lift</v>
          </cell>
        </row>
        <row r="62">
          <cell r="C62" t="str">
            <v>Sideloader</v>
          </cell>
          <cell r="D62" t="str">
            <v>Manual Sideloader</v>
          </cell>
        </row>
        <row r="63">
          <cell r="C63" t="str">
            <v>Other Truck</v>
          </cell>
          <cell r="D63" t="str">
            <v>Other</v>
          </cell>
        </row>
        <row r="64">
          <cell r="C64" t="str">
            <v>Pickup</v>
          </cell>
          <cell r="D64" t="str">
            <v>Pickup</v>
          </cell>
        </row>
        <row r="65">
          <cell r="C65" t="str">
            <v>Pumper Truck</v>
          </cell>
          <cell r="D65" t="str">
            <v>Pumper Truck</v>
          </cell>
        </row>
        <row r="66">
          <cell r="C66" t="str">
            <v>Rear Load</v>
          </cell>
          <cell r="D66" t="str">
            <v>Rear Loader</v>
          </cell>
        </row>
        <row r="67">
          <cell r="C67" t="str">
            <v>Recycle Truck</v>
          </cell>
          <cell r="D67" t="str">
            <v>Recycle</v>
          </cell>
        </row>
        <row r="68">
          <cell r="C68" t="str">
            <v>Retriever</v>
          </cell>
          <cell r="D68" t="str">
            <v>Retriever</v>
          </cell>
        </row>
        <row r="69">
          <cell r="C69" t="str">
            <v>Roll Off</v>
          </cell>
          <cell r="D69" t="str">
            <v>Roll Off</v>
          </cell>
        </row>
        <row r="70">
          <cell r="C70" t="str">
            <v>Service Truck</v>
          </cell>
          <cell r="D70" t="str">
            <v>Serv Trk-Complete</v>
          </cell>
        </row>
        <row r="71">
          <cell r="C71" t="str">
            <v>Tipper Trailer</v>
          </cell>
          <cell r="D71" t="str">
            <v>Trailer</v>
          </cell>
        </row>
        <row r="72">
          <cell r="C72" t="str">
            <v>Walking Floor Trailer</v>
          </cell>
          <cell r="D72" t="str">
            <v>Trailer</v>
          </cell>
        </row>
        <row r="73">
          <cell r="C73" t="str">
            <v>Roll Off Pup Trailer</v>
          </cell>
          <cell r="D73" t="str">
            <v>Trailer</v>
          </cell>
        </row>
        <row r="74">
          <cell r="C74" t="str">
            <v>Barge</v>
          </cell>
          <cell r="D74" t="str">
            <v>Trailer</v>
          </cell>
        </row>
        <row r="75">
          <cell r="C75" t="str">
            <v>Railroad Cars</v>
          </cell>
          <cell r="D75" t="str">
            <v>Trailer</v>
          </cell>
        </row>
        <row r="76">
          <cell r="C76" t="str">
            <v>Container Delivery Trailer</v>
          </cell>
          <cell r="D76" t="str">
            <v>Trailer</v>
          </cell>
        </row>
        <row r="77">
          <cell r="C77" t="str">
            <v>Other Trailer</v>
          </cell>
          <cell r="D77" t="str">
            <v>Trailer</v>
          </cell>
        </row>
        <row r="78">
          <cell r="C78" t="str">
            <v>Transfer Tractor</v>
          </cell>
          <cell r="D78" t="str">
            <v>Transfer Tractor</v>
          </cell>
        </row>
        <row r="79">
          <cell r="C79" t="str">
            <v>Yard Mule</v>
          </cell>
          <cell r="D79" t="str">
            <v>Yard Mule</v>
          </cell>
        </row>
        <row r="80">
          <cell r="C80" t="str">
            <v>ATV/Gator</v>
          </cell>
          <cell r="D80" t="str">
            <v>Yard Mule</v>
          </cell>
        </row>
      </sheetData>
      <sheetData sheetId="8">
        <row r="7">
          <cell r="C7" t="str">
            <v>OK!: ReportRange Formula OK [jAction{}]</v>
          </cell>
        </row>
      </sheetData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RS"/>
      <sheetName val="Budget"/>
      <sheetName val="Forecast"/>
      <sheetName val="Internal Rev Growth"/>
      <sheetName val="Rev Roll"/>
      <sheetName val="Intern of Wste"/>
      <sheetName val="Tonnage"/>
      <sheetName val="AR Analysis"/>
      <sheetName val="Cap X"/>
      <sheetName val="Goodwill"/>
      <sheetName val="Other Intangibles"/>
      <sheetName val="Debt Roll"/>
      <sheetName val="Env Liability"/>
      <sheetName val="Census"/>
      <sheetName val="Census Budget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>
        <row r="5">
          <cell r="B5">
            <v>536</v>
          </cell>
        </row>
        <row r="7">
          <cell r="B7" t="str">
            <v>WM Grass Valley/Nevada City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Note"/>
      <sheetName val="ControlPanel"/>
      <sheetName val="4MthProj1"/>
      <sheetName val="4MthProj2"/>
      <sheetName val="PL_ActReview"/>
      <sheetName val="PL_ActReview2"/>
      <sheetName val="BS_Close"/>
      <sheetName val="IS200PL"/>
      <sheetName val="PL_ActTranx"/>
      <sheetName val="IS210PL"/>
      <sheetName val="ProjRevCheck"/>
      <sheetName val="BDebtCheck"/>
      <sheetName val="52901Check"/>
      <sheetName val="ICCheck"/>
      <sheetName val="BSCheck"/>
      <sheetName val="BadJECheck"/>
      <sheetName val="JE_Review"/>
      <sheetName val="Proj1"/>
      <sheetName val="Proj2"/>
    </sheetNames>
    <sheetDataSet>
      <sheetData sheetId="0"/>
      <sheetData sheetId="1">
        <row r="2">
          <cell r="S2" t="str">
            <v>P&amp;L Close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f Rate Sheet"/>
      <sheetName val="ROE"/>
      <sheetName val="CostStudy"/>
      <sheetName val="Pro Forma"/>
      <sheetName val="LURITXPF AVG"/>
      <sheetName val="Price Out"/>
      <sheetName val="Summary Price Out"/>
      <sheetName val="Fly Sheet"/>
      <sheetName val="Comp Report"/>
      <sheetName val="Operations"/>
      <sheetName val="Assumptions"/>
      <sheetName val="Sch 1 - Restate Exp"/>
      <sheetName val="Sch 1, pg 2 - Restated"/>
      <sheetName val="Sch 2 - Forecast Exp"/>
      <sheetName val="Sch 2, pg 2 - Forecast"/>
      <sheetName val="Sch 3 - Reclass Exp"/>
      <sheetName val="Sch 3, pg 2 - Reclass"/>
      <sheetName val="Sch 4 - 12months"/>
      <sheetName val="WorkPapers"/>
      <sheetName val="WP-1 Exp Summary"/>
      <sheetName val="WP-1, pg 2 -  Expense Mat"/>
      <sheetName val="COS"/>
      <sheetName val="Annual Test Year Revenue"/>
      <sheetName val="WP-2 - Summary Depn"/>
      <sheetName val="WP-2. pg 2 -  Depn"/>
      <sheetName val="WP-3 - Labor Analysis"/>
      <sheetName val="WP-3, pg 2 -  Labor Increase"/>
      <sheetName val="WP-3, pg 3 -  Benefits Analysis"/>
      <sheetName val="WP-4 - Vehicle License"/>
      <sheetName val="WP-5 - Dues &amp; Sub"/>
      <sheetName val="WP-6 - CapitalStructure"/>
      <sheetName val="WP-7 - Affiliated "/>
      <sheetName val="WP-8 - Cust Counts (x per wk)"/>
      <sheetName val="WP-9 - Fuel"/>
      <sheetName val="IS-PBC"/>
      <sheetName val="Stu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July</v>
          </cell>
          <cell r="D10" t="str">
            <v>August</v>
          </cell>
          <cell r="E10" t="str">
            <v>September</v>
          </cell>
          <cell r="F10" t="str">
            <v>October</v>
          </cell>
          <cell r="G10" t="str">
            <v>November</v>
          </cell>
          <cell r="H10" t="str">
            <v>December</v>
          </cell>
          <cell r="I10" t="str">
            <v>January</v>
          </cell>
          <cell r="J10" t="str">
            <v>February</v>
          </cell>
          <cell r="K10" t="str">
            <v>March</v>
          </cell>
          <cell r="L10" t="str">
            <v>April</v>
          </cell>
          <cell r="M10" t="str">
            <v>May</v>
          </cell>
          <cell r="N10" t="str">
            <v>June</v>
          </cell>
          <cell r="O10" t="str">
            <v>BOOKS</v>
          </cell>
        </row>
        <row r="11">
          <cell r="B11" t="str">
            <v>REVENUES</v>
          </cell>
        </row>
        <row r="12">
          <cell r="B12" t="str">
            <v>Residential</v>
          </cell>
          <cell r="C12">
            <v>174180.93</v>
          </cell>
          <cell r="D12">
            <v>173280.81</v>
          </cell>
          <cell r="E12">
            <v>173720.66</v>
          </cell>
          <cell r="F12">
            <v>174251.51999999999</v>
          </cell>
          <cell r="G12">
            <v>172742.2</v>
          </cell>
          <cell r="H12">
            <v>178132.76</v>
          </cell>
          <cell r="I12">
            <v>171317.32</v>
          </cell>
          <cell r="J12">
            <v>170743.6</v>
          </cell>
          <cell r="K12">
            <v>175193.55</v>
          </cell>
          <cell r="L12">
            <v>169715.71000000002</v>
          </cell>
          <cell r="M12">
            <v>171741.57</v>
          </cell>
          <cell r="N12">
            <v>172744.06</v>
          </cell>
          <cell r="O12">
            <v>2077764.6900000004</v>
          </cell>
        </row>
        <row r="13">
          <cell r="B13" t="str">
            <v>Commercial</v>
          </cell>
          <cell r="C13">
            <v>47309.79</v>
          </cell>
          <cell r="D13">
            <v>49650.83</v>
          </cell>
          <cell r="E13">
            <v>49046.720000000001</v>
          </cell>
          <cell r="F13">
            <v>51952.58</v>
          </cell>
          <cell r="G13">
            <v>50878.630000000005</v>
          </cell>
          <cell r="H13">
            <v>51199.67</v>
          </cell>
          <cell r="I13">
            <v>50673.659999999996</v>
          </cell>
          <cell r="J13">
            <v>50446.21</v>
          </cell>
          <cell r="K13">
            <v>50125.05</v>
          </cell>
          <cell r="L13">
            <v>50311.41</v>
          </cell>
          <cell r="M13">
            <v>49825.22</v>
          </cell>
          <cell r="N13">
            <v>48109.53</v>
          </cell>
          <cell r="O13">
            <v>599529.29999999993</v>
          </cell>
        </row>
        <row r="14">
          <cell r="B14" t="str">
            <v>Drop Box</v>
          </cell>
          <cell r="C14">
            <v>94770.37</v>
          </cell>
          <cell r="D14">
            <v>83414.399999999994</v>
          </cell>
          <cell r="E14">
            <v>70757</v>
          </cell>
          <cell r="F14">
            <v>93470.47</v>
          </cell>
          <cell r="G14">
            <v>77609.36</v>
          </cell>
          <cell r="H14">
            <v>78412.759999999995</v>
          </cell>
          <cell r="I14">
            <v>84127.209999999992</v>
          </cell>
          <cell r="J14">
            <v>73158.41</v>
          </cell>
          <cell r="K14">
            <v>67670.3</v>
          </cell>
          <cell r="L14">
            <v>146420.00999999998</v>
          </cell>
          <cell r="M14">
            <v>110569.68000000001</v>
          </cell>
          <cell r="N14">
            <v>117378.07</v>
          </cell>
          <cell r="O14">
            <v>1097758.04</v>
          </cell>
        </row>
        <row r="15">
          <cell r="B15" t="str">
            <v>Fuel Surcharge</v>
          </cell>
          <cell r="C15">
            <v>7080.29</v>
          </cell>
          <cell r="D15">
            <v>5415.91</v>
          </cell>
          <cell r="E15">
            <v>3962.36</v>
          </cell>
          <cell r="F15">
            <v>3711.91</v>
          </cell>
          <cell r="G15">
            <v>5004.82</v>
          </cell>
          <cell r="H15">
            <v>6228</v>
          </cell>
          <cell r="I15">
            <v>6504.57</v>
          </cell>
          <cell r="J15">
            <v>5362.94</v>
          </cell>
          <cell r="K15">
            <v>2299.0500000000002</v>
          </cell>
          <cell r="L15">
            <v>0</v>
          </cell>
          <cell r="M15">
            <v>0</v>
          </cell>
          <cell r="N15">
            <v>0</v>
          </cell>
          <cell r="O15">
            <v>45569.850000000006</v>
          </cell>
        </row>
        <row r="16">
          <cell r="B16" t="str">
            <v>Contract Hauling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Pass Thru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Kalama</v>
          </cell>
          <cell r="C18">
            <v>11685.96</v>
          </cell>
          <cell r="D18">
            <v>27113.64</v>
          </cell>
          <cell r="E18">
            <v>10043.36</v>
          </cell>
          <cell r="F18">
            <v>26012.52</v>
          </cell>
          <cell r="G18">
            <v>10203.26</v>
          </cell>
          <cell r="H18">
            <v>26231.71</v>
          </cell>
          <cell r="I18">
            <v>11775.31</v>
          </cell>
          <cell r="J18">
            <v>25567.59</v>
          </cell>
          <cell r="K18">
            <v>11624</v>
          </cell>
          <cell r="L18">
            <v>24865.22</v>
          </cell>
          <cell r="M18">
            <v>10928.64</v>
          </cell>
          <cell r="N18">
            <v>26085.200000000001</v>
          </cell>
          <cell r="O18">
            <v>222136.40999999997</v>
          </cell>
        </row>
        <row r="19">
          <cell r="B19" t="str">
            <v>Refunds</v>
          </cell>
          <cell r="C19">
            <v>0</v>
          </cell>
          <cell r="D19">
            <v>-293.45</v>
          </cell>
          <cell r="E19">
            <v>-1045.5</v>
          </cell>
          <cell r="F19">
            <v>-1708.6799999999998</v>
          </cell>
          <cell r="G19">
            <v>-1493.08</v>
          </cell>
          <cell r="H19">
            <v>-666.96</v>
          </cell>
          <cell r="I19">
            <v>-645.04</v>
          </cell>
          <cell r="J19">
            <v>0</v>
          </cell>
          <cell r="K19">
            <v>-1047.19</v>
          </cell>
          <cell r="L19">
            <v>-1848.9</v>
          </cell>
          <cell r="M19">
            <v>-900.50000000000011</v>
          </cell>
          <cell r="N19">
            <v>-93.44</v>
          </cell>
          <cell r="O19">
            <v>-9742.74</v>
          </cell>
        </row>
        <row r="20">
          <cell r="C20">
            <v>335027.33999999997</v>
          </cell>
          <cell r="D20">
            <v>338582.14</v>
          </cell>
          <cell r="E20">
            <v>306484.59999999998</v>
          </cell>
          <cell r="F20">
            <v>347690.31999999995</v>
          </cell>
          <cell r="G20">
            <v>314945.19</v>
          </cell>
          <cell r="H20">
            <v>339537.94</v>
          </cell>
          <cell r="I20">
            <v>323753.03000000003</v>
          </cell>
          <cell r="J20">
            <v>325278.75</v>
          </cell>
          <cell r="K20">
            <v>305864.75999999995</v>
          </cell>
          <cell r="L20">
            <v>389463.44999999995</v>
          </cell>
          <cell r="M20">
            <v>342164.61000000004</v>
          </cell>
          <cell r="N20">
            <v>364223.42000000004</v>
          </cell>
          <cell r="O20">
            <v>4033015.5500000003</v>
          </cell>
        </row>
        <row r="22">
          <cell r="B22" t="str">
            <v>OPERATING EXPENSES</v>
          </cell>
        </row>
        <row r="23">
          <cell r="B23" t="str">
            <v>Wages Drivers</v>
          </cell>
          <cell r="C23">
            <v>25914.53</v>
          </cell>
          <cell r="D23">
            <v>25612.28</v>
          </cell>
          <cell r="E23">
            <v>26860.720000000001</v>
          </cell>
          <cell r="F23">
            <v>22905.47</v>
          </cell>
          <cell r="G23">
            <v>24624.27</v>
          </cell>
          <cell r="H23">
            <v>34114.94</v>
          </cell>
          <cell r="I23">
            <v>27945.73</v>
          </cell>
          <cell r="J23">
            <v>27919.93</v>
          </cell>
          <cell r="K23">
            <v>31246.15</v>
          </cell>
          <cell r="L23">
            <v>28708.51</v>
          </cell>
          <cell r="M23">
            <v>30610.31</v>
          </cell>
          <cell r="N23">
            <v>32955.53</v>
          </cell>
          <cell r="O23">
            <v>339418.37</v>
          </cell>
        </row>
        <row r="24">
          <cell r="B24" t="str">
            <v>Wages Drop Box Drivers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Wages Mechanics</v>
          </cell>
          <cell r="C25">
            <v>12823.84</v>
          </cell>
          <cell r="D25">
            <v>16758.509999999998</v>
          </cell>
          <cell r="E25">
            <v>16738.03</v>
          </cell>
          <cell r="F25">
            <v>15679.32</v>
          </cell>
          <cell r="G25">
            <v>19706.93</v>
          </cell>
          <cell r="H25">
            <v>19005.95</v>
          </cell>
          <cell r="I25">
            <v>19410.27</v>
          </cell>
          <cell r="J25">
            <v>17054.080000000002</v>
          </cell>
          <cell r="K25">
            <v>20579.61</v>
          </cell>
          <cell r="L25">
            <v>21031.96</v>
          </cell>
          <cell r="M25">
            <v>23542.17</v>
          </cell>
          <cell r="N25">
            <v>21356.76</v>
          </cell>
          <cell r="O25">
            <v>223687.43</v>
          </cell>
        </row>
        <row r="26">
          <cell r="B26" t="str">
            <v>Wages Supervisor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Wages Extra Labor</v>
          </cell>
          <cell r="C27">
            <v>6623.09</v>
          </cell>
          <cell r="D27">
            <v>6114.4</v>
          </cell>
          <cell r="E27">
            <v>4761.58</v>
          </cell>
          <cell r="F27">
            <v>1667.53</v>
          </cell>
          <cell r="G27">
            <v>2320.4</v>
          </cell>
          <cell r="H27">
            <v>2540.62</v>
          </cell>
          <cell r="I27">
            <v>218.14</v>
          </cell>
          <cell r="J27">
            <v>248.16</v>
          </cell>
          <cell r="K27">
            <v>326.97000000000003</v>
          </cell>
          <cell r="L27">
            <v>-326.97000000000003</v>
          </cell>
          <cell r="M27">
            <v>0</v>
          </cell>
          <cell r="N27">
            <v>3574.45</v>
          </cell>
          <cell r="O27">
            <v>28068.37</v>
          </cell>
        </row>
        <row r="28">
          <cell r="B28" t="str">
            <v>Fringe Benefits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Contract Labor</v>
          </cell>
          <cell r="C29">
            <v>312.95999999999998</v>
          </cell>
          <cell r="D29">
            <v>309</v>
          </cell>
          <cell r="E29">
            <v>0</v>
          </cell>
          <cell r="F29">
            <v>550.20000000000005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1172.1600000000001</v>
          </cell>
        </row>
        <row r="30">
          <cell r="B30" t="str">
            <v>Maintenance</v>
          </cell>
          <cell r="C30">
            <v>7239.82</v>
          </cell>
          <cell r="D30">
            <v>10680.2</v>
          </cell>
          <cell r="E30">
            <v>7082.9800000000005</v>
          </cell>
          <cell r="F30">
            <v>17263.809999999998</v>
          </cell>
          <cell r="G30">
            <v>6765.65</v>
          </cell>
          <cell r="H30">
            <v>12578.570000000002</v>
          </cell>
          <cell r="I30">
            <v>8705</v>
          </cell>
          <cell r="J30">
            <v>8629.4699999999993</v>
          </cell>
          <cell r="K30">
            <v>12846.37</v>
          </cell>
          <cell r="L30">
            <v>9522.98</v>
          </cell>
          <cell r="M30">
            <v>6152.06</v>
          </cell>
          <cell r="N30">
            <v>12420.72</v>
          </cell>
          <cell r="O30">
            <v>119887.62999999999</v>
          </cell>
        </row>
        <row r="31">
          <cell r="B31" t="str">
            <v>Maintenance/ Cont./Dr Bx</v>
          </cell>
          <cell r="C31">
            <v>0</v>
          </cell>
          <cell r="D31">
            <v>0</v>
          </cell>
          <cell r="E31">
            <v>0</v>
          </cell>
          <cell r="F31">
            <v>410.72</v>
          </cell>
          <cell r="G31">
            <v>1250</v>
          </cell>
          <cell r="H31">
            <v>491.77</v>
          </cell>
          <cell r="I31">
            <v>341.34</v>
          </cell>
          <cell r="J31">
            <v>118.86</v>
          </cell>
          <cell r="K31">
            <v>0</v>
          </cell>
          <cell r="L31">
            <v>1620</v>
          </cell>
          <cell r="M31">
            <v>4860</v>
          </cell>
          <cell r="N31">
            <v>0</v>
          </cell>
          <cell r="O31">
            <v>9092.69</v>
          </cell>
        </row>
        <row r="32">
          <cell r="B32" t="str">
            <v>Truck Rental</v>
          </cell>
          <cell r="C32">
            <v>3000</v>
          </cell>
          <cell r="D32">
            <v>3000</v>
          </cell>
          <cell r="E32">
            <v>3000</v>
          </cell>
          <cell r="F32">
            <v>3000</v>
          </cell>
          <cell r="G32">
            <v>3000</v>
          </cell>
          <cell r="H32">
            <v>3000</v>
          </cell>
          <cell r="I32">
            <v>3000</v>
          </cell>
          <cell r="J32">
            <v>3000</v>
          </cell>
          <cell r="K32">
            <v>3000</v>
          </cell>
          <cell r="L32">
            <v>3000</v>
          </cell>
          <cell r="M32">
            <v>3000</v>
          </cell>
          <cell r="N32">
            <v>3000</v>
          </cell>
          <cell r="O32">
            <v>36000</v>
          </cell>
        </row>
        <row r="33">
          <cell r="B33" t="str">
            <v>Equipment Rent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Tires</v>
          </cell>
          <cell r="C34">
            <v>6067.27</v>
          </cell>
          <cell r="D34">
            <v>7800.67</v>
          </cell>
          <cell r="E34">
            <v>6023.77</v>
          </cell>
          <cell r="F34">
            <v>7511.52</v>
          </cell>
          <cell r="G34">
            <v>6007.28</v>
          </cell>
          <cell r="H34">
            <v>10259.75</v>
          </cell>
          <cell r="I34">
            <v>6118.4</v>
          </cell>
          <cell r="J34">
            <v>7359.39</v>
          </cell>
          <cell r="K34">
            <v>10000.81</v>
          </cell>
          <cell r="L34">
            <v>8372.99</v>
          </cell>
          <cell r="M34">
            <v>8042.56</v>
          </cell>
          <cell r="N34">
            <v>7165.97</v>
          </cell>
          <cell r="O34">
            <v>90730.38</v>
          </cell>
        </row>
        <row r="35">
          <cell r="B35" t="str">
            <v>Fuel</v>
          </cell>
          <cell r="C35">
            <v>26792.65</v>
          </cell>
          <cell r="D35">
            <v>28921.18</v>
          </cell>
          <cell r="E35">
            <v>24422.75</v>
          </cell>
          <cell r="F35">
            <v>28974.639999999999</v>
          </cell>
          <cell r="G35">
            <v>29501.34</v>
          </cell>
          <cell r="H35">
            <v>23414.98</v>
          </cell>
          <cell r="I35">
            <v>26385.67</v>
          </cell>
          <cell r="J35">
            <v>25155.59</v>
          </cell>
          <cell r="K35">
            <v>23578.45</v>
          </cell>
          <cell r="L35">
            <v>22344.26</v>
          </cell>
          <cell r="M35">
            <v>27773.759999999998</v>
          </cell>
          <cell r="N35">
            <v>24252.16</v>
          </cell>
          <cell r="O35">
            <v>311517.43</v>
          </cell>
        </row>
        <row r="36">
          <cell r="B36" t="str">
            <v>Contract Hauling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50197.35</v>
          </cell>
          <cell r="I36">
            <v>0</v>
          </cell>
          <cell r="J36">
            <v>0</v>
          </cell>
          <cell r="K36">
            <v>0</v>
          </cell>
          <cell r="L36">
            <v>59542.7</v>
          </cell>
          <cell r="M36">
            <v>0</v>
          </cell>
          <cell r="N36">
            <v>44344.66</v>
          </cell>
          <cell r="O36">
            <v>154084.71</v>
          </cell>
        </row>
        <row r="37">
          <cell r="B37" t="str">
            <v>Disposal Fees - Cowlitz County</v>
          </cell>
          <cell r="C37">
            <v>44780.83</v>
          </cell>
          <cell r="D37">
            <v>44188.160000000003</v>
          </cell>
          <cell r="E37">
            <v>39947.22</v>
          </cell>
          <cell r="F37">
            <v>46320.47</v>
          </cell>
          <cell r="G37">
            <v>45874.43</v>
          </cell>
          <cell r="H37">
            <v>41319.96</v>
          </cell>
          <cell r="I37">
            <v>42529.11</v>
          </cell>
          <cell r="J37">
            <v>36778.39</v>
          </cell>
          <cell r="K37">
            <v>39433.089999999997</v>
          </cell>
          <cell r="L37">
            <v>44657.21</v>
          </cell>
          <cell r="M37">
            <v>47362.61</v>
          </cell>
          <cell r="N37">
            <v>43503.02</v>
          </cell>
          <cell r="O37">
            <v>516694.50000000006</v>
          </cell>
        </row>
        <row r="38">
          <cell r="B38" t="str">
            <v>Disposal Fees - G-49 Packers</v>
          </cell>
          <cell r="C38">
            <v>5714.76</v>
          </cell>
          <cell r="D38">
            <v>6421.61</v>
          </cell>
          <cell r="E38">
            <v>4966.8900000000003</v>
          </cell>
          <cell r="F38">
            <v>4960.78</v>
          </cell>
          <cell r="G38">
            <v>5678.92</v>
          </cell>
          <cell r="H38">
            <v>4505.8500000000004</v>
          </cell>
          <cell r="I38">
            <v>4919.96</v>
          </cell>
          <cell r="J38">
            <v>1591.94</v>
          </cell>
          <cell r="K38">
            <v>4801.6400000000003</v>
          </cell>
          <cell r="L38">
            <v>4888.91</v>
          </cell>
          <cell r="M38">
            <v>5858.33</v>
          </cell>
          <cell r="N38">
            <v>5663.28</v>
          </cell>
          <cell r="O38">
            <v>59972.869999999995</v>
          </cell>
        </row>
        <row r="39">
          <cell r="B39" t="str">
            <v xml:space="preserve">Disposal Fees - G-49 </v>
          </cell>
          <cell r="C39">
            <v>2077.61</v>
          </cell>
          <cell r="D39">
            <v>1437.55</v>
          </cell>
          <cell r="E39">
            <v>1615.08</v>
          </cell>
          <cell r="F39">
            <v>2195.63</v>
          </cell>
          <cell r="G39">
            <v>2273.08</v>
          </cell>
          <cell r="H39">
            <v>665.8</v>
          </cell>
          <cell r="I39">
            <v>1985.48</v>
          </cell>
          <cell r="J39">
            <v>4490.55</v>
          </cell>
          <cell r="K39">
            <v>1440.9</v>
          </cell>
          <cell r="L39">
            <v>1575.56</v>
          </cell>
          <cell r="M39">
            <v>2304.38</v>
          </cell>
          <cell r="N39">
            <v>2752.72</v>
          </cell>
          <cell r="O39">
            <v>24814.340000000004</v>
          </cell>
        </row>
        <row r="40">
          <cell r="B40" t="str">
            <v>Disposal Fees Pass Thru</v>
          </cell>
          <cell r="C40">
            <v>42374.07</v>
          </cell>
          <cell r="D40">
            <v>34971.360000000001</v>
          </cell>
          <cell r="E40">
            <v>27081.54</v>
          </cell>
          <cell r="F40">
            <v>38805.300000000003</v>
          </cell>
          <cell r="G40">
            <v>31798.17</v>
          </cell>
          <cell r="H40">
            <v>34705.86</v>
          </cell>
          <cell r="I40">
            <v>35911.43</v>
          </cell>
          <cell r="J40">
            <v>31325.59</v>
          </cell>
          <cell r="K40">
            <v>32623.84</v>
          </cell>
          <cell r="L40">
            <v>35705.51</v>
          </cell>
          <cell r="M40">
            <v>35867.86</v>
          </cell>
          <cell r="N40">
            <v>35870.61</v>
          </cell>
          <cell r="O40">
            <v>417041.14</v>
          </cell>
        </row>
        <row r="41">
          <cell r="B41" t="str">
            <v>Stormwater management</v>
          </cell>
          <cell r="C41">
            <v>1000</v>
          </cell>
          <cell r="D41">
            <v>1000</v>
          </cell>
          <cell r="E41">
            <v>1000</v>
          </cell>
          <cell r="F41">
            <v>1000</v>
          </cell>
          <cell r="G41">
            <v>1000</v>
          </cell>
          <cell r="H41">
            <v>1000</v>
          </cell>
          <cell r="I41">
            <v>1000</v>
          </cell>
          <cell r="J41">
            <v>1000</v>
          </cell>
          <cell r="K41">
            <v>1000</v>
          </cell>
          <cell r="L41">
            <v>1000</v>
          </cell>
          <cell r="M41">
            <v>1000</v>
          </cell>
          <cell r="N41">
            <v>1000</v>
          </cell>
          <cell r="O41">
            <v>12000</v>
          </cell>
        </row>
        <row r="42">
          <cell r="B42" t="str">
            <v>Liability Insurance</v>
          </cell>
          <cell r="C42">
            <v>2451.96</v>
          </cell>
          <cell r="D42">
            <v>2451.96</v>
          </cell>
          <cell r="E42">
            <v>2451.96</v>
          </cell>
          <cell r="F42">
            <v>2337.96</v>
          </cell>
          <cell r="G42">
            <v>2451.96</v>
          </cell>
          <cell r="H42">
            <v>2451.96</v>
          </cell>
          <cell r="I42">
            <v>2261.9499999999998</v>
          </cell>
          <cell r="J42">
            <v>2261.9499999999998</v>
          </cell>
          <cell r="K42">
            <v>2261.9499999999998</v>
          </cell>
          <cell r="L42">
            <v>2261.9499999999998</v>
          </cell>
          <cell r="M42">
            <v>2261.9499999999998</v>
          </cell>
          <cell r="N42">
            <v>2261.96</v>
          </cell>
          <cell r="O42">
            <v>28169.47</v>
          </cell>
        </row>
        <row r="43">
          <cell r="B43" t="str">
            <v>Officer Salaries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Office Salaries</v>
          </cell>
          <cell r="C44">
            <v>14703.57</v>
          </cell>
          <cell r="D44">
            <v>16008.8</v>
          </cell>
          <cell r="E44">
            <v>18022.36</v>
          </cell>
          <cell r="F44">
            <v>16033.94</v>
          </cell>
          <cell r="G44">
            <v>16714.990000000002</v>
          </cell>
          <cell r="H44">
            <v>18842.7</v>
          </cell>
          <cell r="I44">
            <v>16418.29</v>
          </cell>
          <cell r="J44">
            <v>15327.01</v>
          </cell>
          <cell r="K44">
            <v>17203.59</v>
          </cell>
          <cell r="L44">
            <v>15963.53</v>
          </cell>
          <cell r="M44">
            <v>17123.25</v>
          </cell>
          <cell r="N44">
            <v>18468.03</v>
          </cell>
          <cell r="O44">
            <v>200830.06</v>
          </cell>
        </row>
        <row r="45">
          <cell r="B45" t="str">
            <v>Management Fees</v>
          </cell>
          <cell r="C45">
            <v>15000</v>
          </cell>
          <cell r="D45">
            <v>15000</v>
          </cell>
          <cell r="E45">
            <v>15000</v>
          </cell>
          <cell r="F45">
            <v>15000</v>
          </cell>
          <cell r="G45">
            <v>15000</v>
          </cell>
          <cell r="H45">
            <v>15000</v>
          </cell>
          <cell r="I45">
            <v>15000</v>
          </cell>
          <cell r="J45">
            <v>15000</v>
          </cell>
          <cell r="K45">
            <v>15000</v>
          </cell>
          <cell r="L45">
            <v>15000</v>
          </cell>
          <cell r="M45">
            <v>15000</v>
          </cell>
          <cell r="N45">
            <v>15000</v>
          </cell>
          <cell r="O45">
            <v>180000</v>
          </cell>
        </row>
        <row r="46">
          <cell r="B46" t="str">
            <v>Bad Debt Expense</v>
          </cell>
          <cell r="C46">
            <v>1492.98</v>
          </cell>
          <cell r="D46">
            <v>3927.6699999999992</v>
          </cell>
          <cell r="E46">
            <v>2901.04</v>
          </cell>
          <cell r="F46">
            <v>1615.34</v>
          </cell>
          <cell r="G46">
            <v>3780.5699999999997</v>
          </cell>
          <cell r="H46">
            <v>15379.85</v>
          </cell>
          <cell r="I46">
            <v>8831.99</v>
          </cell>
          <cell r="J46">
            <v>4601.5</v>
          </cell>
          <cell r="K46">
            <v>3034.8</v>
          </cell>
          <cell r="L46">
            <v>-939.91</v>
          </cell>
          <cell r="M46">
            <v>1362.4299999999998</v>
          </cell>
          <cell r="N46">
            <v>4179.01</v>
          </cell>
          <cell r="O46">
            <v>50167.27</v>
          </cell>
        </row>
        <row r="47">
          <cell r="B47" t="str">
            <v>Office Supply</v>
          </cell>
          <cell r="C47">
            <v>4318.51</v>
          </cell>
          <cell r="D47">
            <v>4748.49</v>
          </cell>
          <cell r="E47">
            <v>5046.9399999999996</v>
          </cell>
          <cell r="F47">
            <v>4715.07</v>
          </cell>
          <cell r="G47">
            <v>5303.17</v>
          </cell>
          <cell r="H47">
            <v>6065.01</v>
          </cell>
          <cell r="I47">
            <v>3913.67</v>
          </cell>
          <cell r="J47">
            <v>3599.26</v>
          </cell>
          <cell r="K47">
            <v>3683.92</v>
          </cell>
          <cell r="L47">
            <v>4149.17</v>
          </cell>
          <cell r="M47">
            <v>3015.0299999999997</v>
          </cell>
          <cell r="N47">
            <v>4175.4799999999996</v>
          </cell>
          <cell r="O47">
            <v>52733.72</v>
          </cell>
        </row>
        <row r="48">
          <cell r="B48" t="str">
            <v>Postage</v>
          </cell>
          <cell r="C48">
            <v>350</v>
          </cell>
          <cell r="D48">
            <v>0</v>
          </cell>
          <cell r="E48">
            <v>0</v>
          </cell>
          <cell r="F48">
            <v>350</v>
          </cell>
          <cell r="G48">
            <v>0</v>
          </cell>
          <cell r="H48">
            <v>200</v>
          </cell>
          <cell r="I48">
            <v>0</v>
          </cell>
          <cell r="J48">
            <v>90.47</v>
          </cell>
          <cell r="K48">
            <v>0</v>
          </cell>
          <cell r="L48">
            <v>300</v>
          </cell>
          <cell r="M48">
            <v>94.19</v>
          </cell>
          <cell r="N48">
            <v>300</v>
          </cell>
          <cell r="O48">
            <v>1684.66</v>
          </cell>
        </row>
        <row r="49">
          <cell r="B49" t="str">
            <v>Bank Charges</v>
          </cell>
          <cell r="C49">
            <v>447.54</v>
          </cell>
          <cell r="D49">
            <v>262.07</v>
          </cell>
          <cell r="E49">
            <v>362.1</v>
          </cell>
          <cell r="F49">
            <v>376.24</v>
          </cell>
          <cell r="G49">
            <v>460.67</v>
          </cell>
          <cell r="H49">
            <v>317.61</v>
          </cell>
          <cell r="I49">
            <v>395.2</v>
          </cell>
          <cell r="J49">
            <v>347.85</v>
          </cell>
          <cell r="K49">
            <v>523.35</v>
          </cell>
          <cell r="L49">
            <v>385.77</v>
          </cell>
          <cell r="M49">
            <v>436.54</v>
          </cell>
          <cell r="N49">
            <v>314.5</v>
          </cell>
          <cell r="O49">
            <v>4629.4399999999996</v>
          </cell>
        </row>
        <row r="50">
          <cell r="B50" t="str">
            <v>Maintenance</v>
          </cell>
          <cell r="C50">
            <v>141.12</v>
          </cell>
          <cell r="D50">
            <v>825.32999999999993</v>
          </cell>
          <cell r="E50">
            <v>634.54</v>
          </cell>
          <cell r="F50">
            <v>1633.31</v>
          </cell>
          <cell r="G50">
            <v>499.07</v>
          </cell>
          <cell r="H50">
            <v>221.97</v>
          </cell>
          <cell r="I50">
            <v>857.36</v>
          </cell>
          <cell r="J50">
            <v>0</v>
          </cell>
          <cell r="K50">
            <v>15.95</v>
          </cell>
          <cell r="L50">
            <v>361.08</v>
          </cell>
          <cell r="M50">
            <v>1058.49</v>
          </cell>
          <cell r="N50">
            <v>2850.03</v>
          </cell>
          <cell r="O50">
            <v>9098.25</v>
          </cell>
        </row>
        <row r="51">
          <cell r="B51" t="str">
            <v>Rate Case Expense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Accounting</v>
          </cell>
          <cell r="C52">
            <v>377.3</v>
          </cell>
          <cell r="D52">
            <v>2382.6</v>
          </cell>
          <cell r="E52">
            <v>0</v>
          </cell>
          <cell r="F52">
            <v>1852.4</v>
          </cell>
          <cell r="G52">
            <v>271.60000000000002</v>
          </cell>
          <cell r="H52">
            <v>889.4</v>
          </cell>
          <cell r="I52">
            <v>264</v>
          </cell>
          <cell r="J52">
            <v>253</v>
          </cell>
          <cell r="K52">
            <v>0</v>
          </cell>
          <cell r="L52">
            <v>3905.8</v>
          </cell>
          <cell r="M52">
            <v>6436.05</v>
          </cell>
          <cell r="N52">
            <v>1026</v>
          </cell>
          <cell r="O52">
            <v>17658.150000000001</v>
          </cell>
        </row>
        <row r="53">
          <cell r="B53" t="str">
            <v>Legal</v>
          </cell>
          <cell r="C53">
            <v>0</v>
          </cell>
          <cell r="D53">
            <v>277.39999999999998</v>
          </cell>
          <cell r="E53">
            <v>79.2</v>
          </cell>
          <cell r="F53">
            <v>0</v>
          </cell>
          <cell r="G53">
            <v>2725</v>
          </cell>
          <cell r="H53">
            <v>0</v>
          </cell>
          <cell r="I53">
            <v>1100</v>
          </cell>
          <cell r="J53">
            <v>0</v>
          </cell>
          <cell r="K53">
            <v>1125</v>
          </cell>
          <cell r="L53">
            <v>0</v>
          </cell>
          <cell r="M53">
            <v>0</v>
          </cell>
          <cell r="N53">
            <v>1458.33</v>
          </cell>
          <cell r="O53">
            <v>6764.93</v>
          </cell>
        </row>
        <row r="54">
          <cell r="B54" t="str">
            <v>WUTC Fee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16778.560000000001</v>
          </cell>
          <cell r="M54">
            <v>30.65</v>
          </cell>
          <cell r="N54">
            <v>0</v>
          </cell>
          <cell r="O54">
            <v>16809.210000000003</v>
          </cell>
        </row>
        <row r="55">
          <cell r="B55" t="str">
            <v>Franchise</v>
          </cell>
          <cell r="C55">
            <v>761.15</v>
          </cell>
          <cell r="D55">
            <v>588.66</v>
          </cell>
          <cell r="E55">
            <v>485.63</v>
          </cell>
          <cell r="F55">
            <v>716.57</v>
          </cell>
          <cell r="G55">
            <v>665.06</v>
          </cell>
          <cell r="H55">
            <v>624.52</v>
          </cell>
          <cell r="I55">
            <v>668.46</v>
          </cell>
          <cell r="J55">
            <v>736.87</v>
          </cell>
          <cell r="K55">
            <v>640.67999999999995</v>
          </cell>
          <cell r="L55">
            <v>572.41</v>
          </cell>
          <cell r="M55">
            <v>686.89</v>
          </cell>
          <cell r="N55">
            <v>564</v>
          </cell>
          <cell r="O55">
            <v>7710.9000000000005</v>
          </cell>
        </row>
        <row r="56">
          <cell r="B56" t="str">
            <v>Communications</v>
          </cell>
          <cell r="C56">
            <v>1485.08</v>
          </cell>
          <cell r="D56">
            <v>1681.71</v>
          </cell>
          <cell r="E56">
            <v>1611.77</v>
          </cell>
          <cell r="F56">
            <v>1923.83</v>
          </cell>
          <cell r="G56">
            <v>1462.07</v>
          </cell>
          <cell r="H56">
            <v>3733.84</v>
          </cell>
          <cell r="I56">
            <v>1723.96</v>
          </cell>
          <cell r="J56">
            <v>442.29</v>
          </cell>
          <cell r="K56">
            <v>1595.51</v>
          </cell>
          <cell r="L56">
            <v>1087.24</v>
          </cell>
          <cell r="M56">
            <v>1114.52</v>
          </cell>
          <cell r="N56">
            <v>1295.8</v>
          </cell>
          <cell r="O56">
            <v>19157.62</v>
          </cell>
        </row>
        <row r="57">
          <cell r="B57" t="str">
            <v>Utilities</v>
          </cell>
          <cell r="C57">
            <v>3540.79</v>
          </cell>
          <cell r="D57">
            <v>4687.87</v>
          </cell>
          <cell r="E57">
            <v>5805.68</v>
          </cell>
          <cell r="F57">
            <v>6407.79</v>
          </cell>
          <cell r="G57">
            <v>6200.55</v>
          </cell>
          <cell r="H57">
            <v>3914.38</v>
          </cell>
          <cell r="I57">
            <v>5517.2</v>
          </cell>
          <cell r="J57">
            <v>5876.54</v>
          </cell>
          <cell r="K57">
            <v>2912.57</v>
          </cell>
          <cell r="L57">
            <v>4981.25</v>
          </cell>
          <cell r="M57">
            <v>5160.37</v>
          </cell>
          <cell r="N57">
            <v>4818.08</v>
          </cell>
          <cell r="O57">
            <v>59823.070000000007</v>
          </cell>
        </row>
        <row r="58">
          <cell r="B58" t="str">
            <v>Laundry/Uniforms</v>
          </cell>
          <cell r="C58">
            <v>1759.71</v>
          </cell>
          <cell r="D58">
            <v>2344.33</v>
          </cell>
          <cell r="E58">
            <v>2202.5700000000002</v>
          </cell>
          <cell r="F58">
            <v>2348.59</v>
          </cell>
          <cell r="G58">
            <v>2092.77</v>
          </cell>
          <cell r="H58">
            <v>2451.9899999999998</v>
          </cell>
          <cell r="I58">
            <v>2760.65</v>
          </cell>
          <cell r="J58">
            <v>1809.44</v>
          </cell>
          <cell r="K58">
            <v>0</v>
          </cell>
          <cell r="L58">
            <v>872.81</v>
          </cell>
          <cell r="M58">
            <v>540.57000000000005</v>
          </cell>
          <cell r="N58">
            <v>0</v>
          </cell>
          <cell r="O58">
            <v>19183.43</v>
          </cell>
        </row>
        <row r="59">
          <cell r="B59" t="str">
            <v>Miscellaneous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Dues and Subscriptions</v>
          </cell>
          <cell r="C60">
            <v>1300</v>
          </cell>
          <cell r="D60">
            <v>1300</v>
          </cell>
          <cell r="E60">
            <v>1300</v>
          </cell>
          <cell r="F60">
            <v>1727.23</v>
          </cell>
          <cell r="G60">
            <v>1726.48</v>
          </cell>
          <cell r="H60">
            <v>1446.29</v>
          </cell>
          <cell r="I60">
            <v>1300</v>
          </cell>
          <cell r="J60">
            <v>1300</v>
          </cell>
          <cell r="K60">
            <v>1300</v>
          </cell>
          <cell r="L60">
            <v>1300</v>
          </cell>
          <cell r="M60">
            <v>1300</v>
          </cell>
          <cell r="N60">
            <v>1300</v>
          </cell>
          <cell r="O60">
            <v>16600</v>
          </cell>
        </row>
        <row r="61">
          <cell r="B61" t="str">
            <v>Dues Non-deductible</v>
          </cell>
          <cell r="C61">
            <v>0</v>
          </cell>
          <cell r="D61">
            <v>0</v>
          </cell>
          <cell r="E61">
            <v>1100</v>
          </cell>
          <cell r="F61">
            <v>0</v>
          </cell>
          <cell r="G61">
            <v>600</v>
          </cell>
          <cell r="H61">
            <v>172.16</v>
          </cell>
          <cell r="I61">
            <v>441.62</v>
          </cell>
          <cell r="J61">
            <v>0</v>
          </cell>
          <cell r="K61">
            <v>0</v>
          </cell>
          <cell r="L61">
            <v>428.63</v>
          </cell>
          <cell r="M61">
            <v>441.38</v>
          </cell>
          <cell r="N61">
            <v>498.28</v>
          </cell>
          <cell r="O61">
            <v>3682.0700000000006</v>
          </cell>
        </row>
        <row r="62">
          <cell r="B62" t="str">
            <v>Travel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717.44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717.44</v>
          </cell>
        </row>
        <row r="63">
          <cell r="B63" t="str">
            <v>Seminars</v>
          </cell>
          <cell r="C63">
            <v>0</v>
          </cell>
          <cell r="D63">
            <v>0</v>
          </cell>
          <cell r="E63">
            <v>0</v>
          </cell>
          <cell r="F63">
            <v>1315</v>
          </cell>
          <cell r="G63">
            <v>1325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750</v>
          </cell>
          <cell r="N63">
            <v>2580</v>
          </cell>
          <cell r="O63">
            <v>5970</v>
          </cell>
        </row>
        <row r="64">
          <cell r="B64" t="str">
            <v>Meals and Entertainment</v>
          </cell>
          <cell r="C64">
            <v>0</v>
          </cell>
          <cell r="D64">
            <v>0</v>
          </cell>
          <cell r="E64">
            <v>28.48</v>
          </cell>
          <cell r="F64">
            <v>0</v>
          </cell>
          <cell r="G64">
            <v>0</v>
          </cell>
          <cell r="H64">
            <v>0</v>
          </cell>
          <cell r="I64">
            <v>120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148.47999999999999</v>
          </cell>
        </row>
        <row r="65">
          <cell r="B65" t="str">
            <v>Advertising</v>
          </cell>
          <cell r="C65">
            <v>118.55</v>
          </cell>
          <cell r="D65">
            <v>212.95</v>
          </cell>
          <cell r="E65">
            <v>118.55</v>
          </cell>
          <cell r="F65">
            <v>118.55</v>
          </cell>
          <cell r="G65">
            <v>118.55</v>
          </cell>
          <cell r="H65">
            <v>158.43</v>
          </cell>
          <cell r="I65">
            <v>245.39</v>
          </cell>
          <cell r="J65">
            <v>118.55</v>
          </cell>
          <cell r="K65">
            <v>118.55</v>
          </cell>
          <cell r="L65">
            <v>118.55</v>
          </cell>
          <cell r="M65">
            <v>410.83</v>
          </cell>
          <cell r="N65">
            <v>124.7</v>
          </cell>
          <cell r="O65">
            <v>1982.1499999999996</v>
          </cell>
        </row>
        <row r="66">
          <cell r="B66" t="str">
            <v>Truck License</v>
          </cell>
          <cell r="C66">
            <v>92.75</v>
          </cell>
          <cell r="D66">
            <v>0</v>
          </cell>
          <cell r="E66">
            <v>1548</v>
          </cell>
          <cell r="F66">
            <v>735</v>
          </cell>
          <cell r="G66">
            <v>1599</v>
          </cell>
          <cell r="H66">
            <v>0</v>
          </cell>
          <cell r="I66">
            <v>798</v>
          </cell>
          <cell r="J66">
            <v>126</v>
          </cell>
          <cell r="K66">
            <v>1416</v>
          </cell>
          <cell r="L66">
            <v>718</v>
          </cell>
          <cell r="M66">
            <v>0</v>
          </cell>
          <cell r="N66">
            <v>80.75</v>
          </cell>
          <cell r="O66">
            <v>7113.5</v>
          </cell>
        </row>
        <row r="67">
          <cell r="B67" t="str">
            <v>Taxes and licensing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Permits</v>
          </cell>
          <cell r="C68">
            <v>45</v>
          </cell>
          <cell r="D68">
            <v>69</v>
          </cell>
          <cell r="E68">
            <v>0</v>
          </cell>
          <cell r="F68">
            <v>0</v>
          </cell>
          <cell r="G68">
            <v>0</v>
          </cell>
          <cell r="H68">
            <v>113.92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</v>
          </cell>
          <cell r="N68">
            <v>0</v>
          </cell>
          <cell r="O68">
            <v>275.92</v>
          </cell>
        </row>
        <row r="69">
          <cell r="B69" t="str">
            <v>Contributions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100</v>
          </cell>
          <cell r="K69">
            <v>0</v>
          </cell>
          <cell r="L69">
            <v>750</v>
          </cell>
          <cell r="M69">
            <v>0</v>
          </cell>
          <cell r="N69">
            <v>300</v>
          </cell>
          <cell r="O69">
            <v>1150</v>
          </cell>
        </row>
        <row r="70">
          <cell r="B70" t="str">
            <v>B &amp; O Tax</v>
          </cell>
          <cell r="C70">
            <v>4485.3100000000004</v>
          </cell>
          <cell r="D70">
            <v>4316.3200000000006</v>
          </cell>
          <cell r="E70">
            <v>4219.34</v>
          </cell>
          <cell r="F70">
            <v>4511.91</v>
          </cell>
          <cell r="G70">
            <v>4344.54</v>
          </cell>
          <cell r="H70">
            <v>9459.91</v>
          </cell>
          <cell r="I70">
            <v>4372.21</v>
          </cell>
          <cell r="J70">
            <v>5016.0600000000004</v>
          </cell>
          <cell r="K70">
            <v>4073.7200000000003</v>
          </cell>
          <cell r="L70">
            <v>7179.7800000000007</v>
          </cell>
          <cell r="M70">
            <v>12349.94</v>
          </cell>
          <cell r="N70">
            <v>6934.43</v>
          </cell>
          <cell r="O70">
            <v>71263.47</v>
          </cell>
        </row>
        <row r="71">
          <cell r="B71" t="str">
            <v>Land Rent</v>
          </cell>
          <cell r="C71">
            <v>11500</v>
          </cell>
          <cell r="D71">
            <v>11500</v>
          </cell>
          <cell r="E71">
            <v>11500</v>
          </cell>
          <cell r="F71">
            <v>11500</v>
          </cell>
          <cell r="G71">
            <v>11500</v>
          </cell>
          <cell r="H71">
            <v>11500</v>
          </cell>
          <cell r="I71">
            <v>11500</v>
          </cell>
          <cell r="J71">
            <v>11500</v>
          </cell>
          <cell r="K71">
            <v>11500</v>
          </cell>
          <cell r="L71">
            <v>11500</v>
          </cell>
          <cell r="M71">
            <v>11500</v>
          </cell>
          <cell r="N71">
            <v>11500</v>
          </cell>
          <cell r="O71">
            <v>138000</v>
          </cell>
        </row>
        <row r="72">
          <cell r="B72" t="str">
            <v>Computer Expense</v>
          </cell>
          <cell r="C72">
            <v>0</v>
          </cell>
          <cell r="D72">
            <v>698.39</v>
          </cell>
          <cell r="E72">
            <v>0</v>
          </cell>
          <cell r="F72">
            <v>1298.3900000000001</v>
          </cell>
          <cell r="G72">
            <v>0</v>
          </cell>
          <cell r="H72">
            <v>1198.3900000000001</v>
          </cell>
          <cell r="I72">
            <v>232.8</v>
          </cell>
          <cell r="J72">
            <v>0</v>
          </cell>
          <cell r="K72">
            <v>698.39</v>
          </cell>
          <cell r="L72">
            <v>590</v>
          </cell>
          <cell r="M72">
            <v>232.8</v>
          </cell>
          <cell r="N72">
            <v>232.95</v>
          </cell>
          <cell r="O72">
            <v>5182.1100000000006</v>
          </cell>
        </row>
        <row r="73">
          <cell r="B73" t="str">
            <v>Workmen’s Comp</v>
          </cell>
          <cell r="C73">
            <v>0</v>
          </cell>
          <cell r="D73">
            <v>566.74</v>
          </cell>
          <cell r="E73">
            <v>10778.8</v>
          </cell>
          <cell r="F73">
            <v>0</v>
          </cell>
          <cell r="G73">
            <v>592.83000000000004</v>
          </cell>
          <cell r="H73">
            <v>9930.74</v>
          </cell>
          <cell r="I73">
            <v>0</v>
          </cell>
          <cell r="J73">
            <v>546.19000000000005</v>
          </cell>
          <cell r="K73">
            <v>10546.72</v>
          </cell>
          <cell r="L73">
            <v>580.07000000000005</v>
          </cell>
          <cell r="M73">
            <v>0</v>
          </cell>
          <cell r="N73">
            <v>2439.7600000000002</v>
          </cell>
          <cell r="O73">
            <v>35981.85</v>
          </cell>
        </row>
        <row r="74">
          <cell r="B74" t="str">
            <v>Payroll Taxes</v>
          </cell>
          <cell r="C74">
            <v>4840.6099999999997</v>
          </cell>
          <cell r="D74">
            <v>4829.1499999999996</v>
          </cell>
          <cell r="E74">
            <v>6169.2699999999995</v>
          </cell>
          <cell r="F74">
            <v>4390.2299999999996</v>
          </cell>
          <cell r="G74">
            <v>4742.8900000000003</v>
          </cell>
          <cell r="H74">
            <v>6197.079999999999</v>
          </cell>
          <cell r="I74">
            <v>5185.53</v>
          </cell>
          <cell r="J74">
            <v>4505.6099999999997</v>
          </cell>
          <cell r="K74">
            <v>8214.2199999999993</v>
          </cell>
          <cell r="L74">
            <v>5069.12</v>
          </cell>
          <cell r="M74">
            <v>5299.01</v>
          </cell>
          <cell r="N74">
            <v>7884.2300000000005</v>
          </cell>
          <cell r="O74">
            <v>67326.95</v>
          </cell>
        </row>
        <row r="75">
          <cell r="B75" t="str">
            <v>Employee Relations</v>
          </cell>
          <cell r="C75">
            <v>1255.4100000000001</v>
          </cell>
          <cell r="D75">
            <v>1846.92</v>
          </cell>
          <cell r="E75">
            <v>1509.96</v>
          </cell>
          <cell r="F75">
            <v>3349.65</v>
          </cell>
          <cell r="G75">
            <v>3552.83</v>
          </cell>
          <cell r="H75">
            <v>4626.29</v>
          </cell>
          <cell r="I75">
            <v>1299.8</v>
          </cell>
          <cell r="J75">
            <v>1088</v>
          </cell>
          <cell r="K75">
            <v>1381.25</v>
          </cell>
          <cell r="L75">
            <v>1075</v>
          </cell>
          <cell r="M75">
            <v>1562.01</v>
          </cell>
          <cell r="N75">
            <v>1392.5</v>
          </cell>
          <cell r="O75">
            <v>23939.62</v>
          </cell>
        </row>
        <row r="76">
          <cell r="B76" t="str">
            <v>Life Insurance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73.099999999999994</v>
          </cell>
          <cell r="J76">
            <v>73.099999999999994</v>
          </cell>
          <cell r="K76">
            <v>0</v>
          </cell>
          <cell r="L76">
            <v>167.7</v>
          </cell>
          <cell r="M76">
            <v>55.9</v>
          </cell>
          <cell r="N76">
            <v>77.400000000000006</v>
          </cell>
          <cell r="O76">
            <v>447.19999999999993</v>
          </cell>
        </row>
        <row r="77">
          <cell r="B77" t="str">
            <v>Counseling Services</v>
          </cell>
          <cell r="C77">
            <v>154.38</v>
          </cell>
          <cell r="D77">
            <v>154.38</v>
          </cell>
          <cell r="E77">
            <v>154.38</v>
          </cell>
          <cell r="F77">
            <v>154.38</v>
          </cell>
          <cell r="G77">
            <v>154.38</v>
          </cell>
          <cell r="H77">
            <v>154.38</v>
          </cell>
          <cell r="I77">
            <v>154.38</v>
          </cell>
          <cell r="J77">
            <v>154.38</v>
          </cell>
          <cell r="K77">
            <v>154.38</v>
          </cell>
          <cell r="L77">
            <v>154.38</v>
          </cell>
          <cell r="M77">
            <v>154.38</v>
          </cell>
          <cell r="N77">
            <v>154.38</v>
          </cell>
          <cell r="O77">
            <v>1852.5600000000004</v>
          </cell>
        </row>
        <row r="78">
          <cell r="B78" t="str">
            <v>Employee Medical Insurance</v>
          </cell>
          <cell r="C78">
            <v>8800.4399999999987</v>
          </cell>
          <cell r="D78">
            <v>7888.28</v>
          </cell>
          <cell r="E78">
            <v>7891.97</v>
          </cell>
          <cell r="F78">
            <v>8035.21</v>
          </cell>
          <cell r="G78">
            <v>8035.21</v>
          </cell>
          <cell r="H78">
            <v>318</v>
          </cell>
          <cell r="I78">
            <v>16953.82</v>
          </cell>
          <cell r="J78">
            <v>9964.0600000000013</v>
          </cell>
          <cell r="K78">
            <v>10237.189999999999</v>
          </cell>
          <cell r="L78">
            <v>8322.56</v>
          </cell>
          <cell r="M78">
            <v>13934.380000000001</v>
          </cell>
          <cell r="N78">
            <v>8637.33</v>
          </cell>
          <cell r="O78">
            <v>109018.45000000001</v>
          </cell>
        </row>
        <row r="79">
          <cell r="B79" t="str">
            <v>Property Taxes</v>
          </cell>
          <cell r="C79">
            <v>0</v>
          </cell>
          <cell r="D79">
            <v>0</v>
          </cell>
          <cell r="E79">
            <v>0</v>
          </cell>
          <cell r="F79">
            <v>6400.86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5728.36</v>
          </cell>
          <cell r="M79">
            <v>0</v>
          </cell>
          <cell r="N79">
            <v>0</v>
          </cell>
          <cell r="O79">
            <v>12129.22</v>
          </cell>
        </row>
        <row r="80">
          <cell r="B80" t="str">
            <v>Drug Testing</v>
          </cell>
          <cell r="C80">
            <v>165.5</v>
          </cell>
          <cell r="D80">
            <v>38.5</v>
          </cell>
          <cell r="E80">
            <v>55</v>
          </cell>
          <cell r="F80">
            <v>341</v>
          </cell>
          <cell r="G80">
            <v>20</v>
          </cell>
          <cell r="H80">
            <v>180</v>
          </cell>
          <cell r="I80">
            <v>106.5</v>
          </cell>
          <cell r="J80">
            <v>20</v>
          </cell>
          <cell r="K80">
            <v>0</v>
          </cell>
          <cell r="L80">
            <v>64</v>
          </cell>
          <cell r="M80">
            <v>93.5</v>
          </cell>
          <cell r="N80">
            <v>231.5</v>
          </cell>
          <cell r="O80">
            <v>1315.5</v>
          </cell>
        </row>
        <row r="81">
          <cell r="B81" t="str">
            <v>SEP Benefits</v>
          </cell>
          <cell r="C81">
            <v>3529.52</v>
          </cell>
          <cell r="D81">
            <v>3668.15</v>
          </cell>
          <cell r="E81">
            <v>3758.64</v>
          </cell>
          <cell r="F81">
            <v>3570.71</v>
          </cell>
          <cell r="G81">
            <v>3779.68</v>
          </cell>
          <cell r="H81">
            <v>4339.07</v>
          </cell>
          <cell r="I81">
            <v>4392.53</v>
          </cell>
          <cell r="J81">
            <v>3404.41</v>
          </cell>
          <cell r="K81">
            <v>3760.32</v>
          </cell>
          <cell r="L81">
            <v>3785.55</v>
          </cell>
          <cell r="M81">
            <v>3928.97</v>
          </cell>
          <cell r="N81">
            <v>3469.85</v>
          </cell>
          <cell r="O81">
            <v>45387.4</v>
          </cell>
        </row>
        <row r="82">
          <cell r="B82" t="str">
            <v>Interest</v>
          </cell>
          <cell r="C82">
            <v>3616.12</v>
          </cell>
          <cell r="D82">
            <v>3552.65</v>
          </cell>
          <cell r="E82">
            <v>3488.85</v>
          </cell>
          <cell r="F82">
            <v>3424.74</v>
          </cell>
          <cell r="G82">
            <v>3600.3</v>
          </cell>
          <cell r="H82">
            <v>14536.76</v>
          </cell>
          <cell r="I82">
            <v>3230.46</v>
          </cell>
          <cell r="J82">
            <v>3165.05</v>
          </cell>
          <cell r="K82">
            <v>3099.31</v>
          </cell>
          <cell r="L82">
            <v>3033.25</v>
          </cell>
          <cell r="M82">
            <v>2966.85</v>
          </cell>
          <cell r="N82">
            <v>2900.14</v>
          </cell>
          <cell r="O82">
            <v>50614.479999999996</v>
          </cell>
        </row>
        <row r="83">
          <cell r="B83" t="str">
            <v>Freight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288.3</v>
          </cell>
          <cell r="H83">
            <v>176.07</v>
          </cell>
          <cell r="I83">
            <v>0</v>
          </cell>
          <cell r="J83">
            <v>41.14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505.51</v>
          </cell>
        </row>
        <row r="84">
          <cell r="B84" t="str">
            <v>Consulting</v>
          </cell>
          <cell r="C84">
            <v>0</v>
          </cell>
          <cell r="D84">
            <v>4164</v>
          </cell>
          <cell r="E84">
            <v>0</v>
          </cell>
          <cell r="F84">
            <v>2138.5</v>
          </cell>
          <cell r="G84">
            <v>2401</v>
          </cell>
          <cell r="H84">
            <v>3838.5</v>
          </cell>
          <cell r="I84">
            <v>1076</v>
          </cell>
          <cell r="J84">
            <v>2463.5</v>
          </cell>
          <cell r="K84">
            <v>2163.5</v>
          </cell>
          <cell r="L84">
            <v>2176</v>
          </cell>
          <cell r="M84">
            <v>1819.75</v>
          </cell>
          <cell r="N84">
            <v>1732.25</v>
          </cell>
          <cell r="O84">
            <v>23973</v>
          </cell>
        </row>
        <row r="85">
          <cell r="B85" t="str">
            <v>Safety Equipment Expense</v>
          </cell>
          <cell r="C85">
            <v>728.2</v>
          </cell>
          <cell r="D85">
            <v>1079.05</v>
          </cell>
          <cell r="E85">
            <v>83.08</v>
          </cell>
          <cell r="F85">
            <v>2228.91</v>
          </cell>
          <cell r="G85">
            <v>304.52999999999997</v>
          </cell>
          <cell r="H85">
            <v>1061</v>
          </cell>
          <cell r="I85">
            <v>264.56</v>
          </cell>
          <cell r="J85">
            <v>-241.69</v>
          </cell>
          <cell r="K85">
            <v>716.53</v>
          </cell>
          <cell r="L85">
            <v>105.85</v>
          </cell>
          <cell r="M85">
            <v>1225.6300000000001</v>
          </cell>
          <cell r="N85">
            <v>386.26</v>
          </cell>
          <cell r="O85">
            <v>7941.9100000000008</v>
          </cell>
        </row>
        <row r="86">
          <cell r="B86" t="str">
            <v>Depreciation</v>
          </cell>
          <cell r="C86">
            <v>19219.580000000002</v>
          </cell>
          <cell r="D86">
            <v>19219.580000000002</v>
          </cell>
          <cell r="E86">
            <v>19219.580000000002</v>
          </cell>
          <cell r="F86">
            <v>19219.670000000002</v>
          </cell>
          <cell r="G86">
            <v>19219.580000000002</v>
          </cell>
          <cell r="H86">
            <v>19558.099999999999</v>
          </cell>
          <cell r="I86">
            <v>19247.79</v>
          </cell>
          <cell r="J86">
            <v>19247.79</v>
          </cell>
          <cell r="K86">
            <v>19247.79</v>
          </cell>
          <cell r="L86">
            <v>22142.720000000001</v>
          </cell>
          <cell r="M86">
            <v>22142.720000000001</v>
          </cell>
          <cell r="N86">
            <v>30827.510000000002</v>
          </cell>
          <cell r="O86">
            <v>248512.41000000003</v>
          </cell>
        </row>
      </sheetData>
      <sheetData sheetId="18"/>
      <sheetData sheetId="19"/>
      <sheetData sheetId="20"/>
      <sheetData sheetId="21"/>
      <sheetData sheetId="22">
        <row r="30">
          <cell r="J30">
            <v>2646.7177352709273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9">
          <cell r="J39">
            <v>0.96812272987956427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e"/>
      <sheetName val="Amortization Table"/>
      <sheetName val="Amortization Table (2)"/>
    </sheetNames>
    <sheetDataSet>
      <sheetData sheetId="0"/>
      <sheetData sheetId="1">
        <row r="18">
          <cell r="F18">
            <v>127794.2761418313</v>
          </cell>
        </row>
      </sheetData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Global Site Cost"/>
      <sheetName val="Capacity"/>
      <sheetName val="Cell Costs"/>
      <sheetName val="Cap Costs"/>
      <sheetName val="Post Close"/>
      <sheetName val="Total"/>
      <sheetName val="Cleveland"/>
      <sheetName val="Meadow"/>
      <sheetName val="Woodstock"/>
      <sheetName val="Westside"/>
      <sheetName val="Other"/>
      <sheetName val="PolkCoLF"/>
    </sheetNames>
    <sheetDataSet>
      <sheetData sheetId="0" refreshError="1"/>
      <sheetData sheetId="1" refreshError="1"/>
      <sheetData sheetId="2"/>
      <sheetData sheetId="3">
        <row r="22">
          <cell r="M22">
            <v>6942121.4133333322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nsolidated IS"/>
      <sheetName val="Ratios"/>
      <sheetName val="Restating Adj Expl"/>
      <sheetName val="Aug Av. Fuel Price"/>
      <sheetName val="Pro forma Adj"/>
      <sheetName val="LG Total Regulated"/>
      <sheetName val="LG Public - BRG"/>
      <sheetName val="Revenue Summary"/>
      <sheetName val="Region OH"/>
      <sheetName val="70255 JE Query"/>
      <sheetName val="Bud Capital Input 2021"/>
      <sheetName val="2149_BS 08.2020"/>
      <sheetName val="2149_BS 08-2019"/>
    </sheetNames>
    <sheetDataSet>
      <sheetData sheetId="0"/>
      <sheetData sheetId="1">
        <row r="31">
          <cell r="A31">
            <v>57147</v>
          </cell>
        </row>
      </sheetData>
      <sheetData sheetId="2"/>
      <sheetData sheetId="3"/>
      <sheetData sheetId="4">
        <row r="15">
          <cell r="E15">
            <v>44074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4 Month Condensed Ops P&amp;L"/>
      <sheetName val="Report Template"/>
    </sheetNames>
    <sheetDataSet>
      <sheetData sheetId="0"/>
      <sheetData sheetId="1"/>
      <sheetData sheetId="2">
        <row r="2002">
          <cell r="B2002">
            <v>2006</v>
          </cell>
        </row>
        <row r="2003">
          <cell r="B2003">
            <v>2007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/>
      <sheetData sheetId="1"/>
      <sheetData sheetId="2" refreshError="1"/>
      <sheetData sheetId="3">
        <row r="5">
          <cell r="D5">
            <v>10.71</v>
          </cell>
        </row>
      </sheetData>
      <sheetData sheetId="4">
        <row r="6">
          <cell r="F6" t="str">
            <v>Time Series</v>
          </cell>
        </row>
      </sheetData>
      <sheetData sheetId="5">
        <row r="4">
          <cell r="B4" t="str">
            <v>P&amp;L Trend</v>
          </cell>
          <cell r="D4" t="str">
            <v>(no extension)</v>
          </cell>
          <cell r="AA4" t="str">
            <v>XLS</v>
          </cell>
        </row>
        <row r="5">
          <cell r="B5" t="str">
            <v>Ereports</v>
          </cell>
          <cell r="AA5" t="str">
            <v>XLS5</v>
          </cell>
        </row>
        <row r="6">
          <cell r="B6" t="str">
            <v>Ereports</v>
          </cell>
          <cell r="D6" t="str">
            <v>(XLS file format only)</v>
          </cell>
          <cell r="AA6" t="str">
            <v>CSV</v>
          </cell>
        </row>
        <row r="7">
          <cell r="AA7" t="str">
            <v>PRN</v>
          </cell>
        </row>
        <row r="8">
          <cell r="D8" t="str">
            <v>Source Tab Name:</v>
          </cell>
          <cell r="AA8" t="str">
            <v>WK1</v>
          </cell>
        </row>
        <row r="9">
          <cell r="B9" t="b">
            <v>1</v>
          </cell>
          <cell r="D9" t="str">
            <v>Target Tab Name:</v>
          </cell>
          <cell r="AA9" t="str">
            <v>WK4</v>
          </cell>
        </row>
        <row r="10">
          <cell r="B10" t="b">
            <v>0</v>
          </cell>
          <cell r="D10" t="str">
            <v>Retain Excel Formulas:</v>
          </cell>
          <cell r="AA10" t="str">
            <v>HTML</v>
          </cell>
        </row>
        <row r="11">
          <cell r="B11" t="b">
            <v>0</v>
          </cell>
          <cell r="D11" t="str">
            <v>Protect with Password:</v>
          </cell>
        </row>
        <row r="12">
          <cell r="D12" t="str">
            <v>Password:</v>
          </cell>
        </row>
        <row r="13">
          <cell r="D13" t="str">
            <v>Top Left Cell to Lock:</v>
          </cell>
        </row>
        <row r="14">
          <cell r="D14" t="str">
            <v>Bottom Right Cell to Lock:</v>
          </cell>
        </row>
        <row r="17">
          <cell r="D17" t="str">
            <v>Column with Delete Chars:</v>
          </cell>
        </row>
        <row r="18">
          <cell r="B18" t="str">
            <v>brentd@wcnx.org</v>
          </cell>
        </row>
        <row r="19">
          <cell r="B19" t="b">
            <v>1</v>
          </cell>
        </row>
        <row r="20">
          <cell r="B20" t="b">
            <v>0</v>
          </cell>
          <cell r="D20" t="str">
            <v>Columns to Delete:</v>
          </cell>
        </row>
        <row r="26">
          <cell r="B26" t="str">
            <v>C</v>
          </cell>
        </row>
        <row r="31">
          <cell r="D31" t="str">
            <v>Rows to Delete:</v>
          </cell>
        </row>
      </sheetData>
      <sheetData sheetId="6" refreshError="1"/>
      <sheetData sheetId="7">
        <row r="11">
          <cell r="D11">
            <v>47001</v>
          </cell>
          <cell r="F11">
            <v>1843.92</v>
          </cell>
          <cell r="G11">
            <v>5768.4</v>
          </cell>
          <cell r="H11">
            <v>6357.6</v>
          </cell>
          <cell r="I11">
            <v>4940.2700000000004</v>
          </cell>
          <cell r="J11">
            <v>4133.1400000000003</v>
          </cell>
          <cell r="K11">
            <v>434.11</v>
          </cell>
          <cell r="L11">
            <v>2232.0700000000002</v>
          </cell>
          <cell r="M11">
            <v>3534.05</v>
          </cell>
          <cell r="N11">
            <v>14494.59</v>
          </cell>
          <cell r="O11">
            <v>13165.37</v>
          </cell>
          <cell r="P11">
            <v>8843.58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800-10899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C647-3C16-4D24-B5FD-F4314D4E97B0}">
  <sheetPr>
    <tabColor theme="9" tint="0.59999389629810485"/>
    <pageSetUpPr fitToPage="1"/>
  </sheetPr>
  <dimension ref="A1:I612"/>
  <sheetViews>
    <sheetView zoomScale="160" zoomScaleNormal="160" workbookViewId="0">
      <selection activeCell="A8" sqref="A8"/>
    </sheetView>
  </sheetViews>
  <sheetFormatPr defaultColWidth="9.109375" defaultRowHeight="13.2"/>
  <cols>
    <col min="1" max="1" width="32.44140625" style="4" customWidth="1"/>
    <col min="2" max="2" width="8.109375" style="2" bestFit="1" customWidth="1"/>
    <col min="3" max="3" width="8.44140625" style="3" customWidth="1"/>
    <col min="4" max="4" width="12.88671875" style="4" bestFit="1" customWidth="1"/>
    <col min="5" max="9" width="9.109375" style="4"/>
    <col min="10" max="10" width="34.5546875" style="4" bestFit="1" customWidth="1"/>
    <col min="11" max="16384" width="9.109375" style="4"/>
  </cols>
  <sheetData>
    <row r="1" spans="1:7">
      <c r="A1" s="1" t="str">
        <f>+'[24]Master IS (C)'!B1</f>
        <v>City Sanitary, Joe's Refuse, White Pass Garbage G-98</v>
      </c>
    </row>
    <row r="2" spans="1:7" ht="14.4">
      <c r="A2" s="1" t="s">
        <v>0</v>
      </c>
      <c r="F2" s="384">
        <f>0.021-0.0175</f>
        <v>3.4999999999999996E-3</v>
      </c>
      <c r="G2" s="385" t="s">
        <v>841</v>
      </c>
    </row>
    <row r="3" spans="1:7" ht="14.4">
      <c r="A3" s="1" t="s">
        <v>851</v>
      </c>
      <c r="F3" s="384">
        <f>1-F2</f>
        <v>0.99650000000000005</v>
      </c>
      <c r="G3" s="385" t="s">
        <v>842</v>
      </c>
    </row>
    <row r="4" spans="1:7" ht="14.4">
      <c r="A4" s="1"/>
      <c r="F4" s="386">
        <f>+F2/F3</f>
        <v>3.5122930255895631E-3</v>
      </c>
      <c r="G4" s="385" t="s">
        <v>843</v>
      </c>
    </row>
    <row r="5" spans="1:7" ht="14.4">
      <c r="A5" s="1"/>
      <c r="B5"/>
      <c r="C5"/>
      <c r="F5" s="386">
        <f ca="1">+F4/'LG Lewis MSW'!M16</f>
        <v>3.8784366232200631E-3</v>
      </c>
      <c r="G5" s="385" t="s">
        <v>844</v>
      </c>
    </row>
    <row r="6" spans="1:7" ht="14.4">
      <c r="A6" s="1"/>
      <c r="B6"/>
      <c r="C6"/>
      <c r="F6" s="386">
        <f ca="1">+F4/'LG Lewis Recycling'!M16</f>
        <v>3.709072614719853E-3</v>
      </c>
      <c r="G6" s="385" t="s">
        <v>845</v>
      </c>
    </row>
    <row r="7" spans="1:7" ht="14.4">
      <c r="A7" s="1"/>
      <c r="B7"/>
      <c r="C7"/>
      <c r="F7" s="386">
        <f ca="1">+F4/'LG Lewis Yard Waste'!M16</f>
        <v>3.7079849061532966E-3</v>
      </c>
      <c r="G7" s="385" t="s">
        <v>846</v>
      </c>
    </row>
    <row r="8" spans="1:7" ht="14.4">
      <c r="A8" s="1"/>
      <c r="B8"/>
      <c r="C8"/>
      <c r="F8" s="386">
        <f ca="1">+F4/'LG Joe''s MSW'!M16</f>
        <v>3.8321418265416332E-3</v>
      </c>
      <c r="G8" s="385" t="s">
        <v>848</v>
      </c>
    </row>
    <row r="9" spans="1:7" ht="14.4">
      <c r="A9" s="1"/>
      <c r="B9"/>
      <c r="C9"/>
      <c r="F9" s="386">
        <f ca="1">+F4/'LG Joe''s Recycling'!M16</f>
        <v>3.6961236294316396E-3</v>
      </c>
      <c r="G9" s="385" t="s">
        <v>847</v>
      </c>
    </row>
    <row r="10" spans="1:7" ht="14.4">
      <c r="B10"/>
      <c r="C10"/>
      <c r="D10" s="5"/>
      <c r="F10" s="386">
        <f ca="1">+F4/'LG Joe''s Yard Waste'!M16</f>
        <v>3.7309937130427665E-3</v>
      </c>
      <c r="G10" s="385" t="s">
        <v>849</v>
      </c>
    </row>
    <row r="11" spans="1:7" ht="14.4">
      <c r="B11"/>
      <c r="C11"/>
      <c r="D11" s="5"/>
    </row>
    <row r="12" spans="1:7" ht="14.4">
      <c r="B12"/>
      <c r="C12"/>
      <c r="D12" s="5"/>
    </row>
    <row r="13" spans="1:7" ht="14.4">
      <c r="B13"/>
      <c r="C13"/>
      <c r="D13" s="5"/>
    </row>
    <row r="14" spans="1:7" ht="39.6">
      <c r="B14" s="6" t="s">
        <v>1</v>
      </c>
      <c r="C14" s="7"/>
      <c r="D14" s="8" t="s">
        <v>850</v>
      </c>
    </row>
    <row r="15" spans="1:7">
      <c r="B15" s="9"/>
      <c r="C15" s="10"/>
      <c r="D15" s="11"/>
    </row>
    <row r="16" spans="1:7">
      <c r="A16" s="12" t="s">
        <v>2</v>
      </c>
      <c r="B16" s="13"/>
      <c r="C16" s="14"/>
      <c r="D16" s="15"/>
    </row>
    <row r="17" spans="1:5">
      <c r="A17" s="4" t="s">
        <v>3</v>
      </c>
      <c r="B17" s="16">
        <v>24.38</v>
      </c>
      <c r="C17" s="17">
        <f ca="1">+ROUND(B17*$F5,2)</f>
        <v>0.09</v>
      </c>
      <c r="D17" s="17">
        <f ca="1">+SUM(B17:C17)</f>
        <v>24.47</v>
      </c>
      <c r="E17" s="3"/>
    </row>
    <row r="18" spans="1:5">
      <c r="B18" s="16"/>
      <c r="C18" s="10"/>
      <c r="D18" s="11"/>
      <c r="E18" s="3"/>
    </row>
    <row r="19" spans="1:5">
      <c r="A19" s="18" t="s">
        <v>5</v>
      </c>
      <c r="B19" s="19"/>
      <c r="C19" s="20"/>
      <c r="D19" s="21"/>
      <c r="E19" s="3"/>
    </row>
    <row r="20" spans="1:5">
      <c r="A20" s="4" t="s">
        <v>3</v>
      </c>
      <c r="B20" s="16">
        <v>24.38</v>
      </c>
      <c r="C20" s="17">
        <f ca="1">C17</f>
        <v>0.09</v>
      </c>
      <c r="D20" s="17">
        <f ca="1">D17</f>
        <v>24.47</v>
      </c>
      <c r="E20" s="3"/>
    </row>
    <row r="21" spans="1:5">
      <c r="B21" s="9"/>
      <c r="C21" s="10"/>
      <c r="D21" s="11"/>
      <c r="E21" s="3"/>
    </row>
    <row r="22" spans="1:5">
      <c r="A22" s="12" t="s">
        <v>867</v>
      </c>
      <c r="B22" s="13"/>
      <c r="C22" s="14"/>
      <c r="D22" s="15"/>
      <c r="E22" s="3"/>
    </row>
    <row r="23" spans="1:5">
      <c r="A23" s="4" t="s">
        <v>6</v>
      </c>
      <c r="B23" s="16">
        <v>16.39</v>
      </c>
      <c r="C23" s="17">
        <f ca="1">+ROUND(B23*$F5,2)</f>
        <v>0.06</v>
      </c>
      <c r="D23" s="17">
        <f ca="1">+SUM(B23:C23)</f>
        <v>16.45</v>
      </c>
      <c r="E23" s="3"/>
    </row>
    <row r="24" spans="1:5">
      <c r="B24" s="16"/>
      <c r="C24" s="10"/>
      <c r="D24" s="11"/>
      <c r="E24" s="3"/>
    </row>
    <row r="25" spans="1:5">
      <c r="A25" s="12" t="s">
        <v>866</v>
      </c>
      <c r="B25" s="13"/>
      <c r="C25" s="14"/>
      <c r="D25" s="15"/>
      <c r="E25" s="3"/>
    </row>
    <row r="26" spans="1:5">
      <c r="A26" s="1" t="s">
        <v>7</v>
      </c>
      <c r="B26" s="16"/>
      <c r="C26" s="10"/>
      <c r="D26" s="11"/>
      <c r="E26" s="3"/>
    </row>
    <row r="27" spans="1:5">
      <c r="A27" s="4" t="s">
        <v>8</v>
      </c>
      <c r="B27" s="16">
        <v>22.52</v>
      </c>
      <c r="C27" s="17">
        <f ca="1">+ROUND(B27*$F5,2)</f>
        <v>0.09</v>
      </c>
      <c r="D27" s="17">
        <f ca="1">+SUM(B27:C27)</f>
        <v>22.61</v>
      </c>
      <c r="E27" s="3"/>
    </row>
    <row r="28" spans="1:5">
      <c r="A28" s="4" t="s">
        <v>9</v>
      </c>
      <c r="B28" s="16">
        <v>65.600000000000009</v>
      </c>
      <c r="C28" s="17">
        <f ca="1">+ROUND(B28*$F5,2)</f>
        <v>0.25</v>
      </c>
      <c r="D28" s="17">
        <f ca="1">+SUM(B28:C28)</f>
        <v>65.850000000000009</v>
      </c>
      <c r="E28" s="3"/>
    </row>
    <row r="29" spans="1:5">
      <c r="A29" s="4" t="s">
        <v>10</v>
      </c>
      <c r="B29" s="16">
        <v>24.38</v>
      </c>
      <c r="C29" s="17">
        <f ca="1">+ROUND(B29*$F5,2)</f>
        <v>0.09</v>
      </c>
      <c r="D29" s="17">
        <f ca="1">+SUM(B29:C29)</f>
        <v>24.47</v>
      </c>
      <c r="E29" s="3"/>
    </row>
    <row r="30" spans="1:5">
      <c r="A30" s="4" t="s">
        <v>11</v>
      </c>
      <c r="B30" s="16">
        <v>18.25</v>
      </c>
      <c r="C30" s="17">
        <f ca="1">+ROUND(B30*$F5,2)</f>
        <v>7.0000000000000007E-2</v>
      </c>
      <c r="D30" s="17">
        <f ca="1">+SUM(B30:C30)</f>
        <v>18.32</v>
      </c>
      <c r="E30" s="3"/>
    </row>
    <row r="31" spans="1:5">
      <c r="A31" s="4" t="s">
        <v>12</v>
      </c>
      <c r="B31" s="16">
        <v>20.439999999999998</v>
      </c>
      <c r="C31" s="17">
        <f ca="1">+ROUND(B31*$F5,2)</f>
        <v>0.08</v>
      </c>
      <c r="D31" s="17">
        <f ca="1">+SUM(B31:C31)</f>
        <v>20.519999999999996</v>
      </c>
      <c r="E31" s="3"/>
    </row>
    <row r="32" spans="1:5">
      <c r="B32" s="16"/>
      <c r="C32" s="10"/>
      <c r="D32" s="11"/>
      <c r="E32" s="3"/>
    </row>
    <row r="33" spans="1:5">
      <c r="B33" s="9"/>
      <c r="C33" s="10"/>
      <c r="D33" s="11"/>
      <c r="E33" s="3"/>
    </row>
    <row r="34" spans="1:5">
      <c r="A34" s="18" t="s">
        <v>865</v>
      </c>
      <c r="B34" s="19"/>
      <c r="C34" s="20"/>
      <c r="D34" s="21"/>
      <c r="E34" s="3"/>
    </row>
    <row r="35" spans="1:5">
      <c r="A35" s="4" t="s">
        <v>6</v>
      </c>
      <c r="B35" s="16">
        <v>16.39</v>
      </c>
      <c r="C35" s="17">
        <f ca="1">C23</f>
        <v>0.06</v>
      </c>
      <c r="D35" s="17">
        <f ca="1">+SUM(B35:C35)</f>
        <v>16.45</v>
      </c>
      <c r="E35" s="3"/>
    </row>
    <row r="36" spans="1:5">
      <c r="B36" s="16"/>
      <c r="C36" s="10"/>
      <c r="D36" s="11"/>
      <c r="E36" s="3"/>
    </row>
    <row r="37" spans="1:5">
      <c r="A37" s="18" t="s">
        <v>864</v>
      </c>
      <c r="B37" s="19"/>
      <c r="C37" s="20"/>
      <c r="D37" s="21"/>
      <c r="E37" s="3"/>
    </row>
    <row r="38" spans="1:5">
      <c r="A38" s="1" t="s">
        <v>7</v>
      </c>
      <c r="B38" s="16"/>
      <c r="C38" s="10"/>
      <c r="D38" s="11"/>
      <c r="E38" s="3"/>
    </row>
    <row r="39" spans="1:5">
      <c r="A39" s="4" t="s">
        <v>8</v>
      </c>
      <c r="B39" s="16">
        <v>21.05</v>
      </c>
      <c r="C39" s="17">
        <f ca="1">+ROUND(B39*$F8,2)</f>
        <v>0.08</v>
      </c>
      <c r="D39" s="17">
        <f ca="1">+SUM(B39:C39)</f>
        <v>21.13</v>
      </c>
      <c r="E39" s="3"/>
    </row>
    <row r="40" spans="1:5">
      <c r="A40" s="4" t="s">
        <v>9</v>
      </c>
      <c r="B40" s="16">
        <v>61.28</v>
      </c>
      <c r="C40" s="17">
        <f ca="1">+ROUND(B40*$F8,2)</f>
        <v>0.23</v>
      </c>
      <c r="D40" s="17">
        <f ca="1">+SUM(B40:C40)</f>
        <v>61.51</v>
      </c>
      <c r="E40" s="3"/>
    </row>
    <row r="41" spans="1:5">
      <c r="A41" s="4" t="s">
        <v>10</v>
      </c>
      <c r="B41" s="16">
        <v>22.78</v>
      </c>
      <c r="C41" s="17">
        <f ca="1">+ROUND(B41*$F8,2)</f>
        <v>0.09</v>
      </c>
      <c r="D41" s="17">
        <f ca="1">+SUM(B41:C41)</f>
        <v>22.87</v>
      </c>
      <c r="E41" s="3"/>
    </row>
    <row r="42" spans="1:5">
      <c r="A42" s="4" t="s">
        <v>11</v>
      </c>
      <c r="B42" s="16">
        <v>17.059999999999999</v>
      </c>
      <c r="C42" s="17">
        <f ca="1">+ROUND(B42*$F8,2)</f>
        <v>7.0000000000000007E-2</v>
      </c>
      <c r="D42" s="17">
        <f ca="1">+SUM(B42:C42)</f>
        <v>17.13</v>
      </c>
      <c r="E42" s="3"/>
    </row>
    <row r="43" spans="1:5">
      <c r="A43" s="4" t="s">
        <v>12</v>
      </c>
      <c r="B43" s="16">
        <v>19.100000000000001</v>
      </c>
      <c r="C43" s="17">
        <f ca="1">+ROUND(B43*$F8,2)</f>
        <v>7.0000000000000007E-2</v>
      </c>
      <c r="D43" s="17">
        <f ca="1">+SUM(B43:C43)</f>
        <v>19.170000000000002</v>
      </c>
      <c r="E43" s="3"/>
    </row>
    <row r="44" spans="1:5">
      <c r="B44" s="9"/>
      <c r="C44" s="10"/>
      <c r="D44" s="11"/>
      <c r="E44" s="3"/>
    </row>
    <row r="45" spans="1:5">
      <c r="A45" s="12" t="s">
        <v>863</v>
      </c>
      <c r="B45" s="13"/>
      <c r="C45" s="14"/>
      <c r="D45" s="15"/>
      <c r="E45" s="3"/>
    </row>
    <row r="46" spans="1:5">
      <c r="A46" s="4" t="s">
        <v>13</v>
      </c>
      <c r="B46" s="2">
        <v>6.6</v>
      </c>
      <c r="C46" s="17">
        <f ca="1">+ROUND(B46*$F5,2)</f>
        <v>0.03</v>
      </c>
      <c r="D46" s="17">
        <f ca="1">+SUM(B46:C46)</f>
        <v>6.63</v>
      </c>
      <c r="E46" s="3"/>
    </row>
    <row r="47" spans="1:5">
      <c r="E47" s="3"/>
    </row>
    <row r="48" spans="1:5">
      <c r="A48" s="12" t="s">
        <v>862</v>
      </c>
      <c r="B48" s="13"/>
      <c r="C48" s="14"/>
      <c r="D48" s="15"/>
      <c r="E48" s="3"/>
    </row>
    <row r="49" spans="1:5">
      <c r="A49" s="1" t="s">
        <v>14</v>
      </c>
      <c r="E49" s="3"/>
    </row>
    <row r="50" spans="1:5">
      <c r="A50" s="4" t="s">
        <v>15</v>
      </c>
      <c r="B50" s="2">
        <v>131.19</v>
      </c>
      <c r="C50" s="17">
        <f ca="1">+ROUND(B50*$F5,2)</f>
        <v>0.51</v>
      </c>
      <c r="D50" s="17">
        <f ca="1">+SUM(B50:C50)</f>
        <v>131.69999999999999</v>
      </c>
      <c r="E50" s="3"/>
    </row>
    <row r="51" spans="1:5">
      <c r="A51" s="4" t="s">
        <v>16</v>
      </c>
      <c r="B51" s="2">
        <v>524.75</v>
      </c>
      <c r="C51" s="17">
        <f ca="1">+ROUND(B51*$F5,2)</f>
        <v>2.04</v>
      </c>
      <c r="D51" s="17">
        <f ca="1">+SUM(B51:C51)</f>
        <v>526.79</v>
      </c>
      <c r="E51" s="3"/>
    </row>
    <row r="52" spans="1:5">
      <c r="E52" s="3"/>
    </row>
    <row r="53" spans="1:5">
      <c r="A53" s="18" t="s">
        <v>17</v>
      </c>
      <c r="B53" s="22"/>
      <c r="C53" s="20"/>
      <c r="D53" s="21"/>
      <c r="E53" s="3"/>
    </row>
    <row r="54" spans="1:5">
      <c r="A54" s="4" t="s">
        <v>13</v>
      </c>
      <c r="B54" s="2">
        <v>6.1400000000000006</v>
      </c>
      <c r="C54" s="17">
        <f ca="1">+ROUND(B54*$F8,2)</f>
        <v>0.02</v>
      </c>
      <c r="D54" s="17">
        <f ca="1">+SUM(B54:C54)</f>
        <v>6.16</v>
      </c>
      <c r="E54" s="3"/>
    </row>
    <row r="55" spans="1:5">
      <c r="E55" s="3"/>
    </row>
    <row r="56" spans="1:5">
      <c r="A56" s="18" t="s">
        <v>18</v>
      </c>
      <c r="B56" s="22"/>
      <c r="C56" s="20"/>
      <c r="D56" s="21"/>
      <c r="E56" s="3"/>
    </row>
    <row r="57" spans="1:5">
      <c r="A57" s="4" t="s">
        <v>14</v>
      </c>
      <c r="E57" s="3"/>
    </row>
    <row r="58" spans="1:5">
      <c r="A58" s="4" t="s">
        <v>15</v>
      </c>
      <c r="B58" s="2">
        <v>131.19</v>
      </c>
      <c r="C58" s="17">
        <f ca="1">C50</f>
        <v>0.51</v>
      </c>
      <c r="D58" s="17">
        <f ca="1">+SUM(B58:C58)</f>
        <v>131.69999999999999</v>
      </c>
      <c r="E58" s="3"/>
    </row>
    <row r="59" spans="1:5">
      <c r="A59" s="4" t="s">
        <v>16</v>
      </c>
      <c r="B59" s="2">
        <v>524.75</v>
      </c>
      <c r="C59" s="17">
        <f ca="1">C51</f>
        <v>2.04</v>
      </c>
      <c r="D59" s="17">
        <f ca="1">+SUM(B59:C59)</f>
        <v>526.79</v>
      </c>
      <c r="E59" s="3"/>
    </row>
    <row r="60" spans="1:5">
      <c r="E60" s="3"/>
    </row>
    <row r="61" spans="1:5">
      <c r="A61" s="12" t="s">
        <v>868</v>
      </c>
      <c r="B61" s="13"/>
      <c r="C61" s="14"/>
      <c r="D61" s="15"/>
      <c r="E61" s="3"/>
    </row>
    <row r="62" spans="1:5">
      <c r="A62" s="1" t="s">
        <v>19</v>
      </c>
      <c r="D62" s="3"/>
      <c r="E62" s="3"/>
    </row>
    <row r="63" spans="1:5">
      <c r="A63" s="4" t="s">
        <v>20</v>
      </c>
      <c r="B63" s="2">
        <v>24.38</v>
      </c>
      <c r="C63" s="17">
        <f ca="1">+ROUND(B63*$F5,2)</f>
        <v>0.09</v>
      </c>
      <c r="D63" s="17">
        <f ca="1">+SUM(B63:C63)</f>
        <v>24.47</v>
      </c>
      <c r="E63" s="3"/>
    </row>
    <row r="64" spans="1:5">
      <c r="A64" s="4" t="s">
        <v>9</v>
      </c>
      <c r="B64" s="2">
        <v>121.35000000000001</v>
      </c>
      <c r="C64" s="17">
        <f ca="1">+ROUND(B64*$F5,2)</f>
        <v>0.47</v>
      </c>
      <c r="D64" s="17">
        <f ca="1">+SUM(B64:C64)</f>
        <v>121.82000000000001</v>
      </c>
      <c r="E64" s="3"/>
    </row>
    <row r="65" spans="1:5">
      <c r="A65" s="4" t="s">
        <v>21</v>
      </c>
      <c r="B65" s="2">
        <v>30.34</v>
      </c>
      <c r="C65" s="17">
        <f ca="1">+ROUND(B65*$F5,2)</f>
        <v>0.12</v>
      </c>
      <c r="D65" s="17">
        <f ca="1">+SUM(B65:C65)</f>
        <v>30.46</v>
      </c>
      <c r="E65" s="3"/>
    </row>
    <row r="66" spans="1:5">
      <c r="A66" s="4" t="s">
        <v>22</v>
      </c>
      <c r="B66" s="2">
        <v>19.68</v>
      </c>
      <c r="C66" s="17">
        <f ca="1">+ROUND(B66*$F6,2)</f>
        <v>7.0000000000000007E-2</v>
      </c>
      <c r="D66" s="17">
        <f ca="1">+SUM(B66:C66)</f>
        <v>19.75</v>
      </c>
      <c r="E66" s="3"/>
    </row>
    <row r="67" spans="1:5">
      <c r="E67" s="3"/>
    </row>
    <row r="68" spans="1:5">
      <c r="A68" s="18" t="s">
        <v>869</v>
      </c>
      <c r="B68" s="22"/>
      <c r="C68" s="20"/>
      <c r="D68" s="21"/>
      <c r="E68" s="3"/>
    </row>
    <row r="69" spans="1:5">
      <c r="A69" s="1" t="s">
        <v>19</v>
      </c>
      <c r="D69" s="3"/>
      <c r="E69" s="3"/>
    </row>
    <row r="70" spans="1:5">
      <c r="A70" s="4" t="s">
        <v>20</v>
      </c>
      <c r="B70" s="2">
        <v>23.77</v>
      </c>
      <c r="C70" s="17">
        <f ca="1">+ROUND(B70*$F8,2)</f>
        <v>0.09</v>
      </c>
      <c r="D70" s="17">
        <f ca="1">+SUM(B70:C70)</f>
        <v>23.86</v>
      </c>
      <c r="E70" s="3"/>
    </row>
    <row r="71" spans="1:5">
      <c r="A71" s="4" t="s">
        <v>9</v>
      </c>
      <c r="B71" s="2">
        <v>107.25</v>
      </c>
      <c r="C71" s="17">
        <f ca="1">+ROUND(B71*$F8,2)</f>
        <v>0.41</v>
      </c>
      <c r="D71" s="17">
        <f ca="1">+SUM(B71:C71)</f>
        <v>107.66</v>
      </c>
      <c r="E71" s="3"/>
    </row>
    <row r="72" spans="1:5">
      <c r="A72" s="4" t="s">
        <v>21</v>
      </c>
      <c r="B72" s="2">
        <v>29.580000000000002</v>
      </c>
      <c r="C72" s="17">
        <f ca="1">+ROUND(B72*$F8,2)</f>
        <v>0.11</v>
      </c>
      <c r="D72" s="17">
        <f ca="1">+SUM(B72:C72)</f>
        <v>29.69</v>
      </c>
      <c r="E72" s="3"/>
    </row>
    <row r="73" spans="1:5">
      <c r="A73" s="4" t="s">
        <v>22</v>
      </c>
      <c r="B73" s="2">
        <v>26.25</v>
      </c>
      <c r="C73" s="17">
        <f ca="1">+ROUND(B73*$F9,2)</f>
        <v>0.1</v>
      </c>
      <c r="D73" s="17">
        <f ca="1">+SUM(B73:C73)</f>
        <v>26.35</v>
      </c>
      <c r="E73" s="3"/>
    </row>
    <row r="74" spans="1:5">
      <c r="E74" s="3"/>
    </row>
    <row r="75" spans="1:5">
      <c r="A75" s="12" t="s">
        <v>870</v>
      </c>
      <c r="B75" s="13"/>
      <c r="C75" s="14"/>
      <c r="D75" s="15"/>
      <c r="E75" s="3"/>
    </row>
    <row r="76" spans="1:5">
      <c r="A76" s="1" t="s">
        <v>23</v>
      </c>
      <c r="E76" s="3"/>
    </row>
    <row r="77" spans="1:5">
      <c r="A77" s="4" t="s">
        <v>24</v>
      </c>
      <c r="E77" s="3"/>
    </row>
    <row r="78" spans="1:5">
      <c r="A78" s="4" t="s">
        <v>25</v>
      </c>
      <c r="B78" s="2">
        <v>2.25</v>
      </c>
      <c r="C78" s="17">
        <f ca="1">+ROUND(B78*$F5,2)</f>
        <v>0.01</v>
      </c>
      <c r="D78" s="17">
        <f ca="1">+SUM(B78:C78)</f>
        <v>2.2599999999999998</v>
      </c>
      <c r="E78" s="3"/>
    </row>
    <row r="79" spans="1:5">
      <c r="A79" s="4" t="s">
        <v>26</v>
      </c>
      <c r="B79" s="2">
        <v>1.59</v>
      </c>
      <c r="C79" s="17">
        <f ca="1">+ROUND(B79*$F5,2)</f>
        <v>0.01</v>
      </c>
      <c r="D79" s="17">
        <f ca="1">+SUM(B79:C79)</f>
        <v>1.6</v>
      </c>
      <c r="E79" s="3"/>
    </row>
    <row r="80" spans="1:5">
      <c r="A80" s="4" t="s">
        <v>27</v>
      </c>
      <c r="E80" s="3"/>
    </row>
    <row r="81" spans="1:5">
      <c r="A81" s="4" t="s">
        <v>25</v>
      </c>
      <c r="B81" s="2">
        <v>0.53</v>
      </c>
      <c r="C81" s="17">
        <f ca="1">+ROUND(B81*$F5,2)</f>
        <v>0</v>
      </c>
      <c r="D81" s="17">
        <f ca="1">+SUM(B81:C81)</f>
        <v>0.53</v>
      </c>
      <c r="E81" s="3"/>
    </row>
    <row r="82" spans="1:5">
      <c r="A82" s="4" t="s">
        <v>26</v>
      </c>
      <c r="B82" s="2">
        <v>0.36000000000000004</v>
      </c>
      <c r="C82" s="17">
        <f ca="1">+ROUND(B82*$F5,2)</f>
        <v>0</v>
      </c>
      <c r="D82" s="17">
        <f ca="1">+SUM(B82:C82)</f>
        <v>0.36000000000000004</v>
      </c>
      <c r="E82" s="3"/>
    </row>
    <row r="83" spans="1:5">
      <c r="E83" s="3"/>
    </row>
    <row r="84" spans="1:5">
      <c r="A84" s="1" t="s">
        <v>28</v>
      </c>
      <c r="E84" s="3"/>
    </row>
    <row r="85" spans="1:5">
      <c r="A85" s="4" t="s">
        <v>24</v>
      </c>
      <c r="E85" s="3"/>
    </row>
    <row r="86" spans="1:5">
      <c r="A86" s="4" t="s">
        <v>29</v>
      </c>
      <c r="B86" s="2">
        <v>7.65</v>
      </c>
      <c r="C86" s="17">
        <f ca="1">+ROUND(B86*$F5,2)</f>
        <v>0.03</v>
      </c>
      <c r="D86" s="17">
        <f ca="1">+SUM(B86:C86)</f>
        <v>7.6800000000000006</v>
      </c>
      <c r="E86" s="3"/>
    </row>
    <row r="87" spans="1:5">
      <c r="A87" s="4" t="s">
        <v>30</v>
      </c>
      <c r="B87" s="2">
        <v>1.78</v>
      </c>
      <c r="C87" s="17">
        <f ca="1">+ROUND(B87*$F5,2)</f>
        <v>0.01</v>
      </c>
      <c r="D87" s="17">
        <f ca="1">+SUM(B87:C87)</f>
        <v>1.79</v>
      </c>
      <c r="E87" s="3"/>
    </row>
    <row r="88" spans="1:5">
      <c r="E88" s="3"/>
    </row>
    <row r="89" spans="1:5">
      <c r="A89" s="4" t="s">
        <v>27</v>
      </c>
      <c r="E89" s="3"/>
    </row>
    <row r="90" spans="1:5">
      <c r="A90" s="4" t="s">
        <v>29</v>
      </c>
      <c r="B90" s="2">
        <v>1.78</v>
      </c>
      <c r="C90" s="17">
        <f ca="1">+ROUND(B90*$F5,2)</f>
        <v>0.01</v>
      </c>
      <c r="D90" s="17">
        <f ca="1">+SUM(B90:C90)</f>
        <v>1.79</v>
      </c>
      <c r="E90" s="3"/>
    </row>
    <row r="91" spans="1:5">
      <c r="A91" s="4" t="s">
        <v>30</v>
      </c>
      <c r="B91" s="2">
        <v>0.4</v>
      </c>
      <c r="C91" s="17">
        <f ca="1">+ROUND(B91*$F5,2)</f>
        <v>0</v>
      </c>
      <c r="D91" s="17">
        <f ca="1">+SUM(B91:C91)</f>
        <v>0.4</v>
      </c>
      <c r="E91" s="3"/>
    </row>
    <row r="92" spans="1:5">
      <c r="E92" s="3"/>
    </row>
    <row r="93" spans="1:5">
      <c r="A93" s="18" t="s">
        <v>871</v>
      </c>
      <c r="B93" s="22"/>
      <c r="C93" s="20"/>
      <c r="D93" s="21"/>
      <c r="E93" s="3"/>
    </row>
    <row r="94" spans="1:5">
      <c r="A94" s="1" t="s">
        <v>23</v>
      </c>
      <c r="E94" s="3"/>
    </row>
    <row r="95" spans="1:5">
      <c r="A95" s="4" t="s">
        <v>24</v>
      </c>
      <c r="E95" s="3"/>
    </row>
    <row r="96" spans="1:5">
      <c r="A96" s="4" t="s">
        <v>25</v>
      </c>
      <c r="B96" s="2">
        <v>2.25</v>
      </c>
      <c r="C96" s="17">
        <f ca="1">C78</f>
        <v>0.01</v>
      </c>
      <c r="D96" s="17">
        <f ca="1">+SUM(B96:C96)</f>
        <v>2.2599999999999998</v>
      </c>
      <c r="E96" s="3"/>
    </row>
    <row r="97" spans="1:5">
      <c r="A97" s="4" t="s">
        <v>26</v>
      </c>
      <c r="B97" s="2">
        <v>1.53</v>
      </c>
      <c r="C97" s="17">
        <f ca="1">C79</f>
        <v>0.01</v>
      </c>
      <c r="D97" s="17">
        <f ca="1">+SUM(B97:C97)</f>
        <v>1.54</v>
      </c>
      <c r="E97" s="3"/>
    </row>
    <row r="98" spans="1:5">
      <c r="A98" s="4" t="s">
        <v>27</v>
      </c>
      <c r="E98" s="3"/>
    </row>
    <row r="99" spans="1:5">
      <c r="A99" s="4" t="s">
        <v>25</v>
      </c>
      <c r="B99" s="2">
        <v>0.53</v>
      </c>
      <c r="C99" s="17">
        <f ca="1">C81</f>
        <v>0</v>
      </c>
      <c r="D99" s="17">
        <f ca="1">+SUM(B99:C99)</f>
        <v>0.53</v>
      </c>
      <c r="E99" s="3"/>
    </row>
    <row r="100" spans="1:5">
      <c r="A100" s="4" t="s">
        <v>26</v>
      </c>
      <c r="B100" s="2">
        <v>0.36000000000000004</v>
      </c>
      <c r="C100" s="17">
        <f ca="1">C82</f>
        <v>0</v>
      </c>
      <c r="D100" s="17">
        <f ca="1">+SUM(B100:C100)</f>
        <v>0.36000000000000004</v>
      </c>
      <c r="E100" s="3"/>
    </row>
    <row r="101" spans="1:5">
      <c r="E101" s="3"/>
    </row>
    <row r="102" spans="1:5">
      <c r="A102" s="1" t="s">
        <v>28</v>
      </c>
      <c r="E102" s="3"/>
    </row>
    <row r="103" spans="1:5">
      <c r="A103" s="4" t="s">
        <v>24</v>
      </c>
      <c r="E103" s="3"/>
    </row>
    <row r="104" spans="1:5">
      <c r="A104" s="4" t="s">
        <v>29</v>
      </c>
      <c r="B104" s="2">
        <v>7.65</v>
      </c>
      <c r="C104" s="17">
        <f ca="1">C86</f>
        <v>0.03</v>
      </c>
      <c r="D104" s="17">
        <f ca="1">+SUM(B104:C104)</f>
        <v>7.6800000000000006</v>
      </c>
      <c r="E104" s="3"/>
    </row>
    <row r="105" spans="1:5">
      <c r="A105" s="4" t="s">
        <v>30</v>
      </c>
      <c r="B105" s="2">
        <v>1.78</v>
      </c>
      <c r="C105" s="17">
        <f ca="1">C87</f>
        <v>0.01</v>
      </c>
      <c r="D105" s="17">
        <f ca="1">+SUM(B105:C105)</f>
        <v>1.79</v>
      </c>
      <c r="E105" s="3"/>
    </row>
    <row r="106" spans="1:5">
      <c r="E106" s="3"/>
    </row>
    <row r="107" spans="1:5">
      <c r="A107" s="4" t="s">
        <v>27</v>
      </c>
      <c r="E107" s="3"/>
    </row>
    <row r="108" spans="1:5">
      <c r="A108" s="4" t="s">
        <v>29</v>
      </c>
      <c r="B108" s="2">
        <v>1.78</v>
      </c>
      <c r="C108" s="17">
        <f ca="1">C90</f>
        <v>0.01</v>
      </c>
      <c r="D108" s="17">
        <f ca="1">+SUM(B108:C108)</f>
        <v>1.79</v>
      </c>
      <c r="E108" s="3"/>
    </row>
    <row r="109" spans="1:5">
      <c r="A109" s="4" t="s">
        <v>30</v>
      </c>
      <c r="B109" s="2">
        <v>0.4</v>
      </c>
      <c r="C109" s="17">
        <f ca="1">C91</f>
        <v>0</v>
      </c>
      <c r="D109" s="17">
        <f ca="1">+SUM(B109:C109)</f>
        <v>0.4</v>
      </c>
      <c r="E109" s="3"/>
    </row>
    <row r="110" spans="1:5">
      <c r="E110" s="3"/>
    </row>
    <row r="111" spans="1:5">
      <c r="A111" s="12" t="s">
        <v>872</v>
      </c>
      <c r="B111" s="13"/>
      <c r="C111" s="14"/>
      <c r="D111" s="15"/>
      <c r="E111" s="3"/>
    </row>
    <row r="112" spans="1:5">
      <c r="A112" s="4" t="s">
        <v>24</v>
      </c>
      <c r="B112" s="4"/>
      <c r="E112" s="3"/>
    </row>
    <row r="113" spans="1:5">
      <c r="A113" s="4" t="s">
        <v>31</v>
      </c>
      <c r="B113" s="23">
        <v>0.44</v>
      </c>
      <c r="C113" s="17">
        <f ca="1">+ROUND(B113*$F5,2)</f>
        <v>0</v>
      </c>
      <c r="D113" s="17">
        <f ca="1">+SUM(B113:C113)</f>
        <v>0.44</v>
      </c>
      <c r="E113" s="3"/>
    </row>
    <row r="114" spans="1:5">
      <c r="A114" s="4" t="s">
        <v>32</v>
      </c>
      <c r="B114" s="23">
        <v>0.87</v>
      </c>
      <c r="C114" s="17">
        <f ca="1">+ROUND(B114*$F5,2)</f>
        <v>0</v>
      </c>
      <c r="D114" s="17">
        <f ca="1">+SUM(B114:C114)</f>
        <v>0.87</v>
      </c>
      <c r="E114" s="3"/>
    </row>
    <row r="115" spans="1:5">
      <c r="A115" s="4" t="s">
        <v>33</v>
      </c>
      <c r="B115" s="23">
        <v>0.87</v>
      </c>
      <c r="C115" s="17">
        <f ca="1">+ROUND(B115*$F5,2)</f>
        <v>0</v>
      </c>
      <c r="D115" s="17">
        <f ca="1">+SUM(B115:C115)</f>
        <v>0.87</v>
      </c>
      <c r="E115" s="3"/>
    </row>
    <row r="116" spans="1:5">
      <c r="A116" s="4" t="s">
        <v>34</v>
      </c>
      <c r="B116" s="23">
        <v>1.71</v>
      </c>
      <c r="C116" s="17">
        <f ca="1">+ROUND(B116*$F5,2)</f>
        <v>0.01</v>
      </c>
      <c r="D116" s="17">
        <f ca="1">+SUM(B116:C116)</f>
        <v>1.72</v>
      </c>
      <c r="E116" s="3"/>
    </row>
    <row r="117" spans="1:5">
      <c r="B117" s="23"/>
      <c r="E117" s="3"/>
    </row>
    <row r="118" spans="1:5">
      <c r="A118" s="4" t="s">
        <v>27</v>
      </c>
      <c r="B118" s="23"/>
      <c r="E118" s="3"/>
    </row>
    <row r="119" spans="1:5">
      <c r="A119" s="4" t="s">
        <v>31</v>
      </c>
      <c r="B119" s="23">
        <v>0.11</v>
      </c>
      <c r="C119" s="17">
        <f ca="1">+ROUND(B119*$F5,2)</f>
        <v>0</v>
      </c>
      <c r="D119" s="17">
        <f ca="1">+SUM(B119:C119)</f>
        <v>0.11</v>
      </c>
      <c r="E119" s="3"/>
    </row>
    <row r="120" spans="1:5">
      <c r="A120" s="4" t="s">
        <v>32</v>
      </c>
      <c r="B120" s="23">
        <v>0.21000000000000002</v>
      </c>
      <c r="C120" s="17">
        <f ca="1">+ROUND(B120*$F5,2)</f>
        <v>0</v>
      </c>
      <c r="D120" s="17">
        <f ca="1">+SUM(B120:C120)</f>
        <v>0.21000000000000002</v>
      </c>
      <c r="E120" s="3"/>
    </row>
    <row r="121" spans="1:5">
      <c r="A121" s="4" t="s">
        <v>33</v>
      </c>
      <c r="B121" s="23">
        <v>0.21000000000000002</v>
      </c>
      <c r="C121" s="17">
        <f ca="1">+ROUND(B121*$F5,2)</f>
        <v>0</v>
      </c>
      <c r="D121" s="17">
        <f ca="1">+SUM(B121:C121)</f>
        <v>0.21000000000000002</v>
      </c>
      <c r="E121" s="3"/>
    </row>
    <row r="122" spans="1:5">
      <c r="A122" s="4" t="s">
        <v>34</v>
      </c>
      <c r="B122" s="23">
        <v>0.4</v>
      </c>
      <c r="C122" s="17">
        <f ca="1">+ROUND(B122*$F5,2)</f>
        <v>0</v>
      </c>
      <c r="D122" s="17">
        <f ca="1">+SUM(B122:C122)</f>
        <v>0.4</v>
      </c>
      <c r="E122" s="3"/>
    </row>
    <row r="123" spans="1:5">
      <c r="B123" s="4"/>
      <c r="E123" s="3"/>
    </row>
    <row r="124" spans="1:5">
      <c r="A124" s="18" t="s">
        <v>873</v>
      </c>
      <c r="B124" s="22"/>
      <c r="C124" s="20"/>
      <c r="D124" s="21"/>
      <c r="E124" s="3"/>
    </row>
    <row r="125" spans="1:5">
      <c r="A125" s="4" t="s">
        <v>24</v>
      </c>
      <c r="B125" s="4"/>
      <c r="E125" s="3"/>
    </row>
    <row r="126" spans="1:5">
      <c r="A126" s="4" t="s">
        <v>31</v>
      </c>
      <c r="B126" s="23">
        <v>0.44</v>
      </c>
      <c r="C126" s="17">
        <f ca="1">C113</f>
        <v>0</v>
      </c>
      <c r="D126" s="17">
        <f ca="1">+SUM(B126:C126)</f>
        <v>0.44</v>
      </c>
      <c r="E126" s="3"/>
    </row>
    <row r="127" spans="1:5">
      <c r="A127" s="4" t="s">
        <v>32</v>
      </c>
      <c r="B127" s="23">
        <v>0.87</v>
      </c>
      <c r="C127" s="17">
        <f ca="1">C114</f>
        <v>0</v>
      </c>
      <c r="D127" s="17">
        <f ca="1">+SUM(B127:C127)</f>
        <v>0.87</v>
      </c>
      <c r="E127" s="3"/>
    </row>
    <row r="128" spans="1:5">
      <c r="A128" s="4" t="s">
        <v>33</v>
      </c>
      <c r="B128" s="23">
        <v>0.87</v>
      </c>
      <c r="C128" s="17">
        <f ca="1">C115</f>
        <v>0</v>
      </c>
      <c r="D128" s="17">
        <f ca="1">+SUM(B128:C128)</f>
        <v>0.87</v>
      </c>
      <c r="E128" s="3"/>
    </row>
    <row r="129" spans="1:5">
      <c r="A129" s="4" t="s">
        <v>34</v>
      </c>
      <c r="B129" s="23">
        <v>1.71</v>
      </c>
      <c r="C129" s="17">
        <f ca="1">C116</f>
        <v>0.01</v>
      </c>
      <c r="D129" s="17">
        <f ca="1">+SUM(B129:C129)</f>
        <v>1.72</v>
      </c>
      <c r="E129" s="3"/>
    </row>
    <row r="130" spans="1:5">
      <c r="B130" s="23"/>
      <c r="E130" s="3"/>
    </row>
    <row r="131" spans="1:5">
      <c r="A131" s="4" t="s">
        <v>27</v>
      </c>
      <c r="B131" s="23"/>
      <c r="E131" s="3"/>
    </row>
    <row r="132" spans="1:5">
      <c r="A132" s="4" t="s">
        <v>31</v>
      </c>
      <c r="B132" s="23">
        <v>0.11</v>
      </c>
      <c r="C132" s="17">
        <f ca="1">C119</f>
        <v>0</v>
      </c>
      <c r="D132" s="17">
        <f ca="1">+SUM(B132:C132)</f>
        <v>0.11</v>
      </c>
      <c r="E132" s="3"/>
    </row>
    <row r="133" spans="1:5">
      <c r="A133" s="4" t="s">
        <v>32</v>
      </c>
      <c r="B133" s="23">
        <v>0.21000000000000002</v>
      </c>
      <c r="C133" s="17">
        <f ca="1">C120</f>
        <v>0</v>
      </c>
      <c r="D133" s="17">
        <f ca="1">+SUM(B133:C133)</f>
        <v>0.21000000000000002</v>
      </c>
      <c r="E133" s="3"/>
    </row>
    <row r="134" spans="1:5">
      <c r="A134" s="4" t="s">
        <v>33</v>
      </c>
      <c r="B134" s="23">
        <v>0.21000000000000002</v>
      </c>
      <c r="C134" s="17">
        <f ca="1">C121</f>
        <v>0</v>
      </c>
      <c r="D134" s="17">
        <f ca="1">+SUM(B134:C134)</f>
        <v>0.21000000000000002</v>
      </c>
      <c r="E134" s="3"/>
    </row>
    <row r="135" spans="1:5">
      <c r="A135" s="4" t="s">
        <v>34</v>
      </c>
      <c r="B135" s="23">
        <v>0.4</v>
      </c>
      <c r="C135" s="17">
        <f ca="1">C122</f>
        <v>0</v>
      </c>
      <c r="D135" s="17">
        <f ca="1">+SUM(B135:C135)</f>
        <v>0.4</v>
      </c>
      <c r="E135" s="3"/>
    </row>
    <row r="136" spans="1:5">
      <c r="B136" s="4"/>
      <c r="E136" s="3"/>
    </row>
    <row r="137" spans="1:5" hidden="1">
      <c r="A137" s="12" t="s">
        <v>35</v>
      </c>
      <c r="B137" s="24"/>
      <c r="C137" s="25"/>
      <c r="D137" s="25"/>
      <c r="E137" s="3"/>
    </row>
    <row r="138" spans="1:5" hidden="1">
      <c r="A138" s="4" t="s">
        <v>36</v>
      </c>
      <c r="B138" s="2">
        <v>12.27</v>
      </c>
      <c r="C138" s="17">
        <f ca="1">+ROUND(B138*$F5,2)</f>
        <v>0.05</v>
      </c>
      <c r="D138" s="17">
        <f t="shared" ref="D138:D144" ca="1" si="0">+SUM(B138:C138)</f>
        <v>12.32</v>
      </c>
      <c r="E138" s="3"/>
    </row>
    <row r="139" spans="1:5" hidden="1">
      <c r="A139" s="4" t="s">
        <v>37</v>
      </c>
      <c r="B139" s="2">
        <v>23.98</v>
      </c>
      <c r="C139" s="17">
        <f ca="1">+ROUND(B139*$F5,2)</f>
        <v>0.09</v>
      </c>
      <c r="D139" s="17">
        <f t="shared" ca="1" si="0"/>
        <v>24.07</v>
      </c>
      <c r="E139" s="3"/>
    </row>
    <row r="140" spans="1:5" hidden="1">
      <c r="A140" s="4" t="s">
        <v>38</v>
      </c>
      <c r="B140" s="2">
        <v>31.6</v>
      </c>
      <c r="C140" s="17">
        <f ca="1">+ROUND(B140*$F5,2)</f>
        <v>0.12</v>
      </c>
      <c r="D140" s="17">
        <f t="shared" ca="1" si="0"/>
        <v>31.720000000000002</v>
      </c>
      <c r="E140" s="3"/>
    </row>
    <row r="141" spans="1:5" hidden="1">
      <c r="A141" s="4" t="s">
        <v>39</v>
      </c>
      <c r="B141" s="2">
        <v>15.75</v>
      </c>
      <c r="C141" s="17">
        <f ca="1">+ROUND(B141*$F5,2)</f>
        <v>0.06</v>
      </c>
      <c r="D141" s="17">
        <f t="shared" ca="1" si="0"/>
        <v>15.81</v>
      </c>
      <c r="E141" s="3"/>
    </row>
    <row r="142" spans="1:5" hidden="1">
      <c r="A142" s="4" t="s">
        <v>40</v>
      </c>
      <c r="B142" s="2">
        <v>24.189999999999998</v>
      </c>
      <c r="C142" s="17">
        <f ca="1">+ROUND(B142*$F5,2)</f>
        <v>0.09</v>
      </c>
      <c r="D142" s="17">
        <f t="shared" ca="1" si="0"/>
        <v>24.279999999999998</v>
      </c>
      <c r="E142" s="3"/>
    </row>
    <row r="143" spans="1:5" hidden="1">
      <c r="A143" s="4" t="s">
        <v>41</v>
      </c>
      <c r="B143" s="2">
        <v>9.7200000000000006</v>
      </c>
      <c r="C143" s="17">
        <f ca="1">+ROUND(B143*$F5,2)</f>
        <v>0.04</v>
      </c>
      <c r="D143" s="17">
        <f t="shared" ca="1" si="0"/>
        <v>9.76</v>
      </c>
      <c r="E143" s="3"/>
    </row>
    <row r="144" spans="1:5" hidden="1">
      <c r="A144" s="4" t="s">
        <v>42</v>
      </c>
      <c r="B144" s="2">
        <v>12.11</v>
      </c>
      <c r="C144" s="17">
        <f ca="1">+ROUND(B144*$F5,2)</f>
        <v>0.05</v>
      </c>
      <c r="D144" s="17">
        <f t="shared" ca="1" si="0"/>
        <v>12.16</v>
      </c>
      <c r="E144" s="3"/>
    </row>
    <row r="145" spans="1:5" hidden="1">
      <c r="B145" s="26"/>
      <c r="C145" s="17"/>
      <c r="D145" s="17"/>
      <c r="E145" s="3"/>
    </row>
    <row r="146" spans="1:5" hidden="1">
      <c r="E146" s="3"/>
    </row>
    <row r="147" spans="1:5" hidden="1">
      <c r="A147" s="12" t="s">
        <v>43</v>
      </c>
      <c r="B147" s="24"/>
      <c r="C147" s="25"/>
      <c r="D147" s="27"/>
      <c r="E147" s="3"/>
    </row>
    <row r="148" spans="1:5" hidden="1">
      <c r="A148" s="4" t="s">
        <v>44</v>
      </c>
      <c r="B148" s="2">
        <v>5.08</v>
      </c>
      <c r="C148" s="17">
        <f ca="1">+ROUND(B148*$F5,2)</f>
        <v>0.02</v>
      </c>
      <c r="D148" s="17">
        <f ca="1">+SUM(B148:C148)</f>
        <v>5.0999999999999996</v>
      </c>
      <c r="E148" s="3"/>
    </row>
    <row r="149" spans="1:5" hidden="1">
      <c r="A149" s="4" t="s">
        <v>45</v>
      </c>
      <c r="B149" s="2">
        <v>4.96</v>
      </c>
      <c r="C149" s="17">
        <f ca="1">+ROUND(B149*$F5,2)</f>
        <v>0.02</v>
      </c>
      <c r="D149" s="17">
        <f ca="1">+SUM(B149:C149)</f>
        <v>4.9799999999999995</v>
      </c>
      <c r="E149" s="3"/>
    </row>
    <row r="150" spans="1:5" hidden="1">
      <c r="A150" s="4" t="s">
        <v>46</v>
      </c>
      <c r="B150" s="2">
        <v>9.92</v>
      </c>
      <c r="C150" s="17">
        <f ca="1">+ROUND(B150*$F5,2)</f>
        <v>0.04</v>
      </c>
      <c r="D150" s="17">
        <f ca="1">+SUM(B150:C150)</f>
        <v>9.9599999999999991</v>
      </c>
      <c r="E150" s="3"/>
    </row>
    <row r="151" spans="1:5" hidden="1">
      <c r="A151" s="4" t="s">
        <v>47</v>
      </c>
      <c r="B151" s="2">
        <v>14.88</v>
      </c>
      <c r="C151" s="17">
        <f ca="1">+ROUND(B151*$F5,2)</f>
        <v>0.06</v>
      </c>
      <c r="D151" s="17">
        <f ca="1">+SUM(B151:C151)</f>
        <v>14.940000000000001</v>
      </c>
      <c r="E151" s="3"/>
    </row>
    <row r="152" spans="1:5" hidden="1">
      <c r="A152" s="4" t="s">
        <v>48</v>
      </c>
      <c r="B152" s="2">
        <v>5.08</v>
      </c>
      <c r="C152" s="17">
        <f ca="1">+ROUND(B152*$F5,2)</f>
        <v>0.02</v>
      </c>
      <c r="D152" s="17">
        <f ca="1">+SUM(B152:C152)</f>
        <v>5.0999999999999996</v>
      </c>
      <c r="E152" s="3"/>
    </row>
    <row r="153" spans="1:5" hidden="1">
      <c r="C153" s="17"/>
      <c r="D153" s="17"/>
      <c r="E153" s="3"/>
    </row>
    <row r="154" spans="1:5" hidden="1">
      <c r="A154" s="4" t="s">
        <v>49</v>
      </c>
      <c r="B154" s="2">
        <v>94</v>
      </c>
      <c r="C154" s="17">
        <f ca="1">+ROUND(B154*$F5,2)</f>
        <v>0.36</v>
      </c>
      <c r="D154" s="17">
        <v>94</v>
      </c>
      <c r="E154" s="3"/>
    </row>
    <row r="155" spans="1:5" hidden="1">
      <c r="C155" s="17"/>
      <c r="D155" s="17"/>
      <c r="E155" s="3"/>
    </row>
    <row r="156" spans="1:5" hidden="1">
      <c r="C156" s="17"/>
      <c r="D156" s="17"/>
      <c r="E156" s="3"/>
    </row>
    <row r="157" spans="1:5" hidden="1">
      <c r="C157" s="17"/>
      <c r="D157" s="17"/>
      <c r="E157" s="3"/>
    </row>
    <row r="158" spans="1:5" hidden="1">
      <c r="A158" s="4" t="s">
        <v>50</v>
      </c>
      <c r="B158" s="2">
        <v>11.82</v>
      </c>
      <c r="C158" s="17">
        <f ca="1">+ROUND(B158*$F5,2)</f>
        <v>0.05</v>
      </c>
      <c r="D158" s="17">
        <f t="shared" ref="D158:D161" ca="1" si="1">+SUM(B158:C158)</f>
        <v>11.870000000000001</v>
      </c>
      <c r="E158" s="3"/>
    </row>
    <row r="159" spans="1:5" hidden="1">
      <c r="A159" s="4" t="s">
        <v>51</v>
      </c>
      <c r="B159" s="2">
        <v>14.209999999999999</v>
      </c>
      <c r="C159" s="17">
        <f ca="1">+ROUND(B159*$F5,2)</f>
        <v>0.06</v>
      </c>
      <c r="D159" s="17">
        <f t="shared" ca="1" si="1"/>
        <v>14.27</v>
      </c>
      <c r="E159" s="3"/>
    </row>
    <row r="160" spans="1:5" hidden="1">
      <c r="A160" s="4" t="s">
        <v>52</v>
      </c>
      <c r="B160" s="2">
        <v>14.97</v>
      </c>
      <c r="C160" s="17">
        <f ca="1">+ROUND(B160*$F5,2)</f>
        <v>0.06</v>
      </c>
      <c r="D160" s="17">
        <f t="shared" ca="1" si="1"/>
        <v>15.030000000000001</v>
      </c>
      <c r="E160" s="3"/>
    </row>
    <row r="161" spans="1:5" hidden="1">
      <c r="A161" s="4" t="s">
        <v>53</v>
      </c>
      <c r="B161" s="2">
        <v>17.36</v>
      </c>
      <c r="C161" s="17">
        <f ca="1">+ROUND(B161*$F5,2)</f>
        <v>7.0000000000000007E-2</v>
      </c>
      <c r="D161" s="17">
        <f t="shared" ca="1" si="1"/>
        <v>17.43</v>
      </c>
      <c r="E161" s="3"/>
    </row>
    <row r="162" spans="1:5">
      <c r="D162" s="3"/>
      <c r="E162" s="3"/>
    </row>
    <row r="163" spans="1:5">
      <c r="A163" s="12" t="s">
        <v>35</v>
      </c>
      <c r="B163" s="24"/>
      <c r="C163" s="25"/>
      <c r="D163" s="25"/>
      <c r="E163" s="3"/>
    </row>
    <row r="164" spans="1:5">
      <c r="A164" s="4" t="s">
        <v>36</v>
      </c>
      <c r="B164" s="2">
        <v>12.84</v>
      </c>
      <c r="C164" s="17">
        <f ca="1">+ROUND(B164*$F5,2)</f>
        <v>0.05</v>
      </c>
      <c r="D164" s="17">
        <f t="shared" ref="D164:D170" ca="1" si="2">+SUM(B164:C164)</f>
        <v>12.89</v>
      </c>
      <c r="E164" s="3"/>
    </row>
    <row r="165" spans="1:5">
      <c r="A165" s="4" t="s">
        <v>37</v>
      </c>
      <c r="B165" s="2">
        <v>25.45</v>
      </c>
      <c r="C165" s="17">
        <f ca="1">+ROUND(B165*$F5,2)</f>
        <v>0.1</v>
      </c>
      <c r="D165" s="17">
        <f t="shared" ca="1" si="2"/>
        <v>25.55</v>
      </c>
      <c r="E165" s="3"/>
    </row>
    <row r="166" spans="1:5">
      <c r="A166" s="4" t="s">
        <v>38</v>
      </c>
      <c r="B166" s="2">
        <v>33.81</v>
      </c>
      <c r="C166" s="17">
        <f ca="1">+ROUND(B166*$F5,2)</f>
        <v>0.13</v>
      </c>
      <c r="D166" s="17">
        <f t="shared" ca="1" si="2"/>
        <v>33.940000000000005</v>
      </c>
      <c r="E166" s="3"/>
    </row>
    <row r="167" spans="1:5">
      <c r="A167" s="4" t="s">
        <v>39</v>
      </c>
      <c r="B167" s="2">
        <v>16.48</v>
      </c>
      <c r="C167" s="17">
        <f ca="1">+ROUND(B167*$F5,2)</f>
        <v>0.06</v>
      </c>
      <c r="D167" s="17">
        <f t="shared" ca="1" si="2"/>
        <v>16.54</v>
      </c>
      <c r="E167" s="3"/>
    </row>
    <row r="168" spans="1:5">
      <c r="A168" s="4" t="s">
        <v>40</v>
      </c>
      <c r="B168" s="2">
        <v>25.3</v>
      </c>
      <c r="C168" s="17">
        <f ca="1">+ROUND(B168*$F5,2)</f>
        <v>0.1</v>
      </c>
      <c r="D168" s="17">
        <f t="shared" ca="1" si="2"/>
        <v>25.400000000000002</v>
      </c>
      <c r="E168" s="3"/>
    </row>
    <row r="169" spans="1:5">
      <c r="A169" s="4" t="s">
        <v>41</v>
      </c>
      <c r="B169" s="2">
        <v>10.06</v>
      </c>
      <c r="C169" s="17">
        <f ca="1">+ROUND(B169*$F5,2)</f>
        <v>0.04</v>
      </c>
      <c r="D169" s="17">
        <f t="shared" ca="1" si="2"/>
        <v>10.1</v>
      </c>
      <c r="E169" s="3"/>
    </row>
    <row r="170" spans="1:5">
      <c r="A170" s="4" t="s">
        <v>42</v>
      </c>
      <c r="B170" s="2">
        <v>12.62</v>
      </c>
      <c r="C170" s="17">
        <f ca="1">+ROUND(B170*$F5,2)</f>
        <v>0.05</v>
      </c>
      <c r="D170" s="17">
        <f t="shared" ca="1" si="2"/>
        <v>12.67</v>
      </c>
      <c r="E170" s="3"/>
    </row>
    <row r="171" spans="1:5">
      <c r="D171" s="3"/>
      <c r="E171" s="3"/>
    </row>
    <row r="172" spans="1:5">
      <c r="A172" s="1" t="s">
        <v>54</v>
      </c>
      <c r="D172" s="3"/>
      <c r="E172" s="3"/>
    </row>
    <row r="173" spans="1:5">
      <c r="A173" s="4" t="s">
        <v>55</v>
      </c>
      <c r="B173" s="2">
        <v>10.27</v>
      </c>
      <c r="C173" s="17">
        <f ca="1">+ROUND(B173*$F6,2)</f>
        <v>0.04</v>
      </c>
      <c r="D173" s="17">
        <f ca="1">+SUM(B173:C173)</f>
        <v>10.309999999999999</v>
      </c>
      <c r="E173" s="3"/>
    </row>
    <row r="174" spans="1:5">
      <c r="A174" s="4" t="s">
        <v>56</v>
      </c>
      <c r="B174" s="2">
        <v>11.489999999999998</v>
      </c>
      <c r="C174" s="17">
        <f ca="1">+ROUND(B174*$F6,2)</f>
        <v>0.04</v>
      </c>
      <c r="D174" s="17">
        <f ca="1">+C174+B174</f>
        <v>11.529999999999998</v>
      </c>
      <c r="E174" s="3"/>
    </row>
    <row r="175" spans="1:5">
      <c r="E175" s="3"/>
    </row>
    <row r="176" spans="1:5">
      <c r="A176" s="12" t="s">
        <v>853</v>
      </c>
      <c r="B176" s="24"/>
      <c r="C176" s="25"/>
      <c r="D176" s="27"/>
      <c r="E176" s="3"/>
    </row>
    <row r="177" spans="1:8">
      <c r="A177" s="4" t="s">
        <v>44</v>
      </c>
      <c r="B177" s="2">
        <v>5.31</v>
      </c>
      <c r="C177" s="17">
        <f ca="1">+ROUND(B177*$F5,2)</f>
        <v>0.02</v>
      </c>
      <c r="D177" s="17">
        <f ca="1">+SUM(B177:C177)</f>
        <v>5.3299999999999992</v>
      </c>
      <c r="E177" s="3"/>
    </row>
    <row r="178" spans="1:8">
      <c r="A178" s="4" t="s">
        <v>46</v>
      </c>
      <c r="B178" s="2">
        <v>10.26</v>
      </c>
      <c r="C178" s="17">
        <f ca="1">+ROUND(B178*$F5,2)</f>
        <v>0.04</v>
      </c>
      <c r="D178" s="17">
        <f ca="1">+SUM(B178:C178)</f>
        <v>10.299999999999999</v>
      </c>
      <c r="E178" s="3"/>
    </row>
    <row r="179" spans="1:8">
      <c r="A179" s="4" t="s">
        <v>47</v>
      </c>
      <c r="B179" s="2">
        <v>15.39</v>
      </c>
      <c r="C179" s="17">
        <f ca="1">+ROUND(B179*$F5,2)</f>
        <v>0.06</v>
      </c>
      <c r="D179" s="17">
        <f ca="1">+SUM(B179:C179)</f>
        <v>15.450000000000001</v>
      </c>
      <c r="E179" s="3"/>
    </row>
    <row r="180" spans="1:8">
      <c r="A180" s="4" t="s">
        <v>48</v>
      </c>
      <c r="B180" s="2">
        <v>5.31</v>
      </c>
      <c r="C180" s="17">
        <f ca="1">+ROUND(B180*$F5,2)</f>
        <v>0.02</v>
      </c>
      <c r="D180" s="17">
        <f ca="1">+SUM(B180:C180)</f>
        <v>5.3299999999999992</v>
      </c>
      <c r="E180" s="3"/>
    </row>
    <row r="181" spans="1:8">
      <c r="C181" s="17"/>
      <c r="D181" s="17"/>
      <c r="E181" s="3"/>
    </row>
    <row r="182" spans="1:8">
      <c r="A182" s="4" t="s">
        <v>49</v>
      </c>
      <c r="B182" s="2">
        <v>98.78</v>
      </c>
      <c r="C182" s="17">
        <f ca="1">+ROUND(B182*$F5,2)</f>
        <v>0.38</v>
      </c>
      <c r="D182" s="17">
        <f ca="1">+C182+B182</f>
        <v>99.16</v>
      </c>
      <c r="E182" s="3"/>
      <c r="H182" s="4" t="s">
        <v>4</v>
      </c>
    </row>
    <row r="183" spans="1:8">
      <c r="C183" s="17"/>
      <c r="D183" s="17"/>
      <c r="E183" s="3"/>
    </row>
    <row r="184" spans="1:8">
      <c r="A184" s="4" t="s">
        <v>50</v>
      </c>
      <c r="B184" s="2">
        <v>12.16</v>
      </c>
      <c r="C184" s="17">
        <f ca="1">+ROUND(B184*$F5,2)</f>
        <v>0.05</v>
      </c>
      <c r="D184" s="17">
        <f t="shared" ref="D184:D187" ca="1" si="3">+SUM(B184:C184)</f>
        <v>12.21</v>
      </c>
      <c r="E184" s="3"/>
    </row>
    <row r="185" spans="1:8">
      <c r="A185" s="4" t="s">
        <v>51</v>
      </c>
      <c r="B185" s="2">
        <v>14.72</v>
      </c>
      <c r="C185" s="17">
        <f ca="1">+ROUND(B185*$F5,2)</f>
        <v>0.06</v>
      </c>
      <c r="D185" s="17">
        <f t="shared" ca="1" si="3"/>
        <v>14.780000000000001</v>
      </c>
      <c r="E185" s="3"/>
    </row>
    <row r="186" spans="1:8">
      <c r="A186" s="4" t="s">
        <v>52</v>
      </c>
      <c r="B186" s="2">
        <v>15.31</v>
      </c>
      <c r="C186" s="17">
        <f ca="1">+ROUND(B186*$F5,2)</f>
        <v>0.06</v>
      </c>
      <c r="D186" s="17">
        <f t="shared" ca="1" si="3"/>
        <v>15.370000000000001</v>
      </c>
      <c r="E186" s="3"/>
    </row>
    <row r="187" spans="1:8">
      <c r="A187" s="4" t="s">
        <v>53</v>
      </c>
      <c r="B187" s="2">
        <v>17.87</v>
      </c>
      <c r="C187" s="17">
        <f ca="1">+ROUND(B187*$F5,2)</f>
        <v>7.0000000000000007E-2</v>
      </c>
      <c r="D187" s="17">
        <f t="shared" ca="1" si="3"/>
        <v>17.940000000000001</v>
      </c>
      <c r="E187" s="3"/>
    </row>
    <row r="188" spans="1:8">
      <c r="D188" s="3"/>
      <c r="E188" s="3"/>
    </row>
    <row r="189" spans="1:8">
      <c r="A189" s="4" t="s">
        <v>57</v>
      </c>
      <c r="B189" s="2">
        <v>3.83</v>
      </c>
      <c r="C189" s="17">
        <f ca="1">+ROUND(B189*$F5,2)</f>
        <v>0.01</v>
      </c>
      <c r="D189" s="17">
        <f t="shared" ref="D189" ca="1" si="4">+SUM(B189:C189)</f>
        <v>3.84</v>
      </c>
      <c r="E189" s="3"/>
    </row>
    <row r="190" spans="1:8">
      <c r="D190" s="3"/>
      <c r="E190" s="3"/>
    </row>
    <row r="191" spans="1:8">
      <c r="D191" s="3"/>
      <c r="E191" s="3"/>
    </row>
    <row r="192" spans="1:8">
      <c r="A192" s="18" t="s">
        <v>852</v>
      </c>
      <c r="B192" s="28"/>
      <c r="C192" s="29"/>
      <c r="D192" s="29"/>
      <c r="E192" s="3"/>
    </row>
    <row r="193" spans="1:5">
      <c r="A193" s="4" t="s">
        <v>36</v>
      </c>
      <c r="B193" s="2">
        <v>12.5</v>
      </c>
      <c r="C193" s="17">
        <f ca="1">+ROUND(B193*$F8,2)</f>
        <v>0.05</v>
      </c>
      <c r="D193" s="17">
        <f t="shared" ref="D193:D202" ca="1" si="5">+SUM(B193:C193)</f>
        <v>12.55</v>
      </c>
      <c r="E193" s="3"/>
    </row>
    <row r="194" spans="1:5">
      <c r="A194" s="4" t="s">
        <v>58</v>
      </c>
      <c r="B194" s="2">
        <v>16.239999999999998</v>
      </c>
      <c r="C194" s="17">
        <f ca="1">+ROUND(B194*$F8,2)</f>
        <v>0.06</v>
      </c>
      <c r="D194" s="17">
        <f t="shared" ca="1" si="5"/>
        <v>16.299999999999997</v>
      </c>
      <c r="E194" s="3"/>
    </row>
    <row r="195" spans="1:5">
      <c r="A195" s="4" t="s">
        <v>37</v>
      </c>
      <c r="B195" s="2">
        <v>23.57</v>
      </c>
      <c r="C195" s="17">
        <f ca="1">+ROUND(B195*$F8,2)</f>
        <v>0.09</v>
      </c>
      <c r="D195" s="17">
        <f t="shared" ca="1" si="5"/>
        <v>23.66</v>
      </c>
      <c r="E195" s="3"/>
    </row>
    <row r="196" spans="1:5">
      <c r="A196" s="4" t="s">
        <v>38</v>
      </c>
      <c r="B196" s="2">
        <v>33.349999999999994</v>
      </c>
      <c r="C196" s="17">
        <f ca="1">+ROUND(B196*$F8,2)</f>
        <v>0.13</v>
      </c>
      <c r="D196" s="17">
        <f t="shared" ca="1" si="5"/>
        <v>33.479999999999997</v>
      </c>
      <c r="E196" s="3"/>
    </row>
    <row r="197" spans="1:5">
      <c r="A197" s="4" t="s">
        <v>59</v>
      </c>
      <c r="B197" s="2">
        <v>12.2</v>
      </c>
      <c r="C197" s="17">
        <f ca="1">+ROUND(B197*$F8,2)</f>
        <v>0.05</v>
      </c>
      <c r="D197" s="17">
        <f t="shared" ca="1" si="5"/>
        <v>12.25</v>
      </c>
      <c r="E197" s="3"/>
    </row>
    <row r="198" spans="1:5">
      <c r="A198" s="4" t="s">
        <v>39</v>
      </c>
      <c r="B198" s="2">
        <v>15.620000000000001</v>
      </c>
      <c r="C198" s="17">
        <f ca="1">+ROUND(B198*$F8,2)</f>
        <v>0.06</v>
      </c>
      <c r="D198" s="17">
        <f t="shared" ca="1" si="5"/>
        <v>15.680000000000001</v>
      </c>
      <c r="E198" s="3"/>
    </row>
    <row r="199" spans="1:5">
      <c r="A199" s="4" t="s">
        <v>40</v>
      </c>
      <c r="B199" s="2">
        <v>22.86</v>
      </c>
      <c r="C199" s="17">
        <f ca="1">+ROUND(B199*$F8,2)</f>
        <v>0.09</v>
      </c>
      <c r="D199" s="17">
        <f t="shared" ca="1" si="5"/>
        <v>22.95</v>
      </c>
      <c r="E199" s="3"/>
    </row>
    <row r="200" spans="1:5">
      <c r="A200" s="4" t="s">
        <v>60</v>
      </c>
      <c r="B200" s="2">
        <v>5.87</v>
      </c>
      <c r="C200" s="17">
        <f ca="1">+ROUND(B200*$F8,2)</f>
        <v>0.02</v>
      </c>
      <c r="D200" s="17">
        <f t="shared" ca="1" si="5"/>
        <v>5.89</v>
      </c>
      <c r="E200" s="3"/>
    </row>
    <row r="201" spans="1:5">
      <c r="A201" s="4" t="s">
        <v>41</v>
      </c>
      <c r="B201" s="2">
        <v>6.1300000000000008</v>
      </c>
      <c r="C201" s="17">
        <f ca="1">+ROUND(B201*$F8,2)</f>
        <v>0.02</v>
      </c>
      <c r="D201" s="17">
        <f t="shared" ca="1" si="5"/>
        <v>6.15</v>
      </c>
      <c r="E201" s="3"/>
    </row>
    <row r="202" spans="1:5">
      <c r="A202" s="4" t="s">
        <v>42</v>
      </c>
      <c r="B202" s="2">
        <v>9.57</v>
      </c>
      <c r="C202" s="17">
        <f ca="1">+ROUND(B202*$F8,2)</f>
        <v>0.04</v>
      </c>
      <c r="D202" s="17">
        <f t="shared" ca="1" si="5"/>
        <v>9.61</v>
      </c>
      <c r="E202" s="3"/>
    </row>
    <row r="203" spans="1:5">
      <c r="D203" s="3"/>
      <c r="E203" s="3"/>
    </row>
    <row r="204" spans="1:5">
      <c r="A204" s="1" t="s">
        <v>54</v>
      </c>
      <c r="D204" s="3"/>
      <c r="E204" s="3"/>
    </row>
    <row r="205" spans="1:5">
      <c r="A205" s="4" t="s">
        <v>55</v>
      </c>
      <c r="B205" s="2">
        <v>11.620000000000001</v>
      </c>
      <c r="C205" s="17">
        <f ca="1">+ROUND(B205*$F9,2)</f>
        <v>0.04</v>
      </c>
      <c r="D205" s="17">
        <f ca="1">+SUM(B205:C205)</f>
        <v>11.66</v>
      </c>
      <c r="E205" s="3"/>
    </row>
    <row r="206" spans="1:5">
      <c r="A206" s="4" t="s">
        <v>56</v>
      </c>
      <c r="B206" s="2">
        <v>13.244598664508663</v>
      </c>
      <c r="C206" s="17">
        <f ca="1">+ROUND(B206*$F10,2)</f>
        <v>0.05</v>
      </c>
      <c r="D206" s="17">
        <f ca="1">+B206+C206</f>
        <v>13.294598664508664</v>
      </c>
      <c r="E206" s="3"/>
    </row>
    <row r="207" spans="1:5">
      <c r="E207" s="3"/>
    </row>
    <row r="208" spans="1:5">
      <c r="A208" s="18" t="s">
        <v>874</v>
      </c>
      <c r="B208" s="28"/>
      <c r="C208" s="29"/>
      <c r="D208" s="30"/>
      <c r="E208" s="3"/>
    </row>
    <row r="209" spans="1:5">
      <c r="A209" s="4" t="s">
        <v>44</v>
      </c>
      <c r="B209" s="2">
        <v>5.34</v>
      </c>
      <c r="C209" s="17">
        <f ca="1">+ROUND(B209*$F8,2)</f>
        <v>0.02</v>
      </c>
      <c r="D209" s="17">
        <f ca="1">+SUM(B209:C209)</f>
        <v>5.3599999999999994</v>
      </c>
      <c r="E209" s="3"/>
    </row>
    <row r="210" spans="1:5">
      <c r="A210" s="4" t="s">
        <v>46</v>
      </c>
      <c r="B210" s="2">
        <v>9.84</v>
      </c>
      <c r="C210" s="17">
        <f ca="1">+ROUND(B210*$F8,2)</f>
        <v>0.04</v>
      </c>
      <c r="D210" s="17">
        <f ca="1">+SUM(B210:C210)</f>
        <v>9.879999999999999</v>
      </c>
      <c r="E210" s="3"/>
    </row>
    <row r="211" spans="1:5">
      <c r="A211" s="4" t="s">
        <v>47</v>
      </c>
      <c r="B211" s="2">
        <v>14.67</v>
      </c>
      <c r="C211" s="17">
        <f ca="1">+ROUND(B211*$F8,2)</f>
        <v>0.06</v>
      </c>
      <c r="D211" s="17">
        <f ca="1">+SUM(B211:C211)</f>
        <v>14.73</v>
      </c>
      <c r="E211" s="3"/>
    </row>
    <row r="212" spans="1:5">
      <c r="A212" s="4" t="s">
        <v>48</v>
      </c>
      <c r="B212" s="2">
        <v>5.6</v>
      </c>
      <c r="C212" s="17">
        <f ca="1">+ROUND(B212*$F8,2)</f>
        <v>0.02</v>
      </c>
      <c r="D212" s="17">
        <f ca="1">+SUM(B212:C212)</f>
        <v>5.6199999999999992</v>
      </c>
      <c r="E212" s="3"/>
    </row>
    <row r="213" spans="1:5">
      <c r="C213" s="17"/>
      <c r="D213" s="17"/>
      <c r="E213" s="3"/>
    </row>
    <row r="214" spans="1:5">
      <c r="A214" s="4" t="s">
        <v>49</v>
      </c>
      <c r="B214" s="2">
        <v>98.78</v>
      </c>
      <c r="C214" s="17">
        <f ca="1">+C182</f>
        <v>0.38</v>
      </c>
      <c r="D214" s="17">
        <f ca="1">+C214+B214</f>
        <v>99.16</v>
      </c>
      <c r="E214" s="3"/>
    </row>
    <row r="215" spans="1:5">
      <c r="C215" s="17"/>
      <c r="D215" s="17"/>
      <c r="E215" s="3"/>
    </row>
    <row r="216" spans="1:5">
      <c r="A216" s="4" t="s">
        <v>61</v>
      </c>
      <c r="B216" s="2">
        <v>7.9200000000000008</v>
      </c>
      <c r="C216" s="17">
        <f ca="1">+ROUND(B216*$F8,2)</f>
        <v>0.03</v>
      </c>
      <c r="D216" s="17">
        <f t="shared" ref="D216:D221" ca="1" si="6">+SUM(B216:C216)</f>
        <v>7.9500000000000011</v>
      </c>
      <c r="E216" s="3"/>
    </row>
    <row r="217" spans="1:5">
      <c r="A217" s="4" t="s">
        <v>50</v>
      </c>
      <c r="B217" s="2">
        <v>8.18</v>
      </c>
      <c r="C217" s="17">
        <f ca="1">+ROUND(B217*$F8,2)</f>
        <v>0.03</v>
      </c>
      <c r="D217" s="17">
        <f t="shared" ca="1" si="6"/>
        <v>8.2099999999999991</v>
      </c>
      <c r="E217" s="3"/>
    </row>
    <row r="218" spans="1:5">
      <c r="A218" s="4" t="s">
        <v>51</v>
      </c>
      <c r="B218" s="2">
        <v>11.62</v>
      </c>
      <c r="C218" s="17">
        <f ca="1">+ROUND(B218*$F8,2)</f>
        <v>0.04</v>
      </c>
      <c r="D218" s="17">
        <f t="shared" ca="1" si="6"/>
        <v>11.659999999999998</v>
      </c>
      <c r="E218" s="3"/>
    </row>
    <row r="219" spans="1:5">
      <c r="A219" s="4" t="s">
        <v>62</v>
      </c>
      <c r="B219" s="2">
        <v>10.99</v>
      </c>
      <c r="C219" s="17">
        <f ca="1">+ROUND(B219*$F8,2)</f>
        <v>0.04</v>
      </c>
      <c r="D219" s="17">
        <f t="shared" ca="1" si="6"/>
        <v>11.03</v>
      </c>
      <c r="E219" s="3"/>
    </row>
    <row r="220" spans="1:5">
      <c r="A220" s="4" t="s">
        <v>52</v>
      </c>
      <c r="B220" s="2">
        <v>11.25</v>
      </c>
      <c r="C220" s="17">
        <f ca="1">+ROUND(B220*$F8,2)</f>
        <v>0.04</v>
      </c>
      <c r="D220" s="17">
        <f t="shared" ca="1" si="6"/>
        <v>11.29</v>
      </c>
      <c r="E220" s="3"/>
    </row>
    <row r="221" spans="1:5">
      <c r="A221" s="4" t="s">
        <v>53</v>
      </c>
      <c r="B221" s="2">
        <v>14.69</v>
      </c>
      <c r="C221" s="17">
        <f ca="1">+ROUND(B221*$F8,2)</f>
        <v>0.06</v>
      </c>
      <c r="D221" s="17">
        <f t="shared" ca="1" si="6"/>
        <v>14.75</v>
      </c>
      <c r="E221" s="3"/>
    </row>
    <row r="222" spans="1:5">
      <c r="C222" s="17"/>
      <c r="D222" s="17"/>
      <c r="E222" s="3"/>
    </row>
    <row r="223" spans="1:5">
      <c r="A223" s="4" t="s">
        <v>63</v>
      </c>
      <c r="B223" s="2">
        <v>0.92</v>
      </c>
      <c r="C223" s="17">
        <f ca="1">+ROUND(B223*$F8,2)</f>
        <v>0</v>
      </c>
      <c r="D223" s="17">
        <f t="shared" ref="D223" ca="1" si="7">+SUM(B223:C223)</f>
        <v>0.92</v>
      </c>
      <c r="E223" s="3"/>
    </row>
    <row r="224" spans="1:5">
      <c r="C224" s="17"/>
      <c r="D224" s="17"/>
      <c r="E224" s="3"/>
    </row>
    <row r="225" spans="1:5">
      <c r="A225" s="4" t="s">
        <v>57</v>
      </c>
      <c r="B225" s="2">
        <v>3.83</v>
      </c>
      <c r="C225" s="17">
        <f ca="1">+ROUND(B225*$F8,2)</f>
        <v>0.01</v>
      </c>
      <c r="D225" s="17">
        <f t="shared" ref="D225" ca="1" si="8">+SUM(B225:C225)</f>
        <v>3.84</v>
      </c>
      <c r="E225" s="3"/>
    </row>
    <row r="226" spans="1:5">
      <c r="C226" s="17"/>
      <c r="D226" s="17"/>
      <c r="E226" s="3"/>
    </row>
    <row r="227" spans="1:5">
      <c r="A227" s="18" t="s">
        <v>875</v>
      </c>
      <c r="B227" s="28"/>
      <c r="C227" s="29"/>
      <c r="D227" s="30"/>
      <c r="E227" s="3"/>
    </row>
    <row r="228" spans="1:5">
      <c r="A228" s="4" t="s">
        <v>64</v>
      </c>
      <c r="B228" s="2">
        <v>7.62</v>
      </c>
      <c r="C228" s="17">
        <f ca="1">+ROUND(B228*$F9,2)</f>
        <v>0.03</v>
      </c>
      <c r="D228" s="17">
        <f ca="1">+SUM(B228:C228)</f>
        <v>7.65</v>
      </c>
      <c r="E228" s="3"/>
    </row>
    <row r="229" spans="1:5">
      <c r="C229" s="17"/>
      <c r="D229" s="17"/>
      <c r="E229" s="3"/>
    </row>
    <row r="230" spans="1:5">
      <c r="A230" s="12" t="s">
        <v>876</v>
      </c>
      <c r="B230" s="24"/>
      <c r="C230" s="25"/>
      <c r="D230" s="27"/>
      <c r="E230" s="3"/>
    </row>
    <row r="231" spans="1:5">
      <c r="A231" s="4" t="s">
        <v>64</v>
      </c>
      <c r="B231" s="2">
        <v>9.61</v>
      </c>
      <c r="C231" s="17">
        <f ca="1">+ROUND(B231*$F6,2)</f>
        <v>0.04</v>
      </c>
      <c r="D231" s="17">
        <f ca="1">+SUM(B231:C231)</f>
        <v>9.6499999999999986</v>
      </c>
      <c r="E231" s="3"/>
    </row>
    <row r="232" spans="1:5">
      <c r="C232" s="17"/>
      <c r="D232" s="17"/>
      <c r="E232" s="3"/>
    </row>
    <row r="233" spans="1:5">
      <c r="D233" s="3"/>
      <c r="E233" s="3"/>
    </row>
    <row r="234" spans="1:5">
      <c r="A234" s="12" t="s">
        <v>877</v>
      </c>
      <c r="B234" s="24"/>
      <c r="C234" s="25"/>
      <c r="D234" s="27"/>
      <c r="E234" s="3"/>
    </row>
    <row r="235" spans="1:5">
      <c r="A235" s="4" t="s">
        <v>65</v>
      </c>
      <c r="D235" s="3"/>
      <c r="E235" s="3"/>
    </row>
    <row r="236" spans="1:5">
      <c r="A236" s="4" t="s">
        <v>66</v>
      </c>
      <c r="B236" s="2">
        <v>14.04</v>
      </c>
      <c r="C236" s="17">
        <f ca="1">+ROUND(B236*$F7,2)</f>
        <v>0.05</v>
      </c>
      <c r="D236" s="17">
        <f ca="1">+SUM(B236:C236)</f>
        <v>14.09</v>
      </c>
      <c r="E236" s="3"/>
    </row>
    <row r="237" spans="1:5">
      <c r="A237" s="4" t="s">
        <v>67</v>
      </c>
      <c r="B237" s="2">
        <v>12.639999999999999</v>
      </c>
      <c r="C237" s="17">
        <f ca="1">+ROUND(B237*$F7,2)</f>
        <v>0.05</v>
      </c>
      <c r="D237" s="17">
        <f ca="1">+SUM(B237:C237)</f>
        <v>12.69</v>
      </c>
      <c r="E237" s="3"/>
    </row>
    <row r="238" spans="1:5">
      <c r="A238" s="4" t="s">
        <v>68</v>
      </c>
      <c r="B238" s="2">
        <v>6.55</v>
      </c>
      <c r="C238" s="17">
        <f ca="1">+ROUND(B238*$F7,2)</f>
        <v>0.02</v>
      </c>
      <c r="D238" s="17">
        <f ca="1">+SUM(B238:C238)</f>
        <v>6.5699999999999994</v>
      </c>
      <c r="E238" s="3"/>
    </row>
    <row r="239" spans="1:5">
      <c r="D239" s="3"/>
      <c r="E239" s="3"/>
    </row>
    <row r="240" spans="1:5">
      <c r="A240" s="18" t="s">
        <v>69</v>
      </c>
      <c r="B240" s="28"/>
      <c r="C240" s="29"/>
      <c r="D240" s="30"/>
      <c r="E240" s="3"/>
    </row>
    <row r="241" spans="1:5">
      <c r="A241" s="4" t="s">
        <v>65</v>
      </c>
      <c r="D241" s="3"/>
      <c r="E241" s="3"/>
    </row>
    <row r="242" spans="1:5">
      <c r="A242" s="4" t="s">
        <v>66</v>
      </c>
      <c r="B242" s="2">
        <v>11.040000000000001</v>
      </c>
      <c r="C242" s="17">
        <f ca="1">+ROUND(B242*$F10,2)</f>
        <v>0.04</v>
      </c>
      <c r="D242" s="17">
        <f ca="1">+SUM(B242:C242)</f>
        <v>11.08</v>
      </c>
      <c r="E242" s="3"/>
    </row>
    <row r="243" spans="1:5">
      <c r="A243" s="4" t="s">
        <v>67</v>
      </c>
      <c r="B243" s="2">
        <v>10.18</v>
      </c>
      <c r="C243" s="17">
        <f ca="1">+ROUND(B243*$F10,2)</f>
        <v>0.04</v>
      </c>
      <c r="D243" s="17">
        <f ca="1">+SUM(B243:C243)</f>
        <v>10.219999999999999</v>
      </c>
      <c r="E243" s="3"/>
    </row>
    <row r="244" spans="1:5">
      <c r="A244" s="4" t="s">
        <v>68</v>
      </c>
      <c r="B244" s="2">
        <v>6.81</v>
      </c>
      <c r="C244" s="17">
        <f ca="1">+ROUND(B244*$F10,2)</f>
        <v>0.03</v>
      </c>
      <c r="D244" s="17">
        <f ca="1">+SUM(B244:C244)</f>
        <v>6.84</v>
      </c>
      <c r="E244" s="3"/>
    </row>
    <row r="245" spans="1:5">
      <c r="D245" s="3"/>
      <c r="E245" s="3"/>
    </row>
    <row r="246" spans="1:5">
      <c r="A246" s="12" t="s">
        <v>878</v>
      </c>
      <c r="B246" s="24"/>
      <c r="C246" s="25"/>
      <c r="D246" s="27"/>
      <c r="E246" s="3"/>
    </row>
    <row r="247" spans="1:5">
      <c r="A247" s="4" t="s">
        <v>70</v>
      </c>
      <c r="B247" s="2">
        <v>34.97</v>
      </c>
      <c r="C247" s="17">
        <f ca="1">+ROUND(B247*$F5,2)</f>
        <v>0.14000000000000001</v>
      </c>
      <c r="D247" s="17">
        <f ca="1">+SUM(B247:C247)</f>
        <v>35.11</v>
      </c>
      <c r="E247" s="3"/>
    </row>
    <row r="248" spans="1:5">
      <c r="A248" s="4" t="s">
        <v>71</v>
      </c>
      <c r="B248" s="2">
        <v>15.62</v>
      </c>
      <c r="C248" s="17">
        <f ca="1">+ROUND(B248*$F5,2)</f>
        <v>0.06</v>
      </c>
      <c r="D248" s="17">
        <f ca="1">+SUM(B248:C248)</f>
        <v>15.68</v>
      </c>
      <c r="E248" s="3"/>
    </row>
    <row r="249" spans="1:5">
      <c r="A249" s="4" t="s">
        <v>72</v>
      </c>
      <c r="B249" s="2">
        <v>34.97</v>
      </c>
      <c r="C249" s="17">
        <f ca="1">+ROUND(B249*$F5,2)</f>
        <v>0.14000000000000001</v>
      </c>
      <c r="D249" s="17">
        <f ca="1">+SUM(B249:C249)</f>
        <v>35.11</v>
      </c>
      <c r="E249" s="3"/>
    </row>
    <row r="250" spans="1:5">
      <c r="A250" s="4" t="s">
        <v>73</v>
      </c>
      <c r="B250" s="2">
        <v>6.73</v>
      </c>
      <c r="C250" s="17">
        <f ca="1">+ROUND(B250*$F5,2)</f>
        <v>0.03</v>
      </c>
      <c r="D250" s="17">
        <f ca="1">+SUM(B250:C250)</f>
        <v>6.7600000000000007</v>
      </c>
      <c r="E250" s="3"/>
    </row>
    <row r="251" spans="1:5">
      <c r="A251" s="4" t="s">
        <v>74</v>
      </c>
      <c r="B251" s="2">
        <v>14.32</v>
      </c>
      <c r="C251" s="17">
        <f ca="1">+ROUND(B251*$F5,2)</f>
        <v>0.06</v>
      </c>
      <c r="D251" s="17">
        <f ca="1">+SUM(B251:C251)</f>
        <v>14.38</v>
      </c>
      <c r="E251" s="3"/>
    </row>
    <row r="252" spans="1:5">
      <c r="D252" s="3"/>
      <c r="E252" s="3"/>
    </row>
    <row r="253" spans="1:5">
      <c r="A253" s="18" t="s">
        <v>879</v>
      </c>
      <c r="B253" s="28"/>
      <c r="C253" s="29"/>
      <c r="D253" s="30"/>
      <c r="E253" s="3"/>
    </row>
    <row r="254" spans="1:5">
      <c r="A254" s="4" t="s">
        <v>75</v>
      </c>
      <c r="B254" s="2">
        <v>17.09</v>
      </c>
      <c r="C254" s="17">
        <f ca="1">+ROUND(B254*$F8,2)</f>
        <v>7.0000000000000007E-2</v>
      </c>
      <c r="D254" s="17">
        <f ca="1">+SUM(B254:C254)</f>
        <v>17.16</v>
      </c>
      <c r="E254" s="3"/>
    </row>
    <row r="255" spans="1:5">
      <c r="A255" s="4" t="s">
        <v>76</v>
      </c>
      <c r="B255" s="2">
        <v>13.3</v>
      </c>
      <c r="C255" s="17">
        <f ca="1">+ROUND(B255*$F8,2)</f>
        <v>0.05</v>
      </c>
      <c r="D255" s="17">
        <f ca="1">+SUM(B255:C255)</f>
        <v>13.350000000000001</v>
      </c>
      <c r="E255" s="3"/>
    </row>
    <row r="256" spans="1:5">
      <c r="A256" s="4" t="s">
        <v>77</v>
      </c>
      <c r="B256" s="2">
        <v>17.09</v>
      </c>
      <c r="C256" s="17">
        <f ca="1">+ROUND(B256*$F8,2)</f>
        <v>7.0000000000000007E-2</v>
      </c>
      <c r="D256" s="17">
        <f ca="1">+SUM(B256:C256)</f>
        <v>17.16</v>
      </c>
      <c r="E256" s="3"/>
    </row>
    <row r="257" spans="1:5">
      <c r="A257" s="4" t="s">
        <v>73</v>
      </c>
      <c r="B257" s="2">
        <v>6.73</v>
      </c>
      <c r="C257" s="17">
        <f ca="1">+C250</f>
        <v>0.03</v>
      </c>
      <c r="D257" s="17">
        <f ca="1">+SUM(B257:C257)</f>
        <v>6.7600000000000007</v>
      </c>
      <c r="E257" s="3"/>
    </row>
    <row r="258" spans="1:5">
      <c r="D258" s="3"/>
      <c r="E258" s="3"/>
    </row>
    <row r="259" spans="1:5">
      <c r="A259" s="4" t="s">
        <v>78</v>
      </c>
      <c r="B259" s="2">
        <v>30.04</v>
      </c>
      <c r="C259" s="17">
        <f ca="1">+ROUND(B259*$F8,2)</f>
        <v>0.12</v>
      </c>
      <c r="D259" s="17">
        <f ca="1">+SUM(B259:C259)</f>
        <v>30.16</v>
      </c>
      <c r="E259" s="3"/>
    </row>
    <row r="260" spans="1:5">
      <c r="A260" s="4" t="s">
        <v>79</v>
      </c>
      <c r="B260" s="2">
        <v>22.4</v>
      </c>
      <c r="C260" s="17">
        <f ca="1">+ROUND(B260*$F8,2)</f>
        <v>0.09</v>
      </c>
      <c r="D260" s="17">
        <f ca="1">+SUM(B260:C260)</f>
        <v>22.49</v>
      </c>
      <c r="E260" s="3"/>
    </row>
    <row r="261" spans="1:5">
      <c r="A261" s="4" t="s">
        <v>80</v>
      </c>
      <c r="B261" s="2">
        <v>30.04</v>
      </c>
      <c r="C261" s="17">
        <f ca="1">+ROUND(B261*$F8,2)</f>
        <v>0.12</v>
      </c>
      <c r="D261" s="17">
        <f ca="1">+SUM(B261:C261)</f>
        <v>30.16</v>
      </c>
      <c r="E261" s="3"/>
    </row>
    <row r="262" spans="1:5">
      <c r="A262" s="4" t="s">
        <v>73</v>
      </c>
      <c r="B262" s="2">
        <v>14.32</v>
      </c>
      <c r="C262" s="17">
        <f ca="1">+C251</f>
        <v>0.06</v>
      </c>
      <c r="D262" s="17">
        <f ca="1">+SUM(B262:C262)</f>
        <v>14.38</v>
      </c>
      <c r="E262" s="3"/>
    </row>
    <row r="263" spans="1:5">
      <c r="D263" s="3"/>
      <c r="E263" s="3"/>
    </row>
    <row r="264" spans="1:5">
      <c r="A264" s="12" t="s">
        <v>880</v>
      </c>
      <c r="B264" s="24"/>
      <c r="C264" s="25"/>
      <c r="D264" s="27"/>
      <c r="E264" s="3"/>
    </row>
    <row r="265" spans="1:5">
      <c r="A265" s="1" t="s">
        <v>81</v>
      </c>
      <c r="D265" s="3"/>
      <c r="E265" s="3"/>
    </row>
    <row r="266" spans="1:5">
      <c r="A266" s="31" t="s">
        <v>82</v>
      </c>
      <c r="D266" s="3"/>
      <c r="E266" s="3"/>
    </row>
    <row r="267" spans="1:5">
      <c r="A267" s="4" t="s">
        <v>83</v>
      </c>
      <c r="B267" s="2">
        <v>114.79</v>
      </c>
      <c r="C267" s="17">
        <f ca="1">+ROUND(B291*$F5,2)</f>
        <v>0.45</v>
      </c>
      <c r="D267" s="17">
        <f ca="1">+SUM(B267:C267)</f>
        <v>115.24000000000001</v>
      </c>
      <c r="E267" s="3"/>
    </row>
    <row r="268" spans="1:5">
      <c r="A268" s="4" t="s">
        <v>84</v>
      </c>
      <c r="B268" s="2">
        <v>131.19</v>
      </c>
      <c r="C268" s="17">
        <f ca="1">+ROUND(B292*$F5,2)</f>
        <v>0.51</v>
      </c>
      <c r="D268" s="17">
        <f ca="1">+SUM(B268:C268)</f>
        <v>131.69999999999999</v>
      </c>
      <c r="E268" s="3"/>
    </row>
    <row r="269" spans="1:5">
      <c r="A269" s="4" t="s">
        <v>85</v>
      </c>
      <c r="B269" s="2">
        <v>131.19</v>
      </c>
      <c r="C269" s="17">
        <f ca="1">+ROUND(B293*$F5,2)</f>
        <v>0.51</v>
      </c>
      <c r="D269" s="17">
        <f ca="1">+SUM(B269:C269)</f>
        <v>131.69999999999999</v>
      </c>
      <c r="E269" s="3"/>
    </row>
    <row r="270" spans="1:5">
      <c r="A270" s="4" t="s">
        <v>86</v>
      </c>
      <c r="B270" s="2">
        <v>49.190000000000005</v>
      </c>
      <c r="C270" s="17">
        <f ca="1">+ROUND(B294*$F5,2)</f>
        <v>0.19</v>
      </c>
      <c r="D270" s="17">
        <f ca="1">+SUM(B270:C270)</f>
        <v>49.38</v>
      </c>
      <c r="E270" s="3"/>
    </row>
    <row r="271" spans="1:5">
      <c r="D271" s="3"/>
      <c r="E271" s="3"/>
    </row>
    <row r="272" spans="1:5">
      <c r="A272" s="4" t="s">
        <v>87</v>
      </c>
      <c r="D272" s="3"/>
      <c r="E272" s="3"/>
    </row>
    <row r="273" spans="1:5">
      <c r="A273" s="4" t="s">
        <v>83</v>
      </c>
      <c r="B273" s="2">
        <v>114.79</v>
      </c>
      <c r="C273" s="17">
        <f ca="1">+ROUND(B297*$F5,2)</f>
        <v>0.45</v>
      </c>
      <c r="D273" s="17">
        <f ca="1">+SUM(B273:C273)</f>
        <v>115.24000000000001</v>
      </c>
      <c r="E273" s="3"/>
    </row>
    <row r="274" spans="1:5">
      <c r="A274" s="4" t="s">
        <v>84</v>
      </c>
      <c r="B274" s="2">
        <v>131.19</v>
      </c>
      <c r="C274" s="17">
        <f ca="1">+ROUND(B298*$F5,2)</f>
        <v>0.51</v>
      </c>
      <c r="D274" s="17">
        <f ca="1">+SUM(B274:C274)</f>
        <v>131.69999999999999</v>
      </c>
      <c r="E274" s="3"/>
    </row>
    <row r="275" spans="1:5">
      <c r="A275" s="4" t="s">
        <v>85</v>
      </c>
      <c r="B275" s="2">
        <v>131.19</v>
      </c>
      <c r="C275" s="17">
        <f ca="1">+ROUND(B299*$F5,2)</f>
        <v>0.51</v>
      </c>
      <c r="D275" s="17">
        <f ca="1">+SUM(B275:C275)</f>
        <v>131.69999999999999</v>
      </c>
      <c r="E275" s="3"/>
    </row>
    <row r="276" spans="1:5">
      <c r="D276" s="3"/>
      <c r="E276" s="3"/>
    </row>
    <row r="277" spans="1:5">
      <c r="A277" s="31" t="s">
        <v>88</v>
      </c>
      <c r="D277" s="3"/>
      <c r="E277" s="3"/>
    </row>
    <row r="278" spans="1:5">
      <c r="A278" s="4" t="s">
        <v>83</v>
      </c>
      <c r="B278" s="2">
        <v>114.79</v>
      </c>
      <c r="C278" s="17">
        <f ca="1">+ROUND(B302*$F5,2)</f>
        <v>0.45</v>
      </c>
      <c r="D278" s="17">
        <f ca="1">+SUM(B278:C278)</f>
        <v>115.24000000000001</v>
      </c>
      <c r="E278" s="3"/>
    </row>
    <row r="279" spans="1:5">
      <c r="A279" s="4" t="s">
        <v>84</v>
      </c>
      <c r="B279" s="2">
        <v>131.19</v>
      </c>
      <c r="C279" s="17">
        <f ca="1">+ROUND(B303*$F5,2)</f>
        <v>0.51</v>
      </c>
      <c r="D279" s="17">
        <f ca="1">+SUM(B279:C279)</f>
        <v>131.69999999999999</v>
      </c>
      <c r="E279" s="3"/>
    </row>
    <row r="280" spans="1:5">
      <c r="A280" s="4" t="s">
        <v>85</v>
      </c>
      <c r="B280" s="2">
        <v>131.19</v>
      </c>
      <c r="C280" s="17">
        <f ca="1">+ROUND(B304*$F5,2)</f>
        <v>0.51</v>
      </c>
      <c r="D280" s="17">
        <f ca="1">+SUM(B280:C280)</f>
        <v>131.69999999999999</v>
      </c>
      <c r="E280" s="3"/>
    </row>
    <row r="281" spans="1:5">
      <c r="A281" s="4" t="s">
        <v>86</v>
      </c>
      <c r="B281" s="2">
        <v>49.190000000000005</v>
      </c>
      <c r="C281" s="17">
        <f ca="1">+ROUND(B305*$F5,2)</f>
        <v>0.19</v>
      </c>
      <c r="D281" s="17">
        <f ca="1">+SUM(B281:C281)</f>
        <v>49.38</v>
      </c>
      <c r="E281" s="3"/>
    </row>
    <row r="282" spans="1:5">
      <c r="D282" s="3"/>
      <c r="E282" s="3"/>
    </row>
    <row r="283" spans="1:5">
      <c r="A283" s="4" t="s">
        <v>87</v>
      </c>
      <c r="D283" s="3"/>
      <c r="E283" s="3"/>
    </row>
    <row r="284" spans="1:5">
      <c r="A284" s="4" t="s">
        <v>83</v>
      </c>
      <c r="B284" s="2">
        <v>114.79</v>
      </c>
      <c r="C284" s="17">
        <f ca="1">+ROUND(B308*$F5,2)</f>
        <v>0.45</v>
      </c>
      <c r="D284" s="17">
        <f ca="1">+SUM(B284:C284)</f>
        <v>115.24000000000001</v>
      </c>
      <c r="E284" s="3"/>
    </row>
    <row r="285" spans="1:5">
      <c r="A285" s="4" t="s">
        <v>84</v>
      </c>
      <c r="B285" s="2">
        <v>131.19</v>
      </c>
      <c r="C285" s="17">
        <f ca="1">+ROUND(B309*$F5,2)</f>
        <v>0.51</v>
      </c>
      <c r="D285" s="17">
        <f ca="1">+SUM(B285:C285)</f>
        <v>131.69999999999999</v>
      </c>
      <c r="E285" s="3"/>
    </row>
    <row r="286" spans="1:5">
      <c r="A286" s="4" t="s">
        <v>85</v>
      </c>
      <c r="B286" s="2">
        <v>131.19</v>
      </c>
      <c r="C286" s="17">
        <f ca="1">+ROUND(B310*$F5,2)</f>
        <v>0.51</v>
      </c>
      <c r="D286" s="17">
        <f ca="1">+SUM(B286:C286)</f>
        <v>131.69999999999999</v>
      </c>
      <c r="E286" s="3"/>
    </row>
    <row r="287" spans="1:5">
      <c r="D287" s="3"/>
      <c r="E287" s="3"/>
    </row>
    <row r="288" spans="1:5">
      <c r="A288" s="18" t="s">
        <v>881</v>
      </c>
      <c r="B288" s="28"/>
      <c r="C288" s="29"/>
      <c r="D288" s="30"/>
      <c r="E288" s="3"/>
    </row>
    <row r="289" spans="1:5">
      <c r="A289" s="1" t="s">
        <v>81</v>
      </c>
      <c r="D289" s="3"/>
      <c r="E289" s="3"/>
    </row>
    <row r="290" spans="1:5">
      <c r="A290" s="31" t="s">
        <v>82</v>
      </c>
      <c r="D290" s="3"/>
      <c r="E290" s="3"/>
    </row>
    <row r="291" spans="1:5">
      <c r="A291" s="4" t="s">
        <v>83</v>
      </c>
      <c r="B291" s="2">
        <v>114.79</v>
      </c>
      <c r="C291" s="17">
        <f ca="1">C267</f>
        <v>0.45</v>
      </c>
      <c r="D291" s="17">
        <f ca="1">+SUM(B291:C291)</f>
        <v>115.24000000000001</v>
      </c>
      <c r="E291" s="3"/>
    </row>
    <row r="292" spans="1:5">
      <c r="A292" s="4" t="s">
        <v>84</v>
      </c>
      <c r="B292" s="2">
        <v>131.19</v>
      </c>
      <c r="C292" s="17">
        <f t="shared" ref="C292:C294" ca="1" si="9">C268</f>
        <v>0.51</v>
      </c>
      <c r="D292" s="17">
        <f ca="1">+SUM(B292:C292)</f>
        <v>131.69999999999999</v>
      </c>
      <c r="E292" s="3"/>
    </row>
    <row r="293" spans="1:5">
      <c r="A293" s="4" t="s">
        <v>85</v>
      </c>
      <c r="B293" s="2">
        <v>131.19</v>
      </c>
      <c r="C293" s="17">
        <f t="shared" ca="1" si="9"/>
        <v>0.51</v>
      </c>
      <c r="D293" s="17">
        <f ca="1">+SUM(B293:C293)</f>
        <v>131.69999999999999</v>
      </c>
      <c r="E293" s="3"/>
    </row>
    <row r="294" spans="1:5">
      <c r="A294" s="4" t="s">
        <v>86</v>
      </c>
      <c r="B294" s="2">
        <v>49.190000000000005</v>
      </c>
      <c r="C294" s="17">
        <f t="shared" ca="1" si="9"/>
        <v>0.19</v>
      </c>
      <c r="D294" s="17">
        <f ca="1">+SUM(B294:C294)</f>
        <v>49.38</v>
      </c>
      <c r="E294" s="3"/>
    </row>
    <row r="295" spans="1:5">
      <c r="D295" s="3"/>
      <c r="E295" s="3"/>
    </row>
    <row r="296" spans="1:5">
      <c r="A296" s="4" t="s">
        <v>87</v>
      </c>
      <c r="D296" s="3"/>
      <c r="E296" s="3"/>
    </row>
    <row r="297" spans="1:5">
      <c r="A297" s="4" t="s">
        <v>83</v>
      </c>
      <c r="B297" s="2">
        <v>114.79</v>
      </c>
      <c r="C297" s="17">
        <f ca="1">C273</f>
        <v>0.45</v>
      </c>
      <c r="D297" s="17">
        <f ca="1">+SUM(B297:C297)</f>
        <v>115.24000000000001</v>
      </c>
      <c r="E297" s="3"/>
    </row>
    <row r="298" spans="1:5">
      <c r="A298" s="4" t="s">
        <v>84</v>
      </c>
      <c r="B298" s="2">
        <v>131.19</v>
      </c>
      <c r="C298" s="17">
        <f t="shared" ref="C298:C300" ca="1" si="10">C274</f>
        <v>0.51</v>
      </c>
      <c r="D298" s="17">
        <f ca="1">+SUM(B298:C298)</f>
        <v>131.69999999999999</v>
      </c>
      <c r="E298" s="3"/>
    </row>
    <row r="299" spans="1:5">
      <c r="A299" s="4" t="s">
        <v>85</v>
      </c>
      <c r="B299" s="2">
        <v>131.19</v>
      </c>
      <c r="C299" s="17">
        <f t="shared" ca="1" si="10"/>
        <v>0.51</v>
      </c>
      <c r="D299" s="17">
        <f ca="1">+SUM(B299:C299)</f>
        <v>131.69999999999999</v>
      </c>
      <c r="E299" s="3"/>
    </row>
    <row r="300" spans="1:5">
      <c r="C300" s="17">
        <f t="shared" si="10"/>
        <v>0</v>
      </c>
      <c r="D300" s="3"/>
      <c r="E300" s="3"/>
    </row>
    <row r="301" spans="1:5">
      <c r="A301" s="31" t="s">
        <v>88</v>
      </c>
      <c r="D301" s="3"/>
      <c r="E301" s="3"/>
    </row>
    <row r="302" spans="1:5">
      <c r="A302" s="4" t="s">
        <v>83</v>
      </c>
      <c r="B302" s="2">
        <v>114.79</v>
      </c>
      <c r="C302" s="17">
        <f ca="1">C278</f>
        <v>0.45</v>
      </c>
      <c r="D302" s="17">
        <f ca="1">+SUM(B302:C302)</f>
        <v>115.24000000000001</v>
      </c>
      <c r="E302" s="3"/>
    </row>
    <row r="303" spans="1:5">
      <c r="A303" s="4" t="s">
        <v>84</v>
      </c>
      <c r="B303" s="2">
        <v>131.19</v>
      </c>
      <c r="C303" s="17">
        <f t="shared" ref="C303:C305" ca="1" si="11">C279</f>
        <v>0.51</v>
      </c>
      <c r="D303" s="17">
        <f ca="1">+SUM(B303:C303)</f>
        <v>131.69999999999999</v>
      </c>
      <c r="E303" s="3"/>
    </row>
    <row r="304" spans="1:5">
      <c r="A304" s="4" t="s">
        <v>85</v>
      </c>
      <c r="B304" s="2">
        <v>131.19</v>
      </c>
      <c r="C304" s="17">
        <f t="shared" ca="1" si="11"/>
        <v>0.51</v>
      </c>
      <c r="D304" s="17">
        <f ca="1">+SUM(B304:C304)</f>
        <v>131.69999999999999</v>
      </c>
      <c r="E304" s="3"/>
    </row>
    <row r="305" spans="1:5">
      <c r="A305" s="4" t="s">
        <v>86</v>
      </c>
      <c r="B305" s="2">
        <v>49.190000000000005</v>
      </c>
      <c r="C305" s="17">
        <f t="shared" ca="1" si="11"/>
        <v>0.19</v>
      </c>
      <c r="D305" s="17">
        <f ca="1">+SUM(B305:C305)</f>
        <v>49.38</v>
      </c>
      <c r="E305" s="3"/>
    </row>
    <row r="306" spans="1:5">
      <c r="D306" s="3"/>
      <c r="E306" s="3"/>
    </row>
    <row r="307" spans="1:5">
      <c r="A307" s="4" t="s">
        <v>87</v>
      </c>
      <c r="D307" s="3"/>
      <c r="E307" s="3"/>
    </row>
    <row r="308" spans="1:5">
      <c r="A308" s="4" t="s">
        <v>83</v>
      </c>
      <c r="B308" s="2">
        <v>114.79</v>
      </c>
      <c r="C308" s="17">
        <f ca="1">C284</f>
        <v>0.45</v>
      </c>
      <c r="D308" s="17">
        <f ca="1">+SUM(B308:C308)</f>
        <v>115.24000000000001</v>
      </c>
      <c r="E308" s="3"/>
    </row>
    <row r="309" spans="1:5">
      <c r="A309" s="4" t="s">
        <v>84</v>
      </c>
      <c r="B309" s="2">
        <v>131.19</v>
      </c>
      <c r="C309" s="17">
        <f t="shared" ref="C309:C310" ca="1" si="12">C285</f>
        <v>0.51</v>
      </c>
      <c r="D309" s="17">
        <f ca="1">+SUM(B309:C309)</f>
        <v>131.69999999999999</v>
      </c>
      <c r="E309" s="3"/>
    </row>
    <row r="310" spans="1:5">
      <c r="A310" s="4" t="s">
        <v>85</v>
      </c>
      <c r="B310" s="2">
        <v>131.19</v>
      </c>
      <c r="C310" s="17">
        <f t="shared" ca="1" si="12"/>
        <v>0.51</v>
      </c>
      <c r="D310" s="17">
        <f ca="1">+SUM(B310:C310)</f>
        <v>131.69999999999999</v>
      </c>
      <c r="E310" s="3"/>
    </row>
    <row r="311" spans="1:5">
      <c r="C311" s="17"/>
      <c r="D311" s="3"/>
      <c r="E311" s="3"/>
    </row>
    <row r="312" spans="1:5">
      <c r="A312" s="12" t="s">
        <v>882</v>
      </c>
      <c r="B312" s="24"/>
      <c r="C312" s="25"/>
      <c r="D312" s="27"/>
      <c r="E312" s="3"/>
    </row>
    <row r="313" spans="1:5">
      <c r="A313" s="4" t="s">
        <v>89</v>
      </c>
      <c r="D313" s="3"/>
      <c r="E313" s="3"/>
    </row>
    <row r="314" spans="1:5">
      <c r="A314" s="4" t="s">
        <v>21</v>
      </c>
      <c r="B314" s="2">
        <v>4.8100000000000005</v>
      </c>
      <c r="C314" s="17">
        <f ca="1">+ROUND(B314*$F5,2)</f>
        <v>0.02</v>
      </c>
      <c r="D314" s="17">
        <f ca="1">+SUM(B314:C314)</f>
        <v>4.83</v>
      </c>
      <c r="E314" s="3"/>
    </row>
    <row r="315" spans="1:5">
      <c r="A315" s="4" t="s">
        <v>90</v>
      </c>
      <c r="B315" s="2">
        <v>1.1500000000000001</v>
      </c>
      <c r="C315" s="17">
        <f ca="1">+ROUND(B315*$F5,2)</f>
        <v>0</v>
      </c>
      <c r="D315" s="17">
        <f ca="1">+SUM(B315:C315)</f>
        <v>1.1500000000000001</v>
      </c>
      <c r="E315" s="3"/>
    </row>
    <row r="316" spans="1:5">
      <c r="D316" s="3"/>
      <c r="E316" s="3"/>
    </row>
    <row r="317" spans="1:5">
      <c r="A317" s="18" t="s">
        <v>883</v>
      </c>
      <c r="B317" s="28"/>
      <c r="C317" s="29"/>
      <c r="D317" s="30"/>
      <c r="E317" s="3"/>
    </row>
    <row r="318" spans="1:5">
      <c r="A318" s="4" t="s">
        <v>89</v>
      </c>
      <c r="D318" s="3"/>
      <c r="E318" s="3"/>
    </row>
    <row r="319" spans="1:5">
      <c r="A319" s="4" t="s">
        <v>21</v>
      </c>
      <c r="B319" s="2">
        <v>4.8100000000000005</v>
      </c>
      <c r="C319" s="17">
        <f ca="1">C314</f>
        <v>0.02</v>
      </c>
      <c r="D319" s="17">
        <f ca="1">+SUM(B319:C319)</f>
        <v>4.83</v>
      </c>
      <c r="E319" s="3"/>
    </row>
    <row r="320" spans="1:5">
      <c r="A320" s="4" t="s">
        <v>90</v>
      </c>
      <c r="B320" s="2">
        <v>1.1500000000000001</v>
      </c>
      <c r="C320" s="17">
        <f ca="1">C315</f>
        <v>0</v>
      </c>
      <c r="D320" s="17">
        <f ca="1">+SUM(B320:C320)</f>
        <v>1.1500000000000001</v>
      </c>
      <c r="E320" s="3"/>
    </row>
    <row r="321" spans="1:5">
      <c r="D321" s="3"/>
      <c r="E321" s="3"/>
    </row>
    <row r="322" spans="1:5">
      <c r="A322" s="32" t="s">
        <v>91</v>
      </c>
      <c r="B322" s="33"/>
      <c r="C322" s="34"/>
      <c r="D322" s="34"/>
      <c r="E322" s="3"/>
    </row>
    <row r="323" spans="1:5">
      <c r="A323" s="4" t="s">
        <v>92</v>
      </c>
      <c r="D323" s="3"/>
      <c r="E323" s="3"/>
    </row>
    <row r="324" spans="1:5">
      <c r="A324" s="4" t="s">
        <v>93</v>
      </c>
      <c r="B324" s="2">
        <v>0.16</v>
      </c>
      <c r="C324" s="17">
        <f ca="1">+ROUND(B324*$F5,2)</f>
        <v>0</v>
      </c>
      <c r="D324" s="17">
        <f ca="1">+SUM(B324:C324)</f>
        <v>0.16</v>
      </c>
      <c r="E324" s="3"/>
    </row>
    <row r="325" spans="1:5">
      <c r="D325" s="3"/>
      <c r="E325" s="3"/>
    </row>
    <row r="326" spans="1:5">
      <c r="A326" s="12" t="s">
        <v>884</v>
      </c>
      <c r="B326" s="24"/>
      <c r="C326" s="25"/>
      <c r="D326" s="27"/>
      <c r="E326" s="3"/>
    </row>
    <row r="327" spans="1:5">
      <c r="A327" s="4" t="s">
        <v>94</v>
      </c>
      <c r="D327" s="3"/>
      <c r="E327" s="3"/>
    </row>
    <row r="328" spans="1:5">
      <c r="A328" s="4" t="s">
        <v>95</v>
      </c>
      <c r="B328" s="2">
        <v>2.35</v>
      </c>
      <c r="C328" s="17">
        <f ca="1">+ROUND(B328*$F5,2)</f>
        <v>0.01</v>
      </c>
      <c r="D328" s="17">
        <f ca="1">+SUM(B328:C328)</f>
        <v>2.36</v>
      </c>
      <c r="E328" s="3"/>
    </row>
    <row r="329" spans="1:5">
      <c r="A329" s="4" t="s">
        <v>16</v>
      </c>
      <c r="B329" s="2">
        <v>14.100000000000001</v>
      </c>
      <c r="C329" s="17">
        <f ca="1">D329-B329</f>
        <v>5.9999999999998721E-2</v>
      </c>
      <c r="D329" s="17">
        <f ca="1">D328*6</f>
        <v>14.16</v>
      </c>
      <c r="E329" s="3"/>
    </row>
    <row r="330" spans="1:5">
      <c r="D330" s="3"/>
      <c r="E330" s="3"/>
    </row>
    <row r="331" spans="1:5">
      <c r="A331" s="18" t="s">
        <v>885</v>
      </c>
      <c r="B331" s="28"/>
      <c r="C331" s="29"/>
      <c r="D331" s="30"/>
      <c r="E331" s="3"/>
    </row>
    <row r="332" spans="1:5">
      <c r="A332" s="4" t="s">
        <v>94</v>
      </c>
      <c r="D332" s="3"/>
      <c r="E332" s="3"/>
    </row>
    <row r="333" spans="1:5">
      <c r="A333" s="4" t="s">
        <v>95</v>
      </c>
      <c r="B333" s="2">
        <v>2.35</v>
      </c>
      <c r="C333" s="17">
        <f ca="1">C328</f>
        <v>0.01</v>
      </c>
      <c r="D333" s="17">
        <f ca="1">+SUM(B333:C333)</f>
        <v>2.36</v>
      </c>
      <c r="E333" s="3"/>
    </row>
    <row r="334" spans="1:5">
      <c r="A334" s="4" t="s">
        <v>16</v>
      </c>
      <c r="B334" s="2">
        <v>14.100000000000001</v>
      </c>
      <c r="C334" s="17">
        <f ca="1">C329</f>
        <v>5.9999999999998721E-2</v>
      </c>
      <c r="D334" s="17">
        <f ca="1">+SUM(B334:C334)</f>
        <v>14.16</v>
      </c>
      <c r="E334" s="3"/>
    </row>
    <row r="335" spans="1:5">
      <c r="D335" s="3"/>
      <c r="E335" s="3"/>
    </row>
    <row r="336" spans="1:5" hidden="1">
      <c r="A336" s="32" t="s">
        <v>96</v>
      </c>
      <c r="B336" s="33"/>
      <c r="C336" s="34"/>
      <c r="D336" s="35"/>
      <c r="E336" s="3"/>
    </row>
    <row r="337" spans="1:5" hidden="1">
      <c r="A337" s="4" t="s">
        <v>97</v>
      </c>
      <c r="C337" s="2"/>
      <c r="D337" s="3"/>
      <c r="E337" s="3"/>
    </row>
    <row r="338" spans="1:5" hidden="1">
      <c r="A338" s="4" t="s">
        <v>98</v>
      </c>
      <c r="B338" s="2">
        <v>119</v>
      </c>
      <c r="C338" s="2"/>
      <c r="D338" s="17">
        <f t="shared" ref="D338:D344" si="13">+SUM(B338:C338)</f>
        <v>119</v>
      </c>
      <c r="E338" s="3"/>
    </row>
    <row r="339" spans="1:5" hidden="1">
      <c r="A339" s="4" t="s">
        <v>99</v>
      </c>
      <c r="B339" s="2">
        <v>119</v>
      </c>
      <c r="C339" s="2"/>
      <c r="D339" s="17">
        <f t="shared" si="13"/>
        <v>119</v>
      </c>
      <c r="E339" s="3"/>
    </row>
    <row r="340" spans="1:5" hidden="1">
      <c r="A340" s="4" t="s">
        <v>100</v>
      </c>
      <c r="B340" s="2">
        <v>119</v>
      </c>
      <c r="C340" s="2"/>
      <c r="D340" s="17">
        <f t="shared" si="13"/>
        <v>119</v>
      </c>
      <c r="E340" s="3"/>
    </row>
    <row r="341" spans="1:5" hidden="1">
      <c r="A341" s="4" t="s">
        <v>101</v>
      </c>
      <c r="B341" s="2">
        <v>38</v>
      </c>
      <c r="C341" s="2"/>
      <c r="D341" s="17">
        <f t="shared" si="13"/>
        <v>38</v>
      </c>
      <c r="E341" s="3"/>
    </row>
    <row r="342" spans="1:5" hidden="1">
      <c r="A342" s="4" t="s">
        <v>102</v>
      </c>
      <c r="B342" s="2">
        <v>10.23</v>
      </c>
      <c r="C342" s="2"/>
      <c r="D342" s="17">
        <f t="shared" si="13"/>
        <v>10.23</v>
      </c>
      <c r="E342" s="3"/>
    </row>
    <row r="343" spans="1:5" hidden="1">
      <c r="A343" s="4" t="s">
        <v>103</v>
      </c>
      <c r="B343" s="2">
        <v>10.23</v>
      </c>
      <c r="C343" s="2"/>
      <c r="D343" s="17">
        <f t="shared" si="13"/>
        <v>10.23</v>
      </c>
      <c r="E343" s="3"/>
    </row>
    <row r="344" spans="1:5" hidden="1">
      <c r="A344" s="4" t="s">
        <v>104</v>
      </c>
      <c r="B344" s="2">
        <v>117</v>
      </c>
      <c r="C344" s="2"/>
      <c r="D344" s="17">
        <f t="shared" si="13"/>
        <v>117</v>
      </c>
      <c r="E344" s="3"/>
    </row>
    <row r="345" spans="1:5" hidden="1">
      <c r="C345" s="2"/>
      <c r="D345" s="3"/>
      <c r="E345" s="3"/>
    </row>
    <row r="346" spans="1:5" hidden="1">
      <c r="A346" s="4" t="s">
        <v>105</v>
      </c>
      <c r="C346" s="2"/>
      <c r="D346" s="3"/>
      <c r="E346" s="3"/>
    </row>
    <row r="347" spans="1:5" hidden="1">
      <c r="A347" s="4" t="s">
        <v>98</v>
      </c>
      <c r="B347" s="2">
        <v>100</v>
      </c>
      <c r="C347" s="2"/>
      <c r="D347" s="17">
        <f t="shared" ref="D347:D353" si="14">+SUM(B347:C347)</f>
        <v>100</v>
      </c>
      <c r="E347" s="3"/>
    </row>
    <row r="348" spans="1:5" hidden="1">
      <c r="A348" s="4" t="s">
        <v>106</v>
      </c>
      <c r="B348" s="2">
        <v>90</v>
      </c>
      <c r="C348" s="2"/>
      <c r="D348" s="17">
        <f t="shared" si="14"/>
        <v>90</v>
      </c>
      <c r="E348" s="3"/>
    </row>
    <row r="349" spans="1:5" hidden="1">
      <c r="A349" s="4" t="s">
        <v>104</v>
      </c>
      <c r="B349" s="2">
        <v>87</v>
      </c>
      <c r="C349" s="2"/>
      <c r="D349" s="17">
        <f t="shared" si="14"/>
        <v>87</v>
      </c>
      <c r="E349" s="3"/>
    </row>
    <row r="350" spans="1:5" hidden="1">
      <c r="A350" s="4" t="s">
        <v>107</v>
      </c>
      <c r="B350" s="2">
        <v>10</v>
      </c>
      <c r="C350" s="2"/>
      <c r="D350" s="17">
        <f t="shared" si="14"/>
        <v>10</v>
      </c>
      <c r="E350" s="3"/>
    </row>
    <row r="351" spans="1:5" hidden="1">
      <c r="A351" s="4" t="s">
        <v>108</v>
      </c>
      <c r="B351" s="2">
        <v>3</v>
      </c>
      <c r="C351" s="2"/>
      <c r="D351" s="17">
        <f t="shared" si="14"/>
        <v>3</v>
      </c>
      <c r="E351" s="3"/>
    </row>
    <row r="352" spans="1:5" hidden="1">
      <c r="A352" s="4" t="s">
        <v>109</v>
      </c>
      <c r="B352" s="2">
        <v>5</v>
      </c>
      <c r="C352" s="2"/>
      <c r="D352" s="17">
        <f t="shared" si="14"/>
        <v>5</v>
      </c>
      <c r="E352" s="3"/>
    </row>
    <row r="353" spans="1:5" hidden="1">
      <c r="A353" s="4" t="s">
        <v>110</v>
      </c>
      <c r="B353" s="2">
        <v>8</v>
      </c>
      <c r="C353" s="2"/>
      <c r="D353" s="17">
        <f t="shared" si="14"/>
        <v>8</v>
      </c>
      <c r="E353" s="3"/>
    </row>
    <row r="354" spans="1:5" hidden="1">
      <c r="E354" s="3"/>
    </row>
    <row r="355" spans="1:5">
      <c r="A355" s="12" t="s">
        <v>855</v>
      </c>
      <c r="B355" s="24"/>
      <c r="C355" s="25"/>
      <c r="D355" s="27"/>
      <c r="E355" s="3"/>
    </row>
    <row r="356" spans="1:5">
      <c r="A356" s="4" t="s">
        <v>111</v>
      </c>
      <c r="B356" s="2">
        <v>28.32</v>
      </c>
      <c r="C356" s="17">
        <f ca="1">+ROUND(B356*$F5,2)</f>
        <v>0.11</v>
      </c>
      <c r="D356" s="17">
        <f t="shared" ref="D356:D362" ca="1" si="15">+SUM(B356:C356)</f>
        <v>28.43</v>
      </c>
      <c r="E356" s="3"/>
    </row>
    <row r="357" spans="1:5">
      <c r="A357" s="4" t="s">
        <v>112</v>
      </c>
      <c r="B357" s="2">
        <v>39.659999999999997</v>
      </c>
      <c r="C357" s="17">
        <f ca="1">+ROUND(B357*$F5,2)</f>
        <v>0.15</v>
      </c>
      <c r="D357" s="17">
        <f t="shared" ca="1" si="15"/>
        <v>39.809999999999995</v>
      </c>
      <c r="E357" s="3"/>
    </row>
    <row r="358" spans="1:5">
      <c r="A358" s="4" t="s">
        <v>113</v>
      </c>
      <c r="B358" s="2">
        <v>50.15</v>
      </c>
      <c r="C358" s="17">
        <f ca="1">+ROUND(B358*$F5,2)</f>
        <v>0.19</v>
      </c>
      <c r="D358" s="17">
        <f t="shared" ca="1" si="15"/>
        <v>50.339999999999996</v>
      </c>
      <c r="E358" s="3"/>
    </row>
    <row r="359" spans="1:5">
      <c r="A359" s="4" t="s">
        <v>114</v>
      </c>
      <c r="B359" s="2">
        <v>69.400000000000006</v>
      </c>
      <c r="C359" s="17">
        <f ca="1">+ROUND(B359*$F5,2)</f>
        <v>0.27</v>
      </c>
      <c r="D359" s="17">
        <f t="shared" ca="1" si="15"/>
        <v>69.67</v>
      </c>
      <c r="E359" s="3"/>
    </row>
    <row r="360" spans="1:5">
      <c r="A360" s="4" t="s">
        <v>115</v>
      </c>
      <c r="B360" s="2">
        <v>81.8</v>
      </c>
      <c r="C360" s="17">
        <f ca="1">+ROUND(B360*$F5,2)</f>
        <v>0.32</v>
      </c>
      <c r="D360" s="17">
        <f t="shared" ca="1" si="15"/>
        <v>82.11999999999999</v>
      </c>
      <c r="E360" s="3"/>
    </row>
    <row r="361" spans="1:5">
      <c r="A361" s="4" t="s">
        <v>116</v>
      </c>
      <c r="B361" s="2">
        <v>96.17</v>
      </c>
      <c r="C361" s="17">
        <f ca="1">+ROUND(B361*$F5,2)</f>
        <v>0.37</v>
      </c>
      <c r="D361" s="17">
        <f t="shared" ca="1" si="15"/>
        <v>96.54</v>
      </c>
      <c r="E361" s="3"/>
    </row>
    <row r="362" spans="1:5">
      <c r="A362" s="4" t="s">
        <v>117</v>
      </c>
      <c r="B362" s="2">
        <v>114.33</v>
      </c>
      <c r="C362" s="17">
        <f ca="1">+ROUND(B362*$F5,2)</f>
        <v>0.44</v>
      </c>
      <c r="D362" s="17">
        <f t="shared" ca="1" si="15"/>
        <v>114.77</v>
      </c>
      <c r="E362" s="3"/>
    </row>
    <row r="363" spans="1:5">
      <c r="D363" s="3"/>
      <c r="E363" s="3"/>
    </row>
    <row r="364" spans="1:5">
      <c r="A364" s="4" t="s">
        <v>118</v>
      </c>
      <c r="B364" s="2">
        <v>20.75</v>
      </c>
      <c r="C364" s="17">
        <f ca="1">+ROUND(B364*$F5,2)</f>
        <v>0.08</v>
      </c>
      <c r="D364" s="17">
        <f t="shared" ref="D364:D370" ca="1" si="16">+SUM(B364:C364)</f>
        <v>20.83</v>
      </c>
      <c r="E364" s="3"/>
    </row>
    <row r="365" spans="1:5">
      <c r="A365" s="4" t="s">
        <v>119</v>
      </c>
      <c r="B365" s="2">
        <v>28.69</v>
      </c>
      <c r="C365" s="17">
        <f ca="1">+ROUND(B365*$F5,2)</f>
        <v>0.11</v>
      </c>
      <c r="D365" s="17">
        <f t="shared" ca="1" si="16"/>
        <v>28.8</v>
      </c>
      <c r="E365" s="3"/>
    </row>
    <row r="366" spans="1:5">
      <c r="A366" s="4" t="s">
        <v>120</v>
      </c>
      <c r="B366" s="2">
        <v>35.909999999999997</v>
      </c>
      <c r="C366" s="17">
        <f ca="1">+ROUND(B366*$F5,2)</f>
        <v>0.14000000000000001</v>
      </c>
      <c r="D366" s="17">
        <f t="shared" ca="1" si="16"/>
        <v>36.049999999999997</v>
      </c>
      <c r="E366" s="3"/>
    </row>
    <row r="367" spans="1:5">
      <c r="A367" s="4" t="s">
        <v>121</v>
      </c>
      <c r="B367" s="2">
        <v>52.45</v>
      </c>
      <c r="C367" s="17">
        <f ca="1">+ROUND(B367*$F5,2)</f>
        <v>0.2</v>
      </c>
      <c r="D367" s="17">
        <f t="shared" ca="1" si="16"/>
        <v>52.650000000000006</v>
      </c>
      <c r="E367" s="3"/>
    </row>
    <row r="368" spans="1:5">
      <c r="A368" s="4" t="s">
        <v>122</v>
      </c>
      <c r="B368" s="2">
        <v>63.51</v>
      </c>
      <c r="C368" s="17">
        <f ca="1">+ROUND(B368*$F5,2)</f>
        <v>0.25</v>
      </c>
      <c r="D368" s="17">
        <f t="shared" ca="1" si="16"/>
        <v>63.76</v>
      </c>
      <c r="E368" s="3"/>
    </row>
    <row r="369" spans="1:5">
      <c r="A369" s="4" t="s">
        <v>123</v>
      </c>
      <c r="B369" s="2">
        <v>75.040000000000006</v>
      </c>
      <c r="C369" s="17">
        <f ca="1">+ROUND(B369*$F5,2)</f>
        <v>0.28999999999999998</v>
      </c>
      <c r="D369" s="17">
        <f t="shared" ca="1" si="16"/>
        <v>75.330000000000013</v>
      </c>
      <c r="E369" s="3"/>
    </row>
    <row r="370" spans="1:5">
      <c r="A370" s="4" t="s">
        <v>124</v>
      </c>
      <c r="B370" s="2">
        <v>90.49</v>
      </c>
      <c r="C370" s="17">
        <f ca="1">+ROUND(B370*$F5,2)</f>
        <v>0.35</v>
      </c>
      <c r="D370" s="17">
        <f t="shared" ca="1" si="16"/>
        <v>90.839999999999989</v>
      </c>
      <c r="E370" s="3"/>
    </row>
    <row r="371" spans="1:5">
      <c r="E371" s="3"/>
    </row>
    <row r="372" spans="1:5">
      <c r="A372" s="4" t="s">
        <v>125</v>
      </c>
      <c r="B372" s="2">
        <v>38.840000000000003</v>
      </c>
      <c r="C372" s="17">
        <f ca="1">+ROUND(B372*$F5,2)</f>
        <v>0.15</v>
      </c>
      <c r="D372" s="17">
        <f t="shared" ref="D372:D378" ca="1" si="17">+SUM(B372:C372)</f>
        <v>38.99</v>
      </c>
      <c r="E372" s="3"/>
    </row>
    <row r="373" spans="1:5">
      <c r="A373" s="4" t="s">
        <v>126</v>
      </c>
      <c r="B373" s="2">
        <v>49.04</v>
      </c>
      <c r="C373" s="17">
        <f ca="1">+ROUND(B373*$F5,2)</f>
        <v>0.19</v>
      </c>
      <c r="D373" s="17">
        <f t="shared" ca="1" si="17"/>
        <v>49.23</v>
      </c>
      <c r="E373" s="3"/>
    </row>
    <row r="374" spans="1:5">
      <c r="A374" s="4" t="s">
        <v>127</v>
      </c>
      <c r="B374" s="2">
        <v>55.81</v>
      </c>
      <c r="C374" s="17">
        <f ca="1">+ROUND(B374*$F5,2)</f>
        <v>0.22</v>
      </c>
      <c r="D374" s="17">
        <f t="shared" ca="1" si="17"/>
        <v>56.03</v>
      </c>
      <c r="E374" s="3"/>
    </row>
    <row r="375" spans="1:5">
      <c r="A375" s="4" t="s">
        <v>128</v>
      </c>
      <c r="B375" s="2">
        <v>64.849999999999994</v>
      </c>
      <c r="C375" s="17">
        <f ca="1">+ROUND(B375*$F5,2)</f>
        <v>0.25</v>
      </c>
      <c r="D375" s="17">
        <f t="shared" ca="1" si="17"/>
        <v>65.099999999999994</v>
      </c>
      <c r="E375" s="3"/>
    </row>
    <row r="376" spans="1:5">
      <c r="A376" s="4" t="s">
        <v>129</v>
      </c>
      <c r="B376" s="2">
        <v>77.16</v>
      </c>
      <c r="C376" s="17">
        <f ca="1">+ROUND(B376*$F5,2)</f>
        <v>0.3</v>
      </c>
      <c r="D376" s="17">
        <f t="shared" ca="1" si="17"/>
        <v>77.459999999999994</v>
      </c>
      <c r="E376" s="3"/>
    </row>
    <row r="377" spans="1:5">
      <c r="A377" s="4" t="s">
        <v>130</v>
      </c>
      <c r="B377" s="2">
        <v>92.75</v>
      </c>
      <c r="C377" s="17">
        <f ca="1">+ROUND(B377*$F5,2)</f>
        <v>0.36</v>
      </c>
      <c r="D377" s="17">
        <f t="shared" ca="1" si="17"/>
        <v>93.11</v>
      </c>
      <c r="E377" s="3"/>
    </row>
    <row r="378" spans="1:5">
      <c r="A378" s="4" t="s">
        <v>131</v>
      </c>
      <c r="B378" s="2">
        <v>108.92</v>
      </c>
      <c r="C378" s="17">
        <f ca="1">+ROUND(B378*$F5,2)</f>
        <v>0.42</v>
      </c>
      <c r="D378" s="17">
        <f t="shared" ca="1" si="17"/>
        <v>109.34</v>
      </c>
      <c r="E378" s="3"/>
    </row>
    <row r="379" spans="1:5">
      <c r="D379" s="3"/>
      <c r="E379" s="3"/>
    </row>
    <row r="380" spans="1:5">
      <c r="A380" s="31" t="s">
        <v>132</v>
      </c>
      <c r="D380" s="3"/>
      <c r="E380" s="3"/>
    </row>
    <row r="381" spans="1:5">
      <c r="A381" s="4" t="s">
        <v>133</v>
      </c>
      <c r="B381" s="2">
        <v>22.96</v>
      </c>
      <c r="C381" s="17">
        <f ca="1">+ROUND(B381*$F5,2)</f>
        <v>0.09</v>
      </c>
      <c r="D381" s="17">
        <f t="shared" ref="D381:D387" ca="1" si="18">+SUM(B381:C381)</f>
        <v>23.05</v>
      </c>
      <c r="E381" s="3"/>
    </row>
    <row r="382" spans="1:5">
      <c r="A382" s="4" t="s">
        <v>134</v>
      </c>
      <c r="B382" s="2">
        <v>22.96</v>
      </c>
      <c r="C382" s="17">
        <f ca="1">+ROUND(B382*$F5,2)</f>
        <v>0.09</v>
      </c>
      <c r="D382" s="17">
        <f t="shared" ca="1" si="18"/>
        <v>23.05</v>
      </c>
      <c r="E382" s="3"/>
    </row>
    <row r="383" spans="1:5">
      <c r="A383" s="4" t="s">
        <v>135</v>
      </c>
      <c r="B383" s="2">
        <v>22.96</v>
      </c>
      <c r="C383" s="17">
        <f ca="1">+ROUND(B383*$F5,2)</f>
        <v>0.09</v>
      </c>
      <c r="D383" s="17">
        <f t="shared" ca="1" si="18"/>
        <v>23.05</v>
      </c>
      <c r="E383" s="3"/>
    </row>
    <row r="384" spans="1:5">
      <c r="A384" s="4" t="s">
        <v>136</v>
      </c>
      <c r="B384" s="2">
        <v>33.89</v>
      </c>
      <c r="C384" s="17">
        <f ca="1">+ROUND(B384*$F5,2)</f>
        <v>0.13</v>
      </c>
      <c r="D384" s="17">
        <f t="shared" ca="1" si="18"/>
        <v>34.020000000000003</v>
      </c>
      <c r="E384" s="3"/>
    </row>
    <row r="385" spans="1:5">
      <c r="A385" s="4" t="s">
        <v>137</v>
      </c>
      <c r="B385" s="2">
        <v>33.89</v>
      </c>
      <c r="C385" s="17">
        <f ca="1">+ROUND(B385*$F5,2)</f>
        <v>0.13</v>
      </c>
      <c r="D385" s="17">
        <f t="shared" ca="1" si="18"/>
        <v>34.020000000000003</v>
      </c>
      <c r="E385" s="3"/>
    </row>
    <row r="386" spans="1:5">
      <c r="A386" s="4" t="s">
        <v>138</v>
      </c>
      <c r="B386" s="2">
        <v>33.89</v>
      </c>
      <c r="C386" s="17">
        <f ca="1">+ROUND(B386*$F5,2)</f>
        <v>0.13</v>
      </c>
      <c r="D386" s="17">
        <f t="shared" ca="1" si="18"/>
        <v>34.020000000000003</v>
      </c>
      <c r="E386" s="3"/>
    </row>
    <row r="387" spans="1:5">
      <c r="A387" s="4" t="s">
        <v>139</v>
      </c>
      <c r="B387" s="2">
        <v>33.89</v>
      </c>
      <c r="C387" s="17">
        <f ca="1">+ROUND(B387*$F5,2)</f>
        <v>0.13</v>
      </c>
      <c r="D387" s="17">
        <f t="shared" ca="1" si="18"/>
        <v>34.020000000000003</v>
      </c>
      <c r="E387" s="3"/>
    </row>
    <row r="388" spans="1:5">
      <c r="E388" s="3"/>
    </row>
    <row r="389" spans="1:5">
      <c r="A389" s="4" t="s">
        <v>140</v>
      </c>
      <c r="B389" s="2">
        <v>28.66</v>
      </c>
      <c r="C389" s="17">
        <f ca="1">+ROUND(B389*$F5,2)</f>
        <v>0.11</v>
      </c>
      <c r="D389" s="17">
        <f t="shared" ref="D389:D395" ca="1" si="19">+SUM(B389:C389)</f>
        <v>28.77</v>
      </c>
      <c r="E389" s="3"/>
    </row>
    <row r="390" spans="1:5">
      <c r="A390" s="4" t="s">
        <v>141</v>
      </c>
      <c r="B390" s="2">
        <v>38.56</v>
      </c>
      <c r="C390" s="17">
        <f ca="1">+ROUND(B390*$F5,2)</f>
        <v>0.15</v>
      </c>
      <c r="D390" s="17">
        <f t="shared" ca="1" si="19"/>
        <v>38.71</v>
      </c>
      <c r="E390" s="3"/>
    </row>
    <row r="391" spans="1:5">
      <c r="A391" s="4" t="s">
        <v>142</v>
      </c>
      <c r="B391" s="2">
        <v>51.25</v>
      </c>
      <c r="C391" s="17">
        <f ca="1">+ROUND(B391*$F5,2)</f>
        <v>0.2</v>
      </c>
      <c r="D391" s="17">
        <f t="shared" ca="1" si="19"/>
        <v>51.45</v>
      </c>
      <c r="E391" s="3"/>
    </row>
    <row r="392" spans="1:5">
      <c r="A392" s="4" t="s">
        <v>143</v>
      </c>
      <c r="B392" s="2">
        <v>64.53</v>
      </c>
      <c r="C392" s="17">
        <f ca="1">+ROUND(B392*$F5,2)</f>
        <v>0.25</v>
      </c>
      <c r="D392" s="17">
        <f t="shared" ca="1" si="19"/>
        <v>64.78</v>
      </c>
      <c r="E392" s="3"/>
    </row>
    <row r="393" spans="1:5">
      <c r="A393" s="4" t="s">
        <v>144</v>
      </c>
      <c r="B393" s="2">
        <v>78.73</v>
      </c>
      <c r="C393" s="17">
        <f ca="1">+ROUND(B393*$F5,2)</f>
        <v>0.31</v>
      </c>
      <c r="D393" s="17">
        <f t="shared" ca="1" si="19"/>
        <v>79.040000000000006</v>
      </c>
      <c r="E393" s="3"/>
    </row>
    <row r="394" spans="1:5">
      <c r="A394" s="4" t="s">
        <v>145</v>
      </c>
      <c r="B394" s="26">
        <v>90.31</v>
      </c>
      <c r="C394" s="17">
        <f ca="1">+ROUND(B394*$F5,2)</f>
        <v>0.35</v>
      </c>
      <c r="D394" s="17">
        <f t="shared" ca="1" si="19"/>
        <v>90.66</v>
      </c>
      <c r="E394" s="3"/>
    </row>
    <row r="395" spans="1:5">
      <c r="A395" s="4" t="s">
        <v>146</v>
      </c>
      <c r="B395" s="2">
        <v>106.6</v>
      </c>
      <c r="C395" s="17">
        <f ca="1">+ROUND(B395*$F5,2)</f>
        <v>0.41</v>
      </c>
      <c r="D395" s="17">
        <f t="shared" ca="1" si="19"/>
        <v>107.00999999999999</v>
      </c>
      <c r="E395" s="3"/>
    </row>
    <row r="396" spans="1:5">
      <c r="D396" s="3"/>
      <c r="E396" s="3"/>
    </row>
    <row r="397" spans="1:5">
      <c r="A397" s="4" t="s">
        <v>147</v>
      </c>
      <c r="D397" s="3"/>
      <c r="E397" s="3"/>
    </row>
    <row r="398" spans="1:5">
      <c r="A398" s="4" t="s">
        <v>148</v>
      </c>
      <c r="B398" s="2">
        <v>0.51</v>
      </c>
      <c r="C398" s="17">
        <f ca="1">+ROUND(B398*$F5,2)</f>
        <v>0</v>
      </c>
      <c r="D398" s="17">
        <f t="shared" ref="D398:D404" ca="1" si="20">+SUM(B398:C398)</f>
        <v>0.51</v>
      </c>
      <c r="E398" s="3"/>
    </row>
    <row r="399" spans="1:5">
      <c r="A399" s="4" t="s">
        <v>149</v>
      </c>
      <c r="B399" s="2">
        <v>0.51</v>
      </c>
      <c r="C399" s="17">
        <f ca="1">+ROUND(B399*$F5,2)</f>
        <v>0</v>
      </c>
      <c r="D399" s="17">
        <f t="shared" ca="1" si="20"/>
        <v>0.51</v>
      </c>
      <c r="E399" s="3"/>
    </row>
    <row r="400" spans="1:5">
      <c r="A400" s="4" t="s">
        <v>150</v>
      </c>
      <c r="B400" s="2">
        <v>0.57000000000000006</v>
      </c>
      <c r="C400" s="17">
        <f ca="1">+ROUND(B400*$F5,2)</f>
        <v>0</v>
      </c>
      <c r="D400" s="17">
        <f t="shared" ca="1" si="20"/>
        <v>0.57000000000000006</v>
      </c>
      <c r="E400" s="3"/>
    </row>
    <row r="401" spans="1:5">
      <c r="A401" s="4" t="s">
        <v>151</v>
      </c>
      <c r="B401" s="2">
        <v>0.57000000000000006</v>
      </c>
      <c r="C401" s="17">
        <f ca="1">+ROUND(B401*$F5,2)</f>
        <v>0</v>
      </c>
      <c r="D401" s="17">
        <f t="shared" ca="1" si="20"/>
        <v>0.57000000000000006</v>
      </c>
      <c r="E401" s="3"/>
    </row>
    <row r="402" spans="1:5">
      <c r="A402" s="4" t="s">
        <v>152</v>
      </c>
      <c r="B402" s="2">
        <v>0.62</v>
      </c>
      <c r="C402" s="17">
        <f ca="1">+ROUND(B402*$F5,2)</f>
        <v>0</v>
      </c>
      <c r="D402" s="17">
        <f t="shared" ca="1" si="20"/>
        <v>0.62</v>
      </c>
      <c r="E402" s="3"/>
    </row>
    <row r="403" spans="1:5">
      <c r="A403" s="4" t="s">
        <v>153</v>
      </c>
      <c r="B403" s="2">
        <v>0.62</v>
      </c>
      <c r="C403" s="17">
        <f ca="1">+ROUND(B403*$F5,2)</f>
        <v>0</v>
      </c>
      <c r="D403" s="17">
        <f t="shared" ca="1" si="20"/>
        <v>0.62</v>
      </c>
      <c r="E403" s="3"/>
    </row>
    <row r="404" spans="1:5">
      <c r="A404" s="4" t="s">
        <v>154</v>
      </c>
      <c r="B404" s="2">
        <v>0.68</v>
      </c>
      <c r="C404" s="17">
        <f ca="1">+ROUND(B404*$F5,2)</f>
        <v>0</v>
      </c>
      <c r="D404" s="17">
        <f t="shared" ca="1" si="20"/>
        <v>0.68</v>
      </c>
      <c r="E404" s="3"/>
    </row>
    <row r="405" spans="1:5">
      <c r="D405" s="3"/>
      <c r="E405" s="3"/>
    </row>
    <row r="406" spans="1:5">
      <c r="A406" s="4" t="s">
        <v>155</v>
      </c>
      <c r="B406" s="2">
        <v>34.97</v>
      </c>
      <c r="C406" s="17">
        <f ca="1">+ROUND(B406*$F5,2)</f>
        <v>0.14000000000000001</v>
      </c>
      <c r="D406" s="17">
        <f ca="1">+SUM(B406:C406)</f>
        <v>35.11</v>
      </c>
      <c r="E406" s="3"/>
    </row>
    <row r="407" spans="1:5">
      <c r="D407" s="3"/>
      <c r="E407" s="3"/>
    </row>
    <row r="408" spans="1:5">
      <c r="A408" s="4" t="s">
        <v>156</v>
      </c>
      <c r="B408" s="2">
        <v>3.83</v>
      </c>
      <c r="C408" s="17">
        <f ca="1">+ROUND(B408*$F5,2)</f>
        <v>0.01</v>
      </c>
      <c r="D408" s="17">
        <f ca="1">+SUM(B408:C408)</f>
        <v>3.84</v>
      </c>
      <c r="E408" s="3"/>
    </row>
    <row r="409" spans="1:5">
      <c r="D409" s="3"/>
      <c r="E409" s="3"/>
    </row>
    <row r="410" spans="1:5">
      <c r="A410" s="18" t="s">
        <v>854</v>
      </c>
      <c r="B410" s="28"/>
      <c r="C410" s="29"/>
      <c r="D410" s="30"/>
      <c r="E410" s="3"/>
    </row>
    <row r="411" spans="1:5">
      <c r="A411" s="4" t="s">
        <v>111</v>
      </c>
      <c r="B411" s="2">
        <v>32.909999999999997</v>
      </c>
      <c r="C411" s="17">
        <f ca="1">+ROUND(B411*$F8,2)</f>
        <v>0.13</v>
      </c>
      <c r="D411" s="17">
        <f t="shared" ref="D411:D417" ca="1" si="21">+SUM(B411:C411)</f>
        <v>33.04</v>
      </c>
      <c r="E411" s="3"/>
    </row>
    <row r="412" spans="1:5">
      <c r="A412" s="4" t="s">
        <v>112</v>
      </c>
      <c r="B412" s="2">
        <v>47.76</v>
      </c>
      <c r="C412" s="17">
        <f ca="1">+ROUND(B412*$F8,2)</f>
        <v>0.18</v>
      </c>
      <c r="D412" s="17">
        <f t="shared" ca="1" si="21"/>
        <v>47.94</v>
      </c>
      <c r="E412" s="3"/>
    </row>
    <row r="413" spans="1:5">
      <c r="A413" s="4" t="s">
        <v>113</v>
      </c>
      <c r="B413" s="2">
        <v>59.4</v>
      </c>
      <c r="C413" s="17">
        <f ca="1">+ROUND(B413*$F8,2)</f>
        <v>0.23</v>
      </c>
      <c r="D413" s="17">
        <f t="shared" ca="1" si="21"/>
        <v>59.629999999999995</v>
      </c>
      <c r="E413" s="3"/>
    </row>
    <row r="414" spans="1:5">
      <c r="A414" s="4" t="s">
        <v>114</v>
      </c>
      <c r="B414" s="2">
        <v>72.25</v>
      </c>
      <c r="C414" s="17">
        <f ca="1">+ROUND(B414*$F8,2)</f>
        <v>0.28000000000000003</v>
      </c>
      <c r="D414" s="17">
        <f t="shared" ca="1" si="21"/>
        <v>72.53</v>
      </c>
      <c r="E414" s="3"/>
    </row>
    <row r="415" spans="1:5">
      <c r="A415" s="4" t="s">
        <v>115</v>
      </c>
      <c r="B415" s="2">
        <v>95.470000000000013</v>
      </c>
      <c r="C415" s="17">
        <f ca="1">+ROUND(B415*$F8,2)</f>
        <v>0.37</v>
      </c>
      <c r="D415" s="17">
        <f t="shared" ca="1" si="21"/>
        <v>95.840000000000018</v>
      </c>
      <c r="E415" s="3"/>
    </row>
    <row r="416" spans="1:5">
      <c r="A416" s="4" t="s">
        <v>116</v>
      </c>
      <c r="B416" s="2">
        <v>118.99</v>
      </c>
      <c r="C416" s="17">
        <f ca="1">+ROUND(B416*$F8,2)</f>
        <v>0.46</v>
      </c>
      <c r="D416" s="17">
        <f t="shared" ca="1" si="21"/>
        <v>119.44999999999999</v>
      </c>
      <c r="E416" s="3"/>
    </row>
    <row r="417" spans="1:5">
      <c r="A417" s="4" t="s">
        <v>117</v>
      </c>
      <c r="B417" s="2">
        <v>142.54000000000002</v>
      </c>
      <c r="C417" s="17">
        <f ca="1">+ROUND(B417*$F8,2)</f>
        <v>0.55000000000000004</v>
      </c>
      <c r="D417" s="17">
        <f t="shared" ca="1" si="21"/>
        <v>143.09000000000003</v>
      </c>
      <c r="E417" s="3"/>
    </row>
    <row r="418" spans="1:5">
      <c r="D418" s="3"/>
      <c r="E418" s="3"/>
    </row>
    <row r="419" spans="1:5">
      <c r="A419" s="4" t="s">
        <v>118</v>
      </c>
      <c r="B419" s="2">
        <v>21.89</v>
      </c>
      <c r="C419" s="17">
        <f ca="1">+ROUND(B419*$F8,2)</f>
        <v>0.08</v>
      </c>
      <c r="D419" s="17">
        <f t="shared" ref="D419:D425" ca="1" si="22">+SUM(B419:C419)</f>
        <v>21.97</v>
      </c>
      <c r="E419" s="3"/>
    </row>
    <row r="420" spans="1:5">
      <c r="A420" s="4" t="s">
        <v>119</v>
      </c>
      <c r="B420" s="2">
        <v>30.11</v>
      </c>
      <c r="C420" s="17">
        <f ca="1">+ROUND(B420*$F8,2)</f>
        <v>0.12</v>
      </c>
      <c r="D420" s="17">
        <f t="shared" ca="1" si="22"/>
        <v>30.23</v>
      </c>
      <c r="E420" s="3"/>
    </row>
    <row r="421" spans="1:5">
      <c r="A421" s="4" t="s">
        <v>120</v>
      </c>
      <c r="B421" s="2">
        <v>37.769999999999996</v>
      </c>
      <c r="C421" s="17">
        <f ca="1">+ROUND(B421*$F8,2)</f>
        <v>0.14000000000000001</v>
      </c>
      <c r="D421" s="17">
        <f t="shared" ca="1" si="22"/>
        <v>37.909999999999997</v>
      </c>
      <c r="E421" s="3"/>
    </row>
    <row r="422" spans="1:5">
      <c r="A422" s="4" t="s">
        <v>121</v>
      </c>
      <c r="B422" s="2">
        <v>54</v>
      </c>
      <c r="C422" s="17">
        <f ca="1">+ROUND(B422*$F8,2)</f>
        <v>0.21</v>
      </c>
      <c r="D422" s="17">
        <f t="shared" ca="1" si="22"/>
        <v>54.21</v>
      </c>
      <c r="E422" s="3"/>
    </row>
    <row r="423" spans="1:5">
      <c r="A423" s="4" t="s">
        <v>122</v>
      </c>
      <c r="B423" s="2">
        <v>66.900000000000006</v>
      </c>
      <c r="C423" s="17">
        <f ca="1">+ROUND(B423*$F8,2)</f>
        <v>0.26</v>
      </c>
      <c r="D423" s="17">
        <f t="shared" ca="1" si="22"/>
        <v>67.160000000000011</v>
      </c>
      <c r="E423" s="3"/>
    </row>
    <row r="424" spans="1:5">
      <c r="A424" s="4" t="s">
        <v>123</v>
      </c>
      <c r="B424" s="2">
        <v>76.069999999999993</v>
      </c>
      <c r="C424" s="17">
        <f ca="1">+ROUND(B424*$F8,2)</f>
        <v>0.28999999999999998</v>
      </c>
      <c r="D424" s="17">
        <f t="shared" ca="1" si="22"/>
        <v>76.36</v>
      </c>
      <c r="E424" s="3"/>
    </row>
    <row r="425" spans="1:5">
      <c r="A425" s="4" t="s">
        <v>124</v>
      </c>
      <c r="B425" s="2">
        <v>85.23</v>
      </c>
      <c r="C425" s="17">
        <f ca="1">+ROUND(B425*$F8,2)</f>
        <v>0.33</v>
      </c>
      <c r="D425" s="17">
        <f t="shared" ca="1" si="22"/>
        <v>85.56</v>
      </c>
      <c r="E425" s="3"/>
    </row>
    <row r="426" spans="1:5">
      <c r="E426" s="3"/>
    </row>
    <row r="427" spans="1:5">
      <c r="A427" s="4" t="s">
        <v>125</v>
      </c>
      <c r="B427" s="2">
        <v>27.25</v>
      </c>
      <c r="C427" s="17">
        <f ca="1">+ROUND(B427*$F8,2)</f>
        <v>0.1</v>
      </c>
      <c r="D427" s="17">
        <f t="shared" ref="D427:D433" ca="1" si="23">+SUM(B427:C427)</f>
        <v>27.35</v>
      </c>
      <c r="E427" s="3"/>
    </row>
    <row r="428" spans="1:5">
      <c r="A428" s="4" t="s">
        <v>126</v>
      </c>
      <c r="B428" s="2">
        <v>35.69</v>
      </c>
      <c r="C428" s="17">
        <f ca="1">+ROUND(B428*$F8,2)</f>
        <v>0.14000000000000001</v>
      </c>
      <c r="D428" s="17">
        <f t="shared" ca="1" si="23"/>
        <v>35.83</v>
      </c>
      <c r="E428" s="3"/>
    </row>
    <row r="429" spans="1:5">
      <c r="A429" s="4" t="s">
        <v>127</v>
      </c>
      <c r="B429" s="2">
        <v>43.339999999999996</v>
      </c>
      <c r="C429" s="17">
        <f ca="1">+ROUND(B429*$F8,2)</f>
        <v>0.17</v>
      </c>
      <c r="D429" s="17">
        <f t="shared" ca="1" si="23"/>
        <v>43.51</v>
      </c>
      <c r="E429" s="3"/>
    </row>
    <row r="430" spans="1:5">
      <c r="A430" s="4" t="s">
        <v>128</v>
      </c>
      <c r="B430" s="2">
        <v>64.77</v>
      </c>
      <c r="C430" s="17">
        <f ca="1">+ROUND(B430*$F8,2)</f>
        <v>0.25</v>
      </c>
      <c r="D430" s="17">
        <f t="shared" ca="1" si="23"/>
        <v>65.02</v>
      </c>
      <c r="E430" s="3"/>
    </row>
    <row r="431" spans="1:5">
      <c r="A431" s="4" t="s">
        <v>129</v>
      </c>
      <c r="B431" s="2">
        <v>86.49</v>
      </c>
      <c r="C431" s="17">
        <f ca="1">+ROUND(B431*$F8,2)</f>
        <v>0.33</v>
      </c>
      <c r="D431" s="17">
        <f t="shared" ca="1" si="23"/>
        <v>86.82</v>
      </c>
      <c r="E431" s="3"/>
    </row>
    <row r="432" spans="1:5">
      <c r="A432" s="4" t="s">
        <v>130</v>
      </c>
      <c r="B432" s="2">
        <v>109.56</v>
      </c>
      <c r="C432" s="17">
        <f ca="1">+ROUND(B432*$F8,2)</f>
        <v>0.42</v>
      </c>
      <c r="D432" s="17">
        <f t="shared" ca="1" si="23"/>
        <v>109.98</v>
      </c>
      <c r="E432" s="3"/>
    </row>
    <row r="433" spans="1:5">
      <c r="A433" s="4" t="s">
        <v>131</v>
      </c>
      <c r="B433" s="2">
        <v>127.63999999999999</v>
      </c>
      <c r="C433" s="17">
        <f ca="1">+ROUND(B433*$F8,2)</f>
        <v>0.49</v>
      </c>
      <c r="D433" s="17">
        <f t="shared" ca="1" si="23"/>
        <v>128.13</v>
      </c>
      <c r="E433" s="3"/>
    </row>
    <row r="434" spans="1:5">
      <c r="D434" s="3"/>
      <c r="E434" s="3"/>
    </row>
    <row r="435" spans="1:5">
      <c r="A435" s="31" t="s">
        <v>132</v>
      </c>
      <c r="D435" s="3"/>
      <c r="E435" s="3"/>
    </row>
    <row r="436" spans="1:5">
      <c r="A436" s="4" t="s">
        <v>133</v>
      </c>
      <c r="B436" s="2">
        <v>27.38</v>
      </c>
      <c r="C436" s="17">
        <f ca="1">+ROUND(B436*$F8,2)</f>
        <v>0.1</v>
      </c>
      <c r="D436" s="17">
        <f t="shared" ref="D436:D442" ca="1" si="24">+SUM(B436:C436)</f>
        <v>27.48</v>
      </c>
      <c r="E436" s="3"/>
    </row>
    <row r="437" spans="1:5">
      <c r="A437" s="4" t="s">
        <v>134</v>
      </c>
      <c r="B437" s="2">
        <v>27.38</v>
      </c>
      <c r="C437" s="17">
        <f ca="1">+ROUND(B437*$F8,2)</f>
        <v>0.1</v>
      </c>
      <c r="D437" s="17">
        <f t="shared" ca="1" si="24"/>
        <v>27.48</v>
      </c>
      <c r="E437" s="3"/>
    </row>
    <row r="438" spans="1:5">
      <c r="A438" s="4" t="s">
        <v>135</v>
      </c>
      <c r="B438" s="2">
        <v>27.38</v>
      </c>
      <c r="C438" s="17">
        <f ca="1">+ROUND(B438*$F8,2)</f>
        <v>0.1</v>
      </c>
      <c r="D438" s="17">
        <f t="shared" ca="1" si="24"/>
        <v>27.48</v>
      </c>
      <c r="E438" s="3"/>
    </row>
    <row r="439" spans="1:5">
      <c r="A439" s="4" t="s">
        <v>136</v>
      </c>
      <c r="B439" s="2">
        <v>27.38</v>
      </c>
      <c r="C439" s="17">
        <f ca="1">+ROUND(B439*$F8,2)</f>
        <v>0.1</v>
      </c>
      <c r="D439" s="17">
        <f t="shared" ca="1" si="24"/>
        <v>27.48</v>
      </c>
      <c r="E439" s="3"/>
    </row>
    <row r="440" spans="1:5">
      <c r="A440" s="4" t="s">
        <v>137</v>
      </c>
      <c r="B440" s="2">
        <v>27.38</v>
      </c>
      <c r="C440" s="17">
        <f ca="1">+ROUND(B440*$F8,2)</f>
        <v>0.1</v>
      </c>
      <c r="D440" s="17">
        <f t="shared" ca="1" si="24"/>
        <v>27.48</v>
      </c>
      <c r="E440" s="3"/>
    </row>
    <row r="441" spans="1:5">
      <c r="A441" s="4" t="s">
        <v>138</v>
      </c>
      <c r="B441" s="2">
        <v>27.38</v>
      </c>
      <c r="C441" s="17">
        <f ca="1">+ROUND(B441*$F8,2)</f>
        <v>0.1</v>
      </c>
      <c r="D441" s="17">
        <f t="shared" ca="1" si="24"/>
        <v>27.48</v>
      </c>
      <c r="E441" s="3"/>
    </row>
    <row r="442" spans="1:5">
      <c r="A442" s="4" t="s">
        <v>139</v>
      </c>
      <c r="B442" s="2">
        <v>27.38</v>
      </c>
      <c r="C442" s="17">
        <f ca="1">+ROUND(B442*$F8,2)</f>
        <v>0.1</v>
      </c>
      <c r="D442" s="17">
        <f t="shared" ca="1" si="24"/>
        <v>27.48</v>
      </c>
      <c r="E442" s="3"/>
    </row>
    <row r="443" spans="1:5">
      <c r="E443" s="3"/>
    </row>
    <row r="444" spans="1:5">
      <c r="A444" s="4" t="s">
        <v>140</v>
      </c>
      <c r="B444" s="2">
        <v>27.25</v>
      </c>
      <c r="C444" s="17">
        <f ca="1">+ROUND(B444*$F8,2)</f>
        <v>0.1</v>
      </c>
      <c r="D444" s="17">
        <f t="shared" ref="D444:D450" ca="1" si="25">+SUM(B444:C444)</f>
        <v>27.35</v>
      </c>
      <c r="E444" s="3"/>
    </row>
    <row r="445" spans="1:5">
      <c r="A445" s="4" t="s">
        <v>141</v>
      </c>
      <c r="B445" s="2">
        <v>35.69</v>
      </c>
      <c r="C445" s="17">
        <f ca="1">+ROUND(B445*$F8,2)</f>
        <v>0.14000000000000001</v>
      </c>
      <c r="D445" s="17">
        <f t="shared" ca="1" si="25"/>
        <v>35.83</v>
      </c>
      <c r="E445" s="3"/>
    </row>
    <row r="446" spans="1:5">
      <c r="A446" s="4" t="s">
        <v>142</v>
      </c>
      <c r="B446" s="2">
        <v>43.339999999999996</v>
      </c>
      <c r="C446" s="17">
        <f ca="1">+ROUND(B446*$F8,2)</f>
        <v>0.17</v>
      </c>
      <c r="D446" s="17">
        <f t="shared" ca="1" si="25"/>
        <v>43.51</v>
      </c>
      <c r="E446" s="3"/>
    </row>
    <row r="447" spans="1:5">
      <c r="A447" s="4" t="s">
        <v>143</v>
      </c>
      <c r="B447" s="2">
        <v>64.77</v>
      </c>
      <c r="C447" s="17">
        <f ca="1">+ROUND(B447*$F8,2)</f>
        <v>0.25</v>
      </c>
      <c r="D447" s="17">
        <f t="shared" ca="1" si="25"/>
        <v>65.02</v>
      </c>
      <c r="E447" s="3"/>
    </row>
    <row r="448" spans="1:5">
      <c r="A448" s="4" t="s">
        <v>144</v>
      </c>
      <c r="B448" s="2">
        <v>86.49</v>
      </c>
      <c r="C448" s="17">
        <f ca="1">+ROUND(B448*$F8,2)</f>
        <v>0.33</v>
      </c>
      <c r="D448" s="17">
        <f t="shared" ca="1" si="25"/>
        <v>86.82</v>
      </c>
      <c r="E448" s="3"/>
    </row>
    <row r="449" spans="1:5">
      <c r="A449" s="4" t="s">
        <v>145</v>
      </c>
      <c r="B449" s="2">
        <v>109.56</v>
      </c>
      <c r="C449" s="17">
        <f ca="1">+ROUND(B449*$F8,2)</f>
        <v>0.42</v>
      </c>
      <c r="D449" s="17">
        <f t="shared" ca="1" si="25"/>
        <v>109.98</v>
      </c>
      <c r="E449" s="3"/>
    </row>
    <row r="450" spans="1:5">
      <c r="A450" s="4" t="s">
        <v>146</v>
      </c>
      <c r="B450" s="2">
        <v>127.63999999999999</v>
      </c>
      <c r="C450" s="17">
        <f ca="1">+ROUND(B450*$F8,2)</f>
        <v>0.49</v>
      </c>
      <c r="D450" s="17">
        <f t="shared" ca="1" si="25"/>
        <v>128.13</v>
      </c>
      <c r="E450" s="3"/>
    </row>
    <row r="451" spans="1:5">
      <c r="D451" s="3"/>
      <c r="E451" s="3"/>
    </row>
    <row r="452" spans="1:5">
      <c r="A452" s="4" t="s">
        <v>147</v>
      </c>
      <c r="D452" s="3"/>
      <c r="E452" s="3"/>
    </row>
    <row r="453" spans="1:5">
      <c r="A453" s="4" t="s">
        <v>148</v>
      </c>
      <c r="B453" s="2">
        <v>0.51</v>
      </c>
      <c r="C453" s="17">
        <f ca="1">+ROUND(B453*$F8,2)</f>
        <v>0</v>
      </c>
      <c r="D453" s="17">
        <f t="shared" ref="D453:D459" ca="1" si="26">+SUM(B453:C453)</f>
        <v>0.51</v>
      </c>
      <c r="E453" s="3"/>
    </row>
    <row r="454" spans="1:5">
      <c r="A454" s="4" t="s">
        <v>149</v>
      </c>
      <c r="B454" s="2">
        <v>0.51</v>
      </c>
      <c r="C454" s="17">
        <f ca="1">+ROUND(B454*$F8,2)</f>
        <v>0</v>
      </c>
      <c r="D454" s="17">
        <f t="shared" ca="1" si="26"/>
        <v>0.51</v>
      </c>
      <c r="E454" s="3"/>
    </row>
    <row r="455" spans="1:5">
      <c r="A455" s="4" t="s">
        <v>150</v>
      </c>
      <c r="B455" s="2">
        <v>0.57000000000000006</v>
      </c>
      <c r="C455" s="17">
        <f ca="1">+ROUND(B455*$F8,2)</f>
        <v>0</v>
      </c>
      <c r="D455" s="17">
        <f t="shared" ca="1" si="26"/>
        <v>0.57000000000000006</v>
      </c>
      <c r="E455" s="3"/>
    </row>
    <row r="456" spans="1:5">
      <c r="A456" s="4" t="s">
        <v>151</v>
      </c>
      <c r="B456" s="2">
        <v>0.57000000000000006</v>
      </c>
      <c r="C456" s="17">
        <f ca="1">+ROUND(B456*$F8,2)</f>
        <v>0</v>
      </c>
      <c r="D456" s="17">
        <f t="shared" ca="1" si="26"/>
        <v>0.57000000000000006</v>
      </c>
      <c r="E456" s="3"/>
    </row>
    <row r="457" spans="1:5">
      <c r="A457" s="4" t="s">
        <v>152</v>
      </c>
      <c r="B457" s="2">
        <v>0.63</v>
      </c>
      <c r="C457" s="17">
        <f ca="1">+ROUND(B457*$F8,2)</f>
        <v>0</v>
      </c>
      <c r="D457" s="17">
        <f t="shared" ca="1" si="26"/>
        <v>0.63</v>
      </c>
      <c r="E457" s="3"/>
    </row>
    <row r="458" spans="1:5">
      <c r="A458" s="4" t="s">
        <v>153</v>
      </c>
      <c r="B458" s="2">
        <v>0.63</v>
      </c>
      <c r="C458" s="17">
        <f ca="1">+ROUND(B458*$F8,2)</f>
        <v>0</v>
      </c>
      <c r="D458" s="17">
        <f t="shared" ca="1" si="26"/>
        <v>0.63</v>
      </c>
      <c r="E458" s="3"/>
    </row>
    <row r="459" spans="1:5">
      <c r="A459" s="4" t="s">
        <v>154</v>
      </c>
      <c r="B459" s="2">
        <v>0.69000000000000006</v>
      </c>
      <c r="C459" s="17">
        <f ca="1">+ROUND(B459*$F8,2)</f>
        <v>0</v>
      </c>
      <c r="D459" s="17">
        <f t="shared" ca="1" si="26"/>
        <v>0.69000000000000006</v>
      </c>
      <c r="E459" s="3"/>
    </row>
    <row r="460" spans="1:5">
      <c r="D460" s="3"/>
      <c r="E460" s="3"/>
    </row>
    <row r="461" spans="1:5">
      <c r="A461" s="4" t="s">
        <v>156</v>
      </c>
      <c r="B461" s="2">
        <v>3.83</v>
      </c>
      <c r="C461" s="17">
        <f ca="1">C408</f>
        <v>0.01</v>
      </c>
      <c r="D461" s="17">
        <f ca="1">+SUM(B461:C461)</f>
        <v>3.84</v>
      </c>
      <c r="E461" s="3"/>
    </row>
    <row r="462" spans="1:5">
      <c r="E462" s="3"/>
    </row>
    <row r="463" spans="1:5">
      <c r="A463" s="12" t="s">
        <v>856</v>
      </c>
      <c r="B463" s="24"/>
      <c r="C463" s="25"/>
      <c r="D463" s="27"/>
      <c r="E463" s="3"/>
    </row>
    <row r="464" spans="1:5">
      <c r="D464" s="3"/>
      <c r="E464" s="3"/>
    </row>
    <row r="465" spans="1:8">
      <c r="A465" s="4" t="s">
        <v>157</v>
      </c>
      <c r="B465" s="2">
        <v>6.65</v>
      </c>
      <c r="C465" s="17">
        <f ca="1">+ROUND(B465*$F5,2)</f>
        <v>0.03</v>
      </c>
      <c r="D465" s="17">
        <f ca="1">+SUM(B465:C465)</f>
        <v>6.6800000000000006</v>
      </c>
      <c r="E465" s="3"/>
    </row>
    <row r="466" spans="1:8">
      <c r="A466" s="4" t="s">
        <v>158</v>
      </c>
      <c r="B466" s="2">
        <v>28.79</v>
      </c>
      <c r="C466" s="17">
        <f ca="1">D466-B466</f>
        <v>0.13440000000000296</v>
      </c>
      <c r="D466" s="17">
        <f ca="1">D465*4.33</f>
        <v>28.924400000000002</v>
      </c>
      <c r="E466" s="3"/>
    </row>
    <row r="467" spans="1:8">
      <c r="A467" s="4" t="s">
        <v>159</v>
      </c>
      <c r="B467" s="2">
        <v>9.2200000000000006</v>
      </c>
      <c r="C467" s="17">
        <f ca="1">D467-B467</f>
        <v>-0.54000000000000092</v>
      </c>
      <c r="D467" s="17">
        <f ca="1">D465+2</f>
        <v>8.68</v>
      </c>
      <c r="E467" s="3"/>
      <c r="H467" s="4" t="s">
        <v>4</v>
      </c>
    </row>
    <row r="468" spans="1:8">
      <c r="D468" s="3"/>
      <c r="E468" s="3"/>
    </row>
    <row r="469" spans="1:8">
      <c r="A469" s="4" t="s">
        <v>160</v>
      </c>
      <c r="B469" s="2">
        <v>9.2200000000000006</v>
      </c>
      <c r="C469" s="17">
        <f ca="1">+ROUND(B469*$F5,2)</f>
        <v>0.04</v>
      </c>
      <c r="D469" s="17">
        <f ca="1">+SUM(B469:C469)</f>
        <v>9.26</v>
      </c>
      <c r="E469" s="3"/>
    </row>
    <row r="470" spans="1:8">
      <c r="A470" s="4" t="s">
        <v>161</v>
      </c>
      <c r="B470" s="2">
        <v>39.92</v>
      </c>
      <c r="C470" s="17">
        <f ca="1">D470-B470</f>
        <v>0.17579999999999529</v>
      </c>
      <c r="D470" s="17">
        <f ca="1">D469*4.33</f>
        <v>40.095799999999997</v>
      </c>
      <c r="E470" s="3"/>
    </row>
    <row r="471" spans="1:8">
      <c r="A471" s="4" t="s">
        <v>159</v>
      </c>
      <c r="B471" s="2">
        <v>11.22</v>
      </c>
      <c r="C471" s="17">
        <f ca="1">D471-B471</f>
        <v>3.9999999999999147E-2</v>
      </c>
      <c r="D471" s="17">
        <f ca="1">D469+2</f>
        <v>11.26</v>
      </c>
      <c r="E471" s="3"/>
      <c r="H471" s="4" t="s">
        <v>4</v>
      </c>
    </row>
    <row r="472" spans="1:8">
      <c r="E472" s="3"/>
    </row>
    <row r="473" spans="1:8">
      <c r="A473" s="4" t="s">
        <v>162</v>
      </c>
      <c r="B473" s="2">
        <v>5.3</v>
      </c>
      <c r="C473" s="17">
        <f ca="1">+ROUND(B473*$F5,2)</f>
        <v>0.02</v>
      </c>
      <c r="D473" s="17">
        <f ca="1">+SUM(B473:C473)</f>
        <v>5.3199999999999994</v>
      </c>
      <c r="E473" s="3"/>
    </row>
    <row r="474" spans="1:8">
      <c r="E474" s="3"/>
    </row>
    <row r="475" spans="1:8">
      <c r="A475" s="4" t="s">
        <v>163</v>
      </c>
      <c r="B475" s="2">
        <v>3.83</v>
      </c>
      <c r="C475" s="17">
        <f ca="1">+ROUND(B475*$F5,2)</f>
        <v>0.01</v>
      </c>
      <c r="D475" s="17">
        <f ca="1">+SUM(B475:C475)</f>
        <v>3.84</v>
      </c>
      <c r="E475" s="3"/>
    </row>
    <row r="476" spans="1:8">
      <c r="E476" s="3"/>
    </row>
    <row r="477" spans="1:8">
      <c r="A477" s="18" t="s">
        <v>857</v>
      </c>
      <c r="B477" s="28"/>
      <c r="C477" s="29"/>
      <c r="D477" s="30"/>
      <c r="E477" s="3"/>
    </row>
    <row r="478" spans="1:8">
      <c r="A478" s="4" t="s">
        <v>164</v>
      </c>
      <c r="B478" s="2">
        <v>4.0199999999999996</v>
      </c>
      <c r="C478" s="17">
        <f ca="1">+ROUND(B478*$F8,2)</f>
        <v>0.02</v>
      </c>
      <c r="D478" s="17">
        <f ca="1">+SUM(B478:C478)</f>
        <v>4.0399999999999991</v>
      </c>
      <c r="E478" s="3"/>
    </row>
    <row r="479" spans="1:8">
      <c r="A479" s="4" t="s">
        <v>165</v>
      </c>
      <c r="B479" s="2">
        <v>17.406599999999997</v>
      </c>
      <c r="C479" s="17">
        <f ca="1">D479-B479</f>
        <v>8.6600000000000676E-2</v>
      </c>
      <c r="D479" s="17">
        <f ca="1">D478*4.33</f>
        <v>17.493199999999998</v>
      </c>
      <c r="E479" s="3"/>
    </row>
    <row r="480" spans="1:8">
      <c r="A480" s="4" t="s">
        <v>159</v>
      </c>
      <c r="B480" s="2">
        <v>19.406599999999997</v>
      </c>
      <c r="C480" s="17">
        <f ca="1">+D480-B480</f>
        <v>8.6600000000000676E-2</v>
      </c>
      <c r="D480" s="17">
        <f ca="1">+D479+2</f>
        <v>19.493199999999998</v>
      </c>
      <c r="E480" s="3"/>
    </row>
    <row r="481" spans="1:8">
      <c r="D481" s="3"/>
      <c r="E481" s="3"/>
    </row>
    <row r="482" spans="1:8">
      <c r="A482" s="4" t="s">
        <v>166</v>
      </c>
      <c r="B482" s="2">
        <v>6.3000000000000007</v>
      </c>
      <c r="C482" s="17">
        <f ca="1">+ROUND(B482*$F8,2)</f>
        <v>0.02</v>
      </c>
      <c r="D482" s="17">
        <f ca="1">+SUM(B482:C482)</f>
        <v>6.32</v>
      </c>
      <c r="E482" s="3"/>
    </row>
    <row r="483" spans="1:8">
      <c r="A483" s="4" t="s">
        <v>158</v>
      </c>
      <c r="B483" s="2">
        <v>27.279000000000003</v>
      </c>
      <c r="C483" s="17">
        <f ca="1">D483-B483</f>
        <v>8.6599999999997124E-2</v>
      </c>
      <c r="D483" s="17">
        <f ca="1">D482*4.33</f>
        <v>27.365600000000001</v>
      </c>
      <c r="E483" s="3"/>
    </row>
    <row r="484" spans="1:8">
      <c r="A484" s="4" t="s">
        <v>159</v>
      </c>
      <c r="B484" s="2">
        <v>29.279000000000003</v>
      </c>
      <c r="C484" s="17">
        <f ca="1">+D484-B484</f>
        <v>8.6599999999997124E-2</v>
      </c>
      <c r="D484" s="17">
        <f ca="1">+D483+2</f>
        <v>29.365600000000001</v>
      </c>
      <c r="E484" s="3"/>
      <c r="H484" s="4" t="s">
        <v>4</v>
      </c>
    </row>
    <row r="485" spans="1:8">
      <c r="D485" s="3"/>
      <c r="E485" s="3"/>
    </row>
    <row r="486" spans="1:8">
      <c r="A486" s="4" t="s">
        <v>160</v>
      </c>
      <c r="B486" s="2">
        <v>8.9</v>
      </c>
      <c r="C486" s="17">
        <f ca="1">+ROUND(B486*$F8,2)</f>
        <v>0.03</v>
      </c>
      <c r="D486" s="17">
        <f ca="1">+SUM(B486:C486)</f>
        <v>8.93</v>
      </c>
      <c r="E486" s="3"/>
    </row>
    <row r="487" spans="1:8">
      <c r="A487" s="4" t="s">
        <v>161</v>
      </c>
      <c r="B487" s="2">
        <v>38.536999999999999</v>
      </c>
      <c r="C487" s="17">
        <f ca="1">D487-B487</f>
        <v>0.12989999999999924</v>
      </c>
      <c r="D487" s="17">
        <f ca="1">D486*4.33</f>
        <v>38.666899999999998</v>
      </c>
      <c r="E487" s="3"/>
    </row>
    <row r="488" spans="1:8">
      <c r="A488" s="4" t="s">
        <v>159</v>
      </c>
      <c r="B488" s="2">
        <v>40.536999999999999</v>
      </c>
      <c r="C488" s="17">
        <f ca="1">+D488-B488</f>
        <v>0.12989999999999924</v>
      </c>
      <c r="D488" s="17">
        <f ca="1">+D487+2</f>
        <v>40.666899999999998</v>
      </c>
      <c r="E488" s="3"/>
      <c r="H488" s="4" t="s">
        <v>4</v>
      </c>
    </row>
    <row r="489" spans="1:8">
      <c r="E489" s="3"/>
    </row>
    <row r="490" spans="1:8">
      <c r="A490" s="4" t="s">
        <v>162</v>
      </c>
      <c r="B490" s="2">
        <v>4.92</v>
      </c>
      <c r="C490" s="17">
        <f ca="1">+ROUND(B490*$F8,2)</f>
        <v>0.02</v>
      </c>
      <c r="D490" s="17">
        <f ca="1">+SUM(B490:C490)</f>
        <v>4.9399999999999995</v>
      </c>
      <c r="E490" s="3"/>
    </row>
    <row r="491" spans="1:8">
      <c r="D491" s="3"/>
      <c r="E491" s="3"/>
    </row>
    <row r="492" spans="1:8">
      <c r="A492" s="4" t="s">
        <v>167</v>
      </c>
      <c r="D492" s="3"/>
      <c r="E492" s="3"/>
    </row>
    <row r="493" spans="1:8">
      <c r="A493" s="4" t="s">
        <v>168</v>
      </c>
      <c r="B493" s="2">
        <v>4.0199999999999996</v>
      </c>
      <c r="C493" s="17">
        <f ca="1">+ROUND(B493*$F8,2)</f>
        <v>0.02</v>
      </c>
      <c r="D493" s="17">
        <f ca="1">+SUM(B493:C493)</f>
        <v>4.0399999999999991</v>
      </c>
      <c r="E493" s="3"/>
    </row>
    <row r="494" spans="1:8">
      <c r="A494" s="4" t="s">
        <v>169</v>
      </c>
      <c r="B494" s="2">
        <v>6.3000000000000007</v>
      </c>
      <c r="C494" s="17">
        <f ca="1">+ROUND(B494*$F8,2)</f>
        <v>0.02</v>
      </c>
      <c r="D494" s="17">
        <f ca="1">+SUM(B494:C494)</f>
        <v>6.32</v>
      </c>
      <c r="E494" s="3"/>
    </row>
    <row r="495" spans="1:8">
      <c r="A495" s="4" t="s">
        <v>170</v>
      </c>
      <c r="B495" s="2">
        <v>8.9</v>
      </c>
      <c r="C495" s="17">
        <f ca="1">+ROUND(B495*$F8,2)</f>
        <v>0.03</v>
      </c>
      <c r="D495" s="17">
        <f ca="1">+SUM(B495:C495)</f>
        <v>8.93</v>
      </c>
      <c r="E495" s="3"/>
    </row>
    <row r="496" spans="1:8">
      <c r="E496" s="3"/>
    </row>
    <row r="497" spans="1:5">
      <c r="A497" s="4" t="s">
        <v>163</v>
      </c>
      <c r="B497" s="2">
        <v>3.83</v>
      </c>
      <c r="C497" s="17">
        <f ca="1">C475</f>
        <v>0.01</v>
      </c>
      <c r="D497" s="17">
        <f ca="1">+SUM(B497:C497)</f>
        <v>3.84</v>
      </c>
      <c r="E497" s="3"/>
    </row>
    <row r="498" spans="1:5">
      <c r="E498" s="3"/>
    </row>
    <row r="499" spans="1:5">
      <c r="A499" s="12" t="s">
        <v>858</v>
      </c>
      <c r="B499" s="24"/>
      <c r="C499" s="25"/>
      <c r="D499" s="27"/>
      <c r="E499" s="3"/>
    </row>
    <row r="500" spans="1:5">
      <c r="A500" s="1" t="s">
        <v>171</v>
      </c>
      <c r="B500" s="4"/>
      <c r="E500" s="3"/>
    </row>
    <row r="501" spans="1:5">
      <c r="A501" s="4" t="s">
        <v>172</v>
      </c>
      <c r="E501" s="3"/>
    </row>
    <row r="502" spans="1:5">
      <c r="A502" s="4" t="s">
        <v>173</v>
      </c>
      <c r="B502" s="2">
        <v>98.940000000000012</v>
      </c>
      <c r="C502" s="17">
        <f ca="1">+ROUND(B502*$F5,2)</f>
        <v>0.38</v>
      </c>
      <c r="D502" s="17">
        <f ca="1">+SUM(B502:C502)</f>
        <v>99.320000000000007</v>
      </c>
      <c r="E502" s="3"/>
    </row>
    <row r="503" spans="1:5">
      <c r="A503" s="4" t="s">
        <v>174</v>
      </c>
      <c r="B503" s="2">
        <v>138.51</v>
      </c>
      <c r="C503" s="17">
        <f ca="1">+ROUND(B503*$F5,2)</f>
        <v>0.54</v>
      </c>
      <c r="D503" s="17">
        <f ca="1">+SUM(B503:C503)</f>
        <v>139.04999999999998</v>
      </c>
      <c r="E503" s="3"/>
    </row>
    <row r="504" spans="1:5">
      <c r="A504" s="4" t="s">
        <v>175</v>
      </c>
      <c r="B504" s="2">
        <v>161.91</v>
      </c>
      <c r="C504" s="17">
        <f ca="1">+ROUND(B504*$F5,2)</f>
        <v>0.63</v>
      </c>
      <c r="D504" s="17">
        <f ca="1">+SUM(B504:C504)</f>
        <v>162.54</v>
      </c>
      <c r="E504" s="3"/>
    </row>
    <row r="505" spans="1:5">
      <c r="E505" s="3"/>
    </row>
    <row r="506" spans="1:5">
      <c r="A506" s="4" t="s">
        <v>176</v>
      </c>
      <c r="E506" s="3"/>
    </row>
    <row r="507" spans="1:5">
      <c r="A507" s="4" t="s">
        <v>173</v>
      </c>
      <c r="B507" s="2">
        <v>269.88</v>
      </c>
      <c r="C507" s="17">
        <f ca="1">+ROUND(B507*$F5,2)</f>
        <v>1.05</v>
      </c>
      <c r="D507" s="17">
        <f ca="1">+SUM(B507:C507)</f>
        <v>270.93</v>
      </c>
      <c r="E507" s="3"/>
    </row>
    <row r="508" spans="1:5">
      <c r="A508" s="4" t="s">
        <v>174</v>
      </c>
      <c r="B508" s="2">
        <v>323.85000000000002</v>
      </c>
      <c r="C508" s="17">
        <f ca="1">+ROUND(B508*$F5,2)</f>
        <v>1.26</v>
      </c>
      <c r="D508" s="17">
        <f ca="1">+SUM(B508:C508)</f>
        <v>325.11</v>
      </c>
      <c r="E508" s="3"/>
    </row>
    <row r="509" spans="1:5">
      <c r="A509" s="4" t="s">
        <v>175</v>
      </c>
      <c r="B509" s="2">
        <v>377.83000000000004</v>
      </c>
      <c r="C509" s="17">
        <f ca="1">+ROUND(B509*$F5,2)</f>
        <v>1.47</v>
      </c>
      <c r="D509" s="17">
        <f ca="1">+SUM(B509:C509)</f>
        <v>379.30000000000007</v>
      </c>
      <c r="E509" s="3"/>
    </row>
    <row r="510" spans="1:5">
      <c r="E510" s="3"/>
    </row>
    <row r="511" spans="1:5">
      <c r="A511" s="4" t="s">
        <v>177</v>
      </c>
      <c r="E511" s="3"/>
    </row>
    <row r="512" spans="1:5">
      <c r="A512" s="4" t="s">
        <v>173</v>
      </c>
      <c r="B512" s="2">
        <v>170.95000000000002</v>
      </c>
      <c r="C512" s="17">
        <f ca="1">+ROUND(B512*$F5,2)</f>
        <v>0.66</v>
      </c>
      <c r="D512" s="17">
        <f ca="1">+SUM(B512:C512)</f>
        <v>171.61</v>
      </c>
      <c r="E512" s="3"/>
    </row>
    <row r="513" spans="1:5">
      <c r="A513" s="4" t="s">
        <v>174</v>
      </c>
      <c r="B513" s="2">
        <v>185.34</v>
      </c>
      <c r="C513" s="17">
        <f ca="1">+ROUND(B513*$F5,2)</f>
        <v>0.72</v>
      </c>
      <c r="D513" s="17">
        <f ca="1">+SUM(B513:C513)</f>
        <v>186.06</v>
      </c>
      <c r="E513" s="3"/>
    </row>
    <row r="514" spans="1:5">
      <c r="A514" s="4" t="s">
        <v>175</v>
      </c>
      <c r="B514" s="2">
        <v>215.91</v>
      </c>
      <c r="C514" s="17">
        <f ca="1">+ROUND(B514*$F5,2)</f>
        <v>0.84</v>
      </c>
      <c r="D514" s="17">
        <f ca="1">+SUM(B514:C514)</f>
        <v>216.75</v>
      </c>
      <c r="E514" s="3"/>
    </row>
    <row r="515" spans="1:5">
      <c r="E515" s="3"/>
    </row>
    <row r="516" spans="1:5">
      <c r="A516" s="1" t="s">
        <v>178</v>
      </c>
      <c r="E516" s="3"/>
    </row>
    <row r="517" spans="1:5">
      <c r="A517" s="4" t="s">
        <v>132</v>
      </c>
      <c r="E517" s="3"/>
    </row>
    <row r="518" spans="1:5">
      <c r="A518" s="4" t="s">
        <v>173</v>
      </c>
      <c r="B518" s="2">
        <v>143.93</v>
      </c>
      <c r="C518" s="17">
        <f ca="1">+ROUND(B518*$F5,2)</f>
        <v>0.56000000000000005</v>
      </c>
      <c r="D518" s="17">
        <f ca="1">+SUM(B518:C518)</f>
        <v>144.49</v>
      </c>
      <c r="E518" s="3"/>
    </row>
    <row r="519" spans="1:5">
      <c r="A519" s="4" t="s">
        <v>174</v>
      </c>
      <c r="B519" s="2">
        <v>143.93</v>
      </c>
      <c r="C519" s="17">
        <f ca="1">+ROUND(B519*$F5,2)</f>
        <v>0.56000000000000005</v>
      </c>
      <c r="D519" s="17">
        <f ca="1">+SUM(B519:C519)</f>
        <v>144.49</v>
      </c>
      <c r="E519" s="3"/>
    </row>
    <row r="520" spans="1:5">
      <c r="A520" s="4" t="s">
        <v>175</v>
      </c>
      <c r="B520" s="2">
        <v>143.93</v>
      </c>
      <c r="C520" s="17">
        <f ca="1">+ROUND(B520*$F5,2)</f>
        <v>0.56000000000000005</v>
      </c>
      <c r="D520" s="17">
        <f ca="1">+SUM(B520:C520)</f>
        <v>144.49</v>
      </c>
      <c r="E520" s="3"/>
    </row>
    <row r="521" spans="1:5">
      <c r="E521" s="3"/>
    </row>
    <row r="522" spans="1:5">
      <c r="A522" s="4" t="s">
        <v>179</v>
      </c>
      <c r="E522" s="3"/>
    </row>
    <row r="523" spans="1:5">
      <c r="A523" s="4" t="s">
        <v>173</v>
      </c>
      <c r="B523" s="2">
        <v>185.35</v>
      </c>
      <c r="C523" s="17">
        <f ca="1">+ROUND(B523*$F5,2)</f>
        <v>0.72</v>
      </c>
      <c r="D523" s="17">
        <f ca="1">+SUM(B523:C523)</f>
        <v>186.07</v>
      </c>
      <c r="E523" s="3"/>
    </row>
    <row r="524" spans="1:5">
      <c r="A524" s="4" t="s">
        <v>174</v>
      </c>
      <c r="B524" s="2">
        <v>203.31</v>
      </c>
      <c r="C524" s="17">
        <f ca="1">+ROUND(B524*$F5,2)</f>
        <v>0.79</v>
      </c>
      <c r="D524" s="17">
        <f ca="1">+SUM(B524:C524)</f>
        <v>204.1</v>
      </c>
      <c r="E524" s="3"/>
    </row>
    <row r="525" spans="1:5">
      <c r="A525" s="4" t="s">
        <v>175</v>
      </c>
      <c r="B525" s="2">
        <v>237.51</v>
      </c>
      <c r="C525" s="17">
        <f ca="1">+ROUND(B525*$F5,2)</f>
        <v>0.92</v>
      </c>
      <c r="D525" s="17">
        <f ca="1">+SUM(B525:C525)</f>
        <v>238.42999999999998</v>
      </c>
      <c r="E525" s="3"/>
    </row>
    <row r="526" spans="1:5">
      <c r="E526" s="3"/>
    </row>
    <row r="527" spans="1:5">
      <c r="A527" s="4" t="s">
        <v>180</v>
      </c>
      <c r="E527" s="3"/>
    </row>
    <row r="528" spans="1:5">
      <c r="A528" s="4" t="s">
        <v>173</v>
      </c>
      <c r="B528" s="2">
        <v>8.11</v>
      </c>
      <c r="C528" s="17">
        <f ca="1">+ROUND(B528*$F5,2)</f>
        <v>0.03</v>
      </c>
      <c r="D528" s="17">
        <f ca="1">+SUM(B528:C528)</f>
        <v>8.1399999999999988</v>
      </c>
      <c r="E528" s="3"/>
    </row>
    <row r="529" spans="1:5">
      <c r="A529" s="4" t="s">
        <v>174</v>
      </c>
      <c r="B529" s="2">
        <v>9.92</v>
      </c>
      <c r="C529" s="17">
        <f ca="1">+ROUND(B529*$F5,2)</f>
        <v>0.04</v>
      </c>
      <c r="D529" s="17">
        <f ca="1">+SUM(B529:C529)</f>
        <v>9.9599999999999991</v>
      </c>
      <c r="E529" s="3"/>
    </row>
    <row r="530" spans="1:5">
      <c r="A530" s="4" t="s">
        <v>175</v>
      </c>
      <c r="B530" s="2">
        <v>11.430000000000001</v>
      </c>
      <c r="C530" s="17">
        <f ca="1">+ROUND(B530*$F5,2)</f>
        <v>0.04</v>
      </c>
      <c r="D530" s="17">
        <f ca="1">+SUM(B530:C530)</f>
        <v>11.47</v>
      </c>
      <c r="E530" s="3"/>
    </row>
    <row r="531" spans="1:5">
      <c r="E531" s="3"/>
    </row>
    <row r="532" spans="1:5">
      <c r="A532" s="4" t="s">
        <v>181</v>
      </c>
      <c r="B532" s="2">
        <v>4.1399999999999997</v>
      </c>
      <c r="C532" s="17">
        <f ca="1">+ROUND(B532*$F5,2)</f>
        <v>0.02</v>
      </c>
      <c r="D532" s="17">
        <f ca="1">+SUM(B532:C532)</f>
        <v>4.1599999999999993</v>
      </c>
      <c r="E532" s="3"/>
    </row>
    <row r="533" spans="1:5">
      <c r="E533" s="3"/>
    </row>
    <row r="534" spans="1:5">
      <c r="A534" s="4" t="s">
        <v>182</v>
      </c>
      <c r="B534" s="2">
        <v>12.02</v>
      </c>
      <c r="C534" s="17">
        <f ca="1">+ROUND(B534*$F5,2)</f>
        <v>0.05</v>
      </c>
      <c r="D534" s="17">
        <f ca="1">+SUM(B534:C534)</f>
        <v>12.07</v>
      </c>
      <c r="E534" s="3"/>
    </row>
    <row r="535" spans="1:5">
      <c r="E535" s="3"/>
    </row>
    <row r="536" spans="1:5">
      <c r="A536" s="4" t="s">
        <v>57</v>
      </c>
      <c r="B536" s="2">
        <v>3.83</v>
      </c>
      <c r="C536" s="17">
        <f ca="1">+ROUND(B536*$F5,2)</f>
        <v>0.01</v>
      </c>
      <c r="D536" s="17">
        <f ca="1">+SUM(B536:C536)</f>
        <v>3.84</v>
      </c>
      <c r="E536" s="3"/>
    </row>
    <row r="537" spans="1:5">
      <c r="C537" s="17"/>
      <c r="D537" s="17"/>
      <c r="E537" s="3"/>
    </row>
    <row r="538" spans="1:5">
      <c r="A538" s="4" t="s">
        <v>183</v>
      </c>
      <c r="B538" s="26">
        <v>20.66</v>
      </c>
      <c r="C538" s="17">
        <f ca="1">+ROUND(B538*$F5,2)</f>
        <v>0.08</v>
      </c>
      <c r="D538" s="17">
        <f ca="1">+C538+B538</f>
        <v>20.74</v>
      </c>
      <c r="E538" s="3"/>
    </row>
    <row r="539" spans="1:5">
      <c r="E539" s="3"/>
    </row>
    <row r="540" spans="1:5">
      <c r="A540" s="12" t="s">
        <v>860</v>
      </c>
      <c r="B540" s="24"/>
      <c r="C540" s="25"/>
      <c r="D540" s="27"/>
      <c r="E540" s="3"/>
    </row>
    <row r="541" spans="1:5">
      <c r="A541" s="1" t="s">
        <v>171</v>
      </c>
      <c r="B541" s="4"/>
      <c r="E541" s="3"/>
    </row>
    <row r="542" spans="1:5">
      <c r="A542" s="4" t="s">
        <v>184</v>
      </c>
      <c r="E542" s="3"/>
    </row>
    <row r="543" spans="1:5">
      <c r="A543" s="4" t="s">
        <v>185</v>
      </c>
      <c r="B543" s="2">
        <v>185.41</v>
      </c>
      <c r="C543" s="17">
        <f ca="1">+ROUND(B543*$F5,2)</f>
        <v>0.72</v>
      </c>
      <c r="D543" s="17">
        <f t="shared" ref="D543:D548" ca="1" si="27">+SUM(B543:C543)</f>
        <v>186.13</v>
      </c>
      <c r="E543" s="3"/>
    </row>
    <row r="544" spans="1:5">
      <c r="A544" s="4" t="s">
        <v>186</v>
      </c>
      <c r="B544" s="2">
        <v>233.9</v>
      </c>
      <c r="C544" s="17">
        <f ca="1">+ROUND(B544*$F5,2)</f>
        <v>0.91</v>
      </c>
      <c r="D544" s="17">
        <f t="shared" ca="1" si="27"/>
        <v>234.81</v>
      </c>
      <c r="E544" s="3"/>
    </row>
    <row r="545" spans="1:9">
      <c r="A545" s="4" t="s">
        <v>173</v>
      </c>
      <c r="B545" s="2">
        <v>227.54999999999998</v>
      </c>
      <c r="C545" s="17">
        <f ca="1">+ROUND(B545*$F5,2)</f>
        <v>0.88</v>
      </c>
      <c r="D545" s="17">
        <f t="shared" ca="1" si="27"/>
        <v>228.42999999999998</v>
      </c>
      <c r="E545" s="3"/>
    </row>
    <row r="546" spans="1:9">
      <c r="A546" s="4" t="s">
        <v>187</v>
      </c>
      <c r="B546" s="2">
        <v>251.44</v>
      </c>
      <c r="C546" s="17">
        <f ca="1">+ROUND(B546*$F5,2)</f>
        <v>0.98</v>
      </c>
      <c r="D546" s="17">
        <f t="shared" ca="1" si="27"/>
        <v>252.42</v>
      </c>
      <c r="E546" s="3"/>
    </row>
    <row r="547" spans="1:9">
      <c r="A547" s="4" t="s">
        <v>174</v>
      </c>
      <c r="B547" s="2">
        <v>260.90000000000003</v>
      </c>
      <c r="C547" s="17">
        <f ca="1">+ROUND(B547*$F5,2)</f>
        <v>1.01</v>
      </c>
      <c r="D547" s="17">
        <f t="shared" ca="1" si="27"/>
        <v>261.91000000000003</v>
      </c>
      <c r="E547" s="3"/>
    </row>
    <row r="548" spans="1:9">
      <c r="A548" s="4" t="s">
        <v>175</v>
      </c>
      <c r="B548" s="2">
        <v>269.86</v>
      </c>
      <c r="C548" s="17">
        <f ca="1">+ROUND(B548*$F5,2)</f>
        <v>1.05</v>
      </c>
      <c r="D548" s="17">
        <f t="shared" ca="1" si="27"/>
        <v>270.91000000000003</v>
      </c>
      <c r="E548" s="3"/>
    </row>
    <row r="549" spans="1:9">
      <c r="C549" s="17"/>
      <c r="D549" s="17"/>
      <c r="E549" s="3"/>
    </row>
    <row r="550" spans="1:9">
      <c r="A550" s="4" t="s">
        <v>181</v>
      </c>
      <c r="B550" s="2">
        <v>4.1399999999999997</v>
      </c>
      <c r="C550" s="17">
        <f ca="1">+ROUND(B550*$F5,2)</f>
        <v>0.02</v>
      </c>
      <c r="D550" s="17">
        <f t="shared" ref="D550:D552" ca="1" si="28">+SUM(B550:C550)</f>
        <v>4.1599999999999993</v>
      </c>
      <c r="E550" s="3"/>
    </row>
    <row r="551" spans="1:9">
      <c r="A551" s="4" t="s">
        <v>188</v>
      </c>
      <c r="B551" s="2">
        <v>3.83</v>
      </c>
      <c r="C551" s="17">
        <f ca="1">+ROUND(B551*$F5,2)</f>
        <v>0.01</v>
      </c>
      <c r="D551" s="17">
        <f t="shared" ca="1" si="28"/>
        <v>3.84</v>
      </c>
      <c r="E551" s="3"/>
    </row>
    <row r="552" spans="1:9">
      <c r="A552" s="4" t="s">
        <v>189</v>
      </c>
      <c r="B552" s="2">
        <v>10.93</v>
      </c>
      <c r="C552" s="3">
        <f ca="1">+ROUND(B552*$F5,2)</f>
        <v>0.04</v>
      </c>
      <c r="D552" s="17">
        <f t="shared" ca="1" si="28"/>
        <v>10.969999999999999</v>
      </c>
      <c r="E552" s="3"/>
      <c r="I552" s="4" t="s">
        <v>4</v>
      </c>
    </row>
    <row r="553" spans="1:9">
      <c r="A553" s="18" t="s">
        <v>859</v>
      </c>
      <c r="B553" s="28"/>
      <c r="C553" s="29"/>
      <c r="D553" s="30"/>
      <c r="E553" s="3"/>
    </row>
    <row r="554" spans="1:9">
      <c r="A554" s="1" t="s">
        <v>171</v>
      </c>
      <c r="B554" s="4"/>
      <c r="E554" s="3"/>
    </row>
    <row r="555" spans="1:9">
      <c r="A555" s="4" t="s">
        <v>172</v>
      </c>
      <c r="E555" s="3"/>
    </row>
    <row r="556" spans="1:9">
      <c r="A556" s="4" t="s">
        <v>173</v>
      </c>
      <c r="B556" s="2">
        <v>107.03999999999999</v>
      </c>
      <c r="C556" s="17">
        <f ca="1">+ROUND(B556*$F8,2)</f>
        <v>0.41</v>
      </c>
      <c r="D556" s="17">
        <f ca="1">+SUM(B556:C556)</f>
        <v>107.44999999999999</v>
      </c>
      <c r="E556" s="3"/>
    </row>
    <row r="557" spans="1:9">
      <c r="A557" s="4" t="s">
        <v>187</v>
      </c>
      <c r="B557" s="2">
        <v>129.72999999999999</v>
      </c>
      <c r="C557" s="17">
        <f ca="1">+ROUND(B557*$F8,2)</f>
        <v>0.5</v>
      </c>
      <c r="D557" s="17">
        <f ca="1">+SUM(B557:C557)</f>
        <v>130.22999999999999</v>
      </c>
      <c r="E557" s="3"/>
    </row>
    <row r="558" spans="1:9">
      <c r="A558" s="4" t="s">
        <v>174</v>
      </c>
      <c r="B558" s="2">
        <v>151.69</v>
      </c>
      <c r="C558" s="17">
        <f ca="1">+ROUND(B558*$F8,2)</f>
        <v>0.57999999999999996</v>
      </c>
      <c r="D558" s="17">
        <f ca="1">+SUM(B558:C558)</f>
        <v>152.27000000000001</v>
      </c>
      <c r="E558" s="3"/>
    </row>
    <row r="559" spans="1:9">
      <c r="A559" s="4" t="s">
        <v>175</v>
      </c>
      <c r="B559" s="2">
        <v>197.14000000000001</v>
      </c>
      <c r="C559" s="17">
        <f ca="1">+ROUND(B559*$F8,2)</f>
        <v>0.76</v>
      </c>
      <c r="D559" s="17">
        <f ca="1">+SUM(B559:C559)</f>
        <v>197.9</v>
      </c>
      <c r="E559" s="3"/>
    </row>
    <row r="560" spans="1:9">
      <c r="E560" s="3"/>
    </row>
    <row r="561" spans="1:5">
      <c r="A561" s="4" t="s">
        <v>176</v>
      </c>
      <c r="E561" s="3"/>
    </row>
    <row r="562" spans="1:5">
      <c r="A562" s="4" t="s">
        <v>173</v>
      </c>
      <c r="B562" s="2">
        <v>249.54</v>
      </c>
      <c r="C562" s="17">
        <f ca="1">+ROUND(B562*$F8,2)</f>
        <v>0.96</v>
      </c>
      <c r="D562" s="17">
        <f ca="1">+SUM(B562:C562)</f>
        <v>250.5</v>
      </c>
      <c r="E562" s="3"/>
    </row>
    <row r="563" spans="1:5">
      <c r="A563" s="4" t="s">
        <v>187</v>
      </c>
      <c r="B563" s="2">
        <v>281.39999999999998</v>
      </c>
      <c r="C563" s="17">
        <f ca="1">+ROUND(B563*$F8,2)</f>
        <v>1.08</v>
      </c>
      <c r="D563" s="17">
        <f ca="1">+SUM(B563:C563)</f>
        <v>282.47999999999996</v>
      </c>
      <c r="E563" s="3"/>
    </row>
    <row r="564" spans="1:5">
      <c r="A564" s="4" t="s">
        <v>174</v>
      </c>
      <c r="B564" s="2">
        <v>312.05</v>
      </c>
      <c r="C564" s="17">
        <f ca="1">+ROUND(B564*$F8,2)</f>
        <v>1.2</v>
      </c>
      <c r="D564" s="17">
        <f ca="1">+SUM(B564:C564)</f>
        <v>313.25</v>
      </c>
      <c r="E564" s="3"/>
    </row>
    <row r="565" spans="1:5">
      <c r="A565" s="4" t="s">
        <v>175</v>
      </c>
      <c r="B565" s="2">
        <v>374.36</v>
      </c>
      <c r="C565" s="17">
        <f ca="1">+ROUND(B565*$F8,2)</f>
        <v>1.43</v>
      </c>
      <c r="D565" s="17">
        <f ca="1">+SUM(B565:C565)</f>
        <v>375.79</v>
      </c>
      <c r="E565" s="3"/>
    </row>
    <row r="566" spans="1:5">
      <c r="E566" s="3"/>
    </row>
    <row r="567" spans="1:5">
      <c r="A567" s="4" t="s">
        <v>177</v>
      </c>
      <c r="E567" s="3"/>
    </row>
    <row r="568" spans="1:5">
      <c r="A568" s="4" t="s">
        <v>173</v>
      </c>
      <c r="B568" s="2">
        <v>142.48999999999998</v>
      </c>
      <c r="C568" s="17">
        <f ca="1">+ROUND(B568*$F8,2)</f>
        <v>0.55000000000000004</v>
      </c>
      <c r="D568" s="17">
        <f ca="1">+SUM(B568:C568)</f>
        <v>143.04</v>
      </c>
      <c r="E568" s="3"/>
    </row>
    <row r="569" spans="1:5">
      <c r="A569" s="4" t="s">
        <v>187</v>
      </c>
      <c r="B569" s="2">
        <v>151.68</v>
      </c>
      <c r="C569" s="17">
        <f ca="1">+ROUND(B569*$F8,2)</f>
        <v>0.57999999999999996</v>
      </c>
      <c r="D569" s="17">
        <f ca="1">+SUM(B569:C569)</f>
        <v>152.26000000000002</v>
      </c>
      <c r="E569" s="3"/>
    </row>
    <row r="570" spans="1:5">
      <c r="A570" s="4" t="s">
        <v>174</v>
      </c>
      <c r="B570" s="2">
        <v>160.35999999999999</v>
      </c>
      <c r="C570" s="17">
        <f ca="1">+ROUND(B570*$F8,2)</f>
        <v>0.61</v>
      </c>
      <c r="D570" s="17">
        <f ca="1">+SUM(B570:C570)</f>
        <v>160.97</v>
      </c>
      <c r="E570" s="3"/>
    </row>
    <row r="571" spans="1:5">
      <c r="A571" s="4" t="s">
        <v>175</v>
      </c>
      <c r="B571" s="2">
        <v>177.22</v>
      </c>
      <c r="C571" s="17">
        <f ca="1">+ROUND(B571*$F8,2)</f>
        <v>0.68</v>
      </c>
      <c r="D571" s="17">
        <f ca="1">+SUM(B571:C571)</f>
        <v>177.9</v>
      </c>
      <c r="E571" s="3"/>
    </row>
    <row r="572" spans="1:5">
      <c r="E572" s="3"/>
    </row>
    <row r="573" spans="1:5">
      <c r="A573" s="1" t="s">
        <v>178</v>
      </c>
      <c r="E573" s="3"/>
    </row>
    <row r="574" spans="1:5">
      <c r="A574" s="4" t="s">
        <v>132</v>
      </c>
      <c r="E574" s="3"/>
    </row>
    <row r="575" spans="1:5">
      <c r="A575" s="4" t="s">
        <v>173</v>
      </c>
      <c r="B575" s="2">
        <v>115.94000000000001</v>
      </c>
      <c r="C575" s="17">
        <f ca="1">+ROUND(B575*$F8,2)</f>
        <v>0.44</v>
      </c>
      <c r="D575" s="17">
        <f ca="1">+SUM(B575:C575)</f>
        <v>116.38000000000001</v>
      </c>
      <c r="E575" s="3"/>
    </row>
    <row r="576" spans="1:5">
      <c r="A576" s="4" t="s">
        <v>187</v>
      </c>
      <c r="B576" s="2">
        <v>115.94000000000001</v>
      </c>
      <c r="C576" s="17">
        <f ca="1">+ROUND(B576*$F8,2)</f>
        <v>0.44</v>
      </c>
      <c r="D576" s="17">
        <f ca="1">+SUM(B576:C576)</f>
        <v>116.38000000000001</v>
      </c>
      <c r="E576" s="3"/>
    </row>
    <row r="577" spans="1:5">
      <c r="A577" s="4" t="s">
        <v>174</v>
      </c>
      <c r="B577" s="2">
        <v>115.94000000000001</v>
      </c>
      <c r="C577" s="17">
        <f ca="1">+ROUND(B577*$F8,2)</f>
        <v>0.44</v>
      </c>
      <c r="D577" s="17">
        <f ca="1">+SUM(B577:C577)</f>
        <v>116.38000000000001</v>
      </c>
      <c r="E577" s="3"/>
    </row>
    <row r="578" spans="1:5">
      <c r="A578" s="4" t="s">
        <v>175</v>
      </c>
      <c r="B578" s="2">
        <v>115.94000000000001</v>
      </c>
      <c r="C578" s="17">
        <f ca="1">+ROUND(B578*$F8,2)</f>
        <v>0.44</v>
      </c>
      <c r="D578" s="17">
        <f ca="1">+SUM(B578:C578)</f>
        <v>116.38000000000001</v>
      </c>
      <c r="E578" s="3"/>
    </row>
    <row r="579" spans="1:5">
      <c r="E579" s="3"/>
    </row>
    <row r="580" spans="1:5">
      <c r="A580" s="4" t="s">
        <v>179</v>
      </c>
      <c r="E580" s="3"/>
    </row>
    <row r="581" spans="1:5">
      <c r="A581" s="4" t="s">
        <v>173</v>
      </c>
      <c r="B581" s="2">
        <v>151.69</v>
      </c>
      <c r="C581" s="17">
        <f ca="1">+ROUND(B581*$F8,2)</f>
        <v>0.57999999999999996</v>
      </c>
      <c r="D581" s="17">
        <f ca="1">+SUM(B581:C581)</f>
        <v>152.27000000000001</v>
      </c>
      <c r="E581" s="3"/>
    </row>
    <row r="582" spans="1:5">
      <c r="A582" s="4" t="s">
        <v>187</v>
      </c>
      <c r="B582" s="2">
        <v>160.88</v>
      </c>
      <c r="C582" s="17">
        <f ca="1">+ROUND(B582*$F8,2)</f>
        <v>0.62</v>
      </c>
      <c r="D582" s="17">
        <f ca="1">+SUM(B582:C582)</f>
        <v>161.5</v>
      </c>
      <c r="E582" s="3"/>
    </row>
    <row r="583" spans="1:5">
      <c r="A583" s="4" t="s">
        <v>174</v>
      </c>
      <c r="B583" s="2">
        <v>169.54999999999998</v>
      </c>
      <c r="C583" s="17">
        <f ca="1">+ROUND(B583*$F8,2)</f>
        <v>0.65</v>
      </c>
      <c r="D583" s="17">
        <f ca="1">+SUM(B583:C583)</f>
        <v>170.2</v>
      </c>
      <c r="E583" s="3"/>
    </row>
    <row r="584" spans="1:5">
      <c r="A584" s="4" t="s">
        <v>175</v>
      </c>
      <c r="B584" s="2">
        <v>196.11</v>
      </c>
      <c r="C584" s="17">
        <f ca="1">+ROUND(B584*$F8,2)</f>
        <v>0.75</v>
      </c>
      <c r="D584" s="17">
        <f ca="1">+SUM(B584:C584)</f>
        <v>196.86</v>
      </c>
      <c r="E584" s="3"/>
    </row>
    <row r="585" spans="1:5">
      <c r="E585" s="3"/>
    </row>
    <row r="586" spans="1:5">
      <c r="A586" s="4" t="s">
        <v>180</v>
      </c>
      <c r="E586" s="3"/>
    </row>
    <row r="587" spans="1:5">
      <c r="A587" s="4" t="s">
        <v>173</v>
      </c>
      <c r="B587" s="2">
        <v>8.02</v>
      </c>
      <c r="C587" s="17">
        <f ca="1">+ROUND(B587*$F8,2)</f>
        <v>0.03</v>
      </c>
      <c r="D587" s="17">
        <f ca="1">+SUM(B587:C587)</f>
        <v>8.0499999999999989</v>
      </c>
      <c r="E587" s="3"/>
    </row>
    <row r="588" spans="1:5">
      <c r="A588" s="4" t="s">
        <v>187</v>
      </c>
      <c r="B588" s="2">
        <v>8.83</v>
      </c>
      <c r="C588" s="17">
        <f ca="1">+ROUND(B588*$F8,2)</f>
        <v>0.03</v>
      </c>
      <c r="D588" s="17">
        <f ca="1">+SUM(B588:C588)</f>
        <v>8.86</v>
      </c>
      <c r="E588" s="3"/>
    </row>
    <row r="589" spans="1:5">
      <c r="A589" s="4" t="s">
        <v>174</v>
      </c>
      <c r="B589" s="2">
        <v>9.81</v>
      </c>
      <c r="C589" s="17">
        <f ca="1">+ROUND(B589*$F8,2)</f>
        <v>0.04</v>
      </c>
      <c r="D589" s="17">
        <f ca="1">+SUM(B589:C589)</f>
        <v>9.85</v>
      </c>
      <c r="E589" s="3"/>
    </row>
    <row r="590" spans="1:5">
      <c r="A590" s="4" t="s">
        <v>175</v>
      </c>
      <c r="B590" s="2">
        <v>11.34</v>
      </c>
      <c r="C590" s="17">
        <f ca="1">+ROUND(B590*$F8,2)</f>
        <v>0.04</v>
      </c>
      <c r="D590" s="17">
        <f ca="1">+SUM(B590:C590)</f>
        <v>11.379999999999999</v>
      </c>
      <c r="E590" s="3"/>
    </row>
    <row r="591" spans="1:5">
      <c r="E591" s="3"/>
    </row>
    <row r="592" spans="1:5">
      <c r="A592" s="4" t="s">
        <v>181</v>
      </c>
      <c r="B592" s="2">
        <v>3.5500000000000003</v>
      </c>
      <c r="C592" s="17">
        <f ca="1">C550</f>
        <v>0.02</v>
      </c>
      <c r="D592" s="17">
        <f ca="1">+SUM(B592:C592)</f>
        <v>3.5700000000000003</v>
      </c>
      <c r="E592" s="3"/>
    </row>
    <row r="593" spans="1:5">
      <c r="E593" s="3"/>
    </row>
    <row r="594" spans="1:5">
      <c r="A594" s="4" t="s">
        <v>182</v>
      </c>
      <c r="B594" s="2">
        <v>12.02</v>
      </c>
      <c r="C594" s="17">
        <f ca="1">C534</f>
        <v>0.05</v>
      </c>
      <c r="D594" s="17">
        <f ca="1">+SUM(B594:C594)</f>
        <v>12.07</v>
      </c>
      <c r="E594" s="3"/>
    </row>
    <row r="595" spans="1:5">
      <c r="E595" s="3"/>
    </row>
    <row r="596" spans="1:5">
      <c r="A596" s="4" t="s">
        <v>57</v>
      </c>
      <c r="B596" s="2">
        <v>3.83</v>
      </c>
      <c r="C596" s="17">
        <f ca="1">C551</f>
        <v>0.01</v>
      </c>
      <c r="D596" s="17">
        <f ca="1">+SUM(B596:C596)</f>
        <v>3.84</v>
      </c>
      <c r="E596" s="3"/>
    </row>
    <row r="597" spans="1:5">
      <c r="C597" s="17"/>
      <c r="D597" s="17"/>
      <c r="E597" s="3"/>
    </row>
    <row r="598" spans="1:5">
      <c r="A598" s="4" t="s">
        <v>183</v>
      </c>
      <c r="B598" s="26">
        <v>20.66</v>
      </c>
      <c r="C598" s="17">
        <f ca="1">+C538</f>
        <v>0.08</v>
      </c>
      <c r="D598" s="17">
        <f ca="1">+B598+C598</f>
        <v>20.74</v>
      </c>
      <c r="E598" s="3"/>
    </row>
    <row r="599" spans="1:5">
      <c r="E599" s="3"/>
    </row>
    <row r="600" spans="1:5">
      <c r="A600" s="18" t="s">
        <v>861</v>
      </c>
      <c r="B600" s="28"/>
      <c r="C600" s="29"/>
      <c r="D600" s="30"/>
      <c r="E600" s="3"/>
    </row>
    <row r="601" spans="1:5">
      <c r="A601" s="1" t="s">
        <v>171</v>
      </c>
      <c r="B601" s="4"/>
      <c r="E601" s="3"/>
    </row>
    <row r="602" spans="1:5">
      <c r="A602" s="4" t="s">
        <v>184</v>
      </c>
      <c r="E602" s="3"/>
    </row>
    <row r="603" spans="1:5">
      <c r="A603" s="4" t="s">
        <v>185</v>
      </c>
      <c r="B603" s="2">
        <v>131.76999999999998</v>
      </c>
      <c r="C603" s="17">
        <f ca="1">+ROUND(B603*$F8,2)</f>
        <v>0.5</v>
      </c>
      <c r="D603" s="17">
        <f t="shared" ref="D603:D608" ca="1" si="29">+SUM(B603:C603)</f>
        <v>132.26999999999998</v>
      </c>
      <c r="E603" s="3"/>
    </row>
    <row r="604" spans="1:5">
      <c r="A604" s="4" t="s">
        <v>186</v>
      </c>
      <c r="B604" s="2">
        <v>158.12</v>
      </c>
      <c r="C604" s="17">
        <f ca="1">+ROUND(B604*$F8,2)</f>
        <v>0.61</v>
      </c>
      <c r="D604" s="17">
        <f t="shared" ca="1" si="29"/>
        <v>158.73000000000002</v>
      </c>
      <c r="E604" s="3"/>
    </row>
    <row r="605" spans="1:5">
      <c r="A605" s="4" t="s">
        <v>173</v>
      </c>
      <c r="B605" s="2">
        <v>166.89999999999998</v>
      </c>
      <c r="C605" s="17">
        <f ca="1">+ROUND(B605*$F8,2)</f>
        <v>0.64</v>
      </c>
      <c r="D605" s="17">
        <f t="shared" ca="1" si="29"/>
        <v>167.53999999999996</v>
      </c>
      <c r="E605" s="3"/>
    </row>
    <row r="606" spans="1:5">
      <c r="A606" s="4" t="s">
        <v>187</v>
      </c>
      <c r="B606" s="2">
        <v>175.69</v>
      </c>
      <c r="C606" s="17">
        <f ca="1">+ROUND(B606*$F8,2)</f>
        <v>0.67</v>
      </c>
      <c r="D606" s="17">
        <f t="shared" ca="1" si="29"/>
        <v>176.35999999999999</v>
      </c>
      <c r="E606" s="3"/>
    </row>
    <row r="607" spans="1:5">
      <c r="A607" s="4" t="s">
        <v>174</v>
      </c>
      <c r="B607" s="2">
        <v>187.43</v>
      </c>
      <c r="C607" s="17">
        <f ca="1">+ROUND(B607*$F8,2)</f>
        <v>0.72</v>
      </c>
      <c r="D607" s="17">
        <f t="shared" ca="1" si="29"/>
        <v>188.15</v>
      </c>
      <c r="E607" s="3"/>
    </row>
    <row r="608" spans="1:5">
      <c r="A608" s="4" t="s">
        <v>175</v>
      </c>
      <c r="B608" s="2">
        <v>196.11</v>
      </c>
      <c r="C608" s="17">
        <f ca="1">+ROUND(B608*$F8,2)</f>
        <v>0.75</v>
      </c>
      <c r="D608" s="17">
        <f t="shared" ca="1" si="29"/>
        <v>196.86</v>
      </c>
      <c r="E608" s="3"/>
    </row>
    <row r="609" spans="1:5">
      <c r="E609" s="3"/>
    </row>
    <row r="610" spans="1:5">
      <c r="A610" s="4" t="s">
        <v>181</v>
      </c>
      <c r="B610" s="2">
        <v>3.5500000000000003</v>
      </c>
      <c r="C610" s="17">
        <f ca="1">+C550</f>
        <v>0.02</v>
      </c>
      <c r="D610" s="17">
        <f ca="1">+SUM(B610:C610)</f>
        <v>3.5700000000000003</v>
      </c>
      <c r="E610" s="3"/>
    </row>
    <row r="611" spans="1:5">
      <c r="A611" s="4" t="s">
        <v>188</v>
      </c>
      <c r="B611" s="2">
        <v>3.83</v>
      </c>
      <c r="C611" s="17">
        <f ca="1">+ROUND(B611*$F8,2)</f>
        <v>0.01</v>
      </c>
      <c r="D611" s="17">
        <f t="shared" ref="D611:D612" ca="1" si="30">+SUM(B611:C611)</f>
        <v>3.84</v>
      </c>
      <c r="E611" s="3"/>
    </row>
    <row r="612" spans="1:5">
      <c r="A612" s="4" t="s">
        <v>189</v>
      </c>
      <c r="B612" s="2">
        <v>10.93</v>
      </c>
      <c r="C612" s="3">
        <f ca="1">+ROUND(B612*$F8,2)</f>
        <v>0.04</v>
      </c>
      <c r="D612" s="17">
        <f t="shared" ca="1" si="30"/>
        <v>10.969999999999999</v>
      </c>
      <c r="E612" s="3"/>
    </row>
  </sheetData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rowBreaks count="1" manualBreakCount="1">
    <brk id="3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69C5-9120-43DD-B125-98E628E87337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9.44140625" style="372" customWidth="1"/>
    <col min="6" max="6" width="5" style="204" customWidth="1"/>
    <col min="7" max="7" width="7.332031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5.44140625" style="372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375" t="s">
        <v>715</v>
      </c>
      <c r="S2" s="376"/>
      <c r="T2" s="377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+'[24]Joe''s LOB (C)'!H48</f>
        <v>20682.031850816336</v>
      </c>
      <c r="D5" s="215"/>
      <c r="E5" s="194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378">
        <f>+'[24]Joe''s LOB (C)'!H361</f>
        <v>19598.957877862944</v>
      </c>
      <c r="D6" s="215"/>
      <c r="E6" s="194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412.62408522172899</v>
      </c>
      <c r="T6" s="234">
        <f>EXP(y_inter1-(slope*LN(+S6)))</f>
        <v>4.978716602755207</v>
      </c>
      <c r="U6" s="235">
        <f>(+S6*T6/100)/100</f>
        <v>0.20543383837901014</v>
      </c>
      <c r="V6" s="235">
        <f>regDebt_weighted</f>
        <v>3.5860000000000003E-2</v>
      </c>
      <c r="W6" s="235">
        <f>+U6-V6</f>
        <v>0.16957383837901013</v>
      </c>
      <c r="X6" s="235">
        <f>+((W6*(1-0.34))-Pfd_weighted)/Equity_percent</f>
        <v>0.30735096898298458</v>
      </c>
      <c r="Y6" s="235">
        <f>+C15</f>
        <v>2.5000000000000001E-3</v>
      </c>
      <c r="Z6" s="235">
        <f>+X6+Y6</f>
        <v>0.30985096898298459</v>
      </c>
      <c r="AA6" s="235">
        <f>Z6*equityP</f>
        <v>0.18591058138979075</v>
      </c>
      <c r="AB6" s="235">
        <f>+AA6/(1-taxrate)</f>
        <v>0.2353298498604946</v>
      </c>
      <c r="AC6" s="235">
        <f>debtP*Debt_Rate</f>
        <v>1.6572E-2</v>
      </c>
      <c r="AD6" s="235">
        <f>AC6+AB6</f>
        <v>0.25190184986049458</v>
      </c>
      <c r="AE6" s="235">
        <f>AD6/(S6/100)</f>
        <v>6.1048750880630685E-2</v>
      </c>
      <c r="AF6" s="235">
        <f>1-AE6</f>
        <v>0.93895124911936934</v>
      </c>
      <c r="AG6" s="236">
        <f>expenses/(AF6)</f>
        <v>20873.243308685687</v>
      </c>
      <c r="AH6" s="237">
        <f>+AG6-Revenue</f>
        <v>191.21145786935085</v>
      </c>
      <c r="AI6" s="238">
        <f ca="1">+AH6/$J$49</f>
        <v>208.74293737321068</v>
      </c>
      <c r="AJ6" s="238">
        <f ca="1">+AI6*$J$47</f>
        <v>5.2955371743588024</v>
      </c>
      <c r="AK6" s="236">
        <f ca="1">ROUND(+AJ6+AG6,5)</f>
        <v>20878.538850000001</v>
      </c>
    </row>
    <row r="7" spans="1:37" ht="15.6">
      <c r="A7" s="194"/>
      <c r="B7" s="218" t="s">
        <v>763</v>
      </c>
      <c r="C7" s="378">
        <f>+'[24]Joe''s LOB (C)'!H368</f>
        <v>5012.318134483733</v>
      </c>
      <c r="D7" s="215"/>
      <c r="E7" s="194"/>
      <c r="F7" s="379">
        <v>1</v>
      </c>
      <c r="G7" s="222"/>
      <c r="H7" s="240" t="s">
        <v>740</v>
      </c>
      <c r="I7" s="241">
        <f>IF(A64=TRUE,C5,0)</f>
        <v>20682.031850816336</v>
      </c>
      <c r="J7" s="241">
        <f ca="1">(+$I8/($R50))-I7</f>
        <v>137.53562926905579</v>
      </c>
      <c r="K7" s="241">
        <f ca="1">+I7+J7</f>
        <v>20819.567480085392</v>
      </c>
      <c r="L7" s="241">
        <f ca="1">((+J7/J49*K35)-J7)</f>
        <v>3.8090031094829158</v>
      </c>
      <c r="M7" s="241">
        <f ca="1">IFERROR(+K7+L7,0.00001)</f>
        <v>20823.376483194876</v>
      </c>
      <c r="O7" s="225"/>
      <c r="P7" s="195"/>
      <c r="R7" s="242">
        <v>2</v>
      </c>
      <c r="S7" s="243">
        <f>Revenue/Investment*100</f>
        <v>412.62408522172899</v>
      </c>
      <c r="T7" s="244">
        <f>EXP(y_inter1-(slope*LN(+S7)))</f>
        <v>4.978716602755207</v>
      </c>
      <c r="U7" s="245">
        <f t="shared" ref="U7:U9" si="0">(+S7*T7/100)/100</f>
        <v>0.20543383837901014</v>
      </c>
      <c r="V7" s="245">
        <f>regDebt_weighted</f>
        <v>3.5860000000000003E-2</v>
      </c>
      <c r="W7" s="245">
        <f t="shared" ref="W7:W9" si="1">+U7-V7</f>
        <v>0.16957383837901013</v>
      </c>
      <c r="X7" s="245">
        <f>+((W7*(1-0.34))-Pfd_weighted)/Equity_percent</f>
        <v>0.30735096898298458</v>
      </c>
      <c r="Y7" s="245">
        <f>+Y6</f>
        <v>2.5000000000000001E-3</v>
      </c>
      <c r="Z7" s="245">
        <f>+X7+Y7</f>
        <v>0.30985096898298459</v>
      </c>
      <c r="AA7" s="245">
        <f>Z7*equityP</f>
        <v>0.18591058138979075</v>
      </c>
      <c r="AB7" s="245">
        <f>+AA7/(1-taxrate)</f>
        <v>0.2353298498604946</v>
      </c>
      <c r="AC7" s="245">
        <f>debtP*Debt_Rate</f>
        <v>1.6572E-2</v>
      </c>
      <c r="AD7" s="245">
        <f t="shared" ref="AD7:AD9" si="2">AC7+AB7</f>
        <v>0.25190184986049458</v>
      </c>
      <c r="AE7" s="245">
        <f t="shared" ref="AE7:AE9" si="3">AD7/(S7/100)</f>
        <v>6.1048750880630685E-2</v>
      </c>
      <c r="AF7" s="245">
        <f t="shared" ref="AF7:AF9" si="4">1-AE7</f>
        <v>0.93895124911936934</v>
      </c>
      <c r="AG7" s="246">
        <f>expenses/(AF7)</f>
        <v>20873.243308685687</v>
      </c>
      <c r="AH7" s="247">
        <f>+AG7-Revenue</f>
        <v>191.21145786935085</v>
      </c>
      <c r="AI7" s="248">
        <f ca="1">+AH7/$J$49</f>
        <v>208.74293737321068</v>
      </c>
      <c r="AJ7" s="248">
        <f ca="1">+AI7*$J$47</f>
        <v>5.2955371743588024</v>
      </c>
      <c r="AK7" s="246">
        <f t="shared" ref="AK7:AK9" ca="1" si="5">ROUND(+AJ7+AG7,5)</f>
        <v>20878.538850000001</v>
      </c>
    </row>
    <row r="8" spans="1:37" ht="15.6">
      <c r="A8" s="194"/>
      <c r="B8" s="218" t="s">
        <v>764</v>
      </c>
      <c r="C8" s="261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19598.957877862944</v>
      </c>
      <c r="J8" s="210"/>
      <c r="K8" s="241">
        <f>+I8</f>
        <v>19598.957877862944</v>
      </c>
      <c r="L8" s="241">
        <f ca="1">+L7</f>
        <v>3.8090031094829158</v>
      </c>
      <c r="M8" s="241">
        <f ca="1">IFERROR(+K8+L8,0.00001)</f>
        <v>19602.766880972427</v>
      </c>
      <c r="O8" s="225"/>
      <c r="P8" s="195"/>
      <c r="R8" s="251">
        <v>3</v>
      </c>
      <c r="S8" s="243">
        <f>Revenue/Investment*100</f>
        <v>412.62408522172899</v>
      </c>
      <c r="T8" s="244">
        <f>EXP(y_inter1-(slope*LN(+S8)))</f>
        <v>4.978716602755207</v>
      </c>
      <c r="U8" s="245">
        <f t="shared" si="0"/>
        <v>0.20543383837901014</v>
      </c>
      <c r="V8" s="245">
        <f>regDebt_weighted</f>
        <v>3.5860000000000003E-2</v>
      </c>
      <c r="W8" s="245">
        <f t="shared" si="1"/>
        <v>0.16957383837901013</v>
      </c>
      <c r="X8" s="245">
        <f>+((W8*(1-0.34))-Pfd_weighted)/Equity_percent</f>
        <v>0.30735096898298458</v>
      </c>
      <c r="Y8" s="245">
        <f>+Y7</f>
        <v>2.5000000000000001E-3</v>
      </c>
      <c r="Z8" s="245">
        <f t="shared" ref="Z8:Z9" si="6">+X8+Y8</f>
        <v>0.30985096898298459</v>
      </c>
      <c r="AA8" s="245">
        <f>Z8*equityP</f>
        <v>0.18591058138979075</v>
      </c>
      <c r="AB8" s="245">
        <f>+AA8/(1-taxrate)</f>
        <v>0.2353298498604946</v>
      </c>
      <c r="AC8" s="245">
        <f>debtP*Debt_Rate</f>
        <v>1.6572E-2</v>
      </c>
      <c r="AD8" s="245">
        <f t="shared" si="2"/>
        <v>0.25190184986049458</v>
      </c>
      <c r="AE8" s="245">
        <f t="shared" si="3"/>
        <v>6.1048750880630685E-2</v>
      </c>
      <c r="AF8" s="245">
        <f t="shared" si="4"/>
        <v>0.93895124911936934</v>
      </c>
      <c r="AG8" s="246">
        <f>expenses/(AF8)</f>
        <v>20873.243308685687</v>
      </c>
      <c r="AH8" s="247">
        <f>+AG8-Revenue</f>
        <v>191.21145786935085</v>
      </c>
      <c r="AI8" s="248">
        <f ca="1">+AH8/$J$49</f>
        <v>208.74293737321068</v>
      </c>
      <c r="AJ8" s="248">
        <f ca="1">+AI8*$J$47</f>
        <v>5.2955371743588024</v>
      </c>
      <c r="AK8" s="246">
        <f t="shared" ca="1" si="5"/>
        <v>20878.538850000001</v>
      </c>
    </row>
    <row r="9" spans="1:37" ht="15.6">
      <c r="A9" s="194"/>
      <c r="B9" s="218" t="s">
        <v>765</v>
      </c>
      <c r="C9" s="261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380">
        <f>+I7-I8</f>
        <v>1083.0739729533925</v>
      </c>
      <c r="J9" s="210"/>
      <c r="K9" s="380">
        <f ca="1">+K7-K8</f>
        <v>1220.6096022224483</v>
      </c>
      <c r="L9" s="222"/>
      <c r="M9" s="381">
        <f ca="1">+M7-M8</f>
        <v>1220.6096022224483</v>
      </c>
      <c r="O9" s="225"/>
      <c r="P9" s="195"/>
      <c r="R9" s="254">
        <v>4</v>
      </c>
      <c r="S9" s="243">
        <f>Revenue/Investment*100</f>
        <v>412.62408522172899</v>
      </c>
      <c r="T9" s="244">
        <f>EXP(y_inter1-(slope*LN(+S9)))</f>
        <v>4.978716602755207</v>
      </c>
      <c r="U9" s="245">
        <f t="shared" si="0"/>
        <v>0.20543383837901014</v>
      </c>
      <c r="V9" s="245">
        <f>regDebt_weighted</f>
        <v>3.5860000000000003E-2</v>
      </c>
      <c r="W9" s="245">
        <f t="shared" si="1"/>
        <v>0.16957383837901013</v>
      </c>
      <c r="X9" s="245">
        <f>+((W9*(1-0.34))-Pfd_weighted)/Equity_percent</f>
        <v>0.30735096898298458</v>
      </c>
      <c r="Y9" s="245">
        <f>+Y8</f>
        <v>2.5000000000000001E-3</v>
      </c>
      <c r="Z9" s="245">
        <f t="shared" si="6"/>
        <v>0.30985096898298459</v>
      </c>
      <c r="AA9" s="245">
        <f>Z9*equityP</f>
        <v>0.18591058138979075</v>
      </c>
      <c r="AB9" s="245">
        <f>+AA9/(1-taxrate)</f>
        <v>0.2353298498604946</v>
      </c>
      <c r="AC9" s="245">
        <f>debtP*Debt_Rate</f>
        <v>1.6572E-2</v>
      </c>
      <c r="AD9" s="245">
        <f t="shared" si="2"/>
        <v>0.25190184986049458</v>
      </c>
      <c r="AE9" s="245">
        <f t="shared" si="3"/>
        <v>6.1048750880630685E-2</v>
      </c>
      <c r="AF9" s="245">
        <f t="shared" si="4"/>
        <v>0.93895124911936934</v>
      </c>
      <c r="AG9" s="246">
        <f>expenses/(AF9)</f>
        <v>20873.243308685687</v>
      </c>
      <c r="AH9" s="247">
        <f>+AG9-Revenue</f>
        <v>191.21145786935085</v>
      </c>
      <c r="AI9" s="248">
        <f ca="1">+AH9/$J$49</f>
        <v>208.74293737321068</v>
      </c>
      <c r="AJ9" s="248">
        <f ca="1">+AI9*$J$47</f>
        <v>5.2955371743588024</v>
      </c>
      <c r="AK9" s="246">
        <f t="shared" ca="1" si="5"/>
        <v>20878.538850000001</v>
      </c>
    </row>
    <row r="10" spans="1:37" ht="15.6">
      <c r="A10" s="194"/>
      <c r="B10" s="255" t="s">
        <v>767</v>
      </c>
      <c r="C10" s="261"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382"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83.064136124664429</v>
      </c>
      <c r="J11" s="210"/>
      <c r="K11" s="241">
        <f>+M27</f>
        <v>83.064136124664429</v>
      </c>
      <c r="L11" s="222"/>
      <c r="M11" s="241">
        <f>+K11</f>
        <v>83.064136124664429</v>
      </c>
      <c r="O11" s="225"/>
      <c r="P11" s="194"/>
      <c r="R11" s="232">
        <v>1</v>
      </c>
      <c r="S11" s="233">
        <f ca="1">IF((AK6/Investment*100)&gt;0,(AK6/Investment*100),0)</f>
        <v>416.54456660202561</v>
      </c>
      <c r="T11" s="234">
        <f ca="1">EXP(y_inter1-(slope*LN(S11)))</f>
        <v>4.9466324513680471</v>
      </c>
      <c r="U11" s="235">
        <f ca="1">(+S11*T11/100)/100</f>
        <v>0.20604928705946185</v>
      </c>
      <c r="V11" s="235">
        <f>regDebt_weighted</f>
        <v>3.5860000000000003E-2</v>
      </c>
      <c r="W11" s="235">
        <f ca="1">+U11-V11</f>
        <v>0.17018928705946185</v>
      </c>
      <c r="X11" s="235">
        <f ca="1">+((W11*(1-0.34))-Pfd_weighted)/Equity_percent</f>
        <v>0.30853177168385121</v>
      </c>
      <c r="Y11" s="235">
        <f>+Y9</f>
        <v>2.5000000000000001E-3</v>
      </c>
      <c r="Z11" s="235">
        <f ca="1">+X11+Y11</f>
        <v>0.31103177168385121</v>
      </c>
      <c r="AA11" s="235">
        <f ca="1">Z11*equityP</f>
        <v>0.18661906301031073</v>
      </c>
      <c r="AB11" s="235">
        <f ca="1">+AA11/(1-taxrate)</f>
        <v>0.23622666203836801</v>
      </c>
      <c r="AC11" s="235">
        <f>debtP*Debt_Rate</f>
        <v>1.6572E-2</v>
      </c>
      <c r="AD11" s="235">
        <f ca="1">+AC11+AB11</f>
        <v>0.25279866203836798</v>
      </c>
      <c r="AE11" s="235">
        <f ca="1">+AD11/(S11/100)</f>
        <v>6.0689463338960442E-2</v>
      </c>
      <c r="AF11" s="235">
        <f ca="1">1-AE11</f>
        <v>0.93931053666103959</v>
      </c>
      <c r="AG11" s="236">
        <f ca="1">expenses/(AF11)</f>
        <v>20865.259265089499</v>
      </c>
      <c r="AH11" s="237">
        <f ca="1">+AG11-Revenue</f>
        <v>183.22741427316214</v>
      </c>
      <c r="AI11" s="238">
        <f ca="1">+AH11/$J$49</f>
        <v>200.02686600931287</v>
      </c>
      <c r="AJ11" s="238">
        <f ca="1">+AI11*$J$47</f>
        <v>5.0744217656043373</v>
      </c>
      <c r="AK11" s="236">
        <f ca="1">ROUND(+AJ11+AG11,5)</f>
        <v>20870.333689999999</v>
      </c>
    </row>
    <row r="12" spans="1:37" ht="15.6">
      <c r="A12" s="194"/>
      <c r="B12" s="218" t="s">
        <v>771</v>
      </c>
      <c r="C12" s="382"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238.8845478805346</v>
      </c>
      <c r="L12" s="222"/>
      <c r="M12" s="241">
        <f ca="1">+K12</f>
        <v>238.8845478805346</v>
      </c>
      <c r="O12" s="225"/>
      <c r="P12" s="194"/>
      <c r="R12" s="242">
        <v>2</v>
      </c>
      <c r="S12" s="243">
        <f ca="1">IF((AK7/Investment*100)&gt;0,(AK7/Investment*100),0)</f>
        <v>416.54456660202561</v>
      </c>
      <c r="T12" s="257">
        <f ca="1">EXP(y_inter2-(slope*LN(+S12)))</f>
        <v>4.8762526837382101</v>
      </c>
      <c r="U12" s="245">
        <f ca="1">(+S12*T12/100)/100</f>
        <v>0.2031176560789697</v>
      </c>
      <c r="V12" s="245">
        <f>regDebt_weighted</f>
        <v>3.5860000000000003E-2</v>
      </c>
      <c r="W12" s="245">
        <f ca="1">+U12-V12</f>
        <v>0.1672576560789697</v>
      </c>
      <c r="X12" s="245">
        <f ca="1">+((W12*(1-0.34))-Pfd_weighted)/Equity_percent</f>
        <v>0.30290713084918602</v>
      </c>
      <c r="Y12" s="245">
        <f>+Y11</f>
        <v>2.5000000000000001E-3</v>
      </c>
      <c r="Z12" s="245">
        <f ca="1">+X12+Y12</f>
        <v>0.30540713084918603</v>
      </c>
      <c r="AA12" s="245">
        <f ca="1">Z12*equityP</f>
        <v>0.18324427850951161</v>
      </c>
      <c r="AB12" s="245">
        <f ca="1">+AA12/(1-taxrate)</f>
        <v>0.23195478292343241</v>
      </c>
      <c r="AC12" s="245">
        <f>debtP*Debt_Rate</f>
        <v>1.6572E-2</v>
      </c>
      <c r="AD12" s="245">
        <f ca="1">+AC12+AB12</f>
        <v>0.24852678292343242</v>
      </c>
      <c r="AE12" s="245">
        <f ca="1">+AD12/(S12/100)</f>
        <v>5.9663911823600743E-2</v>
      </c>
      <c r="AF12" s="245">
        <f ca="1">1-AE12</f>
        <v>0.94033608817639924</v>
      </c>
      <c r="AG12" s="246">
        <f ca="1">expenses/(AF12)</f>
        <v>20842.503147859985</v>
      </c>
      <c r="AH12" s="247">
        <f ca="1">+AG12-Revenue</f>
        <v>160.47129704364852</v>
      </c>
      <c r="AI12" s="248">
        <f ca="1">+AH12/$J$49</f>
        <v>175.18432358728154</v>
      </c>
      <c r="AJ12" s="248">
        <f ca="1">+AI12*$J$47</f>
        <v>4.444198733597049</v>
      </c>
      <c r="AK12" s="246">
        <f t="shared" ref="AK12:AK14" ca="1" si="8">ROUND(+AJ12+AG12,5)</f>
        <v>20846.947349999999</v>
      </c>
    </row>
    <row r="13" spans="1:37" ht="15.6">
      <c r="A13" s="194"/>
      <c r="B13" s="218" t="s">
        <v>773</v>
      </c>
      <c r="C13" s="382"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416.54456660202561</v>
      </c>
      <c r="T13" s="244">
        <f ca="1">EXP(y_inter3-(slope*LN(S13)))</f>
        <v>4.82884366518382</v>
      </c>
      <c r="U13" s="245">
        <f ca="1">(+S13*T13/100)/100</f>
        <v>0.20114285917029315</v>
      </c>
      <c r="V13" s="245">
        <f>regDebt_weighted</f>
        <v>3.5860000000000003E-2</v>
      </c>
      <c r="W13" s="245">
        <f ca="1">+U13-V13</f>
        <v>0.16528285917029314</v>
      </c>
      <c r="X13" s="245">
        <f ca="1">+((W13*(1-0.34))-Pfd_weighted)/Equity_percent</f>
        <v>0.2991182763150973</v>
      </c>
      <c r="Y13" s="245">
        <f>+Y12</f>
        <v>2.5000000000000001E-3</v>
      </c>
      <c r="Z13" s="245">
        <f t="shared" ref="Z13:Z14" ca="1" si="9">+X13+Y13</f>
        <v>0.3016182763150973</v>
      </c>
      <c r="AA13" s="245">
        <f ca="1">Z13*equityP</f>
        <v>0.18097096578905839</v>
      </c>
      <c r="AB13" s="245">
        <f ca="1">+AA13/(1-taxrate)</f>
        <v>0.22907717188488402</v>
      </c>
      <c r="AC13" s="245">
        <f>debtP*Debt_Rate</f>
        <v>1.6572E-2</v>
      </c>
      <c r="AD13" s="245">
        <f ca="1">+AC13+AB13</f>
        <v>0.24564917188488403</v>
      </c>
      <c r="AE13" s="245">
        <f ca="1">+AD13/(S13/100)</f>
        <v>5.8973082733685449E-2</v>
      </c>
      <c r="AF13" s="245">
        <f ca="1">1-AE13</f>
        <v>0.9410269172663146</v>
      </c>
      <c r="AG13" s="246">
        <f ca="1">expenses/(AF13)</f>
        <v>20827.202196083788</v>
      </c>
      <c r="AH13" s="247">
        <f ca="1">+AG13-Revenue</f>
        <v>145.17034526745192</v>
      </c>
      <c r="AI13" s="248">
        <f ca="1">+AH13/$J$49</f>
        <v>158.48048348293244</v>
      </c>
      <c r="AJ13" s="248">
        <f ca="1">+AI13*$J$47</f>
        <v>4.0204440076157031</v>
      </c>
      <c r="AK13" s="246">
        <f t="shared" ca="1" si="8"/>
        <v>20831.22264</v>
      </c>
    </row>
    <row r="14" spans="1:37" ht="16.2" thickBot="1">
      <c r="A14" s="194"/>
      <c r="B14" s="258" t="s">
        <v>774</v>
      </c>
      <c r="C14" s="382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898.66091821724922</v>
      </c>
      <c r="L14" s="222"/>
      <c r="M14" s="259">
        <f ca="1">+M9-SUM(M11:M13)</f>
        <v>898.66091821724922</v>
      </c>
      <c r="O14" s="225"/>
      <c r="P14" s="194"/>
      <c r="R14" s="254">
        <v>4</v>
      </c>
      <c r="S14" s="243">
        <f ca="1">IF((AK9/Investment*100)&gt;0,(AK9/Investment*100),0)</f>
        <v>416.54456660202561</v>
      </c>
      <c r="T14" s="260">
        <f ca="1">EXP(y_inter4-(slope*LN(S14)))</f>
        <v>4.7985175775726034</v>
      </c>
      <c r="U14" s="245">
        <f ca="1">(+S14*T14/100)/100</f>
        <v>0.19987964246821818</v>
      </c>
      <c r="V14" s="245">
        <f>regDebt_weighted</f>
        <v>3.5860000000000003E-2</v>
      </c>
      <c r="W14" s="245">
        <f ca="1">+U14-V14</f>
        <v>0.16401964246821818</v>
      </c>
      <c r="X14" s="245">
        <f ca="1">+((W14*(1-0.34))-Pfd_weighted)/Equity_percent</f>
        <v>0.29669466287506974</v>
      </c>
      <c r="Y14" s="245">
        <f>+Y13</f>
        <v>2.5000000000000001E-3</v>
      </c>
      <c r="Z14" s="245">
        <f t="shared" ca="1" si="9"/>
        <v>0.29919466287506974</v>
      </c>
      <c r="AA14" s="245">
        <f ca="1">Z14*equityP</f>
        <v>0.17951679772504184</v>
      </c>
      <c r="AB14" s="245">
        <f ca="1">+AA14/(1-taxrate)</f>
        <v>0.22723645281650864</v>
      </c>
      <c r="AC14" s="245">
        <f>debtP*Debt_Rate</f>
        <v>1.6572E-2</v>
      </c>
      <c r="AD14" s="245">
        <f ca="1">+AC14+AB14</f>
        <v>0.24380845281650865</v>
      </c>
      <c r="AE14" s="245">
        <f ca="1">+AD14/(S14/100)</f>
        <v>5.8531180662223778E-2</v>
      </c>
      <c r="AF14" s="245">
        <f ca="1">1-AE14</f>
        <v>0.94146881933777626</v>
      </c>
      <c r="AG14" s="246">
        <f ca="1">expenses/(AF14)</f>
        <v>20817.42642485891</v>
      </c>
      <c r="AH14" s="247">
        <f ca="1">+AG14-Revenue</f>
        <v>135.39457404257337</v>
      </c>
      <c r="AI14" s="248">
        <f ca="1">+AH14/$J$49</f>
        <v>147.80840753461788</v>
      </c>
      <c r="AJ14" s="248">
        <f ca="1">+AI14*$J$47</f>
        <v>3.74970730330825</v>
      </c>
      <c r="AK14" s="246">
        <f t="shared" ca="1" si="8"/>
        <v>20821.17613</v>
      </c>
    </row>
    <row r="15" spans="1:37" ht="16.2" thickTop="1">
      <c r="A15" s="194"/>
      <c r="B15" s="258" t="s">
        <v>776</v>
      </c>
      <c r="C15" s="261"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0.9476321291464096</v>
      </c>
      <c r="J16" s="264"/>
      <c r="K16" s="263">
        <f ca="1">+K8/K7</f>
        <v>0.94137199999999988</v>
      </c>
      <c r="L16" s="265"/>
      <c r="M16" s="263">
        <f ca="1">+M8/M7</f>
        <v>0.94138272420865465</v>
      </c>
      <c r="O16" s="225"/>
      <c r="P16" s="194"/>
      <c r="R16" s="232">
        <v>1</v>
      </c>
      <c r="S16" s="233">
        <f ca="1">AK11/Investment*100</f>
        <v>416.38086669751334</v>
      </c>
      <c r="T16" s="234">
        <f ca="1">EXP(y_inter1-(slope*LN(+S16)))</f>
        <v>4.9479619467249254</v>
      </c>
      <c r="U16" s="235">
        <f ca="1">(+S16*T16/100)/100</f>
        <v>0.20602366837636396</v>
      </c>
      <c r="V16" s="235">
        <f>regDebt_weighted</f>
        <v>3.5860000000000003E-2</v>
      </c>
      <c r="W16" s="235">
        <f ca="1">+U16-V16</f>
        <v>0.17016366837636396</v>
      </c>
      <c r="X16" s="235">
        <f ca="1">+((W16*(1-0.34))-Pfd_weighted)/Equity_percent</f>
        <v>0.30848261955930295</v>
      </c>
      <c r="Y16" s="235">
        <f>+Y14</f>
        <v>2.5000000000000001E-3</v>
      </c>
      <c r="Z16" s="235">
        <f ca="1">+X16+Y16</f>
        <v>0.31098261955930295</v>
      </c>
      <c r="AA16" s="235">
        <f ca="1">Z16*equityP</f>
        <v>0.18658957173558177</v>
      </c>
      <c r="AB16" s="235">
        <f ca="1">+AA16/(1-taxrate)</f>
        <v>0.236189331310863</v>
      </c>
      <c r="AC16" s="235">
        <f>debtP*Debt_Rate</f>
        <v>1.6572E-2</v>
      </c>
      <c r="AD16" s="235">
        <f ca="1">+AC16+AB16</f>
        <v>0.25276133131086298</v>
      </c>
      <c r="AE16" s="235">
        <f ca="1">+AD16/(S16/100)</f>
        <v>6.0704357843244891E-2</v>
      </c>
      <c r="AF16" s="235">
        <f ca="1">1-AE16</f>
        <v>0.9392956421567551</v>
      </c>
      <c r="AG16" s="236">
        <f ca="1">expenses/(AF16)</f>
        <v>20865.590127577911</v>
      </c>
      <c r="AH16" s="237">
        <f ca="1">+AG16-Revenue</f>
        <v>183.55827676157423</v>
      </c>
      <c r="AI16" s="238">
        <f ca="1">+AH16/$J$49</f>
        <v>200.38806406965577</v>
      </c>
      <c r="AJ16" s="238">
        <f ca="1">+AI16*$J$47</f>
        <v>5.0835848912167378</v>
      </c>
      <c r="AK16" s="236">
        <f ca="1">ROUND(+AJ16+AG16,5)</f>
        <v>20870.673709999999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415.91428936996692</v>
      </c>
      <c r="T17" s="257">
        <f ca="1">EXP(y_inter2-(slope*LN(+S17)))</f>
        <v>4.8813034406467182</v>
      </c>
      <c r="U17" s="245">
        <f ca="1">(+S17*T17/100)/100</f>
        <v>0.20302038517157545</v>
      </c>
      <c r="V17" s="245">
        <f>regDebt_weighted</f>
        <v>3.5860000000000003E-2</v>
      </c>
      <c r="W17" s="245">
        <f ca="1">+U17-V17</f>
        <v>0.16716038517157544</v>
      </c>
      <c r="X17" s="245">
        <f ca="1">+((W17*(1-0.34))-Pfd_weighted)/Equity_percent</f>
        <v>0.30272050643383658</v>
      </c>
      <c r="Y17" s="245">
        <f>+Y16</f>
        <v>2.5000000000000001E-3</v>
      </c>
      <c r="Z17" s="245">
        <f ca="1">+X17+Y17</f>
        <v>0.30522050643383658</v>
      </c>
      <c r="AA17" s="245">
        <f ca="1">Z17*equityP</f>
        <v>0.18313230386030194</v>
      </c>
      <c r="AB17" s="245">
        <f ca="1">+AA17/(1-taxrate)</f>
        <v>0.23181304286114168</v>
      </c>
      <c r="AC17" s="245">
        <f>debtP*Debt_Rate</f>
        <v>1.6572E-2</v>
      </c>
      <c r="AD17" s="245">
        <f ca="1">+AC17+AB17</f>
        <v>0.24838504286114169</v>
      </c>
      <c r="AE17" s="245">
        <f ca="1">+AD17/(S17/100)</f>
        <v>5.9720247466707385E-2</v>
      </c>
      <c r="AF17" s="245">
        <f ca="1">1-AE17</f>
        <v>0.94027975253329266</v>
      </c>
      <c r="AG17" s="246">
        <f ca="1">expenses/(AF17)</f>
        <v>20843.751899431652</v>
      </c>
      <c r="AH17" s="247">
        <f ca="1">+AG17-Revenue</f>
        <v>161.72004861531605</v>
      </c>
      <c r="AI17" s="248">
        <f ca="1">+AH17/$J$49</f>
        <v>176.54756862512545</v>
      </c>
      <c r="AJ17" s="248">
        <f ca="1">+AI17*$J$47</f>
        <v>4.478782489418955</v>
      </c>
      <c r="AK17" s="246">
        <f t="shared" ref="AK17:AK19" ca="1" si="10">ROUND(+AJ17+AG17,5)</f>
        <v>20848.230680000001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415.60056806221877</v>
      </c>
      <c r="T18" s="244">
        <f ca="1">EXP(y_inter3-(slope*LN(S18)))</f>
        <v>4.8363396545581798</v>
      </c>
      <c r="U18" s="245">
        <f ca="1">(+S18*T18/100)/100</f>
        <v>0.20099855077762144</v>
      </c>
      <c r="V18" s="245">
        <f>regDebt_weighted</f>
        <v>3.5860000000000003E-2</v>
      </c>
      <c r="W18" s="245">
        <f ca="1">+U18-V18</f>
        <v>0.16513855077762143</v>
      </c>
      <c r="X18" s="245">
        <f ca="1">+((W18*(1-0.34))-Pfd_weighted)/Equity_percent</f>
        <v>0.29884140556171551</v>
      </c>
      <c r="Y18" s="245">
        <f>+Y17</f>
        <v>2.5000000000000001E-3</v>
      </c>
      <c r="Z18" s="245">
        <f t="shared" ref="Z18:Z19" ca="1" si="11">+X18+Y18</f>
        <v>0.30134140556171551</v>
      </c>
      <c r="AA18" s="245">
        <f ca="1">Z18*equityP</f>
        <v>0.18080484333702931</v>
      </c>
      <c r="AB18" s="245">
        <f ca="1">+AA18/(1-taxrate)</f>
        <v>0.2288668903000371</v>
      </c>
      <c r="AC18" s="245">
        <f>debtP*Debt_Rate</f>
        <v>1.6572E-2</v>
      </c>
      <c r="AD18" s="245">
        <f ca="1">+AC18+AB18</f>
        <v>0.2454388903000371</v>
      </c>
      <c r="AE18" s="245">
        <f ca="1">+AD18/(S18/100)</f>
        <v>5.9056437637807303E-2</v>
      </c>
      <c r="AF18" s="245">
        <f ca="1">1-AE18</f>
        <v>0.94094356236219268</v>
      </c>
      <c r="AG18" s="246">
        <f ca="1">expenses/(AF18)</f>
        <v>20829.047205191266</v>
      </c>
      <c r="AH18" s="247">
        <f ca="1">+AG18-Revenue</f>
        <v>147.0153543749293</v>
      </c>
      <c r="AI18" s="248">
        <f ca="1">+AH18/$J$49</f>
        <v>160.49465473012989</v>
      </c>
      <c r="AJ18" s="248">
        <f ca="1">+AI18*$J$47</f>
        <v>4.0715409158478071</v>
      </c>
      <c r="AK18" s="246">
        <f t="shared" ca="1" si="10"/>
        <v>20833.118750000001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20682.031850816336</v>
      </c>
      <c r="K19" s="271"/>
      <c r="L19" s="240" t="s">
        <v>785</v>
      </c>
      <c r="M19" s="272">
        <f ca="1">+J7</f>
        <v>137.53562926905579</v>
      </c>
      <c r="O19" s="194"/>
      <c r="P19" s="194"/>
      <c r="R19" s="254">
        <v>4</v>
      </c>
      <c r="S19" s="243">
        <f ca="1">AK14/Investment*100</f>
        <v>415.40013166272365</v>
      </c>
      <c r="T19" s="260">
        <f ca="1">EXP(y_inter4-(slope*LN(S19)))</f>
        <v>4.8075517637449856</v>
      </c>
      <c r="U19" s="245">
        <f ca="1">(+S19*T19/100)/100</f>
        <v>0.19970576356350264</v>
      </c>
      <c r="V19" s="245">
        <f>regDebt_weighted</f>
        <v>3.5860000000000003E-2</v>
      </c>
      <c r="W19" s="245">
        <f ca="1">+U19-V19</f>
        <v>0.16384576356350264</v>
      </c>
      <c r="X19" s="245">
        <f ca="1">+((W19*(1-0.34))-Pfd_weighted)/Equity_percent</f>
        <v>0.29636105799974344</v>
      </c>
      <c r="Y19" s="245">
        <f>+Y18</f>
        <v>2.5000000000000001E-3</v>
      </c>
      <c r="Z19" s="245">
        <f t="shared" ca="1" si="11"/>
        <v>0.29886105799974344</v>
      </c>
      <c r="AA19" s="245">
        <f ca="1">Z19*equityP</f>
        <v>0.17931663479984605</v>
      </c>
      <c r="AB19" s="245">
        <f ca="1">+AA19/(1-taxrate)</f>
        <v>0.22698308202512157</v>
      </c>
      <c r="AC19" s="245">
        <f>debtP*Debt_Rate</f>
        <v>1.6572E-2</v>
      </c>
      <c r="AD19" s="245">
        <f ca="1">+AC19+AB19</f>
        <v>0.24355508202512158</v>
      </c>
      <c r="AE19" s="245">
        <f ca="1">+AD19/(S19/100)</f>
        <v>5.8631440738894987E-2</v>
      </c>
      <c r="AF19" s="245">
        <f ca="1">1-AE19</f>
        <v>0.94136855926110496</v>
      </c>
      <c r="AG19" s="246">
        <f ca="1">expenses/(AF19)</f>
        <v>20819.64357641865</v>
      </c>
      <c r="AH19" s="247">
        <f ca="1">+AG19-Revenue</f>
        <v>137.61172560231353</v>
      </c>
      <c r="AI19" s="248">
        <f ca="1">+AH19/$J$49</f>
        <v>150.22884161497507</v>
      </c>
      <c r="AJ19" s="248">
        <f ca="1">+AI19*$J$47</f>
        <v>3.8111105719021956</v>
      </c>
      <c r="AK19" s="246">
        <f t="shared" ca="1" si="10"/>
        <v>20823.454689999999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141.34463237853925</v>
      </c>
      <c r="K20" s="273"/>
      <c r="L20" s="240" t="s">
        <v>787</v>
      </c>
      <c r="M20" s="272">
        <f ca="1">+L8</f>
        <v>3.8090031094829158</v>
      </c>
      <c r="O20" s="194"/>
      <c r="P20" s="383">
        <v>2187</v>
      </c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20823.376483194876</v>
      </c>
      <c r="L21" s="274" t="s">
        <v>786</v>
      </c>
      <c r="M21" s="276">
        <f ca="1">+M19+M20</f>
        <v>141.34463237853871</v>
      </c>
      <c r="O21" s="194"/>
      <c r="P21" s="194"/>
      <c r="R21" s="232">
        <v>1</v>
      </c>
      <c r="S21" s="233">
        <f ca="1">AK16/Investment*100</f>
        <v>416.38765038503828</v>
      </c>
      <c r="T21" s="234">
        <f ca="1">EXP(y_inter1-(slope*LN(+S21)))</f>
        <v>4.9479068352558704</v>
      </c>
      <c r="U21" s="235">
        <f ca="1">(+S21*T21/100)/100</f>
        <v>0.20602473014562622</v>
      </c>
      <c r="V21" s="235">
        <f>regDebt_weighted</f>
        <v>3.5860000000000003E-2</v>
      </c>
      <c r="W21" s="235">
        <f ca="1">+U21-V21</f>
        <v>0.17016473014562622</v>
      </c>
      <c r="X21" s="235">
        <f ca="1">+((W21*(1-0.34))-Pfd_weighted)/Equity_percent</f>
        <v>0.30848465667474795</v>
      </c>
      <c r="Y21" s="235">
        <f>+Y19</f>
        <v>2.5000000000000001E-3</v>
      </c>
      <c r="Z21" s="235">
        <f ca="1">+X21+Y21</f>
        <v>0.31098465667474795</v>
      </c>
      <c r="AA21" s="235">
        <f ca="1">Z21*equityP</f>
        <v>0.18659079400484876</v>
      </c>
      <c r="AB21" s="235">
        <f ca="1">+AA21/(1-taxrate)</f>
        <v>0.23619087848715031</v>
      </c>
      <c r="AC21" s="235">
        <f>debtP*Debt_Rate</f>
        <v>1.6572E-2</v>
      </c>
      <c r="AD21" s="235">
        <f ca="1">+AC21+AB21</f>
        <v>0.25276287848715029</v>
      </c>
      <c r="AE21" s="235">
        <f ca="1">+AD21/(S21/100)</f>
        <v>6.070374043356417E-2</v>
      </c>
      <c r="AF21" s="235">
        <f ca="1">1-AE21</f>
        <v>0.93929625956643581</v>
      </c>
      <c r="AG21" s="236">
        <f ca="1">expenses/(AF21)</f>
        <v>20865.576412397841</v>
      </c>
      <c r="AH21" s="237">
        <f ca="1">+AG21-Revenue</f>
        <v>183.54456158150424</v>
      </c>
      <c r="AI21" s="238">
        <f ca="1">+AH21/$J$49</f>
        <v>200.3730913948678</v>
      </c>
      <c r="AJ21" s="238">
        <f ca="1">+AI21*$J$47</f>
        <v>5.0832050539061351</v>
      </c>
      <c r="AK21" s="236">
        <f ca="1">ROUND(+AJ21+AG21,5)</f>
        <v>20870.659619999999</v>
      </c>
    </row>
    <row r="22" spans="1:37" ht="21" customHeight="1" thickTop="1">
      <c r="A22" s="194"/>
      <c r="B22" s="267"/>
      <c r="C22" s="194"/>
      <c r="D22" s="194"/>
      <c r="E22" s="383">
        <f ca="1">9.65*(1+K22)</f>
        <v>9.7159497921815188</v>
      </c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6.8341753555978269E-3</v>
      </c>
      <c r="L22" s="279"/>
      <c r="M22" s="282"/>
      <c r="O22" s="194"/>
      <c r="P22" s="194"/>
      <c r="R22" s="242">
        <v>2</v>
      </c>
      <c r="S22" s="243">
        <f ca="1">AK17/Investment*100</f>
        <v>415.93989289244024</v>
      </c>
      <c r="T22" s="257">
        <f ca="1">EXP(y_inter2-(slope*LN(+S22)))</f>
        <v>4.881098014509238</v>
      </c>
      <c r="U22" s="245">
        <f ca="1">(+S22*T22/100)/100</f>
        <v>0.20302433853524751</v>
      </c>
      <c r="V22" s="245">
        <f>regDebt_weighted</f>
        <v>3.5860000000000003E-2</v>
      </c>
      <c r="W22" s="245">
        <f ca="1">+U22-V22</f>
        <v>0.16716433853524751</v>
      </c>
      <c r="X22" s="245">
        <f ca="1">+((W22*(1-0.34))-Pfd_weighted)/Equity_percent</f>
        <v>0.30272809137576556</v>
      </c>
      <c r="Y22" s="245">
        <f>+Y21</f>
        <v>2.5000000000000001E-3</v>
      </c>
      <c r="Z22" s="245">
        <f ca="1">+X22+Y22</f>
        <v>0.30522809137576556</v>
      </c>
      <c r="AA22" s="245">
        <f ca="1">Z22*equityP</f>
        <v>0.18313685482545933</v>
      </c>
      <c r="AB22" s="245">
        <f ca="1">+AA22/(1-taxrate)</f>
        <v>0.23181880357653079</v>
      </c>
      <c r="AC22" s="245">
        <f>debtP*Debt_Rate</f>
        <v>1.6572E-2</v>
      </c>
      <c r="AD22" s="245">
        <f ca="1">+AC22+AB22</f>
        <v>0.24839080357653079</v>
      </c>
      <c r="AE22" s="245">
        <f ca="1">+AD22/(S22/100)</f>
        <v>5.9717956325185492E-2</v>
      </c>
      <c r="AF22" s="245">
        <f ca="1">1-AE22</f>
        <v>0.94028204367481449</v>
      </c>
      <c r="AG22" s="246">
        <f ca="1">expenses/(AF22)</f>
        <v>20843.701110430877</v>
      </c>
      <c r="AH22" s="247">
        <f ca="1">+AG22-Revenue</f>
        <v>161.66925961454035</v>
      </c>
      <c r="AI22" s="248">
        <f ca="1">+AH22/$J$49</f>
        <v>176.49212296655298</v>
      </c>
      <c r="AJ22" s="248">
        <f ca="1">+AI22*$J$47</f>
        <v>4.4773759050821527</v>
      </c>
      <c r="AK22" s="246">
        <f t="shared" ref="AK22:AK24" ca="1" si="12">ROUND(+AJ22+AG22,5)</f>
        <v>20848.178489999998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415.63839706566841</v>
      </c>
      <c r="T23" s="244">
        <f ca="1">EXP(y_inter3-(slope*LN(S23)))</f>
        <v>4.8360387153263664</v>
      </c>
      <c r="U23" s="245">
        <f ca="1">(+S23*T23/100)/100</f>
        <v>0.2010043379785765</v>
      </c>
      <c r="V23" s="245">
        <f>regDebt_weighted</f>
        <v>3.5860000000000003E-2</v>
      </c>
      <c r="W23" s="245">
        <f ca="1">+U23-V23</f>
        <v>0.1651443379785765</v>
      </c>
      <c r="X23" s="245">
        <f ca="1">+((W23*(1-0.34))-Pfd_weighted)/Equity_percent</f>
        <v>0.29885250891238513</v>
      </c>
      <c r="Y23" s="245">
        <f>+Y22</f>
        <v>2.5000000000000001E-3</v>
      </c>
      <c r="Z23" s="245">
        <f t="shared" ref="Z23:Z24" ca="1" si="13">+X23+Y23</f>
        <v>0.30135250891238513</v>
      </c>
      <c r="AA23" s="245">
        <f ca="1">Z23*equityP</f>
        <v>0.18081150534743107</v>
      </c>
      <c r="AB23" s="245">
        <f ca="1">+AA23/(1-taxrate)</f>
        <v>0.22887532322459628</v>
      </c>
      <c r="AC23" s="245">
        <f>debtP*Debt_Rate</f>
        <v>1.6572E-2</v>
      </c>
      <c r="AD23" s="245">
        <f ca="1">+AC23+AB23</f>
        <v>0.24544732322459628</v>
      </c>
      <c r="AE23" s="245">
        <f ca="1">+AD23/(S23/100)</f>
        <v>5.9053091571281628E-2</v>
      </c>
      <c r="AF23" s="245">
        <f ca="1">1-AE23</f>
        <v>0.94094690842871842</v>
      </c>
      <c r="AG23" s="246">
        <f ca="1">expenses/(AF23)</f>
        <v>20828.973135786295</v>
      </c>
      <c r="AH23" s="247">
        <f ca="1">+AG23-Revenue</f>
        <v>146.94128496995836</v>
      </c>
      <c r="AI23" s="248">
        <f ca="1">+AH23/$J$49</f>
        <v>160.41379417221455</v>
      </c>
      <c r="AJ23" s="248">
        <f ca="1">+AI23*$J$47</f>
        <v>4.0694895885273787</v>
      </c>
      <c r="AK23" s="246">
        <f t="shared" ca="1" si="12"/>
        <v>20833.04263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415.44559086820226</v>
      </c>
      <c r="T24" s="260">
        <f ca="1">EXP(y_inter4-(slope*LN(S24)))</f>
        <v>4.807192109081825</v>
      </c>
      <c r="U24" s="245">
        <f ca="1">(+S24*T24/100)/100</f>
        <v>0.19971267661744585</v>
      </c>
      <c r="V24" s="245">
        <f>regDebt_weighted</f>
        <v>3.5860000000000003E-2</v>
      </c>
      <c r="W24" s="245">
        <f ca="1">+U24-V24</f>
        <v>0.16385267661744585</v>
      </c>
      <c r="X24" s="245">
        <f ca="1">+((W24*(1-0.34))-Pfd_weighted)/Equity_percent</f>
        <v>0.29637432141719261</v>
      </c>
      <c r="Y24" s="245">
        <f>+Y23</f>
        <v>2.5000000000000001E-3</v>
      </c>
      <c r="Z24" s="245">
        <f t="shared" ca="1" si="13"/>
        <v>0.29887432141719261</v>
      </c>
      <c r="AA24" s="245">
        <f ca="1">Z24*equityP</f>
        <v>0.17932459285031557</v>
      </c>
      <c r="AB24" s="245">
        <f ca="1">+AA24/(1-taxrate)</f>
        <v>0.22699315550672855</v>
      </c>
      <c r="AC24" s="245">
        <f>debtP*Debt_Rate</f>
        <v>1.6572E-2</v>
      </c>
      <c r="AD24" s="245">
        <f ca="1">+AC24+AB24</f>
        <v>0.24356515550672855</v>
      </c>
      <c r="AE24" s="245">
        <f ca="1">+AD24/(S24/100)</f>
        <v>5.8627449865991769E-2</v>
      </c>
      <c r="AF24" s="245">
        <f ca="1">1-AE24</f>
        <v>0.94137255013400822</v>
      </c>
      <c r="AG24" s="246">
        <f ca="1">expenses/(AF24)</f>
        <v>20819.555313221055</v>
      </c>
      <c r="AH24" s="247">
        <f ca="1">+AG24-Revenue</f>
        <v>137.52346240471888</v>
      </c>
      <c r="AI24" s="248">
        <f ca="1">+AH24/$J$49</f>
        <v>150.1324858874828</v>
      </c>
      <c r="AJ24" s="248">
        <f ca="1">+AI24*$J$47</f>
        <v>3.8086661522570631</v>
      </c>
      <c r="AK24" s="246">
        <f t="shared" ca="1" si="12"/>
        <v>20823.363979999998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3007.3908806902396</v>
      </c>
      <c r="K26" s="263">
        <f ca="1">+K34</f>
        <v>0.2988174646625894</v>
      </c>
      <c r="L26" s="293">
        <f ca="1">+K26*I26</f>
        <v>0.17929047879755364</v>
      </c>
      <c r="M26" s="241">
        <f ca="1">+J26*K26</f>
        <v>898.66091821724933</v>
      </c>
      <c r="O26" s="194"/>
      <c r="P26" s="194"/>
      <c r="R26" s="232">
        <v>1</v>
      </c>
      <c r="S26" s="233">
        <f ca="1">AK21/Investment*100</f>
        <v>416.38736927758214</v>
      </c>
      <c r="T26" s="234">
        <f ca="1">EXP(y_inter1-(slope*LN(+S26)))</f>
        <v>4.947909118975625</v>
      </c>
      <c r="U26" s="235">
        <f ca="1">(+S26*T26/100)/100</f>
        <v>0.20602468614748193</v>
      </c>
      <c r="V26" s="235">
        <f>regDebt_weighted</f>
        <v>3.5860000000000003E-2</v>
      </c>
      <c r="W26" s="235">
        <f ca="1">+U26-V26</f>
        <v>0.17016468614748193</v>
      </c>
      <c r="X26" s="235">
        <f ca="1">+((W26*(1-0.34))-Pfd_weighted)/Equity_percent</f>
        <v>0.30848457225970372</v>
      </c>
      <c r="Y26" s="235">
        <f>+Y24</f>
        <v>2.5000000000000001E-3</v>
      </c>
      <c r="Z26" s="235">
        <f ca="1">+X26+Y26</f>
        <v>0.31098457225970372</v>
      </c>
      <c r="AA26" s="235">
        <f ca="1">Z26*equityP</f>
        <v>0.18659074335582224</v>
      </c>
      <c r="AB26" s="235">
        <f ca="1">+AA26/(1-taxrate)</f>
        <v>0.23619081437445852</v>
      </c>
      <c r="AC26" s="235">
        <f>debtP*Debt_Rate</f>
        <v>1.6572E-2</v>
      </c>
      <c r="AD26" s="235">
        <f ca="1">+AC26+AB26</f>
        <v>0.25276281437445852</v>
      </c>
      <c r="AE26" s="235">
        <f ca="1">+AD26/(S26/100)</f>
        <v>6.0703766017925417E-2</v>
      </c>
      <c r="AF26" s="235">
        <f ca="1">1-AE26</f>
        <v>0.93929623398207462</v>
      </c>
      <c r="AG26" s="236">
        <f ca="1">expenses/(AF26)</f>
        <v>20865.576980730199</v>
      </c>
      <c r="AH26" s="237">
        <f ca="1">+AG26-Revenue</f>
        <v>183.54512991386218</v>
      </c>
      <c r="AI26" s="238">
        <f ca="1">+AH26/$J$49</f>
        <v>200.37371183554183</v>
      </c>
      <c r="AJ26" s="238">
        <f ca="1">+AI26*$J$47</f>
        <v>5.0832207936801126</v>
      </c>
      <c r="AK26" s="236">
        <f ca="1">ROUND(+AJ26+AG26,5)</f>
        <v>20870.660199999998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2004.9272537934933</v>
      </c>
      <c r="K27" s="263">
        <f>IF(A64=TRUE,C9,0)</f>
        <v>4.1430000000000002E-2</v>
      </c>
      <c r="L27" s="293">
        <f>+K27*I27</f>
        <v>1.6572E-2</v>
      </c>
      <c r="M27" s="241">
        <f>+K27*J27</f>
        <v>83.064136124664429</v>
      </c>
      <c r="O27" s="194"/>
      <c r="P27" s="194"/>
      <c r="R27" s="242">
        <v>2</v>
      </c>
      <c r="S27" s="243">
        <f ca="1">AK22/Investment*100</f>
        <v>415.93885165765425</v>
      </c>
      <c r="T27" s="257">
        <f ca="1">EXP(y_inter2-(slope*LN(+S27)))</f>
        <v>4.8811063682897453</v>
      </c>
      <c r="U27" s="245">
        <f ca="1">(+S27*T27/100)/100</f>
        <v>0.20302417776452997</v>
      </c>
      <c r="V27" s="245">
        <f>regDebt_weighted</f>
        <v>3.5860000000000003E-2</v>
      </c>
      <c r="W27" s="245">
        <f ca="1">+U27-V27</f>
        <v>0.16716417776452996</v>
      </c>
      <c r="X27" s="245">
        <f ca="1">+((W27*(1-0.34))-Pfd_weighted)/Equity_percent</f>
        <v>0.3027277829203191</v>
      </c>
      <c r="Y27" s="245">
        <f>+Y26</f>
        <v>2.5000000000000001E-3</v>
      </c>
      <c r="Z27" s="245">
        <f ca="1">+X27+Y27</f>
        <v>0.3052277829203191</v>
      </c>
      <c r="AA27" s="245">
        <f ca="1">Z27*equityP</f>
        <v>0.18313666975219145</v>
      </c>
      <c r="AB27" s="245">
        <f ca="1">+AA27/(1-taxrate)</f>
        <v>0.23181856930657144</v>
      </c>
      <c r="AC27" s="245">
        <f>debtP*Debt_Rate</f>
        <v>1.6572E-2</v>
      </c>
      <c r="AD27" s="245">
        <f ca="1">+AC27+AB27</f>
        <v>0.24839056930657144</v>
      </c>
      <c r="AE27" s="245">
        <f ca="1">+AD27/(S27/100)</f>
        <v>5.9718049496134511E-2</v>
      </c>
      <c r="AF27" s="245">
        <f ca="1">1-AE27</f>
        <v>0.94028195050386554</v>
      </c>
      <c r="AG27" s="246">
        <f ca="1">expenses/(AF27)</f>
        <v>20843.703175797982</v>
      </c>
      <c r="AH27" s="247">
        <f ca="1">+AG27-Revenue</f>
        <v>161.67132498164574</v>
      </c>
      <c r="AI27" s="248">
        <f ca="1">+AH27/$J$49</f>
        <v>176.4943776996173</v>
      </c>
      <c r="AJ27" s="248">
        <f ca="1">+AI27*$J$47</f>
        <v>4.4774331047312073</v>
      </c>
      <c r="AK27" s="246">
        <f t="shared" ref="AK27:AK29" ca="1" si="14">ROUND(+AJ27+AG27,5)</f>
        <v>20848.180609999999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5012.318134483733</v>
      </c>
      <c r="K28" s="297"/>
      <c r="L28" s="298">
        <f ca="1">SUM(L26:L27)</f>
        <v>0.19586247879755364</v>
      </c>
      <c r="M28" s="296">
        <f ca="1">SUM(M26:M27)</f>
        <v>981.72505434191373</v>
      </c>
      <c r="O28" s="194"/>
      <c r="P28" s="194"/>
      <c r="R28" s="251">
        <v>3</v>
      </c>
      <c r="S28" s="243">
        <f ca="1">AK23/Investment*100</f>
        <v>415.63687840707655</v>
      </c>
      <c r="T28" s="244">
        <f ca="1">EXP(y_inter3-(slope*LN(S28)))</f>
        <v>4.8360507957487213</v>
      </c>
      <c r="U28" s="245">
        <f ca="1">(+S28*T28/100)/100</f>
        <v>0.20100410565630572</v>
      </c>
      <c r="V28" s="245">
        <f>regDebt_weighted</f>
        <v>3.5860000000000003E-2</v>
      </c>
      <c r="W28" s="245">
        <f ca="1">+U28-V28</f>
        <v>0.16514410565630572</v>
      </c>
      <c r="X28" s="245">
        <f ca="1">+((W28*(1-0.34))-Pfd_weighted)/Equity_percent</f>
        <v>0.29885206317779583</v>
      </c>
      <c r="Y28" s="245">
        <f>+Y27</f>
        <v>2.5000000000000001E-3</v>
      </c>
      <c r="Z28" s="245">
        <f t="shared" ref="Z28:Z29" ca="1" si="15">+X28+Y28</f>
        <v>0.30135206317779584</v>
      </c>
      <c r="AA28" s="245">
        <f ca="1">Z28*equityP</f>
        <v>0.1808112379066775</v>
      </c>
      <c r="AB28" s="245">
        <f ca="1">+AA28/(1-taxrate)</f>
        <v>0.22887498469199682</v>
      </c>
      <c r="AC28" s="245">
        <f>debtP*Debt_Rate</f>
        <v>1.6572E-2</v>
      </c>
      <c r="AD28" s="245">
        <f ca="1">+AC28+AB28</f>
        <v>0.24544698469199683</v>
      </c>
      <c r="AE28" s="245">
        <f ca="1">+AD28/(S28/100)</f>
        <v>5.9053225890991559E-2</v>
      </c>
      <c r="AF28" s="245">
        <f ca="1">1-AE28</f>
        <v>0.9409467741090084</v>
      </c>
      <c r="AG28" s="246">
        <f ca="1">expenses/(AF28)</f>
        <v>20828.976109112427</v>
      </c>
      <c r="AH28" s="247">
        <f ca="1">+AG28-Revenue</f>
        <v>146.94425829609099</v>
      </c>
      <c r="AI28" s="248">
        <f ca="1">+AH28/$J$49</f>
        <v>160.41704011174983</v>
      </c>
      <c r="AJ28" s="248">
        <f ca="1">+AI28*$J$47</f>
        <v>4.0695719337970733</v>
      </c>
      <c r="AK28" s="246">
        <f t="shared" ca="1" si="14"/>
        <v>20833.045679999999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415.44378112673002</v>
      </c>
      <c r="T29" s="260">
        <f ca="1">EXP(y_inter4-(slope*LN(S29)))</f>
        <v>4.8072064257506417</v>
      </c>
      <c r="U29" s="245">
        <f ca="1">(+S29*T29/100)/100</f>
        <v>0.19971240141705596</v>
      </c>
      <c r="V29" s="245">
        <f>regDebt_weighted</f>
        <v>3.5860000000000003E-2</v>
      </c>
      <c r="W29" s="245">
        <f ca="1">+U29-V29</f>
        <v>0.16385240141705595</v>
      </c>
      <c r="X29" s="245">
        <f ca="1">+((W29*(1-0.34))-Pfd_weighted)/Equity_percent</f>
        <v>0.29637379341644454</v>
      </c>
      <c r="Y29" s="245">
        <f>+Y28</f>
        <v>2.5000000000000001E-3</v>
      </c>
      <c r="Z29" s="245">
        <f t="shared" ca="1" si="15"/>
        <v>0.29887379341644454</v>
      </c>
      <c r="AA29" s="245">
        <f ca="1">Z29*equityP</f>
        <v>0.17932427604986673</v>
      </c>
      <c r="AB29" s="245">
        <f ca="1">+AA29/(1-taxrate)</f>
        <v>0.22699275449350217</v>
      </c>
      <c r="AC29" s="245">
        <f>debtP*Debt_Rate</f>
        <v>1.6572E-2</v>
      </c>
      <c r="AD29" s="245">
        <f ca="1">+AC29+AB29</f>
        <v>0.24356475449350218</v>
      </c>
      <c r="AE29" s="245">
        <f ca="1">+AD29/(S29/100)</f>
        <v>5.8627608730338267E-2</v>
      </c>
      <c r="AF29" s="245">
        <f ca="1">1-AE29</f>
        <v>0.94137239126966177</v>
      </c>
      <c r="AG29" s="246">
        <f ca="1">expenses/(AF29)</f>
        <v>20819.558826692533</v>
      </c>
      <c r="AH29" s="247">
        <f ca="1">+AG29-Revenue</f>
        <v>137.52697587619696</v>
      </c>
      <c r="AI29" s="248">
        <f ca="1">+AH29/$J$49</f>
        <v>150.13632149631545</v>
      </c>
      <c r="AJ29" s="248">
        <f ca="1">+AI29*$J$47</f>
        <v>3.8087634566708806</v>
      </c>
      <c r="AK29" s="246">
        <f t="shared" ca="1" si="14"/>
        <v>20823.367590000002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416.38738084907436</v>
      </c>
      <c r="T31" s="234">
        <f ca="1">EXP(y_inter1-(slope*LN(+S31)))</f>
        <v>4.9479090249686584</v>
      </c>
      <c r="U31" s="235">
        <f ca="1">(+S31*T31/100)/100</f>
        <v>0.2060246879586197</v>
      </c>
      <c r="V31" s="235">
        <f>regDebt_weighted</f>
        <v>3.5860000000000003E-2</v>
      </c>
      <c r="W31" s="235">
        <f ca="1">+U31-V31</f>
        <v>0.17016468795861969</v>
      </c>
      <c r="X31" s="235">
        <f ca="1">+((W31*(1-0.34))-Pfd_weighted)/Equity_percent</f>
        <v>0.30848457573456101</v>
      </c>
      <c r="Y31" s="235">
        <f>+Y29</f>
        <v>2.5000000000000001E-3</v>
      </c>
      <c r="Z31" s="235">
        <f ca="1">+X31+Y31</f>
        <v>0.31098457573456101</v>
      </c>
      <c r="AA31" s="235">
        <f ca="1">Z31*equityP</f>
        <v>0.18659074544073659</v>
      </c>
      <c r="AB31" s="235">
        <f ca="1">+AA31/(1-taxrate)</f>
        <v>0.2361908170135906</v>
      </c>
      <c r="AC31" s="235">
        <f>debtP*Debt_Rate</f>
        <v>1.6572E-2</v>
      </c>
      <c r="AD31" s="235">
        <f ca="1">+AC31+AB31</f>
        <v>0.2527628170135906</v>
      </c>
      <c r="AE31" s="235">
        <f ca="1">+AD31/(S31/100)</f>
        <v>6.0703764964771631E-2</v>
      </c>
      <c r="AF31" s="235">
        <f ca="1">1-AE31</f>
        <v>0.93929623503522841</v>
      </c>
      <c r="AG31" s="236">
        <f ca="1">expenses/(AF31)</f>
        <v>20865.576957335386</v>
      </c>
      <c r="AH31" s="237">
        <f ca="1">+AG31-Revenue</f>
        <v>183.54510651905002</v>
      </c>
      <c r="AI31" s="238">
        <f ca="1">+AH31/$J$49</f>
        <v>200.37368629574487</v>
      </c>
      <c r="AJ31" s="238">
        <f ca="1">+AI31*$J$47</f>
        <v>5.0832201457686388</v>
      </c>
      <c r="AK31" s="236">
        <f ca="1">ROUND(+AJ31+AG31,5)</f>
        <v>20870.660179999999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415.9388939534532</v>
      </c>
      <c r="T32" s="257">
        <f ca="1">EXP(y_inter2-(slope*LN(+S32)))</f>
        <v>4.8811060289517378</v>
      </c>
      <c r="U32" s="245">
        <f ca="1">(+S32*T32/100)/100</f>
        <v>0.20302418429517177</v>
      </c>
      <c r="V32" s="245">
        <f>regDebt_weighted</f>
        <v>3.5860000000000003E-2</v>
      </c>
      <c r="W32" s="245">
        <f ca="1">+U32-V32</f>
        <v>0.16716418429517177</v>
      </c>
      <c r="X32" s="245">
        <f ca="1">+((W32*(1-0.34))-Pfd_weighted)/Equity_percent</f>
        <v>0.30272779545003886</v>
      </c>
      <c r="Y32" s="245">
        <f>+Y31</f>
        <v>2.5000000000000001E-3</v>
      </c>
      <c r="Z32" s="245">
        <f ca="1">+X32+Y32</f>
        <v>0.30522779545003886</v>
      </c>
      <c r="AA32" s="245">
        <f ca="1">Z32*equityP</f>
        <v>0.18313667727002331</v>
      </c>
      <c r="AB32" s="245">
        <f ca="1">+AA32/(1-taxrate)</f>
        <v>0.23181857882281431</v>
      </c>
      <c r="AC32" s="245">
        <f>debtP*Debt_Rate</f>
        <v>1.6572E-2</v>
      </c>
      <c r="AD32" s="245">
        <f ca="1">+AC32+AB32</f>
        <v>0.24839057882281432</v>
      </c>
      <c r="AE32" s="245">
        <f ca="1">+AD32/(S32/100)</f>
        <v>5.9718045711447981E-2</v>
      </c>
      <c r="AF32" s="245">
        <f ca="1">1-AE32</f>
        <v>0.94028195428855199</v>
      </c>
      <c r="AG32" s="246">
        <f ca="1">expenses/(AF32)</f>
        <v>20843.703091900934</v>
      </c>
      <c r="AH32" s="247">
        <f ca="1">+AG32-Revenue</f>
        <v>161.67124108459757</v>
      </c>
      <c r="AI32" s="248">
        <f ca="1">+AH32/$J$49</f>
        <v>176.49428611035549</v>
      </c>
      <c r="AJ32" s="248">
        <f ca="1">+AI32*$J$47</f>
        <v>4.4774307812306047</v>
      </c>
      <c r="AK32" s="246">
        <f t="shared" ref="AK32:AK34" ca="1" si="16">ROUND(+AJ32+AG32,5)</f>
        <v>20848.180520000002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0.24352197316146029</v>
      </c>
      <c r="K33" s="304">
        <f ca="1">+(M14+M11)/J28</f>
        <v>0.19586247879755361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415.63693925716461</v>
      </c>
      <c r="T33" s="244">
        <f ca="1">EXP(y_inter3-(slope*LN(S33)))</f>
        <v>4.8360503117051472</v>
      </c>
      <c r="U33" s="245">
        <f ca="1">(+S33*T33/100)/100</f>
        <v>0.20100411496507842</v>
      </c>
      <c r="V33" s="245">
        <f>regDebt_weighted</f>
        <v>3.5860000000000003E-2</v>
      </c>
      <c r="W33" s="245">
        <f ca="1">+U33-V33</f>
        <v>0.16514411496507841</v>
      </c>
      <c r="X33" s="245">
        <f ca="1">+((W33*(1-0.34))-Pfd_weighted)/Equity_percent</f>
        <v>0.29885208103765043</v>
      </c>
      <c r="Y33" s="245">
        <f>+Y32</f>
        <v>2.5000000000000001E-3</v>
      </c>
      <c r="Z33" s="245">
        <f t="shared" ref="Z33:Z34" ca="1" si="17">+X33+Y33</f>
        <v>0.30135208103765043</v>
      </c>
      <c r="AA33" s="245">
        <f ca="1">Z33*equityP</f>
        <v>0.18081124862259026</v>
      </c>
      <c r="AB33" s="245">
        <f ca="1">+AA33/(1-taxrate)</f>
        <v>0.22887499825644336</v>
      </c>
      <c r="AC33" s="245">
        <f>debtP*Debt_Rate</f>
        <v>1.6572E-2</v>
      </c>
      <c r="AD33" s="245">
        <f ca="1">+AC33+AB33</f>
        <v>0.24544699825644337</v>
      </c>
      <c r="AE33" s="245">
        <f ca="1">+AD33/(S33/100)</f>
        <v>5.9053220509012405E-2</v>
      </c>
      <c r="AF33" s="245">
        <f ca="1">1-AE33</f>
        <v>0.94094677949098759</v>
      </c>
      <c r="AG33" s="246">
        <f ca="1">expenses/(AF33)</f>
        <v>20828.975989975916</v>
      </c>
      <c r="AH33" s="247">
        <f ca="1">+AG33-Revenue</f>
        <v>146.94413915957921</v>
      </c>
      <c r="AI33" s="248">
        <f ca="1">+AH33/$J$49</f>
        <v>160.41691005204683</v>
      </c>
      <c r="AJ33" s="248">
        <f ca="1">+AI33*$J$47</f>
        <v>4.0695686343513495</v>
      </c>
      <c r="AK33" s="246">
        <f t="shared" ca="1" si="16"/>
        <v>20833.045559999999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0.37824995526910049</v>
      </c>
      <c r="K34" s="304">
        <f ca="1">+M14/J26</f>
        <v>0.2988174646625894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415.44385314929337</v>
      </c>
      <c r="T34" s="260">
        <f ca="1">EXP(y_inter4-(slope*LN(S34)))</f>
        <v>4.8072058559859334</v>
      </c>
      <c r="U34" s="245">
        <f ca="1">(+S34*T34/100)/100</f>
        <v>0.19971241236926432</v>
      </c>
      <c r="V34" s="245">
        <f>regDebt_weighted</f>
        <v>3.5860000000000003E-2</v>
      </c>
      <c r="W34" s="245">
        <f ca="1">+U34-V34</f>
        <v>0.16385241236926432</v>
      </c>
      <c r="X34" s="245">
        <f ca="1">+((W34*(1-0.34))-Pfd_weighted)/Equity_percent</f>
        <v>0.29637381442940247</v>
      </c>
      <c r="Y34" s="245">
        <f>+Y33</f>
        <v>2.5000000000000001E-3</v>
      </c>
      <c r="Z34" s="245">
        <f t="shared" ca="1" si="17"/>
        <v>0.29887381442940247</v>
      </c>
      <c r="AA34" s="245">
        <f ca="1">Z34*equityP</f>
        <v>0.17932428865764147</v>
      </c>
      <c r="AB34" s="245">
        <f ca="1">+AA34/(1-taxrate)</f>
        <v>0.22699277045271071</v>
      </c>
      <c r="AC34" s="245">
        <f>debtP*Debt_Rate</f>
        <v>1.6572E-2</v>
      </c>
      <c r="AD34" s="245">
        <f ca="1">+AC34+AB34</f>
        <v>0.24356477045271072</v>
      </c>
      <c r="AE34" s="245">
        <f ca="1">+AD34/(S34/100)</f>
        <v>5.8627602407968132E-2</v>
      </c>
      <c r="AF34" s="245">
        <f ca="1">1-AE34</f>
        <v>0.94137239759203184</v>
      </c>
      <c r="AG34" s="246">
        <f ca="1">expenses/(AF34)</f>
        <v>20819.558686865876</v>
      </c>
      <c r="AH34" s="247">
        <f ca="1">+AG34-Revenue</f>
        <v>137.52683604953927</v>
      </c>
      <c r="AI34" s="248">
        <f ca="1">+AH34/$J$49</f>
        <v>150.13616884946273</v>
      </c>
      <c r="AJ34" s="248">
        <f ca="1">+AI34*$J$47</f>
        <v>3.808759584218508</v>
      </c>
      <c r="AK34" s="246">
        <f t="shared" ca="1" si="16"/>
        <v>20823.367450000002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0.94137199999999988</v>
      </c>
      <c r="K35" s="304">
        <f ca="1">+M8/M7</f>
        <v>0.94138272420865465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5.862800000000009E-2</v>
      </c>
      <c r="K36" s="304">
        <f ca="1">+J36</f>
        <v>5.862800000000009E-2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416.38738045005732</v>
      </c>
      <c r="T36" s="234">
        <f ca="1">EXP(y_inter1-(slope*LN(+S36)))</f>
        <v>4.9479090282102796</v>
      </c>
      <c r="U36" s="235">
        <f ca="1">(+S36*T36/100)/100</f>
        <v>0.20602468789616668</v>
      </c>
      <c r="V36" s="235">
        <f>regDebt_weighted</f>
        <v>3.5860000000000003E-2</v>
      </c>
      <c r="W36" s="235">
        <f ca="1">+U36-V36</f>
        <v>0.17016468789616668</v>
      </c>
      <c r="X36" s="235">
        <f ca="1">+((W36*(1-0.34))-Pfd_weighted)/Equity_percent</f>
        <v>0.30848457561473835</v>
      </c>
      <c r="Y36" s="235">
        <f>+Y34</f>
        <v>2.5000000000000001E-3</v>
      </c>
      <c r="Z36" s="235">
        <f ca="1">+X36+Y36</f>
        <v>0.31098457561473836</v>
      </c>
      <c r="AA36" s="235">
        <f ca="1">Z36*equityP</f>
        <v>0.18659074536884301</v>
      </c>
      <c r="AB36" s="235">
        <f ca="1">+AA36/(1-taxrate)</f>
        <v>0.23619081692258609</v>
      </c>
      <c r="AC36" s="235">
        <f>debtP*Debt_Rate</f>
        <v>1.6572E-2</v>
      </c>
      <c r="AD36" s="235">
        <f ca="1">+AC36+AB36</f>
        <v>0.25276281692258606</v>
      </c>
      <c r="AE36" s="235">
        <f ca="1">+AD36/(S36/100)</f>
        <v>6.0703765001087283E-2</v>
      </c>
      <c r="AF36" s="235">
        <f ca="1">1-AE36</f>
        <v>0.93929623499891268</v>
      </c>
      <c r="AG36" s="236">
        <f ca="1">expenses/(AF36)</f>
        <v>20865.576958142105</v>
      </c>
      <c r="AH36" s="237">
        <f ca="1">+AG36-Revenue</f>
        <v>183.54510732576819</v>
      </c>
      <c r="AI36" s="238">
        <f ca="1">+AH36/$J$49</f>
        <v>200.37368717642806</v>
      </c>
      <c r="AJ36" s="238">
        <f ca="1">+AI36*$J$47</f>
        <v>5.0832201681104277</v>
      </c>
      <c r="AK36" s="236">
        <f ca="1">ROUND(+AJ36+AG36,5)</f>
        <v>20870.660179999999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4.1544385035617459</v>
      </c>
      <c r="K37" s="309">
        <f ca="1">+J37</f>
        <v>4.1544385035617459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415.93889215787686</v>
      </c>
      <c r="T37" s="257">
        <f ca="1">EXP(y_inter2-(slope*LN(+S37)))</f>
        <v>4.8811060433575957</v>
      </c>
      <c r="U37" s="245">
        <f ca="1">(+S37*T37/100)/100</f>
        <v>0.2030241840179276</v>
      </c>
      <c r="V37" s="245">
        <f>regDebt_weighted</f>
        <v>3.5860000000000003E-2</v>
      </c>
      <c r="W37" s="245">
        <f ca="1">+U37-V37</f>
        <v>0.1671641840179276</v>
      </c>
      <c r="X37" s="245">
        <f ca="1">+((W37*(1-0.34))-Pfd_weighted)/Equity_percent</f>
        <v>0.30272779491811685</v>
      </c>
      <c r="Y37" s="245">
        <f>+Y36</f>
        <v>2.5000000000000001E-3</v>
      </c>
      <c r="Z37" s="245">
        <f ca="1">+X37+Y37</f>
        <v>0.30522779491811686</v>
      </c>
      <c r="AA37" s="245">
        <f ca="1">Z37*equityP</f>
        <v>0.1831366769508701</v>
      </c>
      <c r="AB37" s="245">
        <f ca="1">+AA37/(1-taxrate)</f>
        <v>0.23181857841882292</v>
      </c>
      <c r="AC37" s="245">
        <f>debtP*Debt_Rate</f>
        <v>1.6572E-2</v>
      </c>
      <c r="AD37" s="245">
        <f ca="1">+AC37+AB37</f>
        <v>0.24839057841882292</v>
      </c>
      <c r="AE37" s="245">
        <f ca="1">+AD37/(S37/100)</f>
        <v>5.9718045872118625E-2</v>
      </c>
      <c r="AF37" s="245">
        <f ca="1">1-AE37</f>
        <v>0.9402819541278814</v>
      </c>
      <c r="AG37" s="246">
        <f ca="1">expenses/(AF37)</f>
        <v>20843.703095462599</v>
      </c>
      <c r="AH37" s="247">
        <f ca="1">+AG37-Revenue</f>
        <v>161.67124464626249</v>
      </c>
      <c r="AI37" s="248">
        <f ca="1">+AH37/$J$49</f>
        <v>176.49428999857645</v>
      </c>
      <c r="AJ37" s="248">
        <f ca="1">+AI37*$J$47</f>
        <v>4.4774308798697202</v>
      </c>
      <c r="AK37" s="246">
        <f t="shared" ref="AK37:AK39" ca="1" si="18">ROUND(+AJ37+AG37,5)</f>
        <v>20848.180530000001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415.63693686306283</v>
      </c>
      <c r="T38" s="244">
        <f ca="1">EXP(y_inter3-(slope*LN(S38)))</f>
        <v>4.8360503307494795</v>
      </c>
      <c r="U38" s="245">
        <f ca="1">(+S38*T38/100)/100</f>
        <v>0.20100411459883155</v>
      </c>
      <c r="V38" s="245">
        <f>regDebt_weighted</f>
        <v>3.5860000000000003E-2</v>
      </c>
      <c r="W38" s="245">
        <f ca="1">+U38-V38</f>
        <v>0.16514411459883155</v>
      </c>
      <c r="X38" s="245">
        <f ca="1">+((W38*(1-0.34))-Pfd_weighted)/Equity_percent</f>
        <v>0.29885208033496746</v>
      </c>
      <c r="Y38" s="245">
        <f>+Y37</f>
        <v>2.5000000000000001E-3</v>
      </c>
      <c r="Z38" s="245">
        <f t="shared" ref="Z38:Z39" ca="1" si="19">+X38+Y38</f>
        <v>0.30135208033496746</v>
      </c>
      <c r="AA38" s="245">
        <f ca="1">Z38*equityP</f>
        <v>0.18081124820098046</v>
      </c>
      <c r="AB38" s="245">
        <f ca="1">+AA38/(1-taxrate)</f>
        <v>0.22887499772276007</v>
      </c>
      <c r="AC38" s="245">
        <f>debtP*Debt_Rate</f>
        <v>1.6572E-2</v>
      </c>
      <c r="AD38" s="245">
        <f ca="1">+AC38+AB38</f>
        <v>0.24544699772276007</v>
      </c>
      <c r="AE38" s="245">
        <f ca="1">+AD38/(S38/100)</f>
        <v>5.9053220720762335E-2</v>
      </c>
      <c r="AF38" s="245">
        <f ca="1">1-AE38</f>
        <v>0.94094677927923764</v>
      </c>
      <c r="AG38" s="246">
        <f ca="1">expenses/(AF38)</f>
        <v>20828.975994663255</v>
      </c>
      <c r="AH38" s="247">
        <f ca="1">+AG38-Revenue</f>
        <v>146.94414384691845</v>
      </c>
      <c r="AI38" s="248">
        <f ca="1">+AH38/$J$49</f>
        <v>160.41691516915108</v>
      </c>
      <c r="AJ38" s="248">
        <f ca="1">+AI38*$J$47</f>
        <v>4.0695687641656377</v>
      </c>
      <c r="AK38" s="246">
        <f t="shared" ca="1" si="18"/>
        <v>20833.045559999999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415.44385035617461</v>
      </c>
      <c r="T39" s="260">
        <f ca="1">EXP(y_inter4-(slope*LN(S39)))</f>
        <v>4.8072058780820681</v>
      </c>
      <c r="U39" s="245">
        <f ca="1">(+S39*T39/100)/100</f>
        <v>0.19971241194452496</v>
      </c>
      <c r="V39" s="245">
        <f>regDebt_weighted</f>
        <v>3.5860000000000003E-2</v>
      </c>
      <c r="W39" s="245">
        <f ca="1">+U39-V39</f>
        <v>0.16385241194452496</v>
      </c>
      <c r="X39" s="245">
        <f ca="1">+((W39*(1-0.34))-Pfd_weighted)/Equity_percent</f>
        <v>0.29637381361449555</v>
      </c>
      <c r="Y39" s="245">
        <f>+Y38</f>
        <v>2.5000000000000001E-3</v>
      </c>
      <c r="Z39" s="245">
        <f t="shared" ca="1" si="19"/>
        <v>0.29887381361449555</v>
      </c>
      <c r="AA39" s="245">
        <f ca="1">Z39*equityP</f>
        <v>0.17932428816869733</v>
      </c>
      <c r="AB39" s="245">
        <f ca="1">+AA39/(1-taxrate)</f>
        <v>0.22699276983379407</v>
      </c>
      <c r="AC39" s="245">
        <f>debtP*Debt_Rate</f>
        <v>1.6572E-2</v>
      </c>
      <c r="AD39" s="245">
        <f ca="1">+AC39+AB39</f>
        <v>0.24356476983379408</v>
      </c>
      <c r="AE39" s="245">
        <f ca="1">+AD39/(S39/100)</f>
        <v>5.8627602653156967E-2</v>
      </c>
      <c r="AF39" s="245">
        <f ca="1">1-AE39</f>
        <v>0.94137239734684308</v>
      </c>
      <c r="AG39" s="246">
        <f ca="1">expenses/(AF39)</f>
        <v>20819.558692288516</v>
      </c>
      <c r="AH39" s="247">
        <f ca="1">+AG39-Revenue</f>
        <v>137.52684147217951</v>
      </c>
      <c r="AI39" s="248">
        <f ca="1">+AH39/$J$49</f>
        <v>150.13617476928502</v>
      </c>
      <c r="AJ39" s="248">
        <f ca="1">+AI39*$J$47</f>
        <v>3.8087597343967099</v>
      </c>
      <c r="AK39" s="246">
        <f t="shared" ca="1" si="18"/>
        <v>20823.367450000002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2.6275509450247534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5.8627602653156967E-2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0.76574341826435677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0.94137199999999999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6.8341753555978269E-3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0.41570874619378761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3.8090031094828976</v>
      </c>
      <c r="L47" s="210"/>
      <c r="M47" s="210"/>
      <c r="N47" s="210"/>
      <c r="O47" s="194"/>
      <c r="P47" s="194"/>
      <c r="R47" s="233">
        <f ca="1">VLOOKUP(R48,R36:S39,2)</f>
        <v>415.44385035617461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4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0.91601402315942615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0.94137199999999999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0.24352197316146029</v>
      </c>
      <c r="Z62" s="325">
        <f t="shared" ca="1" si="20"/>
        <v>0.19586247879755361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0.37824995526910049</v>
      </c>
      <c r="Z63" s="325">
        <f t="shared" ca="1" si="20"/>
        <v>0.2988174646625894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0.94137199999999988</v>
      </c>
      <c r="Z64" s="325">
        <f t="shared" ca="1" si="20"/>
        <v>0.94138272420865465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5.862800000000009E-2</v>
      </c>
      <c r="Z65" s="325">
        <f t="shared" ca="1" si="20"/>
        <v>5.862800000000009E-2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4.1544385035617459</v>
      </c>
      <c r="Z66" s="325">
        <f t="shared" ca="1" si="20"/>
        <v>4.1544385035617459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07FC-311B-4770-B8B9-AA49F79C2711}">
  <sheetPr>
    <tabColor theme="4" tint="0.39997558519241921"/>
    <pageSetUpPr fitToPage="1"/>
  </sheetPr>
  <dimension ref="A1:BH303"/>
  <sheetViews>
    <sheetView workbookViewId="0">
      <pane xSplit="3" topLeftCell="AP1" activePane="topRight" state="frozen"/>
      <selection activeCell="A8" sqref="A8"/>
      <selection pane="topRight" activeCell="A8" sqref="A8"/>
    </sheetView>
  </sheetViews>
  <sheetFormatPr defaultColWidth="10.33203125" defaultRowHeight="12" outlineLevelCol="1"/>
  <cols>
    <col min="1" max="1" width="32.5546875" style="38" bestFit="1" customWidth="1"/>
    <col min="2" max="2" width="5.44140625" style="38" customWidth="1"/>
    <col min="3" max="3" width="20.6640625" style="38" customWidth="1"/>
    <col min="4" max="4" width="32" style="38" customWidth="1"/>
    <col min="5" max="7" width="13.5546875" style="69" customWidth="1"/>
    <col min="8" max="19" width="15.6640625" style="38" hidden="1" customWidth="1" outlineLevel="1"/>
    <col min="20" max="20" width="15.6640625" style="38" customWidth="1" collapsed="1"/>
    <col min="21" max="21" width="15.6640625" style="38" customWidth="1"/>
    <col min="22" max="33" width="15.6640625" style="38" hidden="1" customWidth="1" outlineLevel="1"/>
    <col min="34" max="34" width="15.6640625" style="38" customWidth="1" collapsed="1"/>
    <col min="35" max="35" width="15.6640625" style="39" customWidth="1"/>
    <col min="36" max="36" width="8" style="38" bestFit="1" customWidth="1"/>
    <col min="37" max="37" width="14.6640625" style="38" hidden="1" customWidth="1" outlineLevel="1"/>
    <col min="38" max="38" width="9.6640625" style="38" hidden="1" customWidth="1" outlineLevel="1"/>
    <col min="39" max="39" width="15.33203125" style="38" hidden="1" customWidth="1" outlineLevel="1"/>
    <col min="40" max="40" width="9.44140625" style="38" hidden="1" customWidth="1" outlineLevel="1"/>
    <col min="41" max="41" width="12.44140625" style="38" bestFit="1" customWidth="1" collapsed="1"/>
    <col min="42" max="42" width="12.44140625" style="38" customWidth="1"/>
    <col min="43" max="44" width="10.33203125" style="38"/>
    <col min="45" max="45" width="13.44140625" style="38" customWidth="1"/>
    <col min="46" max="46" width="16.88671875" style="38" customWidth="1"/>
    <col min="47" max="47" width="10.33203125" style="38"/>
    <col min="48" max="48" width="10.44140625" style="399" bestFit="1" customWidth="1"/>
    <col min="49" max="49" width="11" style="399" bestFit="1" customWidth="1"/>
    <col min="50" max="50" width="10.33203125" style="38"/>
    <col min="51" max="51" width="19.88671875" style="38" customWidth="1"/>
    <col min="52" max="52" width="17.6640625" style="38" bestFit="1" customWidth="1"/>
    <col min="53" max="53" width="24.109375" style="38" bestFit="1" customWidth="1"/>
    <col min="54" max="54" width="16.109375" style="38" customWidth="1"/>
    <col min="55" max="55" width="35.33203125" style="38" customWidth="1"/>
    <col min="56" max="16384" width="10.33203125" style="38"/>
  </cols>
  <sheetData>
    <row r="1" spans="1:55">
      <c r="A1" s="36" t="s">
        <v>190</v>
      </c>
      <c r="B1" s="36"/>
      <c r="C1" s="37" t="s">
        <v>191</v>
      </c>
      <c r="E1" s="38"/>
      <c r="F1" s="38"/>
      <c r="G1" s="38"/>
      <c r="AV1" s="399" t="s">
        <v>886</v>
      </c>
      <c r="AY1" s="40"/>
      <c r="AZ1" s="41" t="s">
        <v>192</v>
      </c>
      <c r="BA1" s="41" t="s">
        <v>193</v>
      </c>
      <c r="BB1" s="41" t="s">
        <v>194</v>
      </c>
      <c r="BC1" s="41" t="s">
        <v>195</v>
      </c>
    </row>
    <row r="2" spans="1:55" ht="13.8">
      <c r="C2" s="37" t="s">
        <v>196</v>
      </c>
      <c r="E2" s="38"/>
      <c r="F2" s="38"/>
      <c r="G2" s="38"/>
      <c r="AV2" s="399" t="s">
        <v>888</v>
      </c>
      <c r="AW2" s="401">
        <f ca="1">+'Rate Sheet'!F5</f>
        <v>3.8784366232200631E-3</v>
      </c>
      <c r="AY2" s="42" t="s">
        <v>197</v>
      </c>
      <c r="AZ2" s="43">
        <f ca="1">+'LG Lewis MSW'!K22</f>
        <v>4.2958664956249004E-2</v>
      </c>
      <c r="BA2" s="44">
        <v>7.9075499999999993E-3</v>
      </c>
      <c r="BB2" s="43">
        <f ca="1">AZ2+BA2</f>
        <v>5.0866214956249003E-2</v>
      </c>
      <c r="BC2" s="45">
        <f ca="1">-'LG Lewis MSW'!J20+AT52+AT195+AT246+AT251+AT260</f>
        <v>12963.872796050011</v>
      </c>
    </row>
    <row r="3" spans="1:55" ht="14.4">
      <c r="A3" s="46"/>
      <c r="C3" s="37" t="s">
        <v>198</v>
      </c>
      <c r="E3" s="38"/>
      <c r="F3" s="38"/>
      <c r="G3" s="38"/>
      <c r="K3" s="47"/>
      <c r="AV3" s="399" t="s">
        <v>54</v>
      </c>
      <c r="AW3" s="401">
        <f ca="1">+'Rate Sheet'!F6</f>
        <v>3.709072614719853E-3</v>
      </c>
      <c r="AY3" s="42" t="s">
        <v>199</v>
      </c>
      <c r="AZ3" s="43">
        <f ca="1">+'LG Lewis Recycling'!K22</f>
        <v>0.20754793622870671</v>
      </c>
      <c r="BA3" s="44">
        <f>+BA2</f>
        <v>7.9075499999999993E-3</v>
      </c>
      <c r="BB3" s="43">
        <f ca="1">AZ3+BA3</f>
        <v>0.21545548622870669</v>
      </c>
      <c r="BC3" s="45">
        <f ca="1">-'LG Lewis Recycling'!J20+AT58+AT202</f>
        <v>4169.1660444137233</v>
      </c>
    </row>
    <row r="4" spans="1:55" ht="34.5" customHeight="1">
      <c r="A4" s="46"/>
      <c r="D4" s="48"/>
      <c r="E4" s="49" t="s">
        <v>200</v>
      </c>
      <c r="F4" s="50" t="s">
        <v>200</v>
      </c>
      <c r="G4" s="49"/>
      <c r="H4" s="51">
        <v>44927</v>
      </c>
      <c r="I4" s="51">
        <v>44958</v>
      </c>
      <c r="J4" s="51">
        <v>44986</v>
      </c>
      <c r="K4" s="51">
        <v>45017</v>
      </c>
      <c r="L4" s="51">
        <v>45047</v>
      </c>
      <c r="M4" s="51">
        <v>45078</v>
      </c>
      <c r="N4" s="51">
        <v>45108</v>
      </c>
      <c r="O4" s="51">
        <v>45139</v>
      </c>
      <c r="P4" s="51">
        <v>45170</v>
      </c>
      <c r="Q4" s="51">
        <v>45200</v>
      </c>
      <c r="R4" s="51">
        <v>45231</v>
      </c>
      <c r="S4" s="51">
        <v>45261</v>
      </c>
      <c r="T4" s="52" t="s">
        <v>201</v>
      </c>
      <c r="V4" s="53">
        <f t="shared" ref="V4:AG4" si="0">+H4</f>
        <v>44927</v>
      </c>
      <c r="W4" s="53">
        <f t="shared" si="0"/>
        <v>44958</v>
      </c>
      <c r="X4" s="53">
        <f t="shared" si="0"/>
        <v>44986</v>
      </c>
      <c r="Y4" s="53">
        <f t="shared" si="0"/>
        <v>45017</v>
      </c>
      <c r="Z4" s="53">
        <f t="shared" si="0"/>
        <v>45047</v>
      </c>
      <c r="AA4" s="53">
        <f t="shared" si="0"/>
        <v>45078</v>
      </c>
      <c r="AB4" s="53">
        <f t="shared" si="0"/>
        <v>45108</v>
      </c>
      <c r="AC4" s="53">
        <f t="shared" si="0"/>
        <v>45139</v>
      </c>
      <c r="AD4" s="53">
        <f t="shared" si="0"/>
        <v>45170</v>
      </c>
      <c r="AE4" s="53">
        <f t="shared" si="0"/>
        <v>45200</v>
      </c>
      <c r="AF4" s="53">
        <f t="shared" si="0"/>
        <v>45231</v>
      </c>
      <c r="AG4" s="53">
        <f t="shared" si="0"/>
        <v>45261</v>
      </c>
      <c r="AH4" s="54" t="s">
        <v>202</v>
      </c>
      <c r="AI4" s="55" t="s">
        <v>203</v>
      </c>
      <c r="AK4" s="387" t="s">
        <v>204</v>
      </c>
      <c r="AL4" s="388"/>
      <c r="AM4" s="388"/>
      <c r="AN4" s="388"/>
      <c r="AO4" s="389"/>
      <c r="AP4" s="56"/>
      <c r="AR4" s="57" t="s">
        <v>205</v>
      </c>
      <c r="AS4" s="58" t="s">
        <v>206</v>
      </c>
      <c r="AT4" s="58" t="s">
        <v>207</v>
      </c>
      <c r="AV4" s="399" t="s">
        <v>889</v>
      </c>
      <c r="AW4" s="401">
        <f ca="1">+'Rate Sheet'!F7</f>
        <v>3.7079849061532966E-3</v>
      </c>
      <c r="AY4" s="42" t="s">
        <v>208</v>
      </c>
      <c r="AZ4" s="43">
        <f ca="1">+'LG Lewis Yard Waste'!K22</f>
        <v>-0.16697401594634831</v>
      </c>
      <c r="BA4" s="44">
        <f>+BA3</f>
        <v>7.9075499999999993E-3</v>
      </c>
      <c r="BB4" s="43">
        <f ca="1">AZ4+BA4</f>
        <v>-0.15906646594634832</v>
      </c>
      <c r="BC4" s="45">
        <f ca="1">-'LG Lewis Yard Waste'!J20+AT68</f>
        <v>509.89550211255118</v>
      </c>
    </row>
    <row r="5" spans="1:55">
      <c r="C5" s="59" t="s">
        <v>209</v>
      </c>
      <c r="D5" s="48" t="s">
        <v>210</v>
      </c>
      <c r="E5" s="60">
        <v>44621</v>
      </c>
      <c r="F5" s="61">
        <v>45170</v>
      </c>
      <c r="G5" s="60" t="s">
        <v>211</v>
      </c>
      <c r="H5" s="62" t="s">
        <v>212</v>
      </c>
      <c r="I5" s="62" t="s">
        <v>212</v>
      </c>
      <c r="J5" s="62" t="s">
        <v>212</v>
      </c>
      <c r="K5" s="62" t="s">
        <v>212</v>
      </c>
      <c r="L5" s="62" t="s">
        <v>212</v>
      </c>
      <c r="M5" s="62" t="s">
        <v>212</v>
      </c>
      <c r="N5" s="62" t="s">
        <v>212</v>
      </c>
      <c r="O5" s="62" t="s">
        <v>212</v>
      </c>
      <c r="P5" s="62" t="s">
        <v>212</v>
      </c>
      <c r="Q5" s="62" t="s">
        <v>212</v>
      </c>
      <c r="R5" s="62" t="s">
        <v>212</v>
      </c>
      <c r="S5" s="62" t="s">
        <v>212</v>
      </c>
      <c r="T5" s="63" t="s">
        <v>212</v>
      </c>
      <c r="V5" s="64" t="s">
        <v>213</v>
      </c>
      <c r="W5" s="64" t="s">
        <v>213</v>
      </c>
      <c r="X5" s="64" t="s">
        <v>213</v>
      </c>
      <c r="Y5" s="64" t="s">
        <v>213</v>
      </c>
      <c r="Z5" s="64" t="s">
        <v>213</v>
      </c>
      <c r="AA5" s="64" t="s">
        <v>213</v>
      </c>
      <c r="AB5" s="64" t="s">
        <v>213</v>
      </c>
      <c r="AC5" s="64" t="s">
        <v>213</v>
      </c>
      <c r="AD5" s="64" t="s">
        <v>213</v>
      </c>
      <c r="AE5" s="64" t="s">
        <v>213</v>
      </c>
      <c r="AF5" s="64" t="s">
        <v>213</v>
      </c>
      <c r="AG5" s="64" t="s">
        <v>213</v>
      </c>
      <c r="AH5" s="65" t="s">
        <v>213</v>
      </c>
      <c r="AI5" s="66" t="s">
        <v>213</v>
      </c>
      <c r="AK5" s="67" t="s">
        <v>214</v>
      </c>
      <c r="AL5" s="67" t="s">
        <v>215</v>
      </c>
      <c r="AM5" s="67" t="s">
        <v>216</v>
      </c>
      <c r="AN5" s="67" t="s">
        <v>217</v>
      </c>
      <c r="AO5" s="67" t="s">
        <v>218</v>
      </c>
      <c r="AP5" s="68"/>
      <c r="AV5" s="399" t="s">
        <v>887</v>
      </c>
      <c r="AW5" s="399" t="s">
        <v>206</v>
      </c>
    </row>
    <row r="6" spans="1:55" ht="14.4">
      <c r="AI6" s="70"/>
      <c r="AY6" s="71" t="s">
        <v>219</v>
      </c>
      <c r="AZ6" s="72" t="s">
        <v>201</v>
      </c>
      <c r="BA6" s="71" t="s">
        <v>220</v>
      </c>
      <c r="BB6" s="73" t="s">
        <v>221</v>
      </c>
    </row>
    <row r="7" spans="1:55" ht="14.4">
      <c r="C7" s="74" t="s">
        <v>222</v>
      </c>
      <c r="D7" s="74" t="s">
        <v>222</v>
      </c>
      <c r="E7" s="75"/>
      <c r="F7" s="75"/>
      <c r="G7" s="75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AI7" s="70"/>
      <c r="AY7" s="77" t="s">
        <v>197</v>
      </c>
      <c r="AZ7" s="78">
        <f ca="1">+AS52+AS195+AS246+AS252+AS260</f>
        <v>7267985.5393317323</v>
      </c>
      <c r="BA7" s="78">
        <f ca="1">+'LG Lewis MSW'!J21</f>
        <v>7260238.7125424864</v>
      </c>
      <c r="BB7" s="79">
        <f ca="1">+BA7-AZ7</f>
        <v>-7746.8267892459407</v>
      </c>
    </row>
    <row r="8" spans="1:55" ht="13.8">
      <c r="C8" s="74"/>
      <c r="D8" s="80"/>
      <c r="E8" s="81"/>
      <c r="F8" s="81"/>
      <c r="G8" s="8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AI8" s="70"/>
      <c r="AY8" s="77" t="s">
        <v>199</v>
      </c>
      <c r="AZ8" s="82">
        <f ca="1">+AS58+AS202</f>
        <v>1388418.6709599975</v>
      </c>
      <c r="BA8" s="83">
        <f ca="1">+'LG Lewis Recycling'!J21</f>
        <v>1386836.1075897957</v>
      </c>
      <c r="BB8" s="79">
        <f t="shared" ref="BB8:BB9" ca="1" si="1">+BA8-AZ8</f>
        <v>-1582.5633702017367</v>
      </c>
    </row>
    <row r="9" spans="1:55" ht="13.8">
      <c r="A9" s="37" t="s">
        <v>223</v>
      </c>
      <c r="B9" s="37" t="s">
        <v>224</v>
      </c>
      <c r="C9" s="84" t="s">
        <v>225</v>
      </c>
      <c r="D9" s="84" t="s">
        <v>225</v>
      </c>
      <c r="E9" s="85"/>
      <c r="F9" s="85"/>
      <c r="G9" s="8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AI9" s="70"/>
      <c r="AY9" s="77" t="s">
        <v>208</v>
      </c>
      <c r="AZ9" s="86">
        <f ca="1">+AS68</f>
        <v>70398.13737172434</v>
      </c>
      <c r="BA9" s="83">
        <f ca="1">+'LG Lewis Yard Waste'!J21</f>
        <v>70077.707438941114</v>
      </c>
      <c r="BB9" s="79">
        <f t="shared" ca="1" si="1"/>
        <v>-320.42993278322683</v>
      </c>
    </row>
    <row r="10" spans="1:55" ht="14.4" thickBot="1">
      <c r="A10" s="38" t="str">
        <f>$A$1&amp;C10</f>
        <v>Lewis County UTCACCESS-RES</v>
      </c>
      <c r="B10" s="38">
        <f t="shared" ref="B10:B51" si="2">COUNTIF(C:C,C10)</f>
        <v>1</v>
      </c>
      <c r="C10" s="87" t="s">
        <v>226</v>
      </c>
      <c r="D10" s="87" t="s">
        <v>227</v>
      </c>
      <c r="E10" s="69">
        <v>1.64</v>
      </c>
      <c r="F10" s="69">
        <v>1.63</v>
      </c>
      <c r="G10" s="69" t="s">
        <v>228</v>
      </c>
      <c r="H10" s="88">
        <v>3.28</v>
      </c>
      <c r="I10" s="88">
        <v>3.28</v>
      </c>
      <c r="J10" s="88">
        <v>3.28</v>
      </c>
      <c r="K10" s="88">
        <v>3.28</v>
      </c>
      <c r="L10" s="88">
        <v>3.28</v>
      </c>
      <c r="M10" s="88">
        <v>3.28</v>
      </c>
      <c r="N10" s="88">
        <v>3.28</v>
      </c>
      <c r="O10" s="88">
        <v>3.28</v>
      </c>
      <c r="P10" s="88">
        <v>3.27</v>
      </c>
      <c r="Q10" s="88">
        <v>3.25</v>
      </c>
      <c r="R10" s="88">
        <v>3.26</v>
      </c>
      <c r="S10" s="88">
        <v>3.26</v>
      </c>
      <c r="T10" s="88">
        <f t="shared" ref="T10:T29" si="3">SUM(H10:S10)</f>
        <v>39.28</v>
      </c>
      <c r="U10" s="88"/>
      <c r="V10" s="86">
        <f>IFERROR(H10/$E10,0)</f>
        <v>2</v>
      </c>
      <c r="W10" s="86">
        <f>IFERROR(I10/$E10,0)</f>
        <v>2</v>
      </c>
      <c r="X10" s="86">
        <f t="shared" ref="X10:AC25" si="4">IFERROR(J10/$E10,0)</f>
        <v>2</v>
      </c>
      <c r="Y10" s="86">
        <f t="shared" si="4"/>
        <v>2</v>
      </c>
      <c r="Z10" s="86">
        <f t="shared" si="4"/>
        <v>2</v>
      </c>
      <c r="AA10" s="86">
        <f t="shared" si="4"/>
        <v>2</v>
      </c>
      <c r="AB10" s="86">
        <f t="shared" si="4"/>
        <v>2</v>
      </c>
      <c r="AC10" s="86">
        <f t="shared" si="4"/>
        <v>2</v>
      </c>
      <c r="AD10" s="86">
        <f t="shared" ref="AD10:AG25" si="5">IFERROR(P10/$F10,0)</f>
        <v>2.0061349693251533</v>
      </c>
      <c r="AE10" s="86">
        <f t="shared" si="5"/>
        <v>1.9938650306748467</v>
      </c>
      <c r="AF10" s="86">
        <f t="shared" si="5"/>
        <v>2</v>
      </c>
      <c r="AG10" s="86">
        <f t="shared" si="5"/>
        <v>2</v>
      </c>
      <c r="AH10" s="86">
        <f t="shared" ref="AH10:AH29" si="6">SUM(V10:AG10)</f>
        <v>24</v>
      </c>
      <c r="AI10" s="70">
        <f t="shared" ref="AI10:AI51" si="7">AH10/12</f>
        <v>2</v>
      </c>
      <c r="AR10" s="89">
        <f t="shared" ref="AR10:AR51" ca="1" si="8">+F10*(1+$BB$2)</f>
        <v>1.7129119303786859</v>
      </c>
      <c r="AS10" s="90">
        <f ca="1">+AR10*AI10*12</f>
        <v>41.109886329088461</v>
      </c>
      <c r="AT10" s="90">
        <f ca="1">+AS10-T10</f>
        <v>1.8298863290884597</v>
      </c>
      <c r="AV10" s="403">
        <f ca="1">AS10*AW$2</f>
        <v>0.15944208871515048</v>
      </c>
      <c r="AW10" s="403">
        <f ca="1">+AV10+AS10</f>
        <v>41.269328417803614</v>
      </c>
      <c r="AY10" s="91" t="s">
        <v>201</v>
      </c>
      <c r="AZ10" s="92">
        <f ca="1">SUM(AZ7:AZ9)</f>
        <v>8726802.3476634547</v>
      </c>
      <c r="BA10" s="93">
        <f ca="1">+'LG Lewis'!J21</f>
        <v>8726802.5570423733</v>
      </c>
      <c r="BB10" s="94">
        <f ca="1">+BA10-AZ10</f>
        <v>0.20937891863286495</v>
      </c>
    </row>
    <row r="11" spans="1:55">
      <c r="A11" s="38" t="str">
        <f t="shared" ref="A11:A51" si="9">$A$1&amp;C11</f>
        <v>Lewis County UTCBULKY-RES</v>
      </c>
      <c r="B11" s="38">
        <f t="shared" si="2"/>
        <v>1</v>
      </c>
      <c r="C11" s="87" t="s">
        <v>229</v>
      </c>
      <c r="D11" s="87" t="s">
        <v>230</v>
      </c>
      <c r="E11" s="69">
        <v>32.630000000000003</v>
      </c>
      <c r="F11" s="69">
        <v>32.49</v>
      </c>
      <c r="G11" s="69" t="s">
        <v>231</v>
      </c>
      <c r="H11" s="88">
        <v>0</v>
      </c>
      <c r="I11" s="88">
        <v>0</v>
      </c>
      <c r="J11" s="88">
        <v>0</v>
      </c>
      <c r="K11" s="88">
        <v>32.630000000000003</v>
      </c>
      <c r="L11" s="88">
        <v>0</v>
      </c>
      <c r="M11" s="88">
        <v>0</v>
      </c>
      <c r="N11" s="88">
        <v>32.630000000000003</v>
      </c>
      <c r="O11" s="88">
        <v>0</v>
      </c>
      <c r="P11" s="88">
        <v>0</v>
      </c>
      <c r="Q11" s="88">
        <v>0</v>
      </c>
      <c r="R11" s="88">
        <v>0</v>
      </c>
      <c r="S11" s="88">
        <v>64.98</v>
      </c>
      <c r="T11" s="88">
        <f t="shared" si="3"/>
        <v>130.24</v>
      </c>
      <c r="U11" s="88"/>
      <c r="V11" s="86">
        <f t="shared" ref="V11:AC49" si="10">IFERROR(H11/$E11,0)</f>
        <v>0</v>
      </c>
      <c r="W11" s="86">
        <f t="shared" si="10"/>
        <v>0</v>
      </c>
      <c r="X11" s="86">
        <f t="shared" si="4"/>
        <v>0</v>
      </c>
      <c r="Y11" s="86">
        <f t="shared" si="4"/>
        <v>1</v>
      </c>
      <c r="Z11" s="86">
        <f t="shared" si="4"/>
        <v>0</v>
      </c>
      <c r="AA11" s="86">
        <f t="shared" si="4"/>
        <v>0</v>
      </c>
      <c r="AB11" s="86">
        <f t="shared" si="4"/>
        <v>1</v>
      </c>
      <c r="AC11" s="86">
        <f t="shared" si="4"/>
        <v>0</v>
      </c>
      <c r="AD11" s="86">
        <f t="shared" si="5"/>
        <v>0</v>
      </c>
      <c r="AE11" s="86">
        <f t="shared" si="5"/>
        <v>0</v>
      </c>
      <c r="AF11" s="86">
        <f t="shared" si="5"/>
        <v>0</v>
      </c>
      <c r="AG11" s="86">
        <f t="shared" si="5"/>
        <v>2</v>
      </c>
      <c r="AH11" s="95">
        <f t="shared" si="6"/>
        <v>4</v>
      </c>
      <c r="AI11" s="70">
        <f t="shared" si="7"/>
        <v>0.33333333333333331</v>
      </c>
      <c r="AJ11" s="86"/>
      <c r="AR11" s="89">
        <f t="shared" ca="1" si="8"/>
        <v>34.142643323928539</v>
      </c>
      <c r="AS11" s="90">
        <f t="shared" ref="AS11:AS51" ca="1" si="11">+AR11*AI11*12</f>
        <v>136.57057329571415</v>
      </c>
      <c r="AT11" s="90">
        <f t="shared" ref="AT11:AT51" ca="1" si="12">+AS11-T11</f>
        <v>6.3305732957141458</v>
      </c>
      <c r="AV11" s="403">
        <f t="shared" ref="AV11:AV51" ca="1" si="13">AS11*AW$2</f>
        <v>0.52968031312425778</v>
      </c>
      <c r="AW11" s="403">
        <f t="shared" ref="AW11:AW51" ca="1" si="14">+AV11+AS11</f>
        <v>137.10025360883841</v>
      </c>
    </row>
    <row r="12" spans="1:55">
      <c r="A12" s="38" t="str">
        <f t="shared" si="9"/>
        <v>Lewis County UTCDISP-RES</v>
      </c>
      <c r="B12" s="38">
        <f t="shared" si="2"/>
        <v>1</v>
      </c>
      <c r="C12" s="87" t="s">
        <v>232</v>
      </c>
      <c r="D12" s="87" t="s">
        <v>233</v>
      </c>
      <c r="E12" s="69">
        <v>100</v>
      </c>
      <c r="F12" s="69">
        <v>100</v>
      </c>
      <c r="G12" s="96" t="s">
        <v>234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14.48</v>
      </c>
      <c r="T12" s="88">
        <f t="shared" si="3"/>
        <v>14.48</v>
      </c>
      <c r="U12" s="88"/>
      <c r="V12" s="86">
        <f t="shared" si="10"/>
        <v>0</v>
      </c>
      <c r="W12" s="86">
        <f t="shared" si="10"/>
        <v>0</v>
      </c>
      <c r="X12" s="86">
        <f t="shared" si="4"/>
        <v>0</v>
      </c>
      <c r="Y12" s="86">
        <f t="shared" si="4"/>
        <v>0</v>
      </c>
      <c r="Z12" s="86">
        <f t="shared" si="4"/>
        <v>0</v>
      </c>
      <c r="AA12" s="86">
        <f t="shared" si="4"/>
        <v>0</v>
      </c>
      <c r="AB12" s="86">
        <f t="shared" si="4"/>
        <v>0</v>
      </c>
      <c r="AC12" s="86">
        <f t="shared" si="4"/>
        <v>0</v>
      </c>
      <c r="AD12" s="86">
        <f t="shared" si="5"/>
        <v>0</v>
      </c>
      <c r="AE12" s="86">
        <f t="shared" si="5"/>
        <v>0</v>
      </c>
      <c r="AF12" s="86">
        <f t="shared" si="5"/>
        <v>0</v>
      </c>
      <c r="AG12" s="86">
        <f t="shared" si="5"/>
        <v>0.14480000000000001</v>
      </c>
      <c r="AH12" s="86">
        <f t="shared" si="6"/>
        <v>0.14480000000000001</v>
      </c>
      <c r="AI12" s="70">
        <f t="shared" si="7"/>
        <v>1.2066666666666668E-2</v>
      </c>
      <c r="AR12" s="89">
        <f t="shared" ca="1" si="8"/>
        <v>105.08662149562491</v>
      </c>
      <c r="AS12" s="90">
        <f t="shared" ca="1" si="11"/>
        <v>15.216542792566489</v>
      </c>
      <c r="AT12" s="90">
        <f t="shared" ca="1" si="12"/>
        <v>0.73654279256648891</v>
      </c>
      <c r="AV12" s="403">
        <f t="shared" ca="1" si="13"/>
        <v>5.9016396845485167E-2</v>
      </c>
      <c r="AW12" s="403">
        <f t="shared" ca="1" si="14"/>
        <v>15.275559189411975</v>
      </c>
    </row>
    <row r="13" spans="1:55">
      <c r="A13" s="38" t="str">
        <f t="shared" si="9"/>
        <v>Lewis County UTCDRIVEIN1-RES</v>
      </c>
      <c r="B13" s="38">
        <f t="shared" si="2"/>
        <v>1</v>
      </c>
      <c r="C13" s="97" t="s">
        <v>235</v>
      </c>
      <c r="D13" s="97" t="s">
        <v>236</v>
      </c>
      <c r="E13" s="69">
        <v>14.62</v>
      </c>
      <c r="F13" s="69">
        <v>14.56</v>
      </c>
      <c r="G13" s="69" t="s">
        <v>237</v>
      </c>
      <c r="H13" s="88">
        <v>310.67499999999995</v>
      </c>
      <c r="I13" s="88">
        <v>307.02</v>
      </c>
      <c r="J13" s="88">
        <v>311.89</v>
      </c>
      <c r="K13" s="88">
        <v>305.89499999999998</v>
      </c>
      <c r="L13" s="88">
        <v>311.58500000000004</v>
      </c>
      <c r="M13" s="88">
        <v>319.80999999999995</v>
      </c>
      <c r="N13" s="88">
        <v>334.42999999999995</v>
      </c>
      <c r="O13" s="88">
        <v>321.64</v>
      </c>
      <c r="P13" s="88">
        <v>320.64999999999998</v>
      </c>
      <c r="Q13" s="88">
        <v>312.70999999999998</v>
      </c>
      <c r="R13" s="88">
        <v>307.38</v>
      </c>
      <c r="S13" s="88">
        <v>321.94</v>
      </c>
      <c r="T13" s="88">
        <f t="shared" si="3"/>
        <v>3785.625</v>
      </c>
      <c r="U13" s="88"/>
      <c r="V13" s="86">
        <f t="shared" si="10"/>
        <v>21.249999999999996</v>
      </c>
      <c r="W13" s="86">
        <f t="shared" si="10"/>
        <v>21</v>
      </c>
      <c r="X13" s="86">
        <f t="shared" si="4"/>
        <v>21.33310533515732</v>
      </c>
      <c r="Y13" s="86">
        <f t="shared" si="4"/>
        <v>20.923050615595074</v>
      </c>
      <c r="Z13" s="86">
        <f t="shared" si="4"/>
        <v>21.312243502051988</v>
      </c>
      <c r="AA13" s="86">
        <f t="shared" si="4"/>
        <v>21.874829001367985</v>
      </c>
      <c r="AB13" s="86">
        <f t="shared" si="4"/>
        <v>22.874829001367988</v>
      </c>
      <c r="AC13" s="86">
        <f t="shared" si="4"/>
        <v>22</v>
      </c>
      <c r="AD13" s="86">
        <f t="shared" si="5"/>
        <v>22.022664835164832</v>
      </c>
      <c r="AE13" s="86">
        <f t="shared" si="5"/>
        <v>21.477335164835164</v>
      </c>
      <c r="AF13" s="86">
        <f t="shared" si="5"/>
        <v>21.111263736263734</v>
      </c>
      <c r="AG13" s="86">
        <f t="shared" si="5"/>
        <v>22.111263736263734</v>
      </c>
      <c r="AH13" s="86">
        <f t="shared" si="6"/>
        <v>259.2905849280678</v>
      </c>
      <c r="AI13" s="70">
        <f t="shared" si="7"/>
        <v>21.607548744005651</v>
      </c>
      <c r="AR13" s="89">
        <f t="shared" ca="1" si="8"/>
        <v>15.300612089762987</v>
      </c>
      <c r="AS13" s="90">
        <f t="shared" ca="1" si="11"/>
        <v>3967.304658512111</v>
      </c>
      <c r="AT13" s="90">
        <f t="shared" ca="1" si="12"/>
        <v>181.67965851211102</v>
      </c>
      <c r="AV13" s="403">
        <f t="shared" ca="1" si="13"/>
        <v>15.386939683044938</v>
      </c>
      <c r="AW13" s="403">
        <f t="shared" ca="1" si="14"/>
        <v>3982.6915981951561</v>
      </c>
    </row>
    <row r="14" spans="1:55">
      <c r="A14" s="38" t="str">
        <f t="shared" si="9"/>
        <v>Lewis County UTCEXTRA-RES</v>
      </c>
      <c r="B14" s="38">
        <f t="shared" si="2"/>
        <v>1</v>
      </c>
      <c r="C14" s="97" t="s">
        <v>238</v>
      </c>
      <c r="D14" s="97" t="s">
        <v>239</v>
      </c>
      <c r="E14" s="69">
        <v>4.8499999999999996</v>
      </c>
      <c r="F14" s="69">
        <v>4.83</v>
      </c>
      <c r="G14" s="69" t="s">
        <v>240</v>
      </c>
      <c r="H14" s="88">
        <v>3559.8999999999996</v>
      </c>
      <c r="I14" s="88">
        <v>1658.7</v>
      </c>
      <c r="J14" s="88">
        <v>2536.5499999999997</v>
      </c>
      <c r="K14" s="88">
        <v>2022.4499999999998</v>
      </c>
      <c r="L14" s="88">
        <v>2371.6499999999996</v>
      </c>
      <c r="M14" s="88">
        <v>2623.8500000000004</v>
      </c>
      <c r="N14" s="88">
        <v>3162.2000000000003</v>
      </c>
      <c r="O14" s="88">
        <v>2599.6000000000004</v>
      </c>
      <c r="P14" s="88">
        <v>2497.4700000000003</v>
      </c>
      <c r="Q14" s="88">
        <v>2681.1799999999994</v>
      </c>
      <c r="R14" s="88">
        <v>3216.78</v>
      </c>
      <c r="S14" s="88">
        <v>3041.4099999999994</v>
      </c>
      <c r="T14" s="88">
        <f t="shared" si="3"/>
        <v>31971.74</v>
      </c>
      <c r="U14" s="88"/>
      <c r="V14" s="86">
        <f t="shared" si="10"/>
        <v>734</v>
      </c>
      <c r="W14" s="86">
        <f t="shared" si="10"/>
        <v>342.00000000000006</v>
      </c>
      <c r="X14" s="86">
        <f t="shared" si="4"/>
        <v>523</v>
      </c>
      <c r="Y14" s="86">
        <f t="shared" si="4"/>
        <v>417</v>
      </c>
      <c r="Z14" s="86">
        <f t="shared" si="4"/>
        <v>488.99999999999994</v>
      </c>
      <c r="AA14" s="86">
        <f t="shared" si="4"/>
        <v>541.00000000000011</v>
      </c>
      <c r="AB14" s="86">
        <f t="shared" si="4"/>
        <v>652.00000000000011</v>
      </c>
      <c r="AC14" s="86">
        <f t="shared" si="4"/>
        <v>536.00000000000011</v>
      </c>
      <c r="AD14" s="86">
        <f t="shared" si="5"/>
        <v>517.07453416149076</v>
      </c>
      <c r="AE14" s="86">
        <f t="shared" si="5"/>
        <v>555.10973084886109</v>
      </c>
      <c r="AF14" s="86">
        <f t="shared" si="5"/>
        <v>666</v>
      </c>
      <c r="AG14" s="86">
        <f t="shared" si="5"/>
        <v>629.69151138716347</v>
      </c>
      <c r="AH14" s="95">
        <f t="shared" si="6"/>
        <v>6601.8757763975154</v>
      </c>
      <c r="AI14" s="70">
        <f t="shared" si="7"/>
        <v>550.15631469979292</v>
      </c>
      <c r="AJ14" s="86"/>
      <c r="AR14" s="89">
        <f t="shared" ca="1" si="8"/>
        <v>5.0756838182386836</v>
      </c>
      <c r="AS14" s="90">
        <f t="shared" ca="1" si="11"/>
        <v>33509.034048282811</v>
      </c>
      <c r="AT14" s="90">
        <f t="shared" ca="1" si="12"/>
        <v>1537.2940482828089</v>
      </c>
      <c r="AV14" s="403">
        <f t="shared" ca="1" si="13"/>
        <v>129.96266486158811</v>
      </c>
      <c r="AW14" s="403">
        <f t="shared" ca="1" si="14"/>
        <v>33638.996713144399</v>
      </c>
    </row>
    <row r="15" spans="1:55">
      <c r="A15" s="38" t="str">
        <f t="shared" si="9"/>
        <v>Lewis County UTCPDBAG-RES</v>
      </c>
      <c r="B15" s="38">
        <f t="shared" si="2"/>
        <v>1</v>
      </c>
      <c r="C15" s="87" t="s">
        <v>241</v>
      </c>
      <c r="D15" s="87" t="s">
        <v>242</v>
      </c>
      <c r="E15" s="69">
        <v>24.25</v>
      </c>
      <c r="F15" s="69">
        <v>24.15</v>
      </c>
      <c r="G15" s="69" t="s">
        <v>240</v>
      </c>
      <c r="H15" s="88">
        <v>24.25</v>
      </c>
      <c r="I15" s="88">
        <v>0</v>
      </c>
      <c r="J15" s="88">
        <v>0</v>
      </c>
      <c r="K15" s="88">
        <v>0</v>
      </c>
      <c r="L15" s="88">
        <v>24.25</v>
      </c>
      <c r="M15" s="88">
        <v>0</v>
      </c>
      <c r="N15" s="88">
        <v>48.5</v>
      </c>
      <c r="O15" s="88">
        <v>24.25</v>
      </c>
      <c r="P15" s="88">
        <v>0</v>
      </c>
      <c r="Q15" s="88">
        <v>24.15</v>
      </c>
      <c r="R15" s="88">
        <v>24.15</v>
      </c>
      <c r="S15" s="88">
        <v>0</v>
      </c>
      <c r="T15" s="88">
        <f t="shared" si="3"/>
        <v>169.55</v>
      </c>
      <c r="U15" s="88"/>
      <c r="V15" s="86">
        <f t="shared" si="10"/>
        <v>1</v>
      </c>
      <c r="W15" s="86">
        <f t="shared" si="10"/>
        <v>0</v>
      </c>
      <c r="X15" s="86">
        <f t="shared" si="4"/>
        <v>0</v>
      </c>
      <c r="Y15" s="86">
        <f t="shared" si="4"/>
        <v>0</v>
      </c>
      <c r="Z15" s="86">
        <f t="shared" si="4"/>
        <v>1</v>
      </c>
      <c r="AA15" s="86">
        <f t="shared" si="4"/>
        <v>0</v>
      </c>
      <c r="AB15" s="86">
        <f t="shared" si="4"/>
        <v>2</v>
      </c>
      <c r="AC15" s="86">
        <f t="shared" si="4"/>
        <v>1</v>
      </c>
      <c r="AD15" s="86">
        <f t="shared" si="5"/>
        <v>0</v>
      </c>
      <c r="AE15" s="86">
        <f t="shared" si="5"/>
        <v>1</v>
      </c>
      <c r="AF15" s="86">
        <f t="shared" si="5"/>
        <v>1</v>
      </c>
      <c r="AG15" s="86">
        <f t="shared" si="5"/>
        <v>0</v>
      </c>
      <c r="AH15" s="95">
        <f t="shared" si="6"/>
        <v>7</v>
      </c>
      <c r="AI15" s="70">
        <f t="shared" si="7"/>
        <v>0.58333333333333337</v>
      </c>
      <c r="AJ15" s="86"/>
      <c r="AR15" s="89">
        <f t="shared" ca="1" si="8"/>
        <v>25.378419091193415</v>
      </c>
      <c r="AS15" s="90">
        <f t="shared" ca="1" si="11"/>
        <v>177.64893363835392</v>
      </c>
      <c r="AT15" s="90">
        <f t="shared" ca="1" si="12"/>
        <v>8.0989336383539126</v>
      </c>
      <c r="AV15" s="403">
        <f t="shared" ca="1" si="13"/>
        <v>0.68900013029898244</v>
      </c>
      <c r="AW15" s="403">
        <f t="shared" ca="1" si="14"/>
        <v>178.3379337686529</v>
      </c>
    </row>
    <row r="16" spans="1:55">
      <c r="A16" s="38" t="str">
        <f t="shared" si="9"/>
        <v>Lewis County UTCDRIVEIN2-RES</v>
      </c>
      <c r="B16" s="38">
        <f t="shared" si="2"/>
        <v>1</v>
      </c>
      <c r="C16" s="87" t="s">
        <v>243</v>
      </c>
      <c r="D16" s="87" t="s">
        <v>244</v>
      </c>
      <c r="E16" s="69">
        <v>9.01</v>
      </c>
      <c r="F16" s="69">
        <v>17.940000000000001</v>
      </c>
      <c r="G16" s="69" t="s">
        <v>237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f t="shared" si="3"/>
        <v>0</v>
      </c>
      <c r="U16" s="88"/>
      <c r="V16" s="86">
        <f t="shared" si="10"/>
        <v>0</v>
      </c>
      <c r="W16" s="86">
        <f t="shared" si="10"/>
        <v>0</v>
      </c>
      <c r="X16" s="86">
        <f t="shared" si="4"/>
        <v>0</v>
      </c>
      <c r="Y16" s="86">
        <f t="shared" si="4"/>
        <v>0</v>
      </c>
      <c r="Z16" s="86">
        <f t="shared" si="4"/>
        <v>0</v>
      </c>
      <c r="AA16" s="86">
        <f t="shared" si="4"/>
        <v>0</v>
      </c>
      <c r="AB16" s="86">
        <f t="shared" si="4"/>
        <v>0</v>
      </c>
      <c r="AC16" s="86">
        <f t="shared" si="4"/>
        <v>0</v>
      </c>
      <c r="AD16" s="86">
        <f t="shared" si="5"/>
        <v>0</v>
      </c>
      <c r="AE16" s="86">
        <f t="shared" si="5"/>
        <v>0</v>
      </c>
      <c r="AF16" s="86">
        <f t="shared" si="5"/>
        <v>0</v>
      </c>
      <c r="AG16" s="86">
        <f t="shared" si="5"/>
        <v>0</v>
      </c>
      <c r="AH16" s="86">
        <f t="shared" si="6"/>
        <v>0</v>
      </c>
      <c r="AI16" s="70">
        <f t="shared" si="7"/>
        <v>0</v>
      </c>
      <c r="AR16" s="89">
        <f t="shared" ca="1" si="8"/>
        <v>18.852539896315111</v>
      </c>
      <c r="AS16" s="90">
        <f t="shared" ca="1" si="11"/>
        <v>0</v>
      </c>
      <c r="AT16" s="90">
        <f t="shared" ca="1" si="12"/>
        <v>0</v>
      </c>
      <c r="AV16" s="403">
        <f t="shared" ca="1" si="13"/>
        <v>0</v>
      </c>
      <c r="AW16" s="403">
        <f t="shared" ca="1" si="14"/>
        <v>0</v>
      </c>
    </row>
    <row r="17" spans="1:60">
      <c r="A17" s="38" t="str">
        <f t="shared" si="9"/>
        <v>Lewis County UTCREDEL-RES</v>
      </c>
      <c r="B17" s="38">
        <f t="shared" si="2"/>
        <v>1</v>
      </c>
      <c r="C17" s="97" t="s">
        <v>245</v>
      </c>
      <c r="D17" s="97" t="s">
        <v>246</v>
      </c>
      <c r="E17" s="69">
        <v>11.65</v>
      </c>
      <c r="F17" s="69">
        <v>23.2</v>
      </c>
      <c r="G17" s="69" t="s">
        <v>247</v>
      </c>
      <c r="H17" s="88">
        <v>163.1</v>
      </c>
      <c r="I17" s="88">
        <v>69.900000000000006</v>
      </c>
      <c r="J17" s="88">
        <v>209.70000000000002</v>
      </c>
      <c r="K17" s="88">
        <v>256.3</v>
      </c>
      <c r="L17" s="88">
        <v>163.10000000000002</v>
      </c>
      <c r="M17" s="88">
        <v>209.7</v>
      </c>
      <c r="N17" s="88">
        <v>163.10000000000002</v>
      </c>
      <c r="O17" s="88">
        <v>209.70000000000005</v>
      </c>
      <c r="P17" s="88">
        <v>-0.10000000000000142</v>
      </c>
      <c r="Q17" s="88">
        <v>185.49999999999997</v>
      </c>
      <c r="R17" s="88">
        <v>185.59999999999997</v>
      </c>
      <c r="S17" s="88">
        <v>116</v>
      </c>
      <c r="T17" s="88">
        <f t="shared" si="3"/>
        <v>1931.6000000000001</v>
      </c>
      <c r="U17" s="88"/>
      <c r="V17" s="86">
        <f t="shared" si="10"/>
        <v>13.999999999999998</v>
      </c>
      <c r="W17" s="86">
        <f t="shared" si="10"/>
        <v>6</v>
      </c>
      <c r="X17" s="86">
        <f t="shared" si="4"/>
        <v>18</v>
      </c>
      <c r="Y17" s="86">
        <f t="shared" si="4"/>
        <v>22</v>
      </c>
      <c r="Z17" s="86">
        <f t="shared" si="4"/>
        <v>14.000000000000002</v>
      </c>
      <c r="AA17" s="86">
        <f t="shared" si="4"/>
        <v>18</v>
      </c>
      <c r="AB17" s="86">
        <f t="shared" si="4"/>
        <v>14.000000000000002</v>
      </c>
      <c r="AC17" s="86">
        <f t="shared" si="4"/>
        <v>18.000000000000004</v>
      </c>
      <c r="AD17" s="86">
        <f t="shared" si="5"/>
        <v>-4.3103448275862684E-3</v>
      </c>
      <c r="AE17" s="86">
        <f t="shared" si="5"/>
        <v>7.9956896551724128</v>
      </c>
      <c r="AF17" s="86">
        <f t="shared" si="5"/>
        <v>7.9999999999999991</v>
      </c>
      <c r="AG17" s="86">
        <f t="shared" si="5"/>
        <v>5</v>
      </c>
      <c r="AH17" s="86">
        <f t="shared" si="6"/>
        <v>144.99137931034483</v>
      </c>
      <c r="AI17" s="70">
        <f t="shared" si="7"/>
        <v>12.082614942528735</v>
      </c>
      <c r="AR17" s="89">
        <f t="shared" ca="1" si="8"/>
        <v>24.380096186984979</v>
      </c>
      <c r="AS17" s="90">
        <f t="shared" ca="1" si="11"/>
        <v>3534.9037738698307</v>
      </c>
      <c r="AT17" s="90">
        <f t="shared" ca="1" si="12"/>
        <v>1603.3037738698306</v>
      </c>
      <c r="AV17" s="403">
        <f t="shared" ca="1" si="13"/>
        <v>13.709900256135564</v>
      </c>
      <c r="AW17" s="403">
        <f t="shared" ca="1" si="14"/>
        <v>3548.6136741259661</v>
      </c>
    </row>
    <row r="18" spans="1:60">
      <c r="A18" s="38" t="str">
        <f t="shared" si="9"/>
        <v>Lewis County UTCREINSTATE-RES</v>
      </c>
      <c r="B18" s="38">
        <f t="shared" si="2"/>
        <v>1</v>
      </c>
      <c r="C18" s="97" t="s">
        <v>248</v>
      </c>
      <c r="D18" s="97" t="s">
        <v>249</v>
      </c>
      <c r="E18" s="69">
        <v>15.67</v>
      </c>
      <c r="F18" s="69">
        <v>15.6</v>
      </c>
      <c r="G18" s="69" t="s">
        <v>247</v>
      </c>
      <c r="H18" s="88">
        <v>1378.96</v>
      </c>
      <c r="I18" s="88">
        <v>705.15</v>
      </c>
      <c r="J18" s="88">
        <v>1143.9100000000001</v>
      </c>
      <c r="K18" s="88">
        <v>595.45999999999992</v>
      </c>
      <c r="L18" s="88">
        <v>971.53999999999985</v>
      </c>
      <c r="M18" s="88">
        <v>705.15</v>
      </c>
      <c r="N18" s="88">
        <v>736.4899999999999</v>
      </c>
      <c r="O18" s="88">
        <v>955.86999999999989</v>
      </c>
      <c r="P18" s="88">
        <v>592.80000000000007</v>
      </c>
      <c r="Q18" s="88">
        <v>701.99999999999989</v>
      </c>
      <c r="R18" s="88">
        <v>1216.8</v>
      </c>
      <c r="S18" s="88">
        <v>951.59999999999991</v>
      </c>
      <c r="T18" s="88">
        <f t="shared" si="3"/>
        <v>10655.73</v>
      </c>
      <c r="U18" s="88"/>
      <c r="V18" s="86">
        <f t="shared" si="10"/>
        <v>88</v>
      </c>
      <c r="W18" s="86">
        <f t="shared" si="10"/>
        <v>45</v>
      </c>
      <c r="X18" s="86">
        <f t="shared" si="4"/>
        <v>73</v>
      </c>
      <c r="Y18" s="86">
        <f t="shared" si="4"/>
        <v>37.999999999999993</v>
      </c>
      <c r="Z18" s="86">
        <f t="shared" si="4"/>
        <v>61.999999999999993</v>
      </c>
      <c r="AA18" s="86">
        <f t="shared" si="4"/>
        <v>45</v>
      </c>
      <c r="AB18" s="86">
        <f t="shared" si="4"/>
        <v>46.999999999999993</v>
      </c>
      <c r="AC18" s="86">
        <f t="shared" si="4"/>
        <v>60.999999999999993</v>
      </c>
      <c r="AD18" s="86">
        <f t="shared" si="5"/>
        <v>38.000000000000007</v>
      </c>
      <c r="AE18" s="86">
        <f t="shared" si="5"/>
        <v>44.999999999999993</v>
      </c>
      <c r="AF18" s="86">
        <f t="shared" si="5"/>
        <v>78</v>
      </c>
      <c r="AG18" s="86">
        <f t="shared" si="5"/>
        <v>60.999999999999993</v>
      </c>
      <c r="AH18" s="86">
        <f t="shared" si="6"/>
        <v>681</v>
      </c>
      <c r="AI18" s="70">
        <f t="shared" si="7"/>
        <v>56.75</v>
      </c>
      <c r="AR18" s="89">
        <f t="shared" ca="1" si="8"/>
        <v>16.393512953317487</v>
      </c>
      <c r="AS18" s="90">
        <f t="shared" ca="1" si="11"/>
        <v>11163.982321209209</v>
      </c>
      <c r="AT18" s="90">
        <f t="shared" ca="1" si="12"/>
        <v>508.25232120920919</v>
      </c>
      <c r="AV18" s="403">
        <f t="shared" ca="1" si="13"/>
        <v>43.298797895559126</v>
      </c>
      <c r="AW18" s="403">
        <f t="shared" ca="1" si="14"/>
        <v>11207.281119104768</v>
      </c>
    </row>
    <row r="19" spans="1:60">
      <c r="A19" s="38" t="str">
        <f t="shared" si="9"/>
        <v>Lewis County UTCROLL1RES</v>
      </c>
      <c r="B19" s="38">
        <f t="shared" si="2"/>
        <v>1</v>
      </c>
      <c r="C19" s="87" t="s">
        <v>250</v>
      </c>
      <c r="D19" s="87" t="s">
        <v>251</v>
      </c>
      <c r="E19" s="69">
        <v>9.44</v>
      </c>
      <c r="F19" s="69">
        <v>9.44</v>
      </c>
      <c r="G19" s="69" t="s">
        <v>252</v>
      </c>
      <c r="H19" s="88">
        <v>60.930000000000007</v>
      </c>
      <c r="I19" s="88">
        <v>70.8</v>
      </c>
      <c r="J19" s="88">
        <v>70.8</v>
      </c>
      <c r="K19" s="88">
        <v>70.8</v>
      </c>
      <c r="L19" s="88">
        <v>68.44</v>
      </c>
      <c r="M19" s="88">
        <v>63.72</v>
      </c>
      <c r="N19" s="88">
        <v>66.08</v>
      </c>
      <c r="O19" s="88">
        <v>66.67</v>
      </c>
      <c r="P19" s="88">
        <v>73.75</v>
      </c>
      <c r="Q19" s="88">
        <v>68.44</v>
      </c>
      <c r="R19" s="88">
        <v>66.08</v>
      </c>
      <c r="S19" s="88">
        <v>70.8</v>
      </c>
      <c r="T19" s="88">
        <f t="shared" si="3"/>
        <v>817.31000000000006</v>
      </c>
      <c r="U19" s="88"/>
      <c r="V19" s="86">
        <f t="shared" si="10"/>
        <v>6.4544491525423737</v>
      </c>
      <c r="W19" s="86">
        <f t="shared" si="10"/>
        <v>7.5</v>
      </c>
      <c r="X19" s="86">
        <f t="shared" si="4"/>
        <v>7.5</v>
      </c>
      <c r="Y19" s="86">
        <f t="shared" si="4"/>
        <v>7.5</v>
      </c>
      <c r="Z19" s="86">
        <f t="shared" si="4"/>
        <v>7.25</v>
      </c>
      <c r="AA19" s="86">
        <f t="shared" si="4"/>
        <v>6.75</v>
      </c>
      <c r="AB19" s="86">
        <f t="shared" si="4"/>
        <v>7</v>
      </c>
      <c r="AC19" s="86">
        <f t="shared" si="4"/>
        <v>7.0625000000000009</v>
      </c>
      <c r="AD19" s="86">
        <f t="shared" si="5"/>
        <v>7.8125</v>
      </c>
      <c r="AE19" s="86">
        <f t="shared" si="5"/>
        <v>7.25</v>
      </c>
      <c r="AF19" s="86">
        <f t="shared" si="5"/>
        <v>7</v>
      </c>
      <c r="AG19" s="86">
        <f t="shared" si="5"/>
        <v>7.5</v>
      </c>
      <c r="AH19" s="86">
        <f t="shared" si="6"/>
        <v>86.579449152542367</v>
      </c>
      <c r="AI19" s="70">
        <f t="shared" si="7"/>
        <v>7.2149540960451972</v>
      </c>
      <c r="AR19" s="89">
        <f t="shared" ca="1" si="8"/>
        <v>9.920177069186991</v>
      </c>
      <c r="AS19" s="90">
        <f t="shared" ca="1" si="11"/>
        <v>858.88346614589182</v>
      </c>
      <c r="AT19" s="90">
        <f t="shared" ca="1" si="12"/>
        <v>41.573466145891757</v>
      </c>
      <c r="AV19" s="403">
        <f t="shared" ca="1" si="13"/>
        <v>3.331125090178416</v>
      </c>
      <c r="AW19" s="403">
        <f t="shared" ca="1" si="14"/>
        <v>862.21459123607019</v>
      </c>
    </row>
    <row r="20" spans="1:60">
      <c r="A20" s="38" t="str">
        <f t="shared" si="9"/>
        <v>Lewis County UTCRTRNCART65-RES</v>
      </c>
      <c r="B20" s="38">
        <f t="shared" si="2"/>
        <v>1</v>
      </c>
      <c r="C20" s="97" t="s">
        <v>253</v>
      </c>
      <c r="D20" s="97" t="s">
        <v>254</v>
      </c>
      <c r="E20" s="69">
        <v>11.65</v>
      </c>
      <c r="F20" s="69">
        <v>23.2</v>
      </c>
      <c r="G20" s="69" t="s">
        <v>255</v>
      </c>
      <c r="H20" s="88">
        <v>0</v>
      </c>
      <c r="I20" s="88">
        <v>23.3</v>
      </c>
      <c r="J20" s="88">
        <v>116.5</v>
      </c>
      <c r="K20" s="88">
        <v>46.6</v>
      </c>
      <c r="L20" s="88">
        <v>46.6</v>
      </c>
      <c r="M20" s="88">
        <v>23.3</v>
      </c>
      <c r="N20" s="88">
        <v>46.6</v>
      </c>
      <c r="O20" s="88">
        <v>0</v>
      </c>
      <c r="P20" s="88">
        <v>0</v>
      </c>
      <c r="Q20" s="88">
        <v>0</v>
      </c>
      <c r="R20" s="88">
        <v>0</v>
      </c>
      <c r="S20" s="88">
        <v>23.2</v>
      </c>
      <c r="T20" s="88">
        <f t="shared" si="3"/>
        <v>326.10000000000002</v>
      </c>
      <c r="U20" s="88"/>
      <c r="V20" s="86">
        <f t="shared" si="10"/>
        <v>0</v>
      </c>
      <c r="W20" s="86">
        <f t="shared" si="10"/>
        <v>2</v>
      </c>
      <c r="X20" s="86">
        <f t="shared" si="4"/>
        <v>10</v>
      </c>
      <c r="Y20" s="86">
        <f t="shared" si="4"/>
        <v>4</v>
      </c>
      <c r="Z20" s="86">
        <f t="shared" si="4"/>
        <v>4</v>
      </c>
      <c r="AA20" s="86">
        <f t="shared" si="4"/>
        <v>2</v>
      </c>
      <c r="AB20" s="86">
        <f t="shared" si="4"/>
        <v>4</v>
      </c>
      <c r="AC20" s="86">
        <f t="shared" si="4"/>
        <v>0</v>
      </c>
      <c r="AD20" s="86">
        <f t="shared" si="5"/>
        <v>0</v>
      </c>
      <c r="AE20" s="86">
        <f t="shared" si="5"/>
        <v>0</v>
      </c>
      <c r="AF20" s="86">
        <f t="shared" si="5"/>
        <v>0</v>
      </c>
      <c r="AG20" s="86">
        <f t="shared" si="5"/>
        <v>1</v>
      </c>
      <c r="AH20" s="86">
        <f t="shared" si="6"/>
        <v>27</v>
      </c>
      <c r="AI20" s="70">
        <f t="shared" si="7"/>
        <v>2.25</v>
      </c>
      <c r="AR20" s="89">
        <f t="shared" ca="1" si="8"/>
        <v>24.380096186984979</v>
      </c>
      <c r="AS20" s="90">
        <f t="shared" ca="1" si="11"/>
        <v>658.26259704859444</v>
      </c>
      <c r="AT20" s="90">
        <f t="shared" ca="1" si="12"/>
        <v>332.16259704859442</v>
      </c>
      <c r="AV20" s="403">
        <f t="shared" ca="1" si="13"/>
        <v>2.5530297640892199</v>
      </c>
      <c r="AW20" s="403">
        <f t="shared" ca="1" si="14"/>
        <v>660.81562681268372</v>
      </c>
    </row>
    <row r="21" spans="1:60">
      <c r="A21" s="38" t="str">
        <f t="shared" si="9"/>
        <v>Lewis County UTCRTRNCART95-RES</v>
      </c>
      <c r="B21" s="38">
        <f t="shared" si="2"/>
        <v>1</v>
      </c>
      <c r="C21" s="97" t="s">
        <v>256</v>
      </c>
      <c r="D21" s="97" t="s">
        <v>257</v>
      </c>
      <c r="E21" s="69">
        <v>11.65</v>
      </c>
      <c r="F21" s="69">
        <v>23.2</v>
      </c>
      <c r="G21" s="69" t="s">
        <v>255</v>
      </c>
      <c r="H21" s="88">
        <v>23.3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23.3</v>
      </c>
      <c r="O21" s="88">
        <v>23.3</v>
      </c>
      <c r="P21" s="88">
        <v>23.2</v>
      </c>
      <c r="Q21" s="88">
        <v>0</v>
      </c>
      <c r="R21" s="88">
        <v>0</v>
      </c>
      <c r="S21" s="88">
        <v>0</v>
      </c>
      <c r="T21" s="88">
        <f t="shared" si="3"/>
        <v>93.100000000000009</v>
      </c>
      <c r="U21" s="88"/>
      <c r="V21" s="86">
        <f t="shared" si="10"/>
        <v>2</v>
      </c>
      <c r="W21" s="86">
        <f t="shared" si="10"/>
        <v>0</v>
      </c>
      <c r="X21" s="86">
        <f t="shared" si="4"/>
        <v>0</v>
      </c>
      <c r="Y21" s="86">
        <f t="shared" si="4"/>
        <v>0</v>
      </c>
      <c r="Z21" s="86">
        <f t="shared" si="4"/>
        <v>0</v>
      </c>
      <c r="AA21" s="86">
        <f t="shared" si="4"/>
        <v>0</v>
      </c>
      <c r="AB21" s="86">
        <f t="shared" si="4"/>
        <v>2</v>
      </c>
      <c r="AC21" s="86">
        <f t="shared" si="4"/>
        <v>2</v>
      </c>
      <c r="AD21" s="86">
        <f t="shared" si="5"/>
        <v>1</v>
      </c>
      <c r="AE21" s="86">
        <f t="shared" si="5"/>
        <v>0</v>
      </c>
      <c r="AF21" s="86">
        <f t="shared" si="5"/>
        <v>0</v>
      </c>
      <c r="AG21" s="86">
        <f t="shared" si="5"/>
        <v>0</v>
      </c>
      <c r="AH21" s="86">
        <f t="shared" si="6"/>
        <v>7</v>
      </c>
      <c r="AI21" s="70">
        <f t="shared" si="7"/>
        <v>0.58333333333333337</v>
      </c>
      <c r="AR21" s="89">
        <f t="shared" ca="1" si="8"/>
        <v>24.380096186984979</v>
      </c>
      <c r="AS21" s="90">
        <f t="shared" ca="1" si="11"/>
        <v>170.66067330889484</v>
      </c>
      <c r="AT21" s="90">
        <f t="shared" ca="1" si="12"/>
        <v>77.560673308894835</v>
      </c>
      <c r="AV21" s="403">
        <f t="shared" ca="1" si="13"/>
        <v>0.66189660550461249</v>
      </c>
      <c r="AW21" s="403">
        <f t="shared" ca="1" si="14"/>
        <v>171.32256991439945</v>
      </c>
    </row>
    <row r="22" spans="1:60">
      <c r="A22" s="38" t="str">
        <f t="shared" si="9"/>
        <v>Lewis County UTCRTRNCART-RES</v>
      </c>
      <c r="B22" s="38">
        <f t="shared" si="2"/>
        <v>1</v>
      </c>
      <c r="C22" s="97" t="s">
        <v>258</v>
      </c>
      <c r="D22" s="97" t="s">
        <v>259</v>
      </c>
      <c r="E22" s="69">
        <v>11.65</v>
      </c>
      <c r="F22" s="69">
        <v>23.2</v>
      </c>
      <c r="G22" s="69" t="s">
        <v>255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f t="shared" si="3"/>
        <v>0</v>
      </c>
      <c r="U22" s="88"/>
      <c r="V22" s="86">
        <f t="shared" si="10"/>
        <v>0</v>
      </c>
      <c r="W22" s="86">
        <f t="shared" si="10"/>
        <v>0</v>
      </c>
      <c r="X22" s="86">
        <f t="shared" si="4"/>
        <v>0</v>
      </c>
      <c r="Y22" s="86">
        <f t="shared" si="4"/>
        <v>0</v>
      </c>
      <c r="Z22" s="86">
        <f t="shared" si="4"/>
        <v>0</v>
      </c>
      <c r="AA22" s="86">
        <f t="shared" si="4"/>
        <v>0</v>
      </c>
      <c r="AB22" s="86">
        <f t="shared" si="4"/>
        <v>0</v>
      </c>
      <c r="AC22" s="86">
        <f t="shared" si="4"/>
        <v>0</v>
      </c>
      <c r="AD22" s="86">
        <f t="shared" si="5"/>
        <v>0</v>
      </c>
      <c r="AE22" s="86">
        <f t="shared" si="5"/>
        <v>0</v>
      </c>
      <c r="AF22" s="86">
        <f t="shared" si="5"/>
        <v>0</v>
      </c>
      <c r="AG22" s="86">
        <f t="shared" si="5"/>
        <v>0</v>
      </c>
      <c r="AH22" s="86">
        <f t="shared" si="6"/>
        <v>0</v>
      </c>
      <c r="AI22" s="70">
        <f t="shared" si="7"/>
        <v>0</v>
      </c>
      <c r="AR22" s="89">
        <f t="shared" ca="1" si="8"/>
        <v>24.380096186984979</v>
      </c>
      <c r="AS22" s="90">
        <f t="shared" ca="1" si="11"/>
        <v>0</v>
      </c>
      <c r="AT22" s="90">
        <f t="shared" ca="1" si="12"/>
        <v>0</v>
      </c>
      <c r="AV22" s="403">
        <f t="shared" ca="1" si="13"/>
        <v>0</v>
      </c>
      <c r="AW22" s="403">
        <f t="shared" ca="1" si="14"/>
        <v>0</v>
      </c>
    </row>
    <row r="23" spans="1:60" s="98" customFormat="1">
      <c r="A23" s="98" t="str">
        <f t="shared" si="9"/>
        <v>Lewis County UTCRL020.0G1W001</v>
      </c>
      <c r="B23" s="98">
        <f t="shared" si="2"/>
        <v>1</v>
      </c>
      <c r="C23" s="99" t="s">
        <v>260</v>
      </c>
      <c r="D23" s="99" t="s">
        <v>261</v>
      </c>
      <c r="E23" s="100">
        <v>11.73</v>
      </c>
      <c r="F23" s="100">
        <v>11.68</v>
      </c>
      <c r="G23" s="100" t="s">
        <v>262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f t="shared" si="3"/>
        <v>0</v>
      </c>
      <c r="U23" s="101"/>
      <c r="V23" s="102">
        <f t="shared" si="10"/>
        <v>0</v>
      </c>
      <c r="W23" s="102">
        <f t="shared" si="10"/>
        <v>0</v>
      </c>
      <c r="X23" s="102">
        <f t="shared" si="4"/>
        <v>0</v>
      </c>
      <c r="Y23" s="102">
        <f t="shared" si="4"/>
        <v>0</v>
      </c>
      <c r="Z23" s="102">
        <f t="shared" si="4"/>
        <v>0</v>
      </c>
      <c r="AA23" s="102">
        <f t="shared" si="4"/>
        <v>0</v>
      </c>
      <c r="AB23" s="102">
        <f t="shared" si="4"/>
        <v>0</v>
      </c>
      <c r="AC23" s="102">
        <f t="shared" si="4"/>
        <v>0</v>
      </c>
      <c r="AD23" s="102">
        <f t="shared" si="5"/>
        <v>0</v>
      </c>
      <c r="AE23" s="102">
        <f t="shared" si="5"/>
        <v>0</v>
      </c>
      <c r="AF23" s="102">
        <f t="shared" si="5"/>
        <v>0</v>
      </c>
      <c r="AG23" s="102">
        <f t="shared" si="5"/>
        <v>0</v>
      </c>
      <c r="AH23" s="95">
        <f t="shared" si="6"/>
        <v>0</v>
      </c>
      <c r="AI23" s="103">
        <f t="shared" si="7"/>
        <v>0</v>
      </c>
      <c r="AJ23" s="86"/>
      <c r="AK23" s="98">
        <v>20</v>
      </c>
      <c r="AN23" s="98">
        <v>1</v>
      </c>
      <c r="AO23" s="102">
        <f t="shared" ref="AO23:AO42" si="15">+AN23*AI23</f>
        <v>0</v>
      </c>
      <c r="AP23" s="102"/>
      <c r="AR23" s="89">
        <f t="shared" ca="1" si="8"/>
        <v>12.274117390688989</v>
      </c>
      <c r="AS23" s="90">
        <f t="shared" ca="1" si="11"/>
        <v>0</v>
      </c>
      <c r="AT23" s="90">
        <f t="shared" ca="1" si="12"/>
        <v>0</v>
      </c>
      <c r="AV23" s="403">
        <f t="shared" ca="1" si="13"/>
        <v>0</v>
      </c>
      <c r="AW23" s="403">
        <f t="shared" ca="1" si="14"/>
        <v>0</v>
      </c>
      <c r="BE23" s="38"/>
      <c r="BF23" s="38"/>
      <c r="BG23" s="38"/>
      <c r="BH23" s="38"/>
    </row>
    <row r="24" spans="1:60" s="104" customFormat="1">
      <c r="A24" s="104" t="str">
        <f t="shared" si="9"/>
        <v>Lewis County UTCSL065.0G1M002NOREC</v>
      </c>
      <c r="B24" s="104">
        <f t="shared" si="2"/>
        <v>1</v>
      </c>
      <c r="C24" s="105" t="s">
        <v>263</v>
      </c>
      <c r="D24" s="106" t="s">
        <v>264</v>
      </c>
      <c r="E24" s="107">
        <v>18.579999999999998</v>
      </c>
      <c r="F24" s="107">
        <v>18.5</v>
      </c>
      <c r="G24" s="100" t="s">
        <v>262</v>
      </c>
      <c r="H24" s="108">
        <v>0</v>
      </c>
      <c r="I24" s="108">
        <v>0</v>
      </c>
      <c r="J24" s="108">
        <v>0</v>
      </c>
      <c r="K24" s="108">
        <v>0</v>
      </c>
      <c r="L24" s="108">
        <v>18.579999999999998</v>
      </c>
      <c r="M24" s="108">
        <v>18.579999999999998</v>
      </c>
      <c r="N24" s="108">
        <v>-18.579999999999998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f t="shared" si="3"/>
        <v>18.579999999999998</v>
      </c>
      <c r="U24" s="108"/>
      <c r="V24" s="109">
        <f t="shared" si="10"/>
        <v>0</v>
      </c>
      <c r="W24" s="109">
        <f t="shared" si="10"/>
        <v>0</v>
      </c>
      <c r="X24" s="109">
        <f t="shared" si="4"/>
        <v>0</v>
      </c>
      <c r="Y24" s="109">
        <f t="shared" si="4"/>
        <v>0</v>
      </c>
      <c r="Z24" s="109">
        <f t="shared" si="4"/>
        <v>1</v>
      </c>
      <c r="AA24" s="109">
        <f t="shared" si="4"/>
        <v>1</v>
      </c>
      <c r="AB24" s="109">
        <f t="shared" si="4"/>
        <v>-1</v>
      </c>
      <c r="AC24" s="109">
        <f t="shared" si="4"/>
        <v>0</v>
      </c>
      <c r="AD24" s="109">
        <f t="shared" si="5"/>
        <v>0</v>
      </c>
      <c r="AE24" s="109">
        <f t="shared" si="5"/>
        <v>0</v>
      </c>
      <c r="AF24" s="109">
        <f t="shared" si="5"/>
        <v>0</v>
      </c>
      <c r="AG24" s="109">
        <f t="shared" si="5"/>
        <v>0</v>
      </c>
      <c r="AH24" s="110">
        <f t="shared" si="6"/>
        <v>1</v>
      </c>
      <c r="AI24" s="111">
        <f t="shared" si="7"/>
        <v>8.3333333333333329E-2</v>
      </c>
      <c r="AJ24" s="86"/>
      <c r="AK24" s="104">
        <v>45</v>
      </c>
      <c r="AN24" s="104">
        <v>1</v>
      </c>
      <c r="AO24" s="109">
        <f t="shared" si="15"/>
        <v>8.3333333333333329E-2</v>
      </c>
      <c r="AP24" s="109"/>
      <c r="AR24" s="89">
        <f ca="1">+F24*(1+$BB$2)</f>
        <v>19.44102497669061</v>
      </c>
      <c r="AS24" s="90">
        <f t="shared" ca="1" si="11"/>
        <v>19.44102497669061</v>
      </c>
      <c r="AT24" s="90">
        <f t="shared" ca="1" si="12"/>
        <v>0.86102497669061151</v>
      </c>
      <c r="AV24" s="403">
        <f t="shared" ca="1" si="13"/>
        <v>7.5400783262532828E-2</v>
      </c>
      <c r="AW24" s="403">
        <f t="shared" ca="1" si="14"/>
        <v>19.516425759953144</v>
      </c>
      <c r="BE24" s="38"/>
      <c r="BF24" s="38"/>
      <c r="BG24" s="38"/>
      <c r="BH24" s="38"/>
    </row>
    <row r="25" spans="1:60" s="98" customFormat="1">
      <c r="A25" s="98" t="str">
        <f t="shared" si="9"/>
        <v>Lewis County UTCSL065.0G1M001NOREC</v>
      </c>
      <c r="B25" s="98">
        <f t="shared" si="2"/>
        <v>1</v>
      </c>
      <c r="C25" s="99" t="s">
        <v>265</v>
      </c>
      <c r="D25" s="99" t="s">
        <v>266</v>
      </c>
      <c r="E25" s="100">
        <v>9.2899999999999991</v>
      </c>
      <c r="F25" s="100">
        <v>9.25</v>
      </c>
      <c r="G25" s="100" t="s">
        <v>262</v>
      </c>
      <c r="H25" s="101">
        <v>757.13499999999999</v>
      </c>
      <c r="I25" s="101">
        <v>766.42500000000007</v>
      </c>
      <c r="J25" s="101">
        <v>775.71500000000003</v>
      </c>
      <c r="K25" s="101">
        <v>752.49</v>
      </c>
      <c r="L25" s="101">
        <v>803.58499999999992</v>
      </c>
      <c r="M25" s="101">
        <v>785.005</v>
      </c>
      <c r="N25" s="101">
        <v>780.36</v>
      </c>
      <c r="O25" s="101">
        <v>785.005</v>
      </c>
      <c r="P25" s="101">
        <v>763.70500000000004</v>
      </c>
      <c r="Q25" s="101">
        <v>771.7349999999999</v>
      </c>
      <c r="R25" s="101">
        <v>758.5</v>
      </c>
      <c r="S25" s="101">
        <v>721.5</v>
      </c>
      <c r="T25" s="101">
        <f t="shared" si="3"/>
        <v>9221.16</v>
      </c>
      <c r="U25" s="101"/>
      <c r="V25" s="102">
        <f t="shared" si="10"/>
        <v>81.5</v>
      </c>
      <c r="W25" s="102">
        <f t="shared" si="10"/>
        <v>82.500000000000014</v>
      </c>
      <c r="X25" s="102">
        <f t="shared" si="4"/>
        <v>83.500000000000014</v>
      </c>
      <c r="Y25" s="102">
        <f t="shared" si="4"/>
        <v>81.000000000000014</v>
      </c>
      <c r="Z25" s="102">
        <f t="shared" si="4"/>
        <v>86.5</v>
      </c>
      <c r="AA25" s="102">
        <f t="shared" si="4"/>
        <v>84.500000000000014</v>
      </c>
      <c r="AB25" s="102">
        <f t="shared" si="4"/>
        <v>84.000000000000014</v>
      </c>
      <c r="AC25" s="102">
        <f t="shared" si="4"/>
        <v>84.500000000000014</v>
      </c>
      <c r="AD25" s="102">
        <f t="shared" si="5"/>
        <v>82.562702702702708</v>
      </c>
      <c r="AE25" s="102">
        <f t="shared" si="5"/>
        <v>83.430810810810797</v>
      </c>
      <c r="AF25" s="102">
        <f t="shared" si="5"/>
        <v>82</v>
      </c>
      <c r="AG25" s="102">
        <f t="shared" si="5"/>
        <v>78</v>
      </c>
      <c r="AH25" s="95">
        <f t="shared" si="6"/>
        <v>993.99351351351356</v>
      </c>
      <c r="AI25" s="103">
        <f t="shared" si="7"/>
        <v>82.832792792792802</v>
      </c>
      <c r="AJ25" s="86"/>
      <c r="AK25" s="98">
        <v>65</v>
      </c>
      <c r="AN25" s="98">
        <v>1</v>
      </c>
      <c r="AO25" s="102">
        <f t="shared" si="15"/>
        <v>82.832792792792802</v>
      </c>
      <c r="AP25" s="102"/>
      <c r="AR25" s="89">
        <f t="shared" ca="1" si="8"/>
        <v>9.7205124883453049</v>
      </c>
      <c r="AS25" s="90">
        <f t="shared" ca="1" si="11"/>
        <v>9662.1263614423369</v>
      </c>
      <c r="AT25" s="90">
        <f t="shared" ca="1" si="12"/>
        <v>440.96636144233707</v>
      </c>
      <c r="AV25" s="403">
        <f t="shared" ca="1" si="13"/>
        <v>37.473944738397975</v>
      </c>
      <c r="AW25" s="403">
        <f t="shared" ca="1" si="14"/>
        <v>9699.6003061807351</v>
      </c>
      <c r="BE25" s="38"/>
      <c r="BF25" s="38"/>
      <c r="BG25" s="38"/>
      <c r="BH25" s="38"/>
    </row>
    <row r="26" spans="1:60" s="104" customFormat="1">
      <c r="A26" s="104" t="str">
        <f t="shared" si="9"/>
        <v>Lewis County UTCSL065.0G1M001WREC</v>
      </c>
      <c r="B26" s="104">
        <f t="shared" si="2"/>
        <v>1</v>
      </c>
      <c r="C26" s="106" t="s">
        <v>267</v>
      </c>
      <c r="D26" s="106" t="s">
        <v>268</v>
      </c>
      <c r="E26" s="107">
        <v>9.2899999999999991</v>
      </c>
      <c r="F26" s="107">
        <v>9.25</v>
      </c>
      <c r="G26" s="100" t="s">
        <v>262</v>
      </c>
      <c r="H26" s="108">
        <v>8797.6299999999992</v>
      </c>
      <c r="I26" s="108">
        <v>8825.4999999999982</v>
      </c>
      <c r="J26" s="108">
        <v>8909.1099999999969</v>
      </c>
      <c r="K26" s="108">
        <v>8955.5599999999977</v>
      </c>
      <c r="L26" s="108">
        <v>8984.4599999999991</v>
      </c>
      <c r="M26" s="108">
        <v>8950.0899999999983</v>
      </c>
      <c r="N26" s="108">
        <v>8930.4799999999977</v>
      </c>
      <c r="O26" s="108">
        <v>8906.784999999998</v>
      </c>
      <c r="P26" s="108">
        <v>8848.57</v>
      </c>
      <c r="Q26" s="108">
        <v>8691.869999999999</v>
      </c>
      <c r="R26" s="108">
        <v>8727.375</v>
      </c>
      <c r="S26" s="108">
        <v>8676.5</v>
      </c>
      <c r="T26" s="108">
        <f t="shared" si="3"/>
        <v>106203.92999999996</v>
      </c>
      <c r="U26" s="108"/>
      <c r="V26" s="109">
        <f t="shared" si="10"/>
        <v>947</v>
      </c>
      <c r="W26" s="109">
        <f t="shared" si="10"/>
        <v>949.99999999999989</v>
      </c>
      <c r="X26" s="109">
        <f t="shared" si="10"/>
        <v>958.99999999999977</v>
      </c>
      <c r="Y26" s="109">
        <f t="shared" si="10"/>
        <v>963.99999999999989</v>
      </c>
      <c r="Z26" s="109">
        <f t="shared" si="10"/>
        <v>967.11087190527451</v>
      </c>
      <c r="AA26" s="109">
        <f t="shared" si="10"/>
        <v>963.41119483315379</v>
      </c>
      <c r="AB26" s="109">
        <f t="shared" si="10"/>
        <v>961.30032292787928</v>
      </c>
      <c r="AC26" s="109">
        <f t="shared" si="10"/>
        <v>958.74973089343371</v>
      </c>
      <c r="AD26" s="109">
        <f t="shared" ref="AD26:AG51" si="16">IFERROR(P26/$F26,0)</f>
        <v>956.60216216216213</v>
      </c>
      <c r="AE26" s="109">
        <f t="shared" si="16"/>
        <v>939.66162162162152</v>
      </c>
      <c r="AF26" s="109">
        <f t="shared" si="16"/>
        <v>943.5</v>
      </c>
      <c r="AG26" s="109">
        <f t="shared" si="16"/>
        <v>938</v>
      </c>
      <c r="AH26" s="110">
        <f t="shared" si="6"/>
        <v>11448.335904343523</v>
      </c>
      <c r="AI26" s="111">
        <f t="shared" si="7"/>
        <v>954.02799202862695</v>
      </c>
      <c r="AJ26" s="86"/>
      <c r="AK26" s="104">
        <v>65</v>
      </c>
      <c r="AN26" s="104">
        <v>1</v>
      </c>
      <c r="AO26" s="109">
        <f t="shared" si="15"/>
        <v>954.02799202862695</v>
      </c>
      <c r="AP26" s="109"/>
      <c r="AR26" s="89">
        <f t="shared" ca="1" si="8"/>
        <v>9.7205124883453049</v>
      </c>
      <c r="AS26" s="90">
        <f t="shared" ca="1" si="11"/>
        <v>111283.69212894316</v>
      </c>
      <c r="AT26" s="90">
        <f t="shared" ca="1" si="12"/>
        <v>5079.7621289431991</v>
      </c>
      <c r="AV26" s="403">
        <f t="shared" ca="1" si="13"/>
        <v>431.60674712003942</v>
      </c>
      <c r="AW26" s="403">
        <f t="shared" ca="1" si="14"/>
        <v>111715.2988760632</v>
      </c>
      <c r="BE26" s="38"/>
      <c r="BF26" s="38"/>
      <c r="BG26" s="38"/>
      <c r="BH26" s="38"/>
    </row>
    <row r="27" spans="1:60" s="104" customFormat="1">
      <c r="A27" s="104" t="str">
        <f t="shared" si="9"/>
        <v>Lewis County UTCSL065.0G1M002WREC</v>
      </c>
      <c r="B27" s="104">
        <f t="shared" si="2"/>
        <v>1</v>
      </c>
      <c r="C27" s="106" t="s">
        <v>269</v>
      </c>
      <c r="D27" s="106" t="s">
        <v>270</v>
      </c>
      <c r="E27" s="107">
        <v>18.579999999999998</v>
      </c>
      <c r="F27" s="107">
        <v>18.5</v>
      </c>
      <c r="G27" s="100" t="s">
        <v>262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f t="shared" si="3"/>
        <v>0</v>
      </c>
      <c r="U27" s="108"/>
      <c r="V27" s="109">
        <f t="shared" si="10"/>
        <v>0</v>
      </c>
      <c r="W27" s="109">
        <f t="shared" si="10"/>
        <v>0</v>
      </c>
      <c r="X27" s="109">
        <f t="shared" si="10"/>
        <v>0</v>
      </c>
      <c r="Y27" s="109">
        <f t="shared" si="10"/>
        <v>0</v>
      </c>
      <c r="Z27" s="109">
        <f t="shared" si="10"/>
        <v>0</v>
      </c>
      <c r="AA27" s="109">
        <f t="shared" si="10"/>
        <v>0</v>
      </c>
      <c r="AB27" s="109">
        <f t="shared" si="10"/>
        <v>0</v>
      </c>
      <c r="AC27" s="109">
        <f t="shared" si="10"/>
        <v>0</v>
      </c>
      <c r="AD27" s="109">
        <f t="shared" si="16"/>
        <v>0</v>
      </c>
      <c r="AE27" s="109">
        <f t="shared" si="16"/>
        <v>0</v>
      </c>
      <c r="AF27" s="109">
        <f t="shared" si="16"/>
        <v>0</v>
      </c>
      <c r="AG27" s="109">
        <f t="shared" si="16"/>
        <v>0</v>
      </c>
      <c r="AH27" s="110">
        <f t="shared" si="6"/>
        <v>0</v>
      </c>
      <c r="AI27" s="111">
        <f t="shared" si="7"/>
        <v>0</v>
      </c>
      <c r="AJ27" s="86"/>
      <c r="AK27" s="104">
        <v>65</v>
      </c>
      <c r="AN27" s="104">
        <v>2</v>
      </c>
      <c r="AO27" s="109">
        <f t="shared" si="15"/>
        <v>0</v>
      </c>
      <c r="AP27" s="109"/>
      <c r="AR27" s="89">
        <f t="shared" ca="1" si="8"/>
        <v>19.44102497669061</v>
      </c>
      <c r="AS27" s="90">
        <f t="shared" ca="1" si="11"/>
        <v>0</v>
      </c>
      <c r="AT27" s="90">
        <f t="shared" ca="1" si="12"/>
        <v>0</v>
      </c>
      <c r="AV27" s="403">
        <f t="shared" ca="1" si="13"/>
        <v>0</v>
      </c>
      <c r="AW27" s="403">
        <f t="shared" ca="1" si="14"/>
        <v>0</v>
      </c>
      <c r="BE27" s="38"/>
      <c r="BF27" s="38"/>
      <c r="BG27" s="38"/>
      <c r="BH27" s="38"/>
    </row>
    <row r="28" spans="1:60" s="104" customFormat="1">
      <c r="A28" s="104" t="str">
        <f t="shared" si="9"/>
        <v>Lewis County UTCSL065.0G1M003WREC</v>
      </c>
      <c r="B28" s="104">
        <f t="shared" si="2"/>
        <v>1</v>
      </c>
      <c r="C28" s="106" t="s">
        <v>271</v>
      </c>
      <c r="D28" s="106" t="s">
        <v>272</v>
      </c>
      <c r="E28" s="107">
        <v>27.87</v>
      </c>
      <c r="F28" s="107">
        <v>27.75</v>
      </c>
      <c r="G28" s="100" t="s">
        <v>262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f t="shared" si="3"/>
        <v>0</v>
      </c>
      <c r="U28" s="108"/>
      <c r="V28" s="109">
        <f t="shared" si="10"/>
        <v>0</v>
      </c>
      <c r="W28" s="109">
        <f t="shared" si="10"/>
        <v>0</v>
      </c>
      <c r="X28" s="109">
        <f t="shared" si="10"/>
        <v>0</v>
      </c>
      <c r="Y28" s="109">
        <f t="shared" si="10"/>
        <v>0</v>
      </c>
      <c r="Z28" s="109">
        <f t="shared" si="10"/>
        <v>0</v>
      </c>
      <c r="AA28" s="109">
        <f t="shared" si="10"/>
        <v>0</v>
      </c>
      <c r="AB28" s="109">
        <f t="shared" si="10"/>
        <v>0</v>
      </c>
      <c r="AC28" s="109">
        <f t="shared" si="10"/>
        <v>0</v>
      </c>
      <c r="AD28" s="109">
        <f t="shared" si="16"/>
        <v>0</v>
      </c>
      <c r="AE28" s="109">
        <f t="shared" si="16"/>
        <v>0</v>
      </c>
      <c r="AF28" s="109">
        <f t="shared" si="16"/>
        <v>0</v>
      </c>
      <c r="AG28" s="109">
        <f t="shared" si="16"/>
        <v>0</v>
      </c>
      <c r="AH28" s="110">
        <f t="shared" si="6"/>
        <v>0</v>
      </c>
      <c r="AI28" s="111">
        <f t="shared" si="7"/>
        <v>0</v>
      </c>
      <c r="AJ28" s="86"/>
      <c r="AK28" s="104">
        <v>65</v>
      </c>
      <c r="AN28" s="104">
        <v>3</v>
      </c>
      <c r="AO28" s="109">
        <f t="shared" si="15"/>
        <v>0</v>
      </c>
      <c r="AP28" s="109"/>
      <c r="AR28" s="89">
        <f t="shared" ca="1" si="8"/>
        <v>29.161537465035913</v>
      </c>
      <c r="AS28" s="90">
        <f t="shared" ca="1" si="11"/>
        <v>0</v>
      </c>
      <c r="AT28" s="90">
        <f t="shared" ca="1" si="12"/>
        <v>0</v>
      </c>
      <c r="AV28" s="403">
        <f t="shared" ca="1" si="13"/>
        <v>0</v>
      </c>
      <c r="AW28" s="403">
        <f t="shared" ca="1" si="14"/>
        <v>0</v>
      </c>
      <c r="BE28" s="38"/>
      <c r="BF28" s="38"/>
      <c r="BG28" s="38"/>
      <c r="BH28" s="38"/>
    </row>
    <row r="29" spans="1:60" s="98" customFormat="1">
      <c r="A29" s="98" t="str">
        <f t="shared" si="9"/>
        <v>Lewis County UTCSL065.0G1W001NOREC</v>
      </c>
      <c r="B29" s="98">
        <f t="shared" si="2"/>
        <v>1</v>
      </c>
      <c r="C29" s="99" t="s">
        <v>273</v>
      </c>
      <c r="D29" s="99" t="s">
        <v>274</v>
      </c>
      <c r="E29" s="100">
        <v>22.92</v>
      </c>
      <c r="F29" s="100">
        <v>22.82</v>
      </c>
      <c r="G29" s="100" t="s">
        <v>262</v>
      </c>
      <c r="H29" s="101">
        <v>9465.875</v>
      </c>
      <c r="I29" s="101">
        <v>9402.965000000002</v>
      </c>
      <c r="J29" s="101">
        <v>9454.7250000000004</v>
      </c>
      <c r="K29" s="101">
        <v>9526.3499999999985</v>
      </c>
      <c r="L29" s="101">
        <v>9766.9750000000004</v>
      </c>
      <c r="M29" s="101">
        <v>9982.16</v>
      </c>
      <c r="N29" s="101">
        <v>10140.52</v>
      </c>
      <c r="O29" s="101">
        <v>10232.735000000001</v>
      </c>
      <c r="P29" s="101">
        <v>10258.344999999999</v>
      </c>
      <c r="Q29" s="101">
        <v>10187.494999999999</v>
      </c>
      <c r="R29" s="101">
        <v>10094.675000000001</v>
      </c>
      <c r="S29" s="101">
        <v>10086.434999999999</v>
      </c>
      <c r="T29" s="101">
        <f t="shared" si="3"/>
        <v>118599.255</v>
      </c>
      <c r="U29" s="101"/>
      <c r="V29" s="102">
        <f t="shared" si="10"/>
        <v>412.99629144851656</v>
      </c>
      <c r="W29" s="102">
        <f t="shared" si="10"/>
        <v>410.25152705061089</v>
      </c>
      <c r="X29" s="102">
        <f t="shared" si="10"/>
        <v>412.50981675392671</v>
      </c>
      <c r="Y29" s="102">
        <f t="shared" si="10"/>
        <v>415.6348167539266</v>
      </c>
      <c r="Z29" s="102">
        <f t="shared" si="10"/>
        <v>426.13328970331588</v>
      </c>
      <c r="AA29" s="102">
        <f t="shared" si="10"/>
        <v>435.52181500872598</v>
      </c>
      <c r="AB29" s="102">
        <f t="shared" si="10"/>
        <v>442.43106457242584</v>
      </c>
      <c r="AC29" s="102">
        <f t="shared" si="10"/>
        <v>446.45440663176265</v>
      </c>
      <c r="AD29" s="102">
        <f t="shared" si="16"/>
        <v>449.53308501314632</v>
      </c>
      <c r="AE29" s="102">
        <f t="shared" si="16"/>
        <v>446.42835232252406</v>
      </c>
      <c r="AF29" s="102">
        <f t="shared" si="16"/>
        <v>442.36086765994747</v>
      </c>
      <c r="AG29" s="102">
        <f t="shared" si="16"/>
        <v>441.99978089395262</v>
      </c>
      <c r="AH29" s="95">
        <f t="shared" si="6"/>
        <v>5182.2551138127819</v>
      </c>
      <c r="AI29" s="103">
        <f t="shared" si="7"/>
        <v>431.85459281773183</v>
      </c>
      <c r="AJ29" s="86"/>
      <c r="AK29" s="98">
        <v>65</v>
      </c>
      <c r="AN29" s="98">
        <v>1</v>
      </c>
      <c r="AO29" s="102">
        <f t="shared" si="15"/>
        <v>431.85459281773183</v>
      </c>
      <c r="AP29" s="102"/>
      <c r="AR29" s="89">
        <f t="shared" ca="1" si="8"/>
        <v>23.980767025301606</v>
      </c>
      <c r="AS29" s="90">
        <f t="shared" ca="1" si="11"/>
        <v>124274.45255002219</v>
      </c>
      <c r="AT29" s="90">
        <f t="shared" ca="1" si="12"/>
        <v>5675.1975500221888</v>
      </c>
      <c r="AV29" s="403">
        <f t="shared" ca="1" si="13"/>
        <v>481.99058810063002</v>
      </c>
      <c r="AW29" s="403">
        <f t="shared" ca="1" si="14"/>
        <v>124756.44313812282</v>
      </c>
      <c r="BE29" s="38"/>
      <c r="BF29" s="38"/>
      <c r="BG29" s="38"/>
      <c r="BH29" s="38"/>
    </row>
    <row r="30" spans="1:60" s="104" customFormat="1">
      <c r="A30" s="104" t="str">
        <f t="shared" si="9"/>
        <v>Lewis County UTCSL065.0G1W001WREC</v>
      </c>
      <c r="B30" s="104">
        <f t="shared" si="2"/>
        <v>1</v>
      </c>
      <c r="C30" s="106" t="s">
        <v>275</v>
      </c>
      <c r="D30" s="106" t="s">
        <v>276</v>
      </c>
      <c r="E30" s="107">
        <v>22.92</v>
      </c>
      <c r="F30" s="107">
        <v>22.82</v>
      </c>
      <c r="G30" s="100" t="s">
        <v>262</v>
      </c>
      <c r="H30" s="108">
        <v>94810.705000000016</v>
      </c>
      <c r="I30" s="108">
        <v>94220.925000000003</v>
      </c>
      <c r="J30" s="108">
        <v>94382.220000000016</v>
      </c>
      <c r="K30" s="108">
        <v>94571.95</v>
      </c>
      <c r="L30" s="108">
        <v>95100.94</v>
      </c>
      <c r="M30" s="108">
        <v>96150.540000000008</v>
      </c>
      <c r="N30" s="108">
        <v>97019.36</v>
      </c>
      <c r="O30" s="108">
        <v>97619.654999999999</v>
      </c>
      <c r="P30" s="108">
        <v>97861.724999999977</v>
      </c>
      <c r="Q30" s="108">
        <v>97255.294999999998</v>
      </c>
      <c r="R30" s="108">
        <v>97643.47</v>
      </c>
      <c r="S30" s="108">
        <v>98029.624999999985</v>
      </c>
      <c r="T30" s="108">
        <f t="shared" ref="T30:T49" si="17">SUM(H30:S30)</f>
        <v>1154666.4100000001</v>
      </c>
      <c r="U30" s="108"/>
      <c r="V30" s="109">
        <f t="shared" si="10"/>
        <v>4136.5927137870858</v>
      </c>
      <c r="W30" s="109">
        <f t="shared" si="10"/>
        <v>4110.8606020942407</v>
      </c>
      <c r="X30" s="109">
        <f t="shared" si="10"/>
        <v>4117.8979057591623</v>
      </c>
      <c r="Y30" s="109">
        <f t="shared" si="10"/>
        <v>4126.1758289703312</v>
      </c>
      <c r="Z30" s="109">
        <f t="shared" si="10"/>
        <v>4149.2556719022687</v>
      </c>
      <c r="AA30" s="109">
        <f t="shared" si="10"/>
        <v>4195.0497382198955</v>
      </c>
      <c r="AB30" s="109">
        <f t="shared" si="10"/>
        <v>4232.9563699825476</v>
      </c>
      <c r="AC30" s="109">
        <f t="shared" si="10"/>
        <v>4259.1472513089002</v>
      </c>
      <c r="AD30" s="109">
        <f t="shared" si="16"/>
        <v>4288.419149868535</v>
      </c>
      <c r="AE30" s="109">
        <f t="shared" si="16"/>
        <v>4261.8446538124454</v>
      </c>
      <c r="AF30" s="109">
        <f t="shared" si="16"/>
        <v>4278.8549517966694</v>
      </c>
      <c r="AG30" s="109">
        <f t="shared" si="16"/>
        <v>4295.7767309377732</v>
      </c>
      <c r="AH30" s="110">
        <f t="shared" ref="AH30:AH49" si="18">SUM(V30:AG30)</f>
        <v>50452.831568439855</v>
      </c>
      <c r="AI30" s="111">
        <f t="shared" si="7"/>
        <v>4204.4026307033209</v>
      </c>
      <c r="AJ30" s="86"/>
      <c r="AK30" s="104">
        <v>65</v>
      </c>
      <c r="AN30" s="104">
        <v>1</v>
      </c>
      <c r="AO30" s="109">
        <f t="shared" si="15"/>
        <v>4204.4026307033209</v>
      </c>
      <c r="AP30" s="109"/>
      <c r="AR30" s="89">
        <f t="shared" ca="1" si="8"/>
        <v>23.980767025301606</v>
      </c>
      <c r="AS30" s="90">
        <f t="shared" ca="1" si="11"/>
        <v>1209897.5996095384</v>
      </c>
      <c r="AT30" s="90">
        <f t="shared" ca="1" si="12"/>
        <v>55231.189609538298</v>
      </c>
      <c r="AV30" s="403">
        <f t="shared" ca="1" si="13"/>
        <v>4692.5111606716782</v>
      </c>
      <c r="AW30" s="403">
        <f t="shared" ca="1" si="14"/>
        <v>1214590.1107702102</v>
      </c>
      <c r="BE30" s="38"/>
      <c r="BF30" s="38"/>
      <c r="BG30" s="38"/>
      <c r="BH30" s="38"/>
    </row>
    <row r="31" spans="1:60" s="104" customFormat="1">
      <c r="A31" s="104" t="str">
        <f t="shared" si="9"/>
        <v>Lewis County UTCSL065.0G1W002WREC</v>
      </c>
      <c r="B31" s="104">
        <f t="shared" si="2"/>
        <v>1</v>
      </c>
      <c r="C31" s="106" t="s">
        <v>277</v>
      </c>
      <c r="D31" s="106" t="s">
        <v>278</v>
      </c>
      <c r="E31" s="107">
        <v>45.84</v>
      </c>
      <c r="F31" s="107">
        <v>45.64</v>
      </c>
      <c r="G31" s="100" t="s">
        <v>262</v>
      </c>
      <c r="H31" s="108">
        <v>45.84</v>
      </c>
      <c r="I31" s="108">
        <v>45.84</v>
      </c>
      <c r="J31" s="108">
        <v>45.84</v>
      </c>
      <c r="K31" s="108">
        <v>45.84</v>
      </c>
      <c r="L31" s="108">
        <v>45.84</v>
      </c>
      <c r="M31" s="108">
        <v>45.84</v>
      </c>
      <c r="N31" s="108">
        <v>45.84</v>
      </c>
      <c r="O31" s="108">
        <v>45.84</v>
      </c>
      <c r="P31" s="108">
        <v>45.64</v>
      </c>
      <c r="Q31" s="108">
        <v>45.64</v>
      </c>
      <c r="R31" s="108">
        <v>45.64</v>
      </c>
      <c r="S31" s="108">
        <v>45.64</v>
      </c>
      <c r="T31" s="108">
        <f t="shared" si="17"/>
        <v>549.28</v>
      </c>
      <c r="U31" s="108"/>
      <c r="V31" s="109">
        <f t="shared" si="10"/>
        <v>1</v>
      </c>
      <c r="W31" s="109">
        <f t="shared" si="10"/>
        <v>1</v>
      </c>
      <c r="X31" s="109">
        <f t="shared" si="10"/>
        <v>1</v>
      </c>
      <c r="Y31" s="109">
        <f t="shared" si="10"/>
        <v>1</v>
      </c>
      <c r="Z31" s="109">
        <f t="shared" si="10"/>
        <v>1</v>
      </c>
      <c r="AA31" s="109">
        <f t="shared" si="10"/>
        <v>1</v>
      </c>
      <c r="AB31" s="109">
        <f t="shared" si="10"/>
        <v>1</v>
      </c>
      <c r="AC31" s="109">
        <f t="shared" si="10"/>
        <v>1</v>
      </c>
      <c r="AD31" s="109">
        <f t="shared" si="16"/>
        <v>1</v>
      </c>
      <c r="AE31" s="109">
        <f t="shared" si="16"/>
        <v>1</v>
      </c>
      <c r="AF31" s="109">
        <f t="shared" si="16"/>
        <v>1</v>
      </c>
      <c r="AG31" s="109">
        <f t="shared" si="16"/>
        <v>1</v>
      </c>
      <c r="AH31" s="110">
        <f t="shared" si="18"/>
        <v>12</v>
      </c>
      <c r="AI31" s="111">
        <f t="shared" si="7"/>
        <v>1</v>
      </c>
      <c r="AJ31" s="86"/>
      <c r="AK31" s="104">
        <v>65</v>
      </c>
      <c r="AN31" s="104">
        <v>2</v>
      </c>
      <c r="AO31" s="109">
        <f t="shared" si="15"/>
        <v>2</v>
      </c>
      <c r="AP31" s="109"/>
      <c r="AR31" s="89">
        <f t="shared" ca="1" si="8"/>
        <v>47.961534050603213</v>
      </c>
      <c r="AS31" s="90">
        <f t="shared" ca="1" si="11"/>
        <v>575.53840860723858</v>
      </c>
      <c r="AT31" s="90">
        <f t="shared" ca="1" si="12"/>
        <v>26.258408607238607</v>
      </c>
      <c r="AV31" s="403">
        <f t="shared" ca="1" si="13"/>
        <v>2.2321892420121072</v>
      </c>
      <c r="AW31" s="403">
        <f t="shared" ca="1" si="14"/>
        <v>577.77059784925063</v>
      </c>
      <c r="BE31" s="38"/>
      <c r="BF31" s="38"/>
      <c r="BG31" s="38"/>
      <c r="BH31" s="38"/>
    </row>
    <row r="32" spans="1:60" s="98" customFormat="1">
      <c r="A32" s="98" t="str">
        <f t="shared" si="9"/>
        <v>Lewis County UTCSL065.0GEO001NOREC</v>
      </c>
      <c r="B32" s="98">
        <f t="shared" si="2"/>
        <v>1</v>
      </c>
      <c r="C32" s="99" t="s">
        <v>279</v>
      </c>
      <c r="D32" s="99" t="s">
        <v>280</v>
      </c>
      <c r="E32" s="100">
        <v>15.05</v>
      </c>
      <c r="F32" s="100">
        <v>14.99</v>
      </c>
      <c r="G32" s="100" t="s">
        <v>262</v>
      </c>
      <c r="H32" s="101">
        <v>4457.4099999999989</v>
      </c>
      <c r="I32" s="101">
        <v>4583.46</v>
      </c>
      <c r="J32" s="101">
        <v>4569.165</v>
      </c>
      <c r="K32" s="101">
        <v>4642.9149999999991</v>
      </c>
      <c r="L32" s="101">
        <v>4782.12</v>
      </c>
      <c r="M32" s="101">
        <v>4793.0399999999991</v>
      </c>
      <c r="N32" s="101">
        <v>4734.3550000000005</v>
      </c>
      <c r="O32" s="101">
        <v>4826.2550000000001</v>
      </c>
      <c r="P32" s="101">
        <v>4804.3450000000003</v>
      </c>
      <c r="Q32" s="101">
        <v>4791.1500000000005</v>
      </c>
      <c r="R32" s="101">
        <v>4748.8600000000015</v>
      </c>
      <c r="S32" s="101">
        <v>4822.3150000000005</v>
      </c>
      <c r="T32" s="101">
        <f t="shared" si="17"/>
        <v>56555.39</v>
      </c>
      <c r="U32" s="101"/>
      <c r="V32" s="102">
        <f t="shared" si="10"/>
        <v>296.17342192691024</v>
      </c>
      <c r="W32" s="102">
        <f t="shared" si="10"/>
        <v>304.54883720930229</v>
      </c>
      <c r="X32" s="102">
        <f t="shared" si="10"/>
        <v>303.59900332225914</v>
      </c>
      <c r="Y32" s="102">
        <f t="shared" si="10"/>
        <v>308.49933554817267</v>
      </c>
      <c r="Z32" s="102">
        <f t="shared" si="10"/>
        <v>317.74883720930228</v>
      </c>
      <c r="AA32" s="102">
        <f t="shared" si="10"/>
        <v>318.47441860465108</v>
      </c>
      <c r="AB32" s="102">
        <f t="shared" si="10"/>
        <v>314.57508305647843</v>
      </c>
      <c r="AC32" s="102">
        <f t="shared" si="10"/>
        <v>320.68139534883721</v>
      </c>
      <c r="AD32" s="102">
        <f t="shared" si="16"/>
        <v>320.50333555703804</v>
      </c>
      <c r="AE32" s="102">
        <f t="shared" si="16"/>
        <v>319.62308205470316</v>
      </c>
      <c r="AF32" s="102">
        <f t="shared" si="16"/>
        <v>316.80186791194137</v>
      </c>
      <c r="AG32" s="102">
        <f t="shared" si="16"/>
        <v>321.70213475650439</v>
      </c>
      <c r="AH32" s="95">
        <f t="shared" si="18"/>
        <v>3762.9307525061004</v>
      </c>
      <c r="AI32" s="103">
        <f t="shared" si="7"/>
        <v>313.5775627088417</v>
      </c>
      <c r="AJ32" s="86"/>
      <c r="AK32" s="98">
        <v>65</v>
      </c>
      <c r="AN32" s="98">
        <v>1</v>
      </c>
      <c r="AO32" s="102">
        <f t="shared" si="15"/>
        <v>313.5775627088417</v>
      </c>
      <c r="AP32" s="102"/>
      <c r="AR32" s="89">
        <f t="shared" ca="1" si="8"/>
        <v>15.752484562194175</v>
      </c>
      <c r="AS32" s="90">
        <f t="shared" ca="1" si="11"/>
        <v>59275.508587458055</v>
      </c>
      <c r="AT32" s="90">
        <f t="shared" ca="1" si="12"/>
        <v>2720.1185874580551</v>
      </c>
      <c r="AV32" s="403">
        <f t="shared" ca="1" si="13"/>
        <v>229.89630336559267</v>
      </c>
      <c r="AW32" s="403">
        <f t="shared" ca="1" si="14"/>
        <v>59505.404890823644</v>
      </c>
      <c r="BE32" s="38"/>
      <c r="BF32" s="38"/>
      <c r="BG32" s="38"/>
      <c r="BH32" s="38"/>
    </row>
    <row r="33" spans="1:60" s="104" customFormat="1">
      <c r="A33" s="104" t="str">
        <f t="shared" si="9"/>
        <v>Lewis County UTCSL065.0GEO001WREC</v>
      </c>
      <c r="B33" s="104">
        <f t="shared" si="2"/>
        <v>1</v>
      </c>
      <c r="C33" s="106" t="s">
        <v>281</v>
      </c>
      <c r="D33" s="106" t="s">
        <v>282</v>
      </c>
      <c r="E33" s="107">
        <v>15.05</v>
      </c>
      <c r="F33" s="107">
        <v>14.99</v>
      </c>
      <c r="G33" s="100" t="s">
        <v>262</v>
      </c>
      <c r="H33" s="108">
        <v>71779.804999999993</v>
      </c>
      <c r="I33" s="108">
        <v>71800.535000000003</v>
      </c>
      <c r="J33" s="108">
        <v>71772.554999999993</v>
      </c>
      <c r="K33" s="108">
        <v>71953.904999999999</v>
      </c>
      <c r="L33" s="108">
        <v>72396.654999999999</v>
      </c>
      <c r="M33" s="108">
        <v>72393.145000000004</v>
      </c>
      <c r="N33" s="108">
        <v>72623.055000000008</v>
      </c>
      <c r="O33" s="108">
        <v>72398.28</v>
      </c>
      <c r="P33" s="108">
        <v>71830.8</v>
      </c>
      <c r="Q33" s="108">
        <v>71328.505000000005</v>
      </c>
      <c r="R33" s="108">
        <v>71051.974999999991</v>
      </c>
      <c r="S33" s="108">
        <v>70778.75499999999</v>
      </c>
      <c r="T33" s="108">
        <f t="shared" si="17"/>
        <v>862107.97</v>
      </c>
      <c r="U33" s="108"/>
      <c r="V33" s="109">
        <f t="shared" si="10"/>
        <v>4769.4222591362122</v>
      </c>
      <c r="W33" s="109">
        <f t="shared" si="10"/>
        <v>4770.7996677740866</v>
      </c>
      <c r="X33" s="109">
        <f t="shared" si="10"/>
        <v>4768.9405315614613</v>
      </c>
      <c r="Y33" s="109">
        <f t="shared" si="10"/>
        <v>4780.9903654485042</v>
      </c>
      <c r="Z33" s="109">
        <f t="shared" si="10"/>
        <v>4810.4089700996674</v>
      </c>
      <c r="AA33" s="109">
        <f t="shared" si="10"/>
        <v>4810.1757475083059</v>
      </c>
      <c r="AB33" s="109">
        <f t="shared" si="10"/>
        <v>4825.4521594684384</v>
      </c>
      <c r="AC33" s="109">
        <f t="shared" si="10"/>
        <v>4810.5169435215939</v>
      </c>
      <c r="AD33" s="109">
        <f t="shared" si="16"/>
        <v>4791.914609739827</v>
      </c>
      <c r="AE33" s="109">
        <f t="shared" si="16"/>
        <v>4758.4059372915281</v>
      </c>
      <c r="AF33" s="109">
        <f t="shared" si="16"/>
        <v>4739.958305537024</v>
      </c>
      <c r="AG33" s="109">
        <f t="shared" si="16"/>
        <v>4721.7314876584378</v>
      </c>
      <c r="AH33" s="110">
        <f t="shared" si="18"/>
        <v>57358.716984745086</v>
      </c>
      <c r="AI33" s="111">
        <f t="shared" si="7"/>
        <v>4779.8930820620908</v>
      </c>
      <c r="AJ33" s="86"/>
      <c r="AK33" s="104">
        <v>65</v>
      </c>
      <c r="AN33" s="104">
        <v>1</v>
      </c>
      <c r="AO33" s="109">
        <f t="shared" si="15"/>
        <v>4779.8930820620908</v>
      </c>
      <c r="AP33" s="109"/>
      <c r="AR33" s="89">
        <f t="shared" ca="1" si="8"/>
        <v>15.752484562194175</v>
      </c>
      <c r="AS33" s="90">
        <f t="shared" ca="1" si="11"/>
        <v>903542.30380946188</v>
      </c>
      <c r="AT33" s="90">
        <f t="shared" ca="1" si="12"/>
        <v>41434.33380946191</v>
      </c>
      <c r="AV33" s="403">
        <f t="shared" ca="1" si="13"/>
        <v>3504.3315617232456</v>
      </c>
      <c r="AW33" s="403">
        <f t="shared" ca="1" si="14"/>
        <v>907046.63537118514</v>
      </c>
      <c r="BE33" s="38"/>
      <c r="BF33" s="38"/>
      <c r="BG33" s="38"/>
      <c r="BH33" s="38"/>
    </row>
    <row r="34" spans="1:60" s="104" customFormat="1">
      <c r="A34" s="104" t="str">
        <f t="shared" si="9"/>
        <v>Lewis County UTCSL065.0GEO002WREC</v>
      </c>
      <c r="B34" s="104">
        <f t="shared" si="2"/>
        <v>1</v>
      </c>
      <c r="C34" s="106" t="s">
        <v>283</v>
      </c>
      <c r="D34" s="106" t="s">
        <v>284</v>
      </c>
      <c r="E34" s="107">
        <v>30.1</v>
      </c>
      <c r="F34" s="107">
        <v>29.98</v>
      </c>
      <c r="G34" s="100" t="s">
        <v>262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f t="shared" si="17"/>
        <v>0</v>
      </c>
      <c r="U34" s="108"/>
      <c r="V34" s="109">
        <f t="shared" si="10"/>
        <v>0</v>
      </c>
      <c r="W34" s="109">
        <f t="shared" si="10"/>
        <v>0</v>
      </c>
      <c r="X34" s="109">
        <f t="shared" si="10"/>
        <v>0</v>
      </c>
      <c r="Y34" s="109">
        <f t="shared" si="10"/>
        <v>0</v>
      </c>
      <c r="Z34" s="109">
        <f t="shared" si="10"/>
        <v>0</v>
      </c>
      <c r="AA34" s="109">
        <f t="shared" si="10"/>
        <v>0</v>
      </c>
      <c r="AB34" s="109">
        <f t="shared" si="10"/>
        <v>0</v>
      </c>
      <c r="AC34" s="109">
        <f t="shared" si="10"/>
        <v>0</v>
      </c>
      <c r="AD34" s="109">
        <f t="shared" si="16"/>
        <v>0</v>
      </c>
      <c r="AE34" s="109">
        <f t="shared" si="16"/>
        <v>0</v>
      </c>
      <c r="AF34" s="109">
        <f t="shared" si="16"/>
        <v>0</v>
      </c>
      <c r="AG34" s="109">
        <f t="shared" si="16"/>
        <v>0</v>
      </c>
      <c r="AH34" s="110">
        <f t="shared" si="18"/>
        <v>0</v>
      </c>
      <c r="AI34" s="111">
        <f t="shared" si="7"/>
        <v>0</v>
      </c>
      <c r="AJ34" s="86"/>
      <c r="AK34" s="104">
        <v>65</v>
      </c>
      <c r="AN34" s="104">
        <v>2</v>
      </c>
      <c r="AO34" s="109">
        <f t="shared" si="15"/>
        <v>0</v>
      </c>
      <c r="AP34" s="109"/>
      <c r="AR34" s="89">
        <f t="shared" ca="1" si="8"/>
        <v>31.504969124388349</v>
      </c>
      <c r="AS34" s="90">
        <f t="shared" ca="1" si="11"/>
        <v>0</v>
      </c>
      <c r="AT34" s="90">
        <f t="shared" ca="1" si="12"/>
        <v>0</v>
      </c>
      <c r="AV34" s="403">
        <f t="shared" ca="1" si="13"/>
        <v>0</v>
      </c>
      <c r="AW34" s="403">
        <f t="shared" ca="1" si="14"/>
        <v>0</v>
      </c>
      <c r="BE34" s="38"/>
      <c r="BF34" s="38"/>
      <c r="BG34" s="38"/>
      <c r="BH34" s="38"/>
    </row>
    <row r="35" spans="1:60" s="104" customFormat="1">
      <c r="A35" s="104" t="str">
        <f t="shared" si="9"/>
        <v>Lewis County UTCSL065.0GEO003WREC</v>
      </c>
      <c r="B35" s="104">
        <f t="shared" si="2"/>
        <v>1</v>
      </c>
      <c r="C35" s="106" t="s">
        <v>285</v>
      </c>
      <c r="D35" s="106" t="s">
        <v>286</v>
      </c>
      <c r="E35" s="107">
        <v>45.15</v>
      </c>
      <c r="F35" s="107">
        <v>44.97</v>
      </c>
      <c r="G35" s="100" t="s">
        <v>262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f t="shared" si="17"/>
        <v>0</v>
      </c>
      <c r="U35" s="108"/>
      <c r="V35" s="109">
        <f t="shared" si="10"/>
        <v>0</v>
      </c>
      <c r="W35" s="109">
        <f t="shared" si="10"/>
        <v>0</v>
      </c>
      <c r="X35" s="109">
        <f t="shared" si="10"/>
        <v>0</v>
      </c>
      <c r="Y35" s="109">
        <f t="shared" si="10"/>
        <v>0</v>
      </c>
      <c r="Z35" s="109">
        <f t="shared" si="10"/>
        <v>0</v>
      </c>
      <c r="AA35" s="109">
        <f t="shared" si="10"/>
        <v>0</v>
      </c>
      <c r="AB35" s="109">
        <f t="shared" si="10"/>
        <v>0</v>
      </c>
      <c r="AC35" s="109">
        <f t="shared" si="10"/>
        <v>0</v>
      </c>
      <c r="AD35" s="109">
        <f t="shared" si="16"/>
        <v>0</v>
      </c>
      <c r="AE35" s="109">
        <f t="shared" si="16"/>
        <v>0</v>
      </c>
      <c r="AF35" s="109">
        <f t="shared" si="16"/>
        <v>0</v>
      </c>
      <c r="AG35" s="109">
        <f t="shared" si="16"/>
        <v>0</v>
      </c>
      <c r="AH35" s="110">
        <f t="shared" si="18"/>
        <v>0</v>
      </c>
      <c r="AI35" s="111">
        <f t="shared" si="7"/>
        <v>0</v>
      </c>
      <c r="AJ35" s="86"/>
      <c r="AK35" s="104">
        <v>65</v>
      </c>
      <c r="AN35" s="104">
        <v>3</v>
      </c>
      <c r="AO35" s="109">
        <f t="shared" si="15"/>
        <v>0</v>
      </c>
      <c r="AP35" s="109"/>
      <c r="AR35" s="89">
        <f t="shared" ca="1" si="8"/>
        <v>47.257453686582522</v>
      </c>
      <c r="AS35" s="90">
        <f t="shared" ca="1" si="11"/>
        <v>0</v>
      </c>
      <c r="AT35" s="90">
        <f t="shared" ca="1" si="12"/>
        <v>0</v>
      </c>
      <c r="AV35" s="403">
        <f t="shared" ca="1" si="13"/>
        <v>0</v>
      </c>
      <c r="AW35" s="403">
        <f t="shared" ca="1" si="14"/>
        <v>0</v>
      </c>
      <c r="BE35" s="38"/>
      <c r="BF35" s="38"/>
      <c r="BG35" s="38"/>
      <c r="BH35" s="38"/>
    </row>
    <row r="36" spans="1:60" s="98" customFormat="1">
      <c r="A36" s="98" t="str">
        <f t="shared" si="9"/>
        <v>Lewis County UTCSL095.0G1M001NOREC</v>
      </c>
      <c r="B36" s="98">
        <f t="shared" si="2"/>
        <v>1</v>
      </c>
      <c r="C36" s="99" t="s">
        <v>287</v>
      </c>
      <c r="D36" s="99" t="s">
        <v>288</v>
      </c>
      <c r="E36" s="100">
        <v>11.57</v>
      </c>
      <c r="F36" s="100">
        <v>11.52</v>
      </c>
      <c r="G36" s="100" t="s">
        <v>262</v>
      </c>
      <c r="H36" s="101">
        <v>228.82500000000002</v>
      </c>
      <c r="I36" s="101">
        <v>225.61500000000001</v>
      </c>
      <c r="J36" s="101">
        <v>219.82999999999998</v>
      </c>
      <c r="K36" s="101">
        <v>219.82999999999998</v>
      </c>
      <c r="L36" s="101">
        <v>237.185</v>
      </c>
      <c r="M36" s="101">
        <v>237.185</v>
      </c>
      <c r="N36" s="101">
        <v>225.61500000000001</v>
      </c>
      <c r="O36" s="101">
        <v>237.185</v>
      </c>
      <c r="P36" s="101">
        <v>219.10499999999999</v>
      </c>
      <c r="Q36" s="101">
        <v>218.655</v>
      </c>
      <c r="R36" s="101">
        <v>218.88</v>
      </c>
      <c r="S36" s="101">
        <v>218.88000000000002</v>
      </c>
      <c r="T36" s="101">
        <f t="shared" si="17"/>
        <v>2706.79</v>
      </c>
      <c r="U36" s="101"/>
      <c r="V36" s="102">
        <f t="shared" si="10"/>
        <v>19.777441659464131</v>
      </c>
      <c r="W36" s="102">
        <f t="shared" si="10"/>
        <v>19.5</v>
      </c>
      <c r="X36" s="102">
        <f t="shared" si="10"/>
        <v>18.999999999999996</v>
      </c>
      <c r="Y36" s="102">
        <f t="shared" si="10"/>
        <v>18.999999999999996</v>
      </c>
      <c r="Z36" s="102">
        <f t="shared" si="10"/>
        <v>20.5</v>
      </c>
      <c r="AA36" s="102">
        <f t="shared" si="10"/>
        <v>20.5</v>
      </c>
      <c r="AB36" s="102">
        <f t="shared" si="10"/>
        <v>19.5</v>
      </c>
      <c r="AC36" s="102">
        <f t="shared" si="10"/>
        <v>20.5</v>
      </c>
      <c r="AD36" s="102">
        <f t="shared" si="16"/>
        <v>19.01953125</v>
      </c>
      <c r="AE36" s="102">
        <f t="shared" si="16"/>
        <v>18.98046875</v>
      </c>
      <c r="AF36" s="102">
        <f t="shared" si="16"/>
        <v>19</v>
      </c>
      <c r="AG36" s="102">
        <f t="shared" si="16"/>
        <v>19.000000000000004</v>
      </c>
      <c r="AH36" s="95">
        <f t="shared" si="18"/>
        <v>234.27744165946413</v>
      </c>
      <c r="AI36" s="103">
        <f t="shared" si="7"/>
        <v>19.523120138288679</v>
      </c>
      <c r="AJ36" s="86"/>
      <c r="AK36" s="98">
        <v>95</v>
      </c>
      <c r="AN36" s="98">
        <v>1</v>
      </c>
      <c r="AO36" s="102">
        <f t="shared" si="15"/>
        <v>19.523120138288679</v>
      </c>
      <c r="AP36" s="102"/>
      <c r="AR36" s="89">
        <f t="shared" ca="1" si="8"/>
        <v>12.105978796295989</v>
      </c>
      <c r="AS36" s="90">
        <f t="shared" ca="1" si="11"/>
        <v>2836.1577411799435</v>
      </c>
      <c r="AT36" s="90">
        <f t="shared" ca="1" si="12"/>
        <v>129.36774117994355</v>
      </c>
      <c r="AV36" s="403">
        <f t="shared" ca="1" si="13"/>
        <v>10.999858052621382</v>
      </c>
      <c r="AW36" s="403">
        <f t="shared" ca="1" si="14"/>
        <v>2847.1575992325647</v>
      </c>
      <c r="BE36" s="38"/>
      <c r="BF36" s="38"/>
      <c r="BG36" s="38"/>
      <c r="BH36" s="38"/>
    </row>
    <row r="37" spans="1:60" s="104" customFormat="1">
      <c r="A37" s="104" t="str">
        <f t="shared" si="9"/>
        <v>Lewis County UTCSL095.0G1M001WREC</v>
      </c>
      <c r="B37" s="104">
        <f t="shared" si="2"/>
        <v>1</v>
      </c>
      <c r="C37" s="106" t="s">
        <v>289</v>
      </c>
      <c r="D37" s="106" t="s">
        <v>290</v>
      </c>
      <c r="E37" s="107">
        <v>11.57</v>
      </c>
      <c r="F37" s="107">
        <v>11.52</v>
      </c>
      <c r="G37" s="100" t="s">
        <v>262</v>
      </c>
      <c r="H37" s="108">
        <v>1405.75</v>
      </c>
      <c r="I37" s="108">
        <v>1353.69</v>
      </c>
      <c r="J37" s="108">
        <v>1371.0450000000001</v>
      </c>
      <c r="K37" s="108">
        <v>1370.1200000000001</v>
      </c>
      <c r="L37" s="108">
        <v>1411.54</v>
      </c>
      <c r="M37" s="108">
        <v>1371.0450000000001</v>
      </c>
      <c r="N37" s="108">
        <v>1365.2599999999998</v>
      </c>
      <c r="O37" s="108">
        <v>1353.69</v>
      </c>
      <c r="P37" s="108">
        <v>1378.2649999999999</v>
      </c>
      <c r="Q37" s="108">
        <v>1375.04</v>
      </c>
      <c r="R37" s="108">
        <v>1376.64</v>
      </c>
      <c r="S37" s="108">
        <v>1382.4</v>
      </c>
      <c r="T37" s="108">
        <f t="shared" si="17"/>
        <v>16514.485000000001</v>
      </c>
      <c r="U37" s="108"/>
      <c r="V37" s="109">
        <f t="shared" si="10"/>
        <v>121.49956784788245</v>
      </c>
      <c r="W37" s="109">
        <f t="shared" si="10"/>
        <v>117</v>
      </c>
      <c r="X37" s="109">
        <f t="shared" si="10"/>
        <v>118.5</v>
      </c>
      <c r="Y37" s="109">
        <f t="shared" si="10"/>
        <v>118.42005185825411</v>
      </c>
      <c r="Z37" s="109">
        <f t="shared" si="10"/>
        <v>122</v>
      </c>
      <c r="AA37" s="109">
        <f t="shared" si="10"/>
        <v>118.5</v>
      </c>
      <c r="AB37" s="109">
        <f t="shared" si="10"/>
        <v>117.99999999999997</v>
      </c>
      <c r="AC37" s="109">
        <f t="shared" si="10"/>
        <v>117</v>
      </c>
      <c r="AD37" s="109">
        <f t="shared" si="16"/>
        <v>119.64105902777777</v>
      </c>
      <c r="AE37" s="109">
        <f t="shared" si="16"/>
        <v>119.36111111111111</v>
      </c>
      <c r="AF37" s="109">
        <f t="shared" si="16"/>
        <v>119.50000000000001</v>
      </c>
      <c r="AG37" s="109">
        <f t="shared" si="16"/>
        <v>120.00000000000001</v>
      </c>
      <c r="AH37" s="110">
        <f t="shared" si="18"/>
        <v>1429.4217898450254</v>
      </c>
      <c r="AI37" s="111">
        <f t="shared" si="7"/>
        <v>119.11848248708544</v>
      </c>
      <c r="AJ37" s="86"/>
      <c r="AK37" s="104">
        <v>95</v>
      </c>
      <c r="AN37" s="104">
        <v>1</v>
      </c>
      <c r="AO37" s="109">
        <f t="shared" si="15"/>
        <v>119.11848248708544</v>
      </c>
      <c r="AP37" s="109"/>
      <c r="AR37" s="89">
        <f t="shared" ca="1" si="8"/>
        <v>12.105978796295989</v>
      </c>
      <c r="AS37" s="90">
        <f t="shared" ca="1" si="11"/>
        <v>17304.54987882734</v>
      </c>
      <c r="AT37" s="90">
        <f t="shared" ca="1" si="12"/>
        <v>790.06487882733927</v>
      </c>
      <c r="AV37" s="403">
        <f t="shared" ca="1" si="13"/>
        <v>67.114599998382261</v>
      </c>
      <c r="AW37" s="403">
        <f t="shared" ca="1" si="14"/>
        <v>17371.664478825722</v>
      </c>
      <c r="BE37" s="38"/>
      <c r="BF37" s="38"/>
      <c r="BG37" s="38"/>
      <c r="BH37" s="38"/>
    </row>
    <row r="38" spans="1:60" s="98" customFormat="1">
      <c r="A38" s="98" t="str">
        <f t="shared" si="9"/>
        <v>Lewis County UTCSL095.0G1W001NOREC</v>
      </c>
      <c r="B38" s="98">
        <f t="shared" si="2"/>
        <v>1</v>
      </c>
      <c r="C38" s="99" t="s">
        <v>291</v>
      </c>
      <c r="D38" s="99" t="s">
        <v>292</v>
      </c>
      <c r="E38" s="100">
        <v>30.2</v>
      </c>
      <c r="F38" s="100">
        <v>30.07</v>
      </c>
      <c r="G38" s="100" t="s">
        <v>262</v>
      </c>
      <c r="H38" s="101">
        <v>5687.2400000000007</v>
      </c>
      <c r="I38" s="101">
        <v>5862.99</v>
      </c>
      <c r="J38" s="101">
        <v>5925.49</v>
      </c>
      <c r="K38" s="101">
        <v>6057.6149999999998</v>
      </c>
      <c r="L38" s="101">
        <v>5988.81</v>
      </c>
      <c r="M38" s="101">
        <v>6123.0199999999995</v>
      </c>
      <c r="N38" s="101">
        <v>6183.44</v>
      </c>
      <c r="O38" s="101">
        <v>6163.7249999999995</v>
      </c>
      <c r="P38" s="101">
        <v>6346.9049999999997</v>
      </c>
      <c r="Q38" s="101">
        <v>6261.4649999999992</v>
      </c>
      <c r="R38" s="101">
        <v>6275.8650000000007</v>
      </c>
      <c r="S38" s="101">
        <v>6325.81</v>
      </c>
      <c r="T38" s="101">
        <f t="shared" si="17"/>
        <v>73202.375</v>
      </c>
      <c r="U38" s="101"/>
      <c r="V38" s="102">
        <f t="shared" si="10"/>
        <v>188.31920529801326</v>
      </c>
      <c r="W38" s="102">
        <f t="shared" si="10"/>
        <v>194.1387417218543</v>
      </c>
      <c r="X38" s="102">
        <f t="shared" si="10"/>
        <v>196.20827814569537</v>
      </c>
      <c r="Y38" s="102">
        <f t="shared" si="10"/>
        <v>200.58327814569537</v>
      </c>
      <c r="Z38" s="102">
        <f t="shared" si="10"/>
        <v>198.30496688741724</v>
      </c>
      <c r="AA38" s="102">
        <f t="shared" si="10"/>
        <v>202.74900662251653</v>
      </c>
      <c r="AB38" s="102">
        <f t="shared" si="10"/>
        <v>204.74966887417219</v>
      </c>
      <c r="AC38" s="102">
        <f t="shared" si="10"/>
        <v>204.09685430463574</v>
      </c>
      <c r="AD38" s="102">
        <f t="shared" si="16"/>
        <v>211.07100099767209</v>
      </c>
      <c r="AE38" s="102">
        <f t="shared" si="16"/>
        <v>208.22963086132356</v>
      </c>
      <c r="AF38" s="102">
        <f t="shared" si="16"/>
        <v>208.70851346857336</v>
      </c>
      <c r="AG38" s="102">
        <f t="shared" si="16"/>
        <v>210.36947123378783</v>
      </c>
      <c r="AH38" s="95">
        <f t="shared" si="18"/>
        <v>2427.528616561357</v>
      </c>
      <c r="AI38" s="103">
        <f t="shared" si="7"/>
        <v>202.29405138011307</v>
      </c>
      <c r="AJ38" s="86"/>
      <c r="AK38" s="98">
        <v>95</v>
      </c>
      <c r="AN38" s="98">
        <v>1</v>
      </c>
      <c r="AO38" s="102">
        <f t="shared" si="15"/>
        <v>202.29405138011307</v>
      </c>
      <c r="AP38" s="102"/>
      <c r="AR38" s="89">
        <f t="shared" ca="1" si="8"/>
        <v>31.599547083734411</v>
      </c>
      <c r="AS38" s="90">
        <f t="shared" ca="1" si="11"/>
        <v>76708.804816143253</v>
      </c>
      <c r="AT38" s="90">
        <f t="shared" ca="1" si="12"/>
        <v>3506.4298161432525</v>
      </c>
      <c r="AV38" s="403">
        <f t="shared" ca="1" si="13"/>
        <v>297.51023792236953</v>
      </c>
      <c r="AW38" s="403">
        <f t="shared" ca="1" si="14"/>
        <v>77006.315054065621</v>
      </c>
      <c r="BE38" s="38"/>
      <c r="BF38" s="38"/>
      <c r="BG38" s="38"/>
      <c r="BH38" s="38"/>
    </row>
    <row r="39" spans="1:60" s="104" customFormat="1">
      <c r="A39" s="104" t="str">
        <f t="shared" si="9"/>
        <v>Lewis County UTCSL095.0G1W001WREC</v>
      </c>
      <c r="B39" s="104">
        <f t="shared" si="2"/>
        <v>1</v>
      </c>
      <c r="C39" s="106" t="s">
        <v>293</v>
      </c>
      <c r="D39" s="106" t="s">
        <v>294</v>
      </c>
      <c r="E39" s="107">
        <v>30.2</v>
      </c>
      <c r="F39" s="107">
        <v>30.07</v>
      </c>
      <c r="G39" s="100" t="s">
        <v>262</v>
      </c>
      <c r="H39" s="108">
        <v>40050.195</v>
      </c>
      <c r="I39" s="108">
        <v>40382.984999999993</v>
      </c>
      <c r="J39" s="108">
        <v>40398.639999999992</v>
      </c>
      <c r="K39" s="108">
        <v>41498.510000000009</v>
      </c>
      <c r="L39" s="108">
        <v>41934.334999999999</v>
      </c>
      <c r="M39" s="108">
        <v>42185.58</v>
      </c>
      <c r="N39" s="108">
        <v>43026.804999999993</v>
      </c>
      <c r="O39" s="108">
        <v>43505.61</v>
      </c>
      <c r="P39" s="108">
        <v>43686.415000000001</v>
      </c>
      <c r="Q39" s="108">
        <v>43921.87</v>
      </c>
      <c r="R39" s="108">
        <v>44152.840000000004</v>
      </c>
      <c r="S39" s="108">
        <v>44187.25499999999</v>
      </c>
      <c r="T39" s="108">
        <f t="shared" si="17"/>
        <v>508931.04</v>
      </c>
      <c r="U39" s="108"/>
      <c r="V39" s="109">
        <f t="shared" si="10"/>
        <v>1326.1653973509933</v>
      </c>
      <c r="W39" s="109">
        <f t="shared" si="10"/>
        <v>1337.1849337748342</v>
      </c>
      <c r="X39" s="109">
        <f t="shared" si="10"/>
        <v>1337.7033112582778</v>
      </c>
      <c r="Y39" s="109">
        <f t="shared" si="10"/>
        <v>1374.1228476821195</v>
      </c>
      <c r="Z39" s="109">
        <f t="shared" si="10"/>
        <v>1388.5541390728476</v>
      </c>
      <c r="AA39" s="109">
        <f t="shared" si="10"/>
        <v>1396.8735099337748</v>
      </c>
      <c r="AB39" s="109">
        <f t="shared" si="10"/>
        <v>1424.7286423841058</v>
      </c>
      <c r="AC39" s="109">
        <f t="shared" si="10"/>
        <v>1440.5831125827815</v>
      </c>
      <c r="AD39" s="109">
        <f t="shared" si="16"/>
        <v>1452.8239108746259</v>
      </c>
      <c r="AE39" s="109">
        <f t="shared" si="16"/>
        <v>1460.6541403392087</v>
      </c>
      <c r="AF39" s="109">
        <f t="shared" si="16"/>
        <v>1468.335217825075</v>
      </c>
      <c r="AG39" s="109">
        <f t="shared" si="16"/>
        <v>1469.4797140006647</v>
      </c>
      <c r="AH39" s="110">
        <f t="shared" si="18"/>
        <v>16877.208877079309</v>
      </c>
      <c r="AI39" s="111">
        <f t="shared" si="7"/>
        <v>1406.4340730899423</v>
      </c>
      <c r="AJ39" s="86"/>
      <c r="AK39" s="104">
        <v>95</v>
      </c>
      <c r="AN39" s="104">
        <v>1</v>
      </c>
      <c r="AO39" s="109">
        <f t="shared" si="15"/>
        <v>1406.4340730899423</v>
      </c>
      <c r="AP39" s="109"/>
      <c r="AR39" s="89">
        <f t="shared" ca="1" si="8"/>
        <v>31.599547083734411</v>
      </c>
      <c r="AS39" s="90">
        <f t="shared" ca="1" si="11"/>
        <v>533312.15655328799</v>
      </c>
      <c r="AT39" s="90">
        <f t="shared" ca="1" si="12"/>
        <v>24381.116553288011</v>
      </c>
      <c r="AV39" s="403">
        <f t="shared" ca="1" si="13"/>
        <v>2068.4173995847441</v>
      </c>
      <c r="AW39" s="403">
        <f t="shared" ca="1" si="14"/>
        <v>535380.57395287277</v>
      </c>
      <c r="BE39" s="38"/>
      <c r="BF39" s="38"/>
      <c r="BG39" s="38"/>
      <c r="BH39" s="38"/>
    </row>
    <row r="40" spans="1:60" s="104" customFormat="1">
      <c r="A40" s="104" t="str">
        <f t="shared" si="9"/>
        <v>Lewis County UTCSL095.0G1W002WREC</v>
      </c>
      <c r="B40" s="104">
        <f t="shared" si="2"/>
        <v>1</v>
      </c>
      <c r="C40" s="106" t="s">
        <v>295</v>
      </c>
      <c r="D40" s="106" t="s">
        <v>296</v>
      </c>
      <c r="E40" s="107">
        <v>60.4</v>
      </c>
      <c r="F40" s="107">
        <v>60.14</v>
      </c>
      <c r="G40" s="100" t="s">
        <v>262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08">
        <f t="shared" si="17"/>
        <v>0</v>
      </c>
      <c r="U40" s="108"/>
      <c r="V40" s="109">
        <f t="shared" si="10"/>
        <v>0</v>
      </c>
      <c r="W40" s="109">
        <f t="shared" si="10"/>
        <v>0</v>
      </c>
      <c r="X40" s="109">
        <f t="shared" si="10"/>
        <v>0</v>
      </c>
      <c r="Y40" s="109">
        <f t="shared" si="10"/>
        <v>0</v>
      </c>
      <c r="Z40" s="109">
        <f t="shared" si="10"/>
        <v>0</v>
      </c>
      <c r="AA40" s="109">
        <f t="shared" si="10"/>
        <v>0</v>
      </c>
      <c r="AB40" s="109">
        <f t="shared" si="10"/>
        <v>0</v>
      </c>
      <c r="AC40" s="109">
        <f t="shared" si="10"/>
        <v>0</v>
      </c>
      <c r="AD40" s="109">
        <f t="shared" si="16"/>
        <v>0</v>
      </c>
      <c r="AE40" s="109">
        <f t="shared" si="16"/>
        <v>0</v>
      </c>
      <c r="AF40" s="109">
        <f t="shared" si="16"/>
        <v>0</v>
      </c>
      <c r="AG40" s="109">
        <f t="shared" si="16"/>
        <v>0</v>
      </c>
      <c r="AH40" s="110">
        <f t="shared" si="18"/>
        <v>0</v>
      </c>
      <c r="AI40" s="111">
        <f t="shared" si="7"/>
        <v>0</v>
      </c>
      <c r="AJ40" s="86"/>
      <c r="AK40" s="104">
        <v>95</v>
      </c>
      <c r="AN40" s="104">
        <v>2</v>
      </c>
      <c r="AO40" s="109">
        <f t="shared" si="15"/>
        <v>0</v>
      </c>
      <c r="AP40" s="109"/>
      <c r="AR40" s="89">
        <f t="shared" ca="1" si="8"/>
        <v>63.199094167468822</v>
      </c>
      <c r="AS40" s="90">
        <f t="shared" ca="1" si="11"/>
        <v>0</v>
      </c>
      <c r="AT40" s="90">
        <f t="shared" ca="1" si="12"/>
        <v>0</v>
      </c>
      <c r="AV40" s="403">
        <f t="shared" ca="1" si="13"/>
        <v>0</v>
      </c>
      <c r="AW40" s="403">
        <f t="shared" ca="1" si="14"/>
        <v>0</v>
      </c>
      <c r="BE40" s="38"/>
      <c r="BF40" s="38"/>
      <c r="BG40" s="38"/>
      <c r="BH40" s="38"/>
    </row>
    <row r="41" spans="1:60" s="98" customFormat="1">
      <c r="A41" s="98" t="str">
        <f t="shared" si="9"/>
        <v>Lewis County UTCSL095.0GEO001NOREC</v>
      </c>
      <c r="B41" s="98">
        <f t="shared" si="2"/>
        <v>1</v>
      </c>
      <c r="C41" s="99" t="s">
        <v>297</v>
      </c>
      <c r="D41" s="99" t="s">
        <v>298</v>
      </c>
      <c r="E41" s="100">
        <v>23.12</v>
      </c>
      <c r="F41" s="100">
        <v>23.02</v>
      </c>
      <c r="G41" s="100" t="s">
        <v>262</v>
      </c>
      <c r="H41" s="101">
        <v>971.04</v>
      </c>
      <c r="I41" s="101">
        <v>971.04</v>
      </c>
      <c r="J41" s="101">
        <v>942.1400000000001</v>
      </c>
      <c r="K41" s="101">
        <v>936.36000000000013</v>
      </c>
      <c r="L41" s="101">
        <v>966.41499999999996</v>
      </c>
      <c r="M41" s="101">
        <v>943.29500000000007</v>
      </c>
      <c r="N41" s="101">
        <v>901.68000000000006</v>
      </c>
      <c r="O41" s="101">
        <v>826.54000000000008</v>
      </c>
      <c r="P41" s="101">
        <v>836.15</v>
      </c>
      <c r="Q41" s="101">
        <v>838.52500000000009</v>
      </c>
      <c r="R41" s="101">
        <v>809.15000000000009</v>
      </c>
      <c r="S41" s="101">
        <v>885.12000000000012</v>
      </c>
      <c r="T41" s="101">
        <f t="shared" si="17"/>
        <v>10827.455000000002</v>
      </c>
      <c r="U41" s="101"/>
      <c r="V41" s="102">
        <f t="shared" si="10"/>
        <v>42</v>
      </c>
      <c r="W41" s="102">
        <f t="shared" si="10"/>
        <v>42</v>
      </c>
      <c r="X41" s="102">
        <f t="shared" si="10"/>
        <v>40.75</v>
      </c>
      <c r="Y41" s="102">
        <f t="shared" si="10"/>
        <v>40.500000000000007</v>
      </c>
      <c r="Z41" s="102">
        <f t="shared" si="10"/>
        <v>41.799956747404842</v>
      </c>
      <c r="AA41" s="102">
        <f t="shared" si="10"/>
        <v>40.799956747404849</v>
      </c>
      <c r="AB41" s="102">
        <f t="shared" si="10"/>
        <v>39</v>
      </c>
      <c r="AC41" s="102">
        <f t="shared" si="10"/>
        <v>35.75</v>
      </c>
      <c r="AD41" s="102">
        <f t="shared" si="16"/>
        <v>36.32276281494353</v>
      </c>
      <c r="AE41" s="102">
        <f t="shared" si="16"/>
        <v>36.425933970460477</v>
      </c>
      <c r="AF41" s="102">
        <f t="shared" si="16"/>
        <v>35.149869678540405</v>
      </c>
      <c r="AG41" s="102">
        <f t="shared" si="16"/>
        <v>38.450043440486539</v>
      </c>
      <c r="AH41" s="95">
        <f t="shared" si="18"/>
        <v>468.94852339924068</v>
      </c>
      <c r="AI41" s="103">
        <f t="shared" si="7"/>
        <v>39.079043616603393</v>
      </c>
      <c r="AJ41" s="86"/>
      <c r="AK41" s="98">
        <v>95</v>
      </c>
      <c r="AN41" s="98">
        <v>1</v>
      </c>
      <c r="AO41" s="102">
        <f t="shared" si="15"/>
        <v>39.079043616603393</v>
      </c>
      <c r="AP41" s="102"/>
      <c r="AR41" s="89">
        <f t="shared" ca="1" si="8"/>
        <v>24.190940268292852</v>
      </c>
      <c r="AS41" s="90">
        <f t="shared" ca="1" si="11"/>
        <v>11344.305718455165</v>
      </c>
      <c r="AT41" s="90">
        <f t="shared" ca="1" si="12"/>
        <v>516.85071845516359</v>
      </c>
      <c r="AV41" s="403">
        <f t="shared" ca="1" si="13"/>
        <v>43.998170763461303</v>
      </c>
      <c r="AW41" s="403">
        <f t="shared" ca="1" si="14"/>
        <v>11388.303889218627</v>
      </c>
      <c r="BE41" s="38"/>
      <c r="BF41" s="38"/>
      <c r="BG41" s="38"/>
      <c r="BH41" s="38"/>
    </row>
    <row r="42" spans="1:60" s="104" customFormat="1">
      <c r="A42" s="104" t="str">
        <f t="shared" si="9"/>
        <v>Lewis County UTCSL095.0GEO001WREC</v>
      </c>
      <c r="B42" s="104">
        <f t="shared" si="2"/>
        <v>1</v>
      </c>
      <c r="C42" s="106" t="s">
        <v>299</v>
      </c>
      <c r="D42" s="106" t="s">
        <v>300</v>
      </c>
      <c r="E42" s="107">
        <v>23.12</v>
      </c>
      <c r="F42" s="107">
        <v>23.02</v>
      </c>
      <c r="G42" s="100" t="s">
        <v>262</v>
      </c>
      <c r="H42" s="108">
        <v>8003.6049999999996</v>
      </c>
      <c r="I42" s="108">
        <v>7885.65</v>
      </c>
      <c r="J42" s="108">
        <v>7798.9400000000005</v>
      </c>
      <c r="K42" s="108">
        <v>7985.6400000000012</v>
      </c>
      <c r="L42" s="108">
        <v>8002.9750000000004</v>
      </c>
      <c r="M42" s="108">
        <v>8160.1850000000013</v>
      </c>
      <c r="N42" s="108">
        <v>8178.6899999999987</v>
      </c>
      <c r="O42" s="108">
        <v>8289.6749999999993</v>
      </c>
      <c r="P42" s="108">
        <v>8235.2250000000022</v>
      </c>
      <c r="Q42" s="108">
        <v>8113.86</v>
      </c>
      <c r="R42" s="108">
        <v>8234.255000000001</v>
      </c>
      <c r="S42" s="108">
        <v>8273.3850000000002</v>
      </c>
      <c r="T42" s="108">
        <f t="shared" si="17"/>
        <v>97162.085000000006</v>
      </c>
      <c r="U42" s="108"/>
      <c r="V42" s="109">
        <f t="shared" si="10"/>
        <v>346.17668685121106</v>
      </c>
      <c r="W42" s="109">
        <f t="shared" si="10"/>
        <v>341.07482698961934</v>
      </c>
      <c r="X42" s="109">
        <f t="shared" si="10"/>
        <v>337.32439446366783</v>
      </c>
      <c r="Y42" s="109">
        <f t="shared" si="10"/>
        <v>345.39965397923879</v>
      </c>
      <c r="Z42" s="109">
        <f t="shared" si="10"/>
        <v>346.14943771626298</v>
      </c>
      <c r="AA42" s="109">
        <f t="shared" si="10"/>
        <v>352.94917820069207</v>
      </c>
      <c r="AB42" s="109">
        <f t="shared" si="10"/>
        <v>353.74956747404838</v>
      </c>
      <c r="AC42" s="109">
        <f t="shared" si="10"/>
        <v>358.54995674740479</v>
      </c>
      <c r="AD42" s="109">
        <f t="shared" si="16"/>
        <v>357.7421807124241</v>
      </c>
      <c r="AE42" s="109">
        <f t="shared" si="16"/>
        <v>352.47002606429191</v>
      </c>
      <c r="AF42" s="109">
        <f t="shared" si="16"/>
        <v>357.70004344048658</v>
      </c>
      <c r="AG42" s="109">
        <f t="shared" si="16"/>
        <v>359.39986967854043</v>
      </c>
      <c r="AH42" s="110">
        <f t="shared" si="18"/>
        <v>4208.6858223178888</v>
      </c>
      <c r="AI42" s="111">
        <f t="shared" si="7"/>
        <v>350.72381852649073</v>
      </c>
      <c r="AJ42" s="86"/>
      <c r="AK42" s="104">
        <v>95</v>
      </c>
      <c r="AN42" s="104">
        <v>1</v>
      </c>
      <c r="AO42" s="109">
        <f t="shared" si="15"/>
        <v>350.72381852649073</v>
      </c>
      <c r="AP42" s="109"/>
      <c r="AR42" s="89">
        <f t="shared" ca="1" si="8"/>
        <v>24.190940268292852</v>
      </c>
      <c r="AS42" s="90">
        <f t="shared" ca="1" si="11"/>
        <v>101812.06733570303</v>
      </c>
      <c r="AT42" s="90">
        <f t="shared" ca="1" si="12"/>
        <v>4649.9823357030255</v>
      </c>
      <c r="AV42" s="403">
        <f t="shared" ca="1" si="13"/>
        <v>394.87165064053778</v>
      </c>
      <c r="AW42" s="403">
        <f t="shared" ca="1" si="14"/>
        <v>102206.93898634356</v>
      </c>
      <c r="BE42" s="38"/>
      <c r="BF42" s="38"/>
      <c r="BG42" s="38"/>
      <c r="BH42" s="38"/>
    </row>
    <row r="43" spans="1:60">
      <c r="A43" s="38" t="str">
        <f t="shared" si="9"/>
        <v>Lewis County UTCSP65-RES</v>
      </c>
      <c r="B43" s="38">
        <f t="shared" si="2"/>
        <v>1</v>
      </c>
      <c r="C43" s="87" t="s">
        <v>301</v>
      </c>
      <c r="D43" s="87" t="s">
        <v>302</v>
      </c>
      <c r="E43" s="69">
        <v>14.29</v>
      </c>
      <c r="F43" s="69">
        <v>14.25</v>
      </c>
      <c r="G43" s="69" t="s">
        <v>240</v>
      </c>
      <c r="H43" s="88">
        <v>442.99</v>
      </c>
      <c r="I43" s="88">
        <v>228.64000000000001</v>
      </c>
      <c r="J43" s="88">
        <v>557.30999999999995</v>
      </c>
      <c r="K43" s="88">
        <v>342.96</v>
      </c>
      <c r="L43" s="88">
        <v>457.28</v>
      </c>
      <c r="M43" s="88">
        <v>514.44000000000005</v>
      </c>
      <c r="N43" s="88">
        <v>628.76</v>
      </c>
      <c r="O43" s="88">
        <v>800.2399999999999</v>
      </c>
      <c r="P43" s="88">
        <v>498.87</v>
      </c>
      <c r="Q43" s="88">
        <v>413.21000000000004</v>
      </c>
      <c r="R43" s="88">
        <v>384.75</v>
      </c>
      <c r="S43" s="88">
        <v>327.75</v>
      </c>
      <c r="T43" s="88">
        <f t="shared" si="17"/>
        <v>5597.2</v>
      </c>
      <c r="U43" s="88"/>
      <c r="V43" s="86">
        <f t="shared" si="10"/>
        <v>31.000000000000004</v>
      </c>
      <c r="W43" s="86">
        <f t="shared" si="10"/>
        <v>16.000000000000004</v>
      </c>
      <c r="X43" s="86">
        <f t="shared" si="10"/>
        <v>39</v>
      </c>
      <c r="Y43" s="86">
        <f t="shared" si="10"/>
        <v>24</v>
      </c>
      <c r="Z43" s="86">
        <f t="shared" si="10"/>
        <v>32</v>
      </c>
      <c r="AA43" s="86">
        <f t="shared" si="10"/>
        <v>36.000000000000007</v>
      </c>
      <c r="AB43" s="86">
        <f t="shared" si="10"/>
        <v>44</v>
      </c>
      <c r="AC43" s="86">
        <f t="shared" si="10"/>
        <v>55.999999999999993</v>
      </c>
      <c r="AD43" s="86">
        <f t="shared" si="16"/>
        <v>35.008421052631576</v>
      </c>
      <c r="AE43" s="86">
        <f t="shared" si="16"/>
        <v>28.997192982456141</v>
      </c>
      <c r="AF43" s="86">
        <f t="shared" si="16"/>
        <v>27</v>
      </c>
      <c r="AG43" s="86">
        <f t="shared" si="16"/>
        <v>23</v>
      </c>
      <c r="AH43" s="95">
        <f t="shared" si="18"/>
        <v>392.00561403508766</v>
      </c>
      <c r="AI43" s="70">
        <f t="shared" si="7"/>
        <v>32.667134502923972</v>
      </c>
      <c r="AJ43" s="86"/>
      <c r="AR43" s="89">
        <f t="shared" ca="1" si="8"/>
        <v>14.97484356312655</v>
      </c>
      <c r="AS43" s="90">
        <f t="shared" ca="1" si="11"/>
        <v>5870.222746042803</v>
      </c>
      <c r="AT43" s="90">
        <f t="shared" ca="1" si="12"/>
        <v>273.02274604280319</v>
      </c>
      <c r="AV43" s="403">
        <f t="shared" ca="1" si="13"/>
        <v>22.767286884711854</v>
      </c>
      <c r="AW43" s="403">
        <f t="shared" ca="1" si="14"/>
        <v>5892.9900329275151</v>
      </c>
    </row>
    <row r="44" spans="1:60">
      <c r="A44" s="38" t="str">
        <f t="shared" si="9"/>
        <v>Lewis County UTCSP95-RES</v>
      </c>
      <c r="B44" s="38">
        <f t="shared" si="2"/>
        <v>1</v>
      </c>
      <c r="C44" s="87" t="s">
        <v>303</v>
      </c>
      <c r="D44" s="87" t="s">
        <v>304</v>
      </c>
      <c r="E44" s="69">
        <v>16.57</v>
      </c>
      <c r="F44" s="69">
        <v>16.52</v>
      </c>
      <c r="G44" s="69" t="s">
        <v>240</v>
      </c>
      <c r="H44" s="88">
        <v>231.98</v>
      </c>
      <c r="I44" s="88">
        <v>265.12</v>
      </c>
      <c r="J44" s="88">
        <v>248.54999999999998</v>
      </c>
      <c r="K44" s="88">
        <v>115.99</v>
      </c>
      <c r="L44" s="88">
        <v>132.56</v>
      </c>
      <c r="M44" s="88">
        <v>215.41000000000003</v>
      </c>
      <c r="N44" s="88">
        <v>397.68</v>
      </c>
      <c r="O44" s="88">
        <v>347.96999999999997</v>
      </c>
      <c r="P44" s="88">
        <v>396.58000000000004</v>
      </c>
      <c r="Q44" s="88">
        <v>297.36</v>
      </c>
      <c r="R44" s="88">
        <v>181.72</v>
      </c>
      <c r="S44" s="88">
        <v>247.8</v>
      </c>
      <c r="T44" s="88">
        <f t="shared" si="17"/>
        <v>3078.7200000000003</v>
      </c>
      <c r="U44" s="88"/>
      <c r="V44" s="86">
        <f t="shared" si="10"/>
        <v>14</v>
      </c>
      <c r="W44" s="86">
        <f t="shared" si="10"/>
        <v>16</v>
      </c>
      <c r="X44" s="86">
        <f t="shared" si="10"/>
        <v>14.999999999999998</v>
      </c>
      <c r="Y44" s="86">
        <f t="shared" si="10"/>
        <v>7</v>
      </c>
      <c r="Z44" s="86">
        <f t="shared" si="10"/>
        <v>8</v>
      </c>
      <c r="AA44" s="86">
        <f t="shared" si="10"/>
        <v>13.000000000000002</v>
      </c>
      <c r="AB44" s="86">
        <f t="shared" si="10"/>
        <v>24</v>
      </c>
      <c r="AC44" s="86">
        <f t="shared" si="10"/>
        <v>20.999999999999996</v>
      </c>
      <c r="AD44" s="86">
        <f t="shared" si="16"/>
        <v>24.006053268765136</v>
      </c>
      <c r="AE44" s="86">
        <f t="shared" si="16"/>
        <v>18</v>
      </c>
      <c r="AF44" s="86">
        <f t="shared" si="16"/>
        <v>11</v>
      </c>
      <c r="AG44" s="86">
        <f t="shared" si="16"/>
        <v>15.000000000000002</v>
      </c>
      <c r="AH44" s="95">
        <f t="shared" si="18"/>
        <v>186.00605326876513</v>
      </c>
      <c r="AI44" s="70">
        <f t="shared" si="7"/>
        <v>15.500504439063761</v>
      </c>
      <c r="AJ44" s="86"/>
      <c r="AR44" s="89">
        <f t="shared" ca="1" si="8"/>
        <v>17.360309871077234</v>
      </c>
      <c r="AS44" s="90">
        <f t="shared" ca="1" si="11"/>
        <v>3229.1227226418614</v>
      </c>
      <c r="AT44" s="90">
        <f t="shared" ca="1" si="12"/>
        <v>150.40272264186115</v>
      </c>
      <c r="AV44" s="403">
        <f t="shared" ca="1" si="13"/>
        <v>12.523947828366277</v>
      </c>
      <c r="AW44" s="403">
        <f t="shared" ca="1" si="14"/>
        <v>3241.6466704702275</v>
      </c>
    </row>
    <row r="45" spans="1:60">
      <c r="A45" s="38" t="str">
        <f t="shared" si="9"/>
        <v>Lewis County UTCSPCL65-RES</v>
      </c>
      <c r="B45" s="38">
        <f t="shared" si="2"/>
        <v>1</v>
      </c>
      <c r="C45" s="87" t="s">
        <v>305</v>
      </c>
      <c r="D45" s="87" t="s">
        <v>306</v>
      </c>
      <c r="E45" s="69">
        <v>14.29</v>
      </c>
      <c r="F45" s="69">
        <v>14.25</v>
      </c>
      <c r="G45" s="69" t="s">
        <v>240</v>
      </c>
      <c r="H45" s="88">
        <v>0</v>
      </c>
      <c r="I45" s="88">
        <v>0</v>
      </c>
      <c r="J45" s="88">
        <v>0</v>
      </c>
      <c r="K45" s="88">
        <v>14.29</v>
      </c>
      <c r="L45" s="88">
        <v>14.29</v>
      </c>
      <c r="M45" s="88">
        <v>0</v>
      </c>
      <c r="N45" s="88">
        <v>14.29</v>
      </c>
      <c r="O45" s="88">
        <v>28.58</v>
      </c>
      <c r="P45" s="88">
        <v>14.25</v>
      </c>
      <c r="Q45" s="88">
        <v>0</v>
      </c>
      <c r="R45" s="88">
        <v>0</v>
      </c>
      <c r="S45" s="88">
        <v>0</v>
      </c>
      <c r="T45" s="88">
        <f t="shared" si="17"/>
        <v>85.699999999999989</v>
      </c>
      <c r="U45" s="88"/>
      <c r="V45" s="86">
        <f t="shared" si="10"/>
        <v>0</v>
      </c>
      <c r="W45" s="86">
        <f t="shared" si="10"/>
        <v>0</v>
      </c>
      <c r="X45" s="86">
        <f t="shared" si="10"/>
        <v>0</v>
      </c>
      <c r="Y45" s="86">
        <f t="shared" si="10"/>
        <v>1</v>
      </c>
      <c r="Z45" s="86">
        <f t="shared" si="10"/>
        <v>1</v>
      </c>
      <c r="AA45" s="86">
        <f t="shared" si="10"/>
        <v>0</v>
      </c>
      <c r="AB45" s="86">
        <f t="shared" si="10"/>
        <v>1</v>
      </c>
      <c r="AC45" s="86">
        <f t="shared" si="10"/>
        <v>2</v>
      </c>
      <c r="AD45" s="86">
        <f t="shared" si="16"/>
        <v>1</v>
      </c>
      <c r="AE45" s="86">
        <f t="shared" si="16"/>
        <v>0</v>
      </c>
      <c r="AF45" s="86">
        <f t="shared" si="16"/>
        <v>0</v>
      </c>
      <c r="AG45" s="86">
        <f t="shared" si="16"/>
        <v>0</v>
      </c>
      <c r="AH45" s="95">
        <f t="shared" si="18"/>
        <v>6</v>
      </c>
      <c r="AI45" s="70">
        <f t="shared" si="7"/>
        <v>0.5</v>
      </c>
      <c r="AJ45" s="86"/>
      <c r="AR45" s="89">
        <f t="shared" ca="1" si="8"/>
        <v>14.97484356312655</v>
      </c>
      <c r="AS45" s="90">
        <f t="shared" ca="1" si="11"/>
        <v>89.849061378759302</v>
      </c>
      <c r="AT45" s="90">
        <f t="shared" ca="1" si="12"/>
        <v>4.1490613787593134</v>
      </c>
      <c r="AV45" s="403">
        <f t="shared" ca="1" si="13"/>
        <v>0.34847389021332742</v>
      </c>
      <c r="AW45" s="403">
        <f t="shared" ca="1" si="14"/>
        <v>90.197535268972629</v>
      </c>
    </row>
    <row r="46" spans="1:60">
      <c r="A46" s="38" t="str">
        <f t="shared" si="9"/>
        <v>Lewis County UTCTIRESM-RES</v>
      </c>
      <c r="B46" s="38">
        <f t="shared" si="2"/>
        <v>1</v>
      </c>
      <c r="C46" s="87" t="s">
        <v>307</v>
      </c>
      <c r="D46" s="87" t="s">
        <v>308</v>
      </c>
      <c r="E46" s="69">
        <v>3</v>
      </c>
      <c r="F46" s="69">
        <v>3</v>
      </c>
      <c r="G46" s="96" t="s">
        <v>234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f t="shared" si="17"/>
        <v>0</v>
      </c>
      <c r="U46" s="88"/>
      <c r="V46" s="86">
        <f t="shared" si="10"/>
        <v>0</v>
      </c>
      <c r="W46" s="86">
        <f t="shared" si="10"/>
        <v>0</v>
      </c>
      <c r="X46" s="86">
        <f t="shared" si="10"/>
        <v>0</v>
      </c>
      <c r="Y46" s="86">
        <f t="shared" si="10"/>
        <v>0</v>
      </c>
      <c r="Z46" s="86">
        <f t="shared" si="10"/>
        <v>0</v>
      </c>
      <c r="AA46" s="86">
        <f t="shared" si="10"/>
        <v>0</v>
      </c>
      <c r="AB46" s="86">
        <f t="shared" si="10"/>
        <v>0</v>
      </c>
      <c r="AC46" s="86">
        <f t="shared" si="10"/>
        <v>0</v>
      </c>
      <c r="AD46" s="86">
        <f t="shared" si="16"/>
        <v>0</v>
      </c>
      <c r="AE46" s="86">
        <f t="shared" si="16"/>
        <v>0</v>
      </c>
      <c r="AF46" s="86">
        <f t="shared" si="16"/>
        <v>0</v>
      </c>
      <c r="AG46" s="86">
        <f t="shared" si="16"/>
        <v>0</v>
      </c>
      <c r="AH46" s="86">
        <f t="shared" si="18"/>
        <v>0</v>
      </c>
      <c r="AI46" s="70">
        <f t="shared" si="7"/>
        <v>0</v>
      </c>
      <c r="AL46" s="112" t="s">
        <v>218</v>
      </c>
      <c r="AR46" s="89">
        <f t="shared" ca="1" si="8"/>
        <v>3.1525986448687471</v>
      </c>
      <c r="AS46" s="90">
        <f t="shared" ca="1" si="11"/>
        <v>0</v>
      </c>
      <c r="AT46" s="90">
        <f t="shared" ca="1" si="12"/>
        <v>0</v>
      </c>
      <c r="AV46" s="403">
        <f t="shared" ca="1" si="13"/>
        <v>0</v>
      </c>
      <c r="AW46" s="403">
        <f t="shared" ca="1" si="14"/>
        <v>0</v>
      </c>
    </row>
    <row r="47" spans="1:60">
      <c r="A47" s="38" t="str">
        <f t="shared" si="9"/>
        <v>Lewis County UTCWI3-RES</v>
      </c>
      <c r="B47" s="38">
        <f t="shared" si="2"/>
        <v>1</v>
      </c>
      <c r="C47" s="87" t="s">
        <v>309</v>
      </c>
      <c r="D47" s="87" t="s">
        <v>310</v>
      </c>
      <c r="E47" s="69">
        <v>10.38</v>
      </c>
      <c r="F47" s="69">
        <v>10.32</v>
      </c>
      <c r="G47" s="69" t="s">
        <v>311</v>
      </c>
      <c r="H47" s="88">
        <v>10.38</v>
      </c>
      <c r="I47" s="88">
        <v>10.38</v>
      </c>
      <c r="J47" s="88">
        <v>10.38</v>
      </c>
      <c r="K47" s="88">
        <v>10.38</v>
      </c>
      <c r="L47" s="88">
        <v>10.38</v>
      </c>
      <c r="M47" s="88">
        <v>5.19</v>
      </c>
      <c r="N47" s="88">
        <v>-5.19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88">
        <f t="shared" si="17"/>
        <v>51.900000000000006</v>
      </c>
      <c r="U47" s="88"/>
      <c r="V47" s="86">
        <f t="shared" si="10"/>
        <v>1</v>
      </c>
      <c r="W47" s="86">
        <f t="shared" si="10"/>
        <v>1</v>
      </c>
      <c r="X47" s="86">
        <f t="shared" si="10"/>
        <v>1</v>
      </c>
      <c r="Y47" s="86">
        <f t="shared" si="10"/>
        <v>1</v>
      </c>
      <c r="Z47" s="86">
        <f t="shared" si="10"/>
        <v>1</v>
      </c>
      <c r="AA47" s="86">
        <f t="shared" si="10"/>
        <v>0.5</v>
      </c>
      <c r="AB47" s="86">
        <f t="shared" si="10"/>
        <v>-0.5</v>
      </c>
      <c r="AC47" s="86">
        <f t="shared" si="10"/>
        <v>0</v>
      </c>
      <c r="AD47" s="86">
        <f t="shared" si="16"/>
        <v>0</v>
      </c>
      <c r="AE47" s="86">
        <f t="shared" si="16"/>
        <v>0</v>
      </c>
      <c r="AF47" s="86">
        <f t="shared" si="16"/>
        <v>0</v>
      </c>
      <c r="AG47" s="86">
        <f t="shared" si="16"/>
        <v>0</v>
      </c>
      <c r="AH47" s="86">
        <f t="shared" si="18"/>
        <v>5</v>
      </c>
      <c r="AI47" s="70">
        <f t="shared" si="7"/>
        <v>0.41666666666666669</v>
      </c>
      <c r="AK47" s="112" t="s">
        <v>312</v>
      </c>
      <c r="AL47" s="113">
        <f>SUM(AO24:AO42)</f>
        <v>12905.84457568526</v>
      </c>
      <c r="AR47" s="89">
        <f t="shared" ca="1" si="8"/>
        <v>10.844939338348491</v>
      </c>
      <c r="AS47" s="90">
        <f t="shared" ca="1" si="11"/>
        <v>54.224696691742459</v>
      </c>
      <c r="AT47" s="90">
        <f t="shared" ca="1" si="12"/>
        <v>2.324696691742453</v>
      </c>
      <c r="AV47" s="403">
        <f t="shared" ca="1" si="13"/>
        <v>0.21030704953225374</v>
      </c>
      <c r="AW47" s="403">
        <f t="shared" ca="1" si="14"/>
        <v>54.435003741274713</v>
      </c>
    </row>
    <row r="48" spans="1:60">
      <c r="A48" s="38" t="str">
        <f t="shared" si="9"/>
        <v>Lewis County UTCROLL1EOWRES</v>
      </c>
      <c r="B48" s="38">
        <f t="shared" si="2"/>
        <v>1</v>
      </c>
      <c r="C48" s="87" t="s">
        <v>313</v>
      </c>
      <c r="D48" s="87" t="s">
        <v>314</v>
      </c>
      <c r="E48" s="69">
        <v>4.74</v>
      </c>
      <c r="F48" s="69">
        <v>4.74</v>
      </c>
      <c r="G48" s="69" t="s">
        <v>252</v>
      </c>
      <c r="H48" s="88">
        <v>9.48</v>
      </c>
      <c r="I48" s="88">
        <v>9.48</v>
      </c>
      <c r="J48" s="88">
        <v>9.48</v>
      </c>
      <c r="K48" s="88">
        <v>9.48</v>
      </c>
      <c r="L48" s="88">
        <v>9.48</v>
      </c>
      <c r="M48" s="88">
        <v>9.48</v>
      </c>
      <c r="N48" s="88">
        <v>9.48</v>
      </c>
      <c r="O48" s="88">
        <v>9.48</v>
      </c>
      <c r="P48" s="88">
        <v>9.4600000000000009</v>
      </c>
      <c r="Q48" s="88">
        <v>9.4600000000000009</v>
      </c>
      <c r="R48" s="88">
        <v>9.4600000000000009</v>
      </c>
      <c r="S48" s="88">
        <v>9.4600000000000009</v>
      </c>
      <c r="T48" s="88">
        <f t="shared" si="17"/>
        <v>113.68000000000004</v>
      </c>
      <c r="U48" s="88"/>
      <c r="V48" s="86">
        <f t="shared" si="10"/>
        <v>2</v>
      </c>
      <c r="W48" s="86">
        <f t="shared" si="10"/>
        <v>2</v>
      </c>
      <c r="X48" s="86">
        <f t="shared" si="10"/>
        <v>2</v>
      </c>
      <c r="Y48" s="86">
        <f t="shared" si="10"/>
        <v>2</v>
      </c>
      <c r="Z48" s="86">
        <f t="shared" si="10"/>
        <v>2</v>
      </c>
      <c r="AA48" s="86">
        <f t="shared" si="10"/>
        <v>2</v>
      </c>
      <c r="AB48" s="86">
        <f t="shared" si="10"/>
        <v>2</v>
      </c>
      <c r="AC48" s="86">
        <f t="shared" si="10"/>
        <v>2</v>
      </c>
      <c r="AD48" s="86">
        <f t="shared" si="16"/>
        <v>1.9957805907172996</v>
      </c>
      <c r="AE48" s="86">
        <f t="shared" si="16"/>
        <v>1.9957805907172996</v>
      </c>
      <c r="AF48" s="86">
        <f t="shared" si="16"/>
        <v>1.9957805907172996</v>
      </c>
      <c r="AG48" s="86">
        <f t="shared" si="16"/>
        <v>1.9957805907172996</v>
      </c>
      <c r="AH48" s="86">
        <f t="shared" si="18"/>
        <v>23.983122362869196</v>
      </c>
      <c r="AI48" s="70">
        <f t="shared" si="7"/>
        <v>1.9985935302390996</v>
      </c>
      <c r="AL48" s="112" t="s">
        <v>218</v>
      </c>
      <c r="AR48" s="89">
        <f t="shared" ca="1" si="8"/>
        <v>4.9811058588926214</v>
      </c>
      <c r="AS48" s="90">
        <f t="shared" ca="1" si="11"/>
        <v>119.46247131622638</v>
      </c>
      <c r="AT48" s="90">
        <f t="shared" ca="1" si="12"/>
        <v>5.7824713162263492</v>
      </c>
      <c r="AV48" s="403">
        <f t="shared" ca="1" si="13"/>
        <v>0.46332762385322873</v>
      </c>
      <c r="AW48" s="403">
        <f t="shared" ca="1" si="14"/>
        <v>119.92579894007962</v>
      </c>
    </row>
    <row r="49" spans="1:49">
      <c r="A49" s="38" t="str">
        <f t="shared" si="9"/>
        <v>Lewis County UTCROLL1MTHRES</v>
      </c>
      <c r="B49" s="38">
        <f t="shared" si="2"/>
        <v>1</v>
      </c>
      <c r="C49" s="87" t="s">
        <v>315</v>
      </c>
      <c r="D49" s="87" t="s">
        <v>316</v>
      </c>
      <c r="E49" s="69">
        <v>2.1800000000000002</v>
      </c>
      <c r="F49" s="69">
        <v>2.1800000000000002</v>
      </c>
      <c r="G49" s="69" t="s">
        <v>252</v>
      </c>
      <c r="H49" s="88">
        <v>0</v>
      </c>
      <c r="I49" s="88">
        <v>2.1800000000000002</v>
      </c>
      <c r="J49" s="88">
        <v>2.1800000000000002</v>
      </c>
      <c r="K49" s="88">
        <v>2.1800000000000002</v>
      </c>
      <c r="L49" s="88">
        <v>2.1800000000000002</v>
      </c>
      <c r="M49" s="88">
        <v>2.1800000000000002</v>
      </c>
      <c r="N49" s="88">
        <v>1.0900000000000001</v>
      </c>
      <c r="O49" s="88">
        <v>2.1800000000000002</v>
      </c>
      <c r="P49" s="88">
        <v>2.1800000000000002</v>
      </c>
      <c r="Q49" s="88">
        <v>1.0900000000000001</v>
      </c>
      <c r="R49" s="88">
        <v>1.0900000000000001</v>
      </c>
      <c r="S49" s="88">
        <v>1.0900000000000001</v>
      </c>
      <c r="T49" s="88">
        <f t="shared" si="17"/>
        <v>19.62</v>
      </c>
      <c r="U49" s="88"/>
      <c r="V49" s="86">
        <f t="shared" si="10"/>
        <v>0</v>
      </c>
      <c r="W49" s="86">
        <f t="shared" si="10"/>
        <v>1</v>
      </c>
      <c r="X49" s="86">
        <f t="shared" si="10"/>
        <v>1</v>
      </c>
      <c r="Y49" s="86">
        <f t="shared" si="10"/>
        <v>1</v>
      </c>
      <c r="Z49" s="86">
        <f t="shared" si="10"/>
        <v>1</v>
      </c>
      <c r="AA49" s="86">
        <f t="shared" si="10"/>
        <v>1</v>
      </c>
      <c r="AB49" s="86">
        <f t="shared" si="10"/>
        <v>0.5</v>
      </c>
      <c r="AC49" s="86">
        <f t="shared" si="10"/>
        <v>1</v>
      </c>
      <c r="AD49" s="86">
        <f t="shared" si="16"/>
        <v>1</v>
      </c>
      <c r="AE49" s="86">
        <f t="shared" si="16"/>
        <v>0.5</v>
      </c>
      <c r="AF49" s="86">
        <f t="shared" si="16"/>
        <v>0.5</v>
      </c>
      <c r="AG49" s="86">
        <f t="shared" si="16"/>
        <v>0.5</v>
      </c>
      <c r="AH49" s="86">
        <f t="shared" si="18"/>
        <v>9</v>
      </c>
      <c r="AI49" s="70">
        <f t="shared" si="7"/>
        <v>0.75</v>
      </c>
      <c r="AK49" s="112" t="s">
        <v>317</v>
      </c>
      <c r="AL49" s="112"/>
      <c r="AR49" s="89">
        <f t="shared" ca="1" si="8"/>
        <v>2.2908883486046232</v>
      </c>
      <c r="AS49" s="90">
        <f t="shared" ca="1" si="11"/>
        <v>20.617995137441611</v>
      </c>
      <c r="AT49" s="90">
        <f t="shared" ca="1" si="12"/>
        <v>0.99799513744160961</v>
      </c>
      <c r="AV49" s="403">
        <f t="shared" ca="1" si="13"/>
        <v>7.9965587438426716E-2</v>
      </c>
      <c r="AW49" s="403">
        <f t="shared" ca="1" si="14"/>
        <v>20.697960724880037</v>
      </c>
    </row>
    <row r="50" spans="1:49">
      <c r="A50" s="38" t="str">
        <f t="shared" si="9"/>
        <v>Lewis County UTCSL65R-OC</v>
      </c>
      <c r="B50" s="38">
        <f t="shared" si="2"/>
        <v>1</v>
      </c>
      <c r="C50" s="87" t="s">
        <v>318</v>
      </c>
      <c r="D50" s="87" t="s">
        <v>319</v>
      </c>
      <c r="E50" s="69">
        <v>11.29</v>
      </c>
      <c r="F50" s="69">
        <v>11.25</v>
      </c>
      <c r="G50" s="69" t="s">
        <v>240</v>
      </c>
      <c r="H50" s="88">
        <v>45.16</v>
      </c>
      <c r="I50" s="88">
        <v>45.16</v>
      </c>
      <c r="J50" s="88">
        <v>6.32</v>
      </c>
      <c r="K50" s="88">
        <v>56.449999999999996</v>
      </c>
      <c r="L50" s="88">
        <v>22.58</v>
      </c>
      <c r="M50" s="88">
        <v>56.449999999999996</v>
      </c>
      <c r="N50" s="88">
        <v>45.16</v>
      </c>
      <c r="O50" s="88">
        <v>45.16</v>
      </c>
      <c r="P50" s="88">
        <v>45</v>
      </c>
      <c r="Q50" s="88">
        <v>56.25</v>
      </c>
      <c r="R50" s="88">
        <v>33.75</v>
      </c>
      <c r="S50" s="88">
        <v>33.75</v>
      </c>
      <c r="T50" s="88">
        <f t="shared" ref="T50:T51" si="19">SUM(H50:S50)</f>
        <v>491.18999999999994</v>
      </c>
      <c r="U50" s="88"/>
      <c r="V50" s="86">
        <f t="shared" ref="V50:AC51" si="20">IFERROR(H50/$E50,0)</f>
        <v>4</v>
      </c>
      <c r="W50" s="86">
        <f t="shared" si="20"/>
        <v>4</v>
      </c>
      <c r="X50" s="86">
        <f t="shared" si="20"/>
        <v>0.55978742249778568</v>
      </c>
      <c r="Y50" s="86">
        <f t="shared" si="20"/>
        <v>5</v>
      </c>
      <c r="Z50" s="86">
        <f t="shared" si="20"/>
        <v>2</v>
      </c>
      <c r="AA50" s="86">
        <f t="shared" si="20"/>
        <v>5</v>
      </c>
      <c r="AB50" s="86">
        <f t="shared" si="20"/>
        <v>4</v>
      </c>
      <c r="AC50" s="86">
        <f t="shared" si="20"/>
        <v>4</v>
      </c>
      <c r="AD50" s="86">
        <f t="shared" si="16"/>
        <v>4</v>
      </c>
      <c r="AE50" s="86">
        <f t="shared" si="16"/>
        <v>5</v>
      </c>
      <c r="AF50" s="86">
        <f t="shared" si="16"/>
        <v>3</v>
      </c>
      <c r="AG50" s="86">
        <f t="shared" si="16"/>
        <v>3</v>
      </c>
      <c r="AH50" s="95">
        <f t="shared" ref="AH50:AH51" si="21">SUM(V50:AG50)</f>
        <v>43.559787422497784</v>
      </c>
      <c r="AI50" s="103">
        <f t="shared" si="7"/>
        <v>3.6299822852081487</v>
      </c>
      <c r="AJ50" s="86"/>
      <c r="AL50" s="112" t="s">
        <v>218</v>
      </c>
      <c r="AR50" s="89">
        <f t="shared" ca="1" si="8"/>
        <v>11.822244918257802</v>
      </c>
      <c r="AS50" s="90">
        <f t="shared" ca="1" si="11"/>
        <v>514.97447549601452</v>
      </c>
      <c r="AT50" s="90">
        <f t="shared" ca="1" si="12"/>
        <v>23.784475496014579</v>
      </c>
      <c r="AV50" s="403">
        <f t="shared" ca="1" si="13"/>
        <v>1.9972958657872857</v>
      </c>
      <c r="AW50" s="403">
        <f t="shared" ca="1" si="14"/>
        <v>516.97177136180176</v>
      </c>
    </row>
    <row r="51" spans="1:49">
      <c r="A51" s="38" t="str">
        <f t="shared" si="9"/>
        <v>Lewis County UTCSL95R-OC</v>
      </c>
      <c r="B51" s="38">
        <f t="shared" si="2"/>
        <v>1</v>
      </c>
      <c r="C51" s="87" t="s">
        <v>320</v>
      </c>
      <c r="D51" s="87" t="s">
        <v>321</v>
      </c>
      <c r="E51" s="69">
        <v>13.57</v>
      </c>
      <c r="F51" s="69">
        <v>13.52</v>
      </c>
      <c r="G51" s="69" t="s">
        <v>240</v>
      </c>
      <c r="H51" s="88">
        <v>13.57</v>
      </c>
      <c r="I51" s="88">
        <v>0</v>
      </c>
      <c r="J51" s="88">
        <v>0</v>
      </c>
      <c r="K51" s="88">
        <v>0</v>
      </c>
      <c r="L51" s="88">
        <v>0</v>
      </c>
      <c r="M51" s="88">
        <v>13.57</v>
      </c>
      <c r="N51" s="88">
        <v>0</v>
      </c>
      <c r="O51" s="88">
        <v>0</v>
      </c>
      <c r="P51" s="88">
        <v>27.04</v>
      </c>
      <c r="Q51" s="88">
        <v>13.52</v>
      </c>
      <c r="R51" s="88">
        <v>0</v>
      </c>
      <c r="S51" s="88">
        <v>27.04</v>
      </c>
      <c r="T51" s="88">
        <f t="shared" si="19"/>
        <v>94.740000000000009</v>
      </c>
      <c r="U51" s="88"/>
      <c r="V51" s="86">
        <f t="shared" si="20"/>
        <v>1</v>
      </c>
      <c r="W51" s="86">
        <f t="shared" si="20"/>
        <v>0</v>
      </c>
      <c r="X51" s="86">
        <f t="shared" si="20"/>
        <v>0</v>
      </c>
      <c r="Y51" s="86">
        <f t="shared" si="20"/>
        <v>0</v>
      </c>
      <c r="Z51" s="86">
        <f t="shared" si="20"/>
        <v>0</v>
      </c>
      <c r="AA51" s="86">
        <f t="shared" si="20"/>
        <v>1</v>
      </c>
      <c r="AB51" s="86">
        <f t="shared" si="20"/>
        <v>0</v>
      </c>
      <c r="AC51" s="86">
        <f t="shared" si="20"/>
        <v>0</v>
      </c>
      <c r="AD51" s="86">
        <f t="shared" si="16"/>
        <v>2</v>
      </c>
      <c r="AE51" s="86">
        <f t="shared" si="16"/>
        <v>1</v>
      </c>
      <c r="AF51" s="86">
        <f t="shared" si="16"/>
        <v>0</v>
      </c>
      <c r="AG51" s="86">
        <f t="shared" si="16"/>
        <v>2</v>
      </c>
      <c r="AH51" s="95">
        <f t="shared" si="21"/>
        <v>7</v>
      </c>
      <c r="AI51" s="103">
        <f t="shared" si="7"/>
        <v>0.58333333333333337</v>
      </c>
      <c r="AJ51" s="86"/>
      <c r="AK51" s="112" t="s">
        <v>322</v>
      </c>
      <c r="AL51" s="113">
        <f>AO23</f>
        <v>0</v>
      </c>
      <c r="AR51" s="89">
        <f t="shared" ca="1" si="8"/>
        <v>14.207711226208488</v>
      </c>
      <c r="AS51" s="90">
        <f t="shared" ca="1" si="11"/>
        <v>99.453978583459417</v>
      </c>
      <c r="AT51" s="90">
        <f t="shared" ca="1" si="12"/>
        <v>4.7139785834594079</v>
      </c>
      <c r="AV51" s="403">
        <f t="shared" ca="1" si="13"/>
        <v>0.38572595286303279</v>
      </c>
      <c r="AW51" s="403">
        <f t="shared" ca="1" si="14"/>
        <v>99.839704536322444</v>
      </c>
    </row>
    <row r="52" spans="1:49">
      <c r="D52" s="114" t="s">
        <v>323</v>
      </c>
      <c r="E52" s="69">
        <f>IFERROR(VLOOKUP(A52,#REF!,8,FALSE),0)</f>
        <v>0</v>
      </c>
      <c r="H52" s="115">
        <f t="shared" ref="H52:S52" si="22">SUM(H10:H51)</f>
        <v>252739.01000000007</v>
      </c>
      <c r="I52" s="115">
        <f t="shared" si="22"/>
        <v>249726.72999999998</v>
      </c>
      <c r="J52" s="115">
        <f t="shared" si="22"/>
        <v>251792.26500000001</v>
      </c>
      <c r="K52" s="115">
        <f t="shared" si="22"/>
        <v>252402.22999999998</v>
      </c>
      <c r="L52" s="115">
        <f t="shared" si="22"/>
        <v>255049.61</v>
      </c>
      <c r="M52" s="115">
        <f t="shared" si="22"/>
        <v>256904.24000000002</v>
      </c>
      <c r="N52" s="115">
        <f t="shared" si="22"/>
        <v>259844.76</v>
      </c>
      <c r="O52" s="115">
        <f t="shared" si="22"/>
        <v>260628.9</v>
      </c>
      <c r="P52" s="115">
        <f t="shared" si="22"/>
        <v>259619.61499999999</v>
      </c>
      <c r="Q52" s="115">
        <f t="shared" si="22"/>
        <v>258569.22499999992</v>
      </c>
      <c r="R52" s="115">
        <f t="shared" si="22"/>
        <v>259768.94499999998</v>
      </c>
      <c r="S52" s="115">
        <f t="shared" si="22"/>
        <v>259688.17999999996</v>
      </c>
      <c r="T52" s="116">
        <f>SUM(T10:T51)</f>
        <v>3076733.7100000009</v>
      </c>
      <c r="V52" s="117">
        <f t="shared" ref="V52:AH52" si="23">SUM(V10:V51)</f>
        <v>13610.327434458832</v>
      </c>
      <c r="W52" s="117">
        <f t="shared" si="23"/>
        <v>13146.359136614548</v>
      </c>
      <c r="X52" s="117">
        <f t="shared" si="23"/>
        <v>13409.326134022105</v>
      </c>
      <c r="Y52" s="117">
        <f t="shared" si="23"/>
        <v>13328.749229001838</v>
      </c>
      <c r="Z52" s="117">
        <f t="shared" si="23"/>
        <v>13524.028384745814</v>
      </c>
      <c r="AA52" s="117">
        <f t="shared" si="23"/>
        <v>13636.629394680489</v>
      </c>
      <c r="AB52" s="117">
        <f t="shared" si="23"/>
        <v>13849.317707741462</v>
      </c>
      <c r="AC52" s="117">
        <f t="shared" si="23"/>
        <v>13792.592151339351</v>
      </c>
      <c r="AD52" s="117">
        <f t="shared" si="23"/>
        <v>13744.077269254121</v>
      </c>
      <c r="AE52" s="117">
        <f t="shared" si="23"/>
        <v>13701.835363282747</v>
      </c>
      <c r="AF52" s="117">
        <f t="shared" si="23"/>
        <v>13839.476681645239</v>
      </c>
      <c r="AG52" s="117">
        <f t="shared" si="23"/>
        <v>13790.852588314292</v>
      </c>
      <c r="AH52" s="118">
        <f t="shared" si="23"/>
        <v>163373.57147510085</v>
      </c>
      <c r="AI52" s="119">
        <f>+SUM(AI23:AI42,AI50:AI51)</f>
        <v>12909.057891303803</v>
      </c>
      <c r="AS52" s="118">
        <f ca="1">SUM(AS10:AS51)</f>
        <v>3226080.2101457682</v>
      </c>
      <c r="AT52" s="118">
        <f t="shared" ref="AT52" ca="1" si="24">SUM(AT10:AT51)</f>
        <v>149346.50014576802</v>
      </c>
      <c r="AV52" s="404">
        <f ca="1">SUM(AV10:AV51)</f>
        <v>12512.147636474823</v>
      </c>
      <c r="AW52" s="404">
        <f t="shared" ref="AW52" ca="1" si="25">SUM(AW10:AW51)</f>
        <v>3238592.3577822433</v>
      </c>
    </row>
    <row r="53" spans="1:49" ht="12.6" thickBot="1">
      <c r="G53" s="69">
        <f>2.18*2.17</f>
        <v>4.7305999999999999</v>
      </c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 t="s">
        <v>324</v>
      </c>
      <c r="AI53" s="122">
        <f>+SUM(AI24:AI24,AI26:AI28,AI30:AI31,AI33:AI35,AI37,AI39:AI40,AI42,AI56)</f>
        <v>11923.36714424807</v>
      </c>
      <c r="AJ53" s="37"/>
    </row>
    <row r="54" spans="1:49">
      <c r="C54" s="37" t="s">
        <v>325</v>
      </c>
      <c r="D54" s="37" t="s">
        <v>325</v>
      </c>
      <c r="E54" s="69">
        <f>IFERROR(VLOOKUP(A54,#REF!,8,FALSE),0)</f>
        <v>0</v>
      </c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V54" s="88">
        <f>IFERROR(H54/#REF!,0)</f>
        <v>0</v>
      </c>
      <c r="W54" s="88">
        <f>IFERROR(I54/#REF!,0)</f>
        <v>0</v>
      </c>
      <c r="X54" s="88">
        <f>IFERROR(J54/#REF!,0)</f>
        <v>0</v>
      </c>
      <c r="Y54" s="88">
        <f>IFERROR(K54/#REF!,0)</f>
        <v>0</v>
      </c>
      <c r="Z54" s="88">
        <f>IFERROR(L54/#REF!,0)</f>
        <v>0</v>
      </c>
      <c r="AA54" s="88">
        <f>IFERROR(M54/#REF!,0)</f>
        <v>0</v>
      </c>
      <c r="AB54" s="88">
        <f>IFERROR(N54/#REF!,0)</f>
        <v>0</v>
      </c>
      <c r="AC54" s="88">
        <f>IFERROR(O54/#REF!,0)</f>
        <v>0</v>
      </c>
      <c r="AD54" s="88">
        <f>IFERROR(P54/#REF!,0)</f>
        <v>0</v>
      </c>
      <c r="AE54" s="88">
        <f>IFERROR(Q54/#REF!,0)</f>
        <v>0</v>
      </c>
      <c r="AF54" s="88">
        <f>IFERROR(R54/#REF!,0)</f>
        <v>0</v>
      </c>
      <c r="AG54" s="88">
        <f>IFERROR(S54/#REF!,0)</f>
        <v>0</v>
      </c>
      <c r="AH54" s="86">
        <f t="shared" ref="AH54:AH56" si="26">SUM(V54:AG54)</f>
        <v>0</v>
      </c>
      <c r="AI54" s="70">
        <f t="shared" ref="AI54:AI56" si="27">AH54/12</f>
        <v>0</v>
      </c>
      <c r="AJ54" s="123" t="s">
        <v>326</v>
      </c>
      <c r="AK54" s="95">
        <f>+SUM(AH11,AH14:AH15,AH23:AH45,AH50:AH51)</f>
        <v>162105.58213934704</v>
      </c>
    </row>
    <row r="55" spans="1:49">
      <c r="A55" s="38" t="str">
        <f t="shared" ref="A55:A56" si="28">$A$1&amp;C55</f>
        <v>Lewis County UTCRECPROGADJ-RES</v>
      </c>
      <c r="B55" s="38">
        <f>COUNTIF(C:C,C55)</f>
        <v>1</v>
      </c>
      <c r="C55" s="87" t="s">
        <v>327</v>
      </c>
      <c r="D55" s="87" t="s">
        <v>328</v>
      </c>
      <c r="E55" s="69">
        <v>8.49</v>
      </c>
      <c r="F55" s="69">
        <v>8.4499999999999993</v>
      </c>
      <c r="G55" s="69" t="s">
        <v>329</v>
      </c>
      <c r="H55" s="88">
        <v>93116.909999999989</v>
      </c>
      <c r="I55" s="88">
        <v>93185.39</v>
      </c>
      <c r="J55" s="88">
        <v>93248.675000000003</v>
      </c>
      <c r="K55" s="88">
        <v>93746.08</v>
      </c>
      <c r="L55" s="88">
        <v>94253.41</v>
      </c>
      <c r="M55" s="88">
        <v>94829.764999999999</v>
      </c>
      <c r="N55" s="88">
        <v>95328.189999999988</v>
      </c>
      <c r="O55" s="88">
        <v>95583.829999999987</v>
      </c>
      <c r="P55" s="88">
        <v>95455.825000000012</v>
      </c>
      <c r="Q55" s="88">
        <v>94872.38</v>
      </c>
      <c r="R55" s="88">
        <v>95052.03</v>
      </c>
      <c r="S55" s="88">
        <v>94967.84</v>
      </c>
      <c r="T55" s="88">
        <f>SUM(H55:S55)</f>
        <v>1133640.325</v>
      </c>
      <c r="U55" s="88"/>
      <c r="V55" s="86">
        <f t="shared" ref="V55:AB56" si="29">IFERROR(H55/$E55,0)</f>
        <v>10967.833922261483</v>
      </c>
      <c r="W55" s="86">
        <f t="shared" si="29"/>
        <v>10975.899882214369</v>
      </c>
      <c r="X55" s="86">
        <f t="shared" si="29"/>
        <v>10983.35394581861</v>
      </c>
      <c r="Y55" s="86">
        <f t="shared" si="29"/>
        <v>11041.941107184923</v>
      </c>
      <c r="Z55" s="86">
        <f t="shared" si="29"/>
        <v>11101.697290930506</v>
      </c>
      <c r="AA55" s="86">
        <f t="shared" si="29"/>
        <v>11169.583627797409</v>
      </c>
      <c r="AB55" s="86">
        <f t="shared" si="29"/>
        <v>11228.290930506477</v>
      </c>
      <c r="AC55" s="86">
        <f t="shared" ref="AC55:AC56" si="30">IFERROR(O55/$F55,0)</f>
        <v>11311.695857988165</v>
      </c>
      <c r="AD55" s="86">
        <f t="shared" ref="AD55:AD56" si="31">IFERROR(P55/$E55,0)</f>
        <v>11243.324499411074</v>
      </c>
      <c r="AE55" s="86">
        <f t="shared" ref="AE55:AG56" si="32">IFERROR(Q55/$F55,0)</f>
        <v>11227.500591715978</v>
      </c>
      <c r="AF55" s="86">
        <f t="shared" si="32"/>
        <v>11248.760946745562</v>
      </c>
      <c r="AG55" s="86">
        <f t="shared" si="32"/>
        <v>11238.797633136095</v>
      </c>
      <c r="AH55" s="86">
        <f t="shared" si="26"/>
        <v>133738.68023571064</v>
      </c>
      <c r="AI55" s="70">
        <f t="shared" si="27"/>
        <v>11144.890019642553</v>
      </c>
      <c r="AK55" s="124">
        <v>96</v>
      </c>
      <c r="AN55" s="38">
        <v>1</v>
      </c>
      <c r="AO55" s="86">
        <f>+AN55*AI55</f>
        <v>11144.890019642553</v>
      </c>
      <c r="AP55" s="86"/>
      <c r="AR55" s="89">
        <f ca="1">+F55*(1+$BB$3)</f>
        <v>10.270598858632569</v>
      </c>
      <c r="AS55" s="90">
        <f t="shared" ref="AS55:AS56" ca="1" si="33">+AR55*AI55*12</f>
        <v>1373576.3365839159</v>
      </c>
      <c r="AT55" s="90">
        <f t="shared" ref="AT55:AT56" ca="1" si="34">+AS55-T55</f>
        <v>239936.01158391591</v>
      </c>
      <c r="AV55" s="403">
        <f ca="1">AS55*AW$3</f>
        <v>5094.6943742506219</v>
      </c>
      <c r="AW55" s="403">
        <f ca="1">+AV55+AS55</f>
        <v>1378671.0309581666</v>
      </c>
    </row>
    <row r="56" spans="1:49">
      <c r="A56" s="38" t="str">
        <f t="shared" si="28"/>
        <v>Lewis County UTCRECBINONLYR</v>
      </c>
      <c r="B56" s="38">
        <f>COUNTIF(C:C,C56)</f>
        <v>1</v>
      </c>
      <c r="C56" s="87" t="s">
        <v>330</v>
      </c>
      <c r="D56" s="87" t="s">
        <v>331</v>
      </c>
      <c r="E56" s="69">
        <v>9.49</v>
      </c>
      <c r="F56" s="69">
        <v>9.4499999999999993</v>
      </c>
      <c r="G56" s="69" t="s">
        <v>329</v>
      </c>
      <c r="H56" s="88">
        <v>1074.7449999999999</v>
      </c>
      <c r="I56" s="88">
        <v>1051.0150000000001</v>
      </c>
      <c r="J56" s="88">
        <v>1022.5450000000001</v>
      </c>
      <c r="K56" s="88">
        <v>1034.4100000000001</v>
      </c>
      <c r="L56" s="88">
        <v>1034.4100000000001</v>
      </c>
      <c r="M56" s="88">
        <v>1034.6499999999999</v>
      </c>
      <c r="N56" s="88">
        <v>987.20499999999993</v>
      </c>
      <c r="O56" s="88">
        <v>991.71</v>
      </c>
      <c r="P56" s="88">
        <v>984.05500000000018</v>
      </c>
      <c r="Q56" s="88">
        <v>1002.8050000000001</v>
      </c>
      <c r="R56" s="88">
        <v>1015.875</v>
      </c>
      <c r="S56" s="88">
        <v>1012.57</v>
      </c>
      <c r="T56" s="88">
        <f>SUM(H56:S56)</f>
        <v>12245.994999999999</v>
      </c>
      <c r="U56" s="88"/>
      <c r="V56" s="86">
        <f t="shared" si="29"/>
        <v>113.25026343519492</v>
      </c>
      <c r="W56" s="86">
        <f t="shared" si="29"/>
        <v>110.74973656480506</v>
      </c>
      <c r="X56" s="86">
        <f t="shared" si="29"/>
        <v>107.74973656480506</v>
      </c>
      <c r="Y56" s="86">
        <f t="shared" si="29"/>
        <v>109</v>
      </c>
      <c r="Z56" s="86">
        <f t="shared" si="29"/>
        <v>109</v>
      </c>
      <c r="AA56" s="86">
        <f t="shared" si="29"/>
        <v>109.02528977871442</v>
      </c>
      <c r="AB56" s="86">
        <f t="shared" si="29"/>
        <v>104.02581664910431</v>
      </c>
      <c r="AC56" s="86">
        <f t="shared" si="30"/>
        <v>104.94285714285715</v>
      </c>
      <c r="AD56" s="86">
        <f t="shared" si="31"/>
        <v>103.69388830347737</v>
      </c>
      <c r="AE56" s="86">
        <f t="shared" si="32"/>
        <v>106.11693121693123</v>
      </c>
      <c r="AF56" s="86">
        <f t="shared" si="32"/>
        <v>107.50000000000001</v>
      </c>
      <c r="AG56" s="86">
        <f t="shared" si="32"/>
        <v>107.15026455026457</v>
      </c>
      <c r="AH56" s="86">
        <f t="shared" si="26"/>
        <v>1292.2047842061543</v>
      </c>
      <c r="AI56" s="70">
        <f t="shared" si="27"/>
        <v>107.68373201717952</v>
      </c>
      <c r="AK56" s="124">
        <v>96</v>
      </c>
      <c r="AN56" s="38">
        <v>1</v>
      </c>
      <c r="AO56" s="86">
        <f>+AN56*AI56</f>
        <v>107.68373201717952</v>
      </c>
      <c r="AP56" s="86"/>
      <c r="AR56" s="89">
        <f ca="1">+F56*(1+$BB$3)</f>
        <v>11.486054344861277</v>
      </c>
      <c r="AS56" s="90">
        <f t="shared" ca="1" si="33"/>
        <v>14842.334376081626</v>
      </c>
      <c r="AT56" s="90">
        <f t="shared" ca="1" si="34"/>
        <v>2596.3393760816271</v>
      </c>
      <c r="AV56" s="403">
        <f ca="1">AS56*AW$3</f>
        <v>55.051295972839434</v>
      </c>
      <c r="AW56" s="403">
        <f ca="1">+AV56+AS56</f>
        <v>14897.385672054466</v>
      </c>
    </row>
    <row r="57" spans="1:49" ht="15.75" customHeight="1">
      <c r="C57" s="87"/>
      <c r="D57" s="87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6"/>
      <c r="AI57" s="70"/>
      <c r="AJ57" s="112"/>
      <c r="AK57" s="112"/>
    </row>
    <row r="58" spans="1:49">
      <c r="D58" s="114" t="s">
        <v>332</v>
      </c>
      <c r="E58" s="69">
        <f>IFERROR(VLOOKUP(A58,#REF!,8,FALSE),0)</f>
        <v>0</v>
      </c>
      <c r="H58" s="115">
        <f t="shared" ref="H58:S58" si="35">SUM(H55:H56)</f>
        <v>94191.654999999984</v>
      </c>
      <c r="I58" s="115">
        <f t="shared" si="35"/>
        <v>94236.404999999999</v>
      </c>
      <c r="J58" s="115">
        <f t="shared" si="35"/>
        <v>94271.22</v>
      </c>
      <c r="K58" s="115">
        <f t="shared" si="35"/>
        <v>94780.49</v>
      </c>
      <c r="L58" s="115">
        <f t="shared" si="35"/>
        <v>95287.82</v>
      </c>
      <c r="M58" s="115">
        <f t="shared" si="35"/>
        <v>95864.414999999994</v>
      </c>
      <c r="N58" s="115">
        <f t="shared" si="35"/>
        <v>96315.39499999999</v>
      </c>
      <c r="O58" s="115">
        <f t="shared" si="35"/>
        <v>96575.54</v>
      </c>
      <c r="P58" s="115">
        <f t="shared" si="35"/>
        <v>96439.88</v>
      </c>
      <c r="Q58" s="115">
        <f t="shared" si="35"/>
        <v>95875.184999999998</v>
      </c>
      <c r="R58" s="115">
        <f t="shared" si="35"/>
        <v>96067.904999999999</v>
      </c>
      <c r="S58" s="115">
        <f t="shared" si="35"/>
        <v>95980.41</v>
      </c>
      <c r="T58" s="116">
        <f>SUM(T55:T57)</f>
        <v>1145886.32</v>
      </c>
      <c r="U58" s="82">
        <f>T58-SUM(H58:S58)</f>
        <v>0</v>
      </c>
      <c r="V58" s="117">
        <f t="shared" ref="V58:AI58" si="36">SUM(V55:V56)</f>
        <v>11081.084185696678</v>
      </c>
      <c r="W58" s="117">
        <f t="shared" si="36"/>
        <v>11086.649618779174</v>
      </c>
      <c r="X58" s="117">
        <f t="shared" si="36"/>
        <v>11091.103682383415</v>
      </c>
      <c r="Y58" s="117">
        <f t="shared" si="36"/>
        <v>11150.941107184923</v>
      </c>
      <c r="Z58" s="117">
        <f t="shared" si="36"/>
        <v>11210.697290930506</v>
      </c>
      <c r="AA58" s="117">
        <f t="shared" si="36"/>
        <v>11278.608917576123</v>
      </c>
      <c r="AB58" s="117">
        <f t="shared" si="36"/>
        <v>11332.316747155581</v>
      </c>
      <c r="AC58" s="117">
        <f t="shared" si="36"/>
        <v>11416.638715131023</v>
      </c>
      <c r="AD58" s="117">
        <f t="shared" si="36"/>
        <v>11347.018387714552</v>
      </c>
      <c r="AE58" s="117">
        <f t="shared" si="36"/>
        <v>11333.617522932909</v>
      </c>
      <c r="AF58" s="117">
        <f t="shared" si="36"/>
        <v>11356.260946745562</v>
      </c>
      <c r="AG58" s="117">
        <f t="shared" si="36"/>
        <v>11345.947897686359</v>
      </c>
      <c r="AH58" s="118">
        <f>SUM(AH55:AH56)</f>
        <v>135030.88501991678</v>
      </c>
      <c r="AI58" s="118">
        <f t="shared" si="36"/>
        <v>11252.573751659733</v>
      </c>
      <c r="AJ58" s="112" t="s">
        <v>312</v>
      </c>
      <c r="AK58" s="113">
        <f>+SUM(AO55:AO56)</f>
        <v>11252.573751659733</v>
      </c>
      <c r="AS58" s="118">
        <f t="shared" ref="AS58:AW58" ca="1" si="37">SUM(AS55:AS56)</f>
        <v>1388418.6709599975</v>
      </c>
      <c r="AT58" s="118">
        <f t="shared" ca="1" si="37"/>
        <v>242532.35095999754</v>
      </c>
      <c r="AV58" s="404">
        <f t="shared" ca="1" si="37"/>
        <v>5149.7456702234613</v>
      </c>
      <c r="AW58" s="404">
        <f t="shared" ca="1" si="37"/>
        <v>1393568.4166302211</v>
      </c>
    </row>
    <row r="59" spans="1:49">
      <c r="D59" s="114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6"/>
      <c r="AI59" s="70"/>
    </row>
    <row r="60" spans="1:49">
      <c r="D60" s="114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6"/>
      <c r="AI60" s="70"/>
    </row>
    <row r="61" spans="1:49">
      <c r="C61" s="37" t="s">
        <v>333</v>
      </c>
      <c r="D61" s="37" t="s">
        <v>333</v>
      </c>
      <c r="E61" s="69">
        <f>IFERROR(VLOOKUP(A61,#REF!,8,FALSE),0)</f>
        <v>0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V61" s="86">
        <f t="shared" ref="V61:AB66" si="38">IFERROR(H61/$E61,0)</f>
        <v>0</v>
      </c>
      <c r="W61" s="86">
        <f t="shared" si="38"/>
        <v>0</v>
      </c>
      <c r="X61" s="86">
        <f t="shared" si="38"/>
        <v>0</v>
      </c>
      <c r="Y61" s="86">
        <f t="shared" si="38"/>
        <v>0</v>
      </c>
      <c r="Z61" s="86">
        <f t="shared" si="38"/>
        <v>0</v>
      </c>
      <c r="AA61" s="86">
        <f t="shared" si="38"/>
        <v>0</v>
      </c>
      <c r="AB61" s="86">
        <f t="shared" si="38"/>
        <v>0</v>
      </c>
      <c r="AC61" s="86">
        <f t="shared" ref="AC61:AG66" si="39">IFERROR(O61/$F61,0)</f>
        <v>0</v>
      </c>
      <c r="AD61" s="86">
        <f t="shared" si="39"/>
        <v>0</v>
      </c>
      <c r="AE61" s="86">
        <f t="shared" si="39"/>
        <v>0</v>
      </c>
      <c r="AF61" s="86">
        <f t="shared" si="39"/>
        <v>0</v>
      </c>
      <c r="AG61" s="86">
        <f t="shared" si="39"/>
        <v>0</v>
      </c>
      <c r="AH61" s="86">
        <f t="shared" ref="AH61:AH66" si="40">SUM(V61:AG61)</f>
        <v>0</v>
      </c>
      <c r="AI61" s="70">
        <f t="shared" ref="AI61:AI66" si="41">AH61/12</f>
        <v>0</v>
      </c>
    </row>
    <row r="62" spans="1:49" ht="11.25" customHeight="1">
      <c r="A62" s="38" t="str">
        <f t="shared" ref="A62:A66" si="42">$A$1&amp;C62</f>
        <v>Lewis County UTCGWRES</v>
      </c>
      <c r="B62" s="38">
        <f>COUNTIF(C:C,C62)</f>
        <v>1</v>
      </c>
      <c r="C62" s="87" t="s">
        <v>334</v>
      </c>
      <c r="D62" s="87" t="s">
        <v>335</v>
      </c>
      <c r="E62" s="69">
        <v>16.77</v>
      </c>
      <c r="F62" s="69">
        <v>16.7</v>
      </c>
      <c r="G62" s="69" t="s">
        <v>336</v>
      </c>
      <c r="H62" s="88">
        <v>5470.7</v>
      </c>
      <c r="I62" s="88">
        <v>5431.6149999999998</v>
      </c>
      <c r="J62" s="88">
        <v>5494.7</v>
      </c>
      <c r="K62" s="88">
        <v>5645.5899999999992</v>
      </c>
      <c r="L62" s="88">
        <v>6020.37</v>
      </c>
      <c r="M62" s="88">
        <v>6241.7549999999992</v>
      </c>
      <c r="N62" s="88">
        <v>6334.8450000000003</v>
      </c>
      <c r="O62" s="88">
        <v>7034.0899999999992</v>
      </c>
      <c r="P62" s="88">
        <v>7246.9</v>
      </c>
      <c r="Q62" s="88">
        <v>7356.7199999999993</v>
      </c>
      <c r="R62" s="88">
        <v>7285.4100000000008</v>
      </c>
      <c r="S62" s="88">
        <v>7142.39</v>
      </c>
      <c r="T62" s="88">
        <f>SUM(H62:S62)</f>
        <v>76705.084999999992</v>
      </c>
      <c r="U62" s="88"/>
      <c r="V62" s="86">
        <f t="shared" si="38"/>
        <v>326.21943947525341</v>
      </c>
      <c r="W62" s="86">
        <f t="shared" si="38"/>
        <v>323.88878950506859</v>
      </c>
      <c r="X62" s="86">
        <f t="shared" si="38"/>
        <v>327.65056648777579</v>
      </c>
      <c r="Y62" s="86">
        <f t="shared" si="38"/>
        <v>336.64818127608822</v>
      </c>
      <c r="Z62" s="86">
        <f t="shared" si="38"/>
        <v>358.99642218246868</v>
      </c>
      <c r="AA62" s="86">
        <f t="shared" si="38"/>
        <v>372.19767441860461</v>
      </c>
      <c r="AB62" s="86">
        <f t="shared" si="38"/>
        <v>377.74865831842578</v>
      </c>
      <c r="AC62" s="86">
        <f t="shared" si="39"/>
        <v>421.20299401197605</v>
      </c>
      <c r="AD62" s="86">
        <f t="shared" ref="AD62:AD66" si="43">IFERROR(P62/$E62,0)</f>
        <v>432.13476446034582</v>
      </c>
      <c r="AE62" s="86">
        <f t="shared" si="39"/>
        <v>440.52215568862272</v>
      </c>
      <c r="AF62" s="86">
        <f t="shared" si="39"/>
        <v>436.25209580838327</v>
      </c>
      <c r="AG62" s="86">
        <f t="shared" si="39"/>
        <v>427.68802395209582</v>
      </c>
      <c r="AH62" s="86">
        <f t="shared" si="40"/>
        <v>4581.149765585109</v>
      </c>
      <c r="AI62" s="70">
        <f t="shared" si="41"/>
        <v>381.76248046542577</v>
      </c>
      <c r="AK62" s="38">
        <v>96</v>
      </c>
      <c r="AN62" s="38">
        <v>1</v>
      </c>
      <c r="AO62" s="86">
        <f>+AN62*AI62</f>
        <v>381.76248046542577</v>
      </c>
      <c r="AP62" s="86"/>
      <c r="AR62" s="89">
        <f ca="1">+F62*(1+$BB$4)</f>
        <v>14.043590018695982</v>
      </c>
      <c r="AS62" s="90">
        <f t="shared" ref="AS62:AS66" ca="1" si="44">+AR62*AI62*12</f>
        <v>64335.789122122471</v>
      </c>
      <c r="AT62" s="90">
        <f t="shared" ref="AT62:AT66" ca="1" si="45">+AS62-T62</f>
        <v>-12369.295877877521</v>
      </c>
      <c r="AV62" s="403">
        <f ca="1">AS62*AW$4</f>
        <v>238.55613499029158</v>
      </c>
      <c r="AW62" s="403">
        <f ca="1">+AV62+AS62</f>
        <v>64574.345257112764</v>
      </c>
    </row>
    <row r="63" spans="1:49">
      <c r="A63" s="38" t="str">
        <f t="shared" si="42"/>
        <v>Lewis County UTCGW2RES</v>
      </c>
      <c r="B63" s="38">
        <f>COUNTIF(C:C,C63)</f>
        <v>1</v>
      </c>
      <c r="C63" s="87" t="s">
        <v>337</v>
      </c>
      <c r="D63" s="87" t="s">
        <v>338</v>
      </c>
      <c r="E63" s="69">
        <v>31.87</v>
      </c>
      <c r="F63" s="69">
        <v>31.73</v>
      </c>
      <c r="G63" s="69" t="s">
        <v>336</v>
      </c>
      <c r="H63" s="88">
        <v>496.19</v>
      </c>
      <c r="I63" s="88">
        <v>552.66999999999996</v>
      </c>
      <c r="J63" s="88">
        <v>573.66</v>
      </c>
      <c r="K63" s="88">
        <v>525.85</v>
      </c>
      <c r="L63" s="88">
        <v>525.85</v>
      </c>
      <c r="M63" s="88">
        <v>508.32000000000005</v>
      </c>
      <c r="N63" s="88">
        <v>484.41500000000002</v>
      </c>
      <c r="O63" s="88">
        <v>474.85499999999996</v>
      </c>
      <c r="P63" s="88">
        <v>529.02</v>
      </c>
      <c r="Q63" s="88">
        <v>530.85</v>
      </c>
      <c r="R63" s="88">
        <v>531.48</v>
      </c>
      <c r="S63" s="88">
        <v>547.34500000000003</v>
      </c>
      <c r="T63" s="88">
        <f>SUM(H63:S63)</f>
        <v>6280.5050000000001</v>
      </c>
      <c r="V63" s="86">
        <f t="shared" si="38"/>
        <v>15.569187323501724</v>
      </c>
      <c r="W63" s="86">
        <f t="shared" si="38"/>
        <v>17.34138688421713</v>
      </c>
      <c r="X63" s="86">
        <f t="shared" si="38"/>
        <v>18</v>
      </c>
      <c r="Y63" s="86">
        <f t="shared" si="38"/>
        <v>16.49984311264512</v>
      </c>
      <c r="Z63" s="86">
        <f t="shared" si="38"/>
        <v>16.49984311264512</v>
      </c>
      <c r="AA63" s="86">
        <f t="shared" si="38"/>
        <v>15.949796046438658</v>
      </c>
      <c r="AB63" s="86">
        <f t="shared" si="38"/>
        <v>15.199717602761218</v>
      </c>
      <c r="AC63" s="86">
        <f t="shared" si="39"/>
        <v>14.965490072486604</v>
      </c>
      <c r="AD63" s="86">
        <f t="shared" si="43"/>
        <v>16.599309695638532</v>
      </c>
      <c r="AE63" s="86">
        <f t="shared" si="39"/>
        <v>16.730223763000314</v>
      </c>
      <c r="AF63" s="86">
        <f t="shared" si="39"/>
        <v>16.750078789788844</v>
      </c>
      <c r="AG63" s="86">
        <f t="shared" si="39"/>
        <v>17.250078789788844</v>
      </c>
      <c r="AH63" s="86">
        <f t="shared" si="40"/>
        <v>197.35495519291214</v>
      </c>
      <c r="AI63" s="70">
        <f t="shared" si="41"/>
        <v>16.446246266076013</v>
      </c>
      <c r="AK63" s="38">
        <v>96</v>
      </c>
      <c r="AN63" s="38">
        <v>2</v>
      </c>
      <c r="AO63" s="86">
        <f>+AN63*AI63</f>
        <v>32.892492532152026</v>
      </c>
      <c r="AP63" s="86"/>
      <c r="AR63" s="89">
        <f t="shared" ref="AR63:AR66" ca="1" si="46">+F63*(1+$BB$4)</f>
        <v>26.68282103552237</v>
      </c>
      <c r="AS63" s="90">
        <f t="shared" ca="1" si="44"/>
        <v>5265.9869498860116</v>
      </c>
      <c r="AT63" s="90">
        <f t="shared" ca="1" si="45"/>
        <v>-1014.5180501139885</v>
      </c>
      <c r="AV63" s="403">
        <f t="shared" ref="AV63:AV66" ca="1" si="47">AS63*AW$4</f>
        <v>19.526200126177567</v>
      </c>
      <c r="AW63" s="403">
        <f t="shared" ref="AW63:AW66" ca="1" si="48">+AV63+AS63</f>
        <v>5285.5131500121888</v>
      </c>
    </row>
    <row r="64" spans="1:49">
      <c r="A64" s="38" t="str">
        <f t="shared" si="42"/>
        <v>Lewis County UTCGW3RES</v>
      </c>
      <c r="B64" s="38">
        <f>COUNTIF(C:C,C64)</f>
        <v>1</v>
      </c>
      <c r="C64" s="87" t="s">
        <v>339</v>
      </c>
      <c r="D64" s="87" t="s">
        <v>340</v>
      </c>
      <c r="E64" s="69">
        <v>46.97</v>
      </c>
      <c r="F64" s="69">
        <v>46.76</v>
      </c>
      <c r="G64" s="69" t="s">
        <v>336</v>
      </c>
      <c r="H64" s="88">
        <v>46.97</v>
      </c>
      <c r="I64" s="88">
        <v>23.49</v>
      </c>
      <c r="J64" s="88">
        <v>46.97</v>
      </c>
      <c r="K64" s="88">
        <v>46.97</v>
      </c>
      <c r="L64" s="88">
        <v>46.97</v>
      </c>
      <c r="M64" s="88">
        <v>46.97</v>
      </c>
      <c r="N64" s="88">
        <v>46.97</v>
      </c>
      <c r="O64" s="88">
        <v>46.97</v>
      </c>
      <c r="P64" s="88">
        <v>46.865000000000002</v>
      </c>
      <c r="Q64" s="88">
        <v>46.655000000000001</v>
      </c>
      <c r="R64" s="88">
        <v>46.76</v>
      </c>
      <c r="S64" s="88">
        <v>46.76</v>
      </c>
      <c r="T64" s="88">
        <f>SUM(H64:S64)</f>
        <v>539.31999999999994</v>
      </c>
      <c r="V64" s="86">
        <f t="shared" si="38"/>
        <v>1</v>
      </c>
      <c r="W64" s="86">
        <f t="shared" si="38"/>
        <v>0.50010645092612305</v>
      </c>
      <c r="X64" s="86">
        <f t="shared" si="38"/>
        <v>1</v>
      </c>
      <c r="Y64" s="86">
        <f t="shared" si="38"/>
        <v>1</v>
      </c>
      <c r="Z64" s="86">
        <f t="shared" si="38"/>
        <v>1</v>
      </c>
      <c r="AA64" s="86">
        <f t="shared" si="38"/>
        <v>1</v>
      </c>
      <c r="AB64" s="86">
        <f t="shared" si="38"/>
        <v>1</v>
      </c>
      <c r="AC64" s="86">
        <f t="shared" si="39"/>
        <v>1.0044910179640718</v>
      </c>
      <c r="AD64" s="86">
        <f t="shared" si="43"/>
        <v>0.9977645305514159</v>
      </c>
      <c r="AE64" s="86">
        <f t="shared" si="39"/>
        <v>0.9977544910179641</v>
      </c>
      <c r="AF64" s="86">
        <f t="shared" si="39"/>
        <v>1</v>
      </c>
      <c r="AG64" s="86">
        <f t="shared" si="39"/>
        <v>1</v>
      </c>
      <c r="AH64" s="86">
        <f t="shared" si="40"/>
        <v>11.500116490459575</v>
      </c>
      <c r="AI64" s="70">
        <f t="shared" si="41"/>
        <v>0.95834304087163125</v>
      </c>
      <c r="AK64" s="38">
        <v>96</v>
      </c>
      <c r="AN64" s="38">
        <v>3</v>
      </c>
      <c r="AO64" s="86">
        <f>+AN64*AI64</f>
        <v>2.8750291226148939</v>
      </c>
      <c r="AP64" s="86"/>
      <c r="AR64" s="89">
        <f t="shared" ca="1" si="46"/>
        <v>39.322052052348752</v>
      </c>
      <c r="AS64" s="90">
        <f t="shared" ca="1" si="44"/>
        <v>452.20817924592563</v>
      </c>
      <c r="AT64" s="90">
        <f t="shared" ca="1" si="45"/>
        <v>-87.111820754074301</v>
      </c>
      <c r="AV64" s="403">
        <f t="shared" ca="1" si="47"/>
        <v>1.6767811030829567</v>
      </c>
      <c r="AW64" s="403">
        <f t="shared" ca="1" si="48"/>
        <v>453.88496034900857</v>
      </c>
    </row>
    <row r="65" spans="1:49">
      <c r="A65" s="38" t="str">
        <f t="shared" si="42"/>
        <v>Lewis County UTCGW4RES</v>
      </c>
      <c r="B65" s="38">
        <f>COUNTIF(C:C,C65)</f>
        <v>1</v>
      </c>
      <c r="C65" s="87" t="s">
        <v>341</v>
      </c>
      <c r="D65" s="87" t="s">
        <v>342</v>
      </c>
      <c r="E65" s="69">
        <v>62.07</v>
      </c>
      <c r="F65" s="69">
        <v>61.79</v>
      </c>
      <c r="G65" s="69" t="s">
        <v>336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46.55</v>
      </c>
      <c r="O65" s="88">
        <v>46.55</v>
      </c>
      <c r="P65" s="88">
        <v>61.79</v>
      </c>
      <c r="Q65" s="88">
        <v>61.79</v>
      </c>
      <c r="R65" s="88">
        <v>61.79</v>
      </c>
      <c r="S65" s="88">
        <v>61.79</v>
      </c>
      <c r="T65" s="88">
        <f>SUM(H65:S65)</f>
        <v>340.26</v>
      </c>
      <c r="U65" s="88"/>
      <c r="V65" s="86">
        <f t="shared" si="38"/>
        <v>0</v>
      </c>
      <c r="W65" s="86">
        <f t="shared" si="38"/>
        <v>0</v>
      </c>
      <c r="X65" s="86">
        <f t="shared" si="38"/>
        <v>0</v>
      </c>
      <c r="Y65" s="86">
        <f t="shared" si="38"/>
        <v>0</v>
      </c>
      <c r="Z65" s="86">
        <f t="shared" si="38"/>
        <v>0</v>
      </c>
      <c r="AA65" s="86">
        <f t="shared" si="38"/>
        <v>0</v>
      </c>
      <c r="AB65" s="86">
        <f t="shared" si="38"/>
        <v>0.74995972289350732</v>
      </c>
      <c r="AC65" s="86">
        <f t="shared" si="39"/>
        <v>0.75335814856772942</v>
      </c>
      <c r="AD65" s="86">
        <f t="shared" si="43"/>
        <v>0.99548896407282095</v>
      </c>
      <c r="AE65" s="86">
        <f t="shared" si="39"/>
        <v>1</v>
      </c>
      <c r="AF65" s="86">
        <f t="shared" si="39"/>
        <v>1</v>
      </c>
      <c r="AG65" s="86">
        <f t="shared" si="39"/>
        <v>1</v>
      </c>
      <c r="AH65" s="86">
        <f>SUM(V65:AG65)</f>
        <v>5.498806835534058</v>
      </c>
      <c r="AI65" s="70">
        <f>AH65/12</f>
        <v>0.4582339029611715</v>
      </c>
      <c r="AR65" s="89">
        <f t="shared" ca="1" si="46"/>
        <v>51.961283069175138</v>
      </c>
      <c r="AS65" s="90">
        <f t="shared" ca="1" si="44"/>
        <v>285.72505852390037</v>
      </c>
      <c r="AT65" s="90">
        <f t="shared" ca="1" si="45"/>
        <v>-54.534941476099618</v>
      </c>
      <c r="AV65" s="403">
        <f t="shared" ca="1" si="47"/>
        <v>1.05946420431639</v>
      </c>
      <c r="AW65" s="403">
        <f t="shared" ca="1" si="48"/>
        <v>286.78452272821676</v>
      </c>
    </row>
    <row r="66" spans="1:49">
      <c r="A66" s="38" t="str">
        <f t="shared" si="42"/>
        <v>Lewis County UTCREDELGW-RES</v>
      </c>
      <c r="B66" s="38">
        <f>COUNTIF(C:C,C66)</f>
        <v>1</v>
      </c>
      <c r="C66" s="87" t="s">
        <v>343</v>
      </c>
      <c r="D66" s="87" t="s">
        <v>344</v>
      </c>
      <c r="E66" s="69">
        <v>17.45</v>
      </c>
      <c r="F66" s="69">
        <v>17.37</v>
      </c>
      <c r="G66" s="69" t="s">
        <v>247</v>
      </c>
      <c r="H66" s="88">
        <v>0</v>
      </c>
      <c r="I66" s="88">
        <v>0</v>
      </c>
      <c r="J66" s="88">
        <v>0</v>
      </c>
      <c r="K66" s="88">
        <v>34.9</v>
      </c>
      <c r="L66" s="88">
        <v>0</v>
      </c>
      <c r="M66" s="88">
        <v>0</v>
      </c>
      <c r="N66" s="88">
        <v>0</v>
      </c>
      <c r="O66" s="88">
        <v>0</v>
      </c>
      <c r="P66" s="88">
        <v>0</v>
      </c>
      <c r="Q66" s="88">
        <v>0</v>
      </c>
      <c r="R66" s="88">
        <v>0</v>
      </c>
      <c r="S66" s="88">
        <v>34.74</v>
      </c>
      <c r="T66" s="88">
        <f>SUM(H66:S66)</f>
        <v>69.64</v>
      </c>
      <c r="V66" s="86">
        <f t="shared" si="38"/>
        <v>0</v>
      </c>
      <c r="W66" s="86">
        <f t="shared" si="38"/>
        <v>0</v>
      </c>
      <c r="X66" s="86">
        <f t="shared" si="38"/>
        <v>0</v>
      </c>
      <c r="Y66" s="86">
        <f t="shared" si="38"/>
        <v>2</v>
      </c>
      <c r="Z66" s="86">
        <f t="shared" si="38"/>
        <v>0</v>
      </c>
      <c r="AA66" s="86">
        <f t="shared" si="38"/>
        <v>0</v>
      </c>
      <c r="AB66" s="86">
        <f t="shared" si="38"/>
        <v>0</v>
      </c>
      <c r="AC66" s="86">
        <f t="shared" si="39"/>
        <v>0</v>
      </c>
      <c r="AD66" s="86">
        <f t="shared" si="43"/>
        <v>0</v>
      </c>
      <c r="AE66" s="86">
        <f t="shared" si="39"/>
        <v>0</v>
      </c>
      <c r="AF66" s="86">
        <f t="shared" si="39"/>
        <v>0</v>
      </c>
      <c r="AG66" s="86">
        <f t="shared" si="39"/>
        <v>2</v>
      </c>
      <c r="AH66" s="86">
        <f t="shared" si="40"/>
        <v>4</v>
      </c>
      <c r="AI66" s="70">
        <f t="shared" si="41"/>
        <v>0.33333333333333331</v>
      </c>
      <c r="AR66" s="89">
        <f t="shared" ca="1" si="46"/>
        <v>14.60701548651193</v>
      </c>
      <c r="AS66" s="90">
        <f t="shared" ca="1" si="44"/>
        <v>58.428061946047713</v>
      </c>
      <c r="AT66" s="90">
        <f t="shared" ca="1" si="45"/>
        <v>-11.211938053952288</v>
      </c>
      <c r="AV66" s="403">
        <f t="shared" ca="1" si="47"/>
        <v>0.21665037179173474</v>
      </c>
      <c r="AW66" s="403">
        <f t="shared" ca="1" si="48"/>
        <v>58.644712317839449</v>
      </c>
    </row>
    <row r="67" spans="1:49">
      <c r="C67" s="87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6"/>
      <c r="AI67" s="70"/>
      <c r="AJ67" s="112"/>
      <c r="AK67" s="112"/>
    </row>
    <row r="68" spans="1:49">
      <c r="D68" s="114" t="s">
        <v>345</v>
      </c>
      <c r="E68" s="69">
        <f>IFERROR(VLOOKUP(A68,#REF!,8,FALSE),0)</f>
        <v>0</v>
      </c>
      <c r="H68" s="115">
        <f t="shared" ref="H68:T68" si="49">SUM(H62:H67)</f>
        <v>6013.86</v>
      </c>
      <c r="I68" s="115">
        <f t="shared" si="49"/>
        <v>6007.7749999999996</v>
      </c>
      <c r="J68" s="115">
        <f t="shared" si="49"/>
        <v>6115.33</v>
      </c>
      <c r="K68" s="115">
        <f t="shared" si="49"/>
        <v>6253.3099999999995</v>
      </c>
      <c r="L68" s="115">
        <f t="shared" si="49"/>
        <v>6593.1900000000005</v>
      </c>
      <c r="M68" s="115">
        <f t="shared" si="49"/>
        <v>6797.0449999999992</v>
      </c>
      <c r="N68" s="115">
        <f t="shared" si="49"/>
        <v>6912.7800000000007</v>
      </c>
      <c r="O68" s="115">
        <f t="shared" si="49"/>
        <v>7602.4649999999992</v>
      </c>
      <c r="P68" s="115">
        <f t="shared" si="49"/>
        <v>7884.5749999999998</v>
      </c>
      <c r="Q68" s="115">
        <f t="shared" si="49"/>
        <v>7996.0149999999994</v>
      </c>
      <c r="R68" s="115">
        <f t="shared" si="49"/>
        <v>7925.4400000000014</v>
      </c>
      <c r="S68" s="115">
        <f t="shared" si="49"/>
        <v>7833.0250000000005</v>
      </c>
      <c r="T68" s="116">
        <f t="shared" si="49"/>
        <v>83934.81</v>
      </c>
      <c r="U68" s="82">
        <f>T68-SUM(H68:S68)</f>
        <v>0</v>
      </c>
      <c r="V68" s="117">
        <f t="shared" ref="V68:AG68" si="50">SUM(V62:V63)</f>
        <v>341.78862679875516</v>
      </c>
      <c r="W68" s="117">
        <f t="shared" si="50"/>
        <v>341.2301763892857</v>
      </c>
      <c r="X68" s="117">
        <f t="shared" si="50"/>
        <v>345.65056648777579</v>
      </c>
      <c r="Y68" s="117">
        <f t="shared" si="50"/>
        <v>353.14802438873335</v>
      </c>
      <c r="Z68" s="117">
        <f t="shared" si="50"/>
        <v>375.4962652951138</v>
      </c>
      <c r="AA68" s="117">
        <f t="shared" si="50"/>
        <v>388.14747046504328</v>
      </c>
      <c r="AB68" s="117">
        <f t="shared" si="50"/>
        <v>392.94837592118699</v>
      </c>
      <c r="AC68" s="117">
        <f t="shared" si="50"/>
        <v>436.16848408446265</v>
      </c>
      <c r="AD68" s="117">
        <f t="shared" si="50"/>
        <v>448.73407415598433</v>
      </c>
      <c r="AE68" s="117">
        <f t="shared" si="50"/>
        <v>457.25237945162303</v>
      </c>
      <c r="AF68" s="117">
        <f t="shared" si="50"/>
        <v>453.00217459817213</v>
      </c>
      <c r="AG68" s="117">
        <f t="shared" si="50"/>
        <v>444.93810274188468</v>
      </c>
      <c r="AH68" s="118">
        <f>SUM(AH62:AH66)</f>
        <v>4799.5036441040147</v>
      </c>
      <c r="AI68" s="119">
        <f>SUM(AI62:AI65)</f>
        <v>399.62530367533458</v>
      </c>
      <c r="AJ68" s="112" t="s">
        <v>312</v>
      </c>
      <c r="AK68" s="113">
        <f>+SUM(AO62:AO64)</f>
        <v>417.53000212019265</v>
      </c>
      <c r="AS68" s="118">
        <f t="shared" ref="AS68:AW68" ca="1" si="51">SUM(AS62:AS66)</f>
        <v>70398.13737172434</v>
      </c>
      <c r="AT68" s="118">
        <f t="shared" ca="1" si="51"/>
        <v>-13536.672628275635</v>
      </c>
      <c r="AV68" s="405">
        <f t="shared" ca="1" si="51"/>
        <v>261.0352307956602</v>
      </c>
      <c r="AW68" s="405">
        <f t="shared" ca="1" si="51"/>
        <v>70659.172602520019</v>
      </c>
    </row>
    <row r="69" spans="1:49">
      <c r="D69" s="114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6"/>
      <c r="AI69" s="70"/>
    </row>
    <row r="70" spans="1:49"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6"/>
      <c r="AI70" s="70"/>
    </row>
    <row r="71" spans="1:49">
      <c r="C71" s="74" t="s">
        <v>346</v>
      </c>
      <c r="D71" s="74" t="s">
        <v>346</v>
      </c>
      <c r="E71" s="69">
        <f>IFERROR(VLOOKUP(A71,#REF!,8,FALSE),0)</f>
        <v>0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6"/>
      <c r="AI71" s="70"/>
    </row>
    <row r="72" spans="1:49">
      <c r="C72" s="74"/>
      <c r="D72" s="74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6"/>
      <c r="AI72" s="70"/>
    </row>
    <row r="73" spans="1:49">
      <c r="C73" s="84" t="s">
        <v>347</v>
      </c>
      <c r="D73" s="84" t="s">
        <v>347</v>
      </c>
      <c r="E73" s="69">
        <f>IFERROR(VLOOKUP(A73,#REF!,8,FALSE),0)</f>
        <v>0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V73" s="88">
        <f t="shared" ref="V73:AG76" si="52">IFERROR(H73/$E73,0)</f>
        <v>0</v>
      </c>
      <c r="W73" s="88">
        <f t="shared" si="52"/>
        <v>0</v>
      </c>
      <c r="X73" s="88">
        <f t="shared" si="52"/>
        <v>0</v>
      </c>
      <c r="Y73" s="88">
        <f t="shared" si="52"/>
        <v>0</v>
      </c>
      <c r="Z73" s="88">
        <f t="shared" si="52"/>
        <v>0</v>
      </c>
      <c r="AA73" s="88">
        <f t="shared" si="52"/>
        <v>0</v>
      </c>
      <c r="AB73" s="88">
        <f t="shared" si="52"/>
        <v>0</v>
      </c>
      <c r="AC73" s="88">
        <f t="shared" si="52"/>
        <v>0</v>
      </c>
      <c r="AD73" s="88">
        <f t="shared" si="52"/>
        <v>0</v>
      </c>
      <c r="AE73" s="88">
        <f t="shared" si="52"/>
        <v>0</v>
      </c>
      <c r="AF73" s="88">
        <f t="shared" si="52"/>
        <v>0</v>
      </c>
      <c r="AG73" s="88">
        <f t="shared" si="52"/>
        <v>0</v>
      </c>
      <c r="AH73" s="86">
        <f t="shared" ref="AH73:AH105" si="53">SUM(V73:AG73)</f>
        <v>0</v>
      </c>
      <c r="AI73" s="70">
        <f t="shared" ref="AI73:AI136" si="54">AH73/12</f>
        <v>0</v>
      </c>
      <c r="AR73" s="89">
        <f t="shared" ref="AR73" ca="1" si="55">+E73*(1+$BB$2)</f>
        <v>0</v>
      </c>
      <c r="AS73" s="90">
        <f t="shared" ref="AS73" ca="1" si="56">+AR73*AI73*12</f>
        <v>0</v>
      </c>
      <c r="AT73" s="90">
        <f t="shared" ref="AT73:AT136" ca="1" si="57">+AS73-T73</f>
        <v>0</v>
      </c>
    </row>
    <row r="74" spans="1:49">
      <c r="A74" s="38" t="str">
        <f t="shared" ref="A74:A137" si="58">$A$1&amp;C74</f>
        <v>Lewis County UTCACCESS-COMM</v>
      </c>
      <c r="B74" s="38">
        <f t="shared" ref="B74:B137" si="59">COUNTIF(C:C,C74)</f>
        <v>1</v>
      </c>
      <c r="C74" s="97" t="s">
        <v>348</v>
      </c>
      <c r="D74" s="97" t="s">
        <v>349</v>
      </c>
      <c r="E74" s="69">
        <v>1.64</v>
      </c>
      <c r="F74" s="69">
        <v>1.63</v>
      </c>
      <c r="H74" s="88">
        <v>33</v>
      </c>
      <c r="I74" s="88">
        <v>33</v>
      </c>
      <c r="J74" s="88">
        <v>33</v>
      </c>
      <c r="K74" s="88">
        <v>33</v>
      </c>
      <c r="L74" s="88">
        <v>33</v>
      </c>
      <c r="M74" s="88">
        <v>33</v>
      </c>
      <c r="N74" s="88">
        <v>33</v>
      </c>
      <c r="O74" s="88">
        <v>33</v>
      </c>
      <c r="P74" s="88">
        <v>34.65</v>
      </c>
      <c r="Q74" s="88">
        <v>36.299999999999997</v>
      </c>
      <c r="R74" s="88">
        <v>41.25</v>
      </c>
      <c r="S74" s="88">
        <v>39.6</v>
      </c>
      <c r="T74" s="88">
        <f t="shared" ref="T74:T105" si="60">SUM(H74:S74)</f>
        <v>415.8</v>
      </c>
      <c r="U74" s="88"/>
      <c r="V74" s="86">
        <f t="shared" si="52"/>
        <v>20.121951219512198</v>
      </c>
      <c r="W74" s="86">
        <f t="shared" si="52"/>
        <v>20.121951219512198</v>
      </c>
      <c r="X74" s="86">
        <f t="shared" si="52"/>
        <v>20.121951219512198</v>
      </c>
      <c r="Y74" s="86">
        <f t="shared" si="52"/>
        <v>20.121951219512198</v>
      </c>
      <c r="Z74" s="86">
        <f t="shared" si="52"/>
        <v>20.121951219512198</v>
      </c>
      <c r="AA74" s="86">
        <f t="shared" si="52"/>
        <v>20.121951219512198</v>
      </c>
      <c r="AB74" s="86">
        <f t="shared" si="52"/>
        <v>20.121951219512198</v>
      </c>
      <c r="AC74" s="86">
        <f t="shared" ref="AC74:AG76" si="61">IFERROR(O74/$F74,0)</f>
        <v>20.245398773006137</v>
      </c>
      <c r="AD74" s="86">
        <f t="shared" si="61"/>
        <v>21.257668711656443</v>
      </c>
      <c r="AE74" s="86">
        <f t="shared" si="61"/>
        <v>22.269938650306749</v>
      </c>
      <c r="AF74" s="86">
        <f t="shared" si="61"/>
        <v>25.30674846625767</v>
      </c>
      <c r="AG74" s="86">
        <f t="shared" si="61"/>
        <v>24.294478527607364</v>
      </c>
      <c r="AH74" s="86">
        <f t="shared" si="53"/>
        <v>254.22789166541975</v>
      </c>
      <c r="AI74" s="70">
        <f t="shared" si="54"/>
        <v>21.185657638784978</v>
      </c>
      <c r="AR74" s="89">
        <f t="shared" ref="AR74:AR137" ca="1" si="62">+F74*(1+$BB$2)</f>
        <v>1.7129119303786859</v>
      </c>
      <c r="AS74" s="90">
        <f ca="1">+AR74*AI74*12</f>
        <v>435.46998866871752</v>
      </c>
      <c r="AT74" s="90">
        <f t="shared" ca="1" si="57"/>
        <v>19.669988668717508</v>
      </c>
      <c r="AV74" s="403">
        <f ca="1">AS74*AW$2</f>
        <v>1.6889427523659799</v>
      </c>
      <c r="AW74" s="403">
        <f t="shared" ref="AW74" ca="1" si="63">+AV74+AS74</f>
        <v>437.15893142108348</v>
      </c>
    </row>
    <row r="75" spans="1:49">
      <c r="A75" s="38" t="str">
        <f t="shared" si="58"/>
        <v>Lewis County UTCACCESSEOW-COMM</v>
      </c>
      <c r="B75" s="38">
        <f t="shared" si="59"/>
        <v>1</v>
      </c>
      <c r="C75" s="97" t="s">
        <v>350</v>
      </c>
      <c r="D75" s="97" t="s">
        <v>351</v>
      </c>
      <c r="E75" s="69">
        <v>0.82</v>
      </c>
      <c r="F75" s="69">
        <v>0.82</v>
      </c>
      <c r="G75" s="69" t="s">
        <v>352</v>
      </c>
      <c r="H75" s="88">
        <v>3.28</v>
      </c>
      <c r="I75" s="88">
        <v>3.28</v>
      </c>
      <c r="J75" s="88">
        <v>4.0999999999999996</v>
      </c>
      <c r="K75" s="88">
        <v>4.92</v>
      </c>
      <c r="L75" s="88">
        <v>4.0999999999999996</v>
      </c>
      <c r="M75" s="88">
        <v>4.0999999999999996</v>
      </c>
      <c r="N75" s="88">
        <v>4.0999999999999996</v>
      </c>
      <c r="O75" s="88">
        <v>4.92</v>
      </c>
      <c r="P75" s="88">
        <v>4.92</v>
      </c>
      <c r="Q75" s="88">
        <v>6.56</v>
      </c>
      <c r="R75" s="88">
        <v>6.97</v>
      </c>
      <c r="S75" s="88">
        <v>9.84</v>
      </c>
      <c r="T75" s="88">
        <f t="shared" si="60"/>
        <v>61.09</v>
      </c>
      <c r="U75" s="88"/>
      <c r="V75" s="86">
        <f t="shared" si="52"/>
        <v>4</v>
      </c>
      <c r="W75" s="86">
        <f t="shared" si="52"/>
        <v>4</v>
      </c>
      <c r="X75" s="86">
        <f t="shared" si="52"/>
        <v>5</v>
      </c>
      <c r="Y75" s="86">
        <f t="shared" si="52"/>
        <v>6</v>
      </c>
      <c r="Z75" s="86">
        <f t="shared" si="52"/>
        <v>5</v>
      </c>
      <c r="AA75" s="86">
        <f t="shared" si="52"/>
        <v>5</v>
      </c>
      <c r="AB75" s="86">
        <f t="shared" si="52"/>
        <v>5</v>
      </c>
      <c r="AC75" s="86">
        <f t="shared" si="61"/>
        <v>6</v>
      </c>
      <c r="AD75" s="86">
        <f t="shared" si="61"/>
        <v>6</v>
      </c>
      <c r="AE75" s="86">
        <f t="shared" si="61"/>
        <v>8</v>
      </c>
      <c r="AF75" s="86">
        <f t="shared" si="61"/>
        <v>8.5</v>
      </c>
      <c r="AG75" s="86">
        <f t="shared" si="61"/>
        <v>12</v>
      </c>
      <c r="AH75" s="86">
        <f t="shared" si="53"/>
        <v>74.5</v>
      </c>
      <c r="AI75" s="70">
        <f t="shared" si="54"/>
        <v>6.208333333333333</v>
      </c>
      <c r="AR75" s="89">
        <f t="shared" ca="1" si="62"/>
        <v>0.86171029626412421</v>
      </c>
      <c r="AS75" s="90">
        <f ca="1">+AR75*AI75*12</f>
        <v>64.197417071677251</v>
      </c>
      <c r="AT75" s="90">
        <f t="shared" ca="1" si="57"/>
        <v>3.1074170716772471</v>
      </c>
      <c r="AV75" s="403">
        <f t="shared" ref="AV75:AV138" ca="1" si="64">AS75*AW$2</f>
        <v>0.24898561348692594</v>
      </c>
      <c r="AW75" s="403">
        <f t="shared" ref="AW75:AW138" ca="1" si="65">+AV75+AS75</f>
        <v>64.446402685164173</v>
      </c>
    </row>
    <row r="76" spans="1:49">
      <c r="A76" s="38" t="str">
        <f t="shared" si="58"/>
        <v>Lewis County UTCBULKY-COMM</v>
      </c>
      <c r="B76" s="38">
        <f t="shared" si="59"/>
        <v>1</v>
      </c>
      <c r="C76" s="97" t="s">
        <v>353</v>
      </c>
      <c r="D76" s="97" t="s">
        <v>354</v>
      </c>
      <c r="E76" s="69">
        <v>32.630000000000003</v>
      </c>
      <c r="F76" s="69">
        <v>32.49</v>
      </c>
      <c r="G76" s="69" t="s">
        <v>231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f t="shared" si="60"/>
        <v>0</v>
      </c>
      <c r="U76" s="88"/>
      <c r="V76" s="86">
        <f t="shared" si="52"/>
        <v>0</v>
      </c>
      <c r="W76" s="86">
        <f t="shared" si="52"/>
        <v>0</v>
      </c>
      <c r="X76" s="86">
        <f t="shared" si="52"/>
        <v>0</v>
      </c>
      <c r="Y76" s="86">
        <f t="shared" si="52"/>
        <v>0</v>
      </c>
      <c r="Z76" s="86">
        <f t="shared" si="52"/>
        <v>0</v>
      </c>
      <c r="AA76" s="86">
        <f t="shared" si="52"/>
        <v>0</v>
      </c>
      <c r="AB76" s="86">
        <f t="shared" si="52"/>
        <v>0</v>
      </c>
      <c r="AC76" s="86">
        <f t="shared" si="61"/>
        <v>0</v>
      </c>
      <c r="AD76" s="86">
        <f t="shared" si="61"/>
        <v>0</v>
      </c>
      <c r="AE76" s="86">
        <f t="shared" si="61"/>
        <v>0</v>
      </c>
      <c r="AF76" s="86">
        <f t="shared" si="61"/>
        <v>0</v>
      </c>
      <c r="AG76" s="86">
        <f t="shared" si="61"/>
        <v>0</v>
      </c>
      <c r="AH76" s="126">
        <f t="shared" si="53"/>
        <v>0</v>
      </c>
      <c r="AI76" s="70">
        <f t="shared" si="54"/>
        <v>0</v>
      </c>
      <c r="AJ76" s="86" t="e">
        <v>#VALUE!</v>
      </c>
      <c r="AR76" s="89">
        <f t="shared" ca="1" si="62"/>
        <v>34.142643323928539</v>
      </c>
      <c r="AS76" s="90">
        <f ca="1">+AR76*AI76*12</f>
        <v>0</v>
      </c>
      <c r="AT76" s="90">
        <f t="shared" ca="1" si="57"/>
        <v>0</v>
      </c>
      <c r="AV76" s="403">
        <f t="shared" ca="1" si="64"/>
        <v>0</v>
      </c>
      <c r="AW76" s="403">
        <f t="shared" ca="1" si="65"/>
        <v>0</v>
      </c>
    </row>
    <row r="77" spans="1:49" s="98" customFormat="1">
      <c r="A77" s="98" t="str">
        <f t="shared" si="58"/>
        <v>Lewis County UTCCANCOUNT65-COMM</v>
      </c>
      <c r="B77" s="98">
        <f t="shared" si="59"/>
        <v>1</v>
      </c>
      <c r="C77" s="127" t="s">
        <v>355</v>
      </c>
      <c r="D77" s="127" t="s">
        <v>356</v>
      </c>
      <c r="E77" s="100">
        <v>6.03</v>
      </c>
      <c r="F77" s="100">
        <v>6</v>
      </c>
      <c r="G77" s="100" t="s">
        <v>357</v>
      </c>
      <c r="H77" s="101">
        <v>675.3599999999999</v>
      </c>
      <c r="I77" s="101">
        <v>542.69999999999993</v>
      </c>
      <c r="J77" s="101">
        <v>765.81</v>
      </c>
      <c r="K77" s="101">
        <v>1218.06</v>
      </c>
      <c r="L77" s="101">
        <v>60.3</v>
      </c>
      <c r="M77" s="101">
        <v>808.02</v>
      </c>
      <c r="N77" s="101">
        <v>699.48</v>
      </c>
      <c r="O77" s="101">
        <v>669.33</v>
      </c>
      <c r="P77" s="101">
        <v>702.59999999999991</v>
      </c>
      <c r="Q77" s="101">
        <v>612</v>
      </c>
      <c r="R77" s="101">
        <v>732</v>
      </c>
      <c r="S77" s="101">
        <v>564</v>
      </c>
      <c r="T77" s="101">
        <f t="shared" si="60"/>
        <v>8049.66</v>
      </c>
      <c r="U77" s="101"/>
      <c r="V77" s="102">
        <f t="shared" ref="V77:AC78" si="66">IFERROR(H77/$E77,0)/4.33</f>
        <v>25.866050808314085</v>
      </c>
      <c r="W77" s="102">
        <f t="shared" si="66"/>
        <v>20.785219399538104</v>
      </c>
      <c r="X77" s="102">
        <f t="shared" si="66"/>
        <v>29.330254041570434</v>
      </c>
      <c r="Y77" s="102">
        <f t="shared" si="66"/>
        <v>46.651270207852185</v>
      </c>
      <c r="Z77" s="102">
        <f t="shared" si="66"/>
        <v>2.3094688221709005</v>
      </c>
      <c r="AA77" s="102">
        <f t="shared" si="66"/>
        <v>30.946882217090067</v>
      </c>
      <c r="AB77" s="102">
        <f t="shared" si="66"/>
        <v>26.789838337182449</v>
      </c>
      <c r="AC77" s="102">
        <f t="shared" si="66"/>
        <v>25.635103926096996</v>
      </c>
      <c r="AD77" s="102">
        <f t="shared" ref="AD77:AG78" si="67">IFERROR(P77/$F77,0)/4.33</f>
        <v>27.043879907621243</v>
      </c>
      <c r="AE77" s="102">
        <f t="shared" si="67"/>
        <v>23.556581986143186</v>
      </c>
      <c r="AF77" s="102">
        <f t="shared" si="67"/>
        <v>28.175519630484988</v>
      </c>
      <c r="AG77" s="102">
        <f t="shared" si="67"/>
        <v>21.709006928406467</v>
      </c>
      <c r="AH77" s="126">
        <f t="shared" si="53"/>
        <v>308.79907621247116</v>
      </c>
      <c r="AI77" s="103">
        <f t="shared" si="54"/>
        <v>25.733256351039262</v>
      </c>
      <c r="AJ77" s="86"/>
      <c r="AK77" s="98">
        <v>65</v>
      </c>
      <c r="AN77" s="98">
        <v>1</v>
      </c>
      <c r="AO77" s="128">
        <f>+(AN77)*AI77</f>
        <v>25.733256351039262</v>
      </c>
      <c r="AP77" s="104" t="s">
        <v>358</v>
      </c>
      <c r="AR77" s="89">
        <f t="shared" ca="1" si="62"/>
        <v>6.3051972897374942</v>
      </c>
      <c r="AS77" s="90">
        <f ca="1">+AR77*AI77*12*4.33</f>
        <v>8430.6792961080046</v>
      </c>
      <c r="AT77" s="90">
        <f t="shared" ca="1" si="57"/>
        <v>381.01929610800471</v>
      </c>
      <c r="AV77" s="403">
        <f t="shared" ca="1" si="64"/>
        <v>32.697855340648431</v>
      </c>
      <c r="AW77" s="403">
        <f t="shared" ca="1" si="65"/>
        <v>8463.3771514486525</v>
      </c>
    </row>
    <row r="78" spans="1:49" s="98" customFormat="1">
      <c r="A78" s="98" t="str">
        <f t="shared" si="58"/>
        <v>Lewis County UTCCANCOUNT95-COMM</v>
      </c>
      <c r="B78" s="98">
        <f t="shared" si="59"/>
        <v>1</v>
      </c>
      <c r="C78" s="127" t="s">
        <v>359</v>
      </c>
      <c r="D78" s="127" t="s">
        <v>360</v>
      </c>
      <c r="E78" s="100">
        <v>8.32</v>
      </c>
      <c r="F78" s="100">
        <v>8.2899999999999991</v>
      </c>
      <c r="G78" s="100" t="s">
        <v>357</v>
      </c>
      <c r="H78" s="101">
        <v>282.88</v>
      </c>
      <c r="I78" s="101">
        <v>224.64000000000001</v>
      </c>
      <c r="J78" s="101">
        <v>324.48</v>
      </c>
      <c r="K78" s="101">
        <v>391.03999999999996</v>
      </c>
      <c r="L78" s="101">
        <v>216.32</v>
      </c>
      <c r="M78" s="101">
        <v>357.76</v>
      </c>
      <c r="N78" s="101">
        <v>266.24</v>
      </c>
      <c r="O78" s="101">
        <v>291.2</v>
      </c>
      <c r="P78" s="101">
        <v>278.88</v>
      </c>
      <c r="Q78" s="101">
        <v>82.9</v>
      </c>
      <c r="R78" s="101">
        <v>132.63999999999999</v>
      </c>
      <c r="S78" s="101">
        <v>116.06</v>
      </c>
      <c r="T78" s="101">
        <f t="shared" si="60"/>
        <v>2965.0399999999995</v>
      </c>
      <c r="U78" s="101"/>
      <c r="V78" s="102">
        <f t="shared" si="66"/>
        <v>7.8521939953810627</v>
      </c>
      <c r="W78" s="102">
        <f t="shared" si="66"/>
        <v>6.2355658198614314</v>
      </c>
      <c r="X78" s="102">
        <f t="shared" si="66"/>
        <v>9.0069284064665123</v>
      </c>
      <c r="Y78" s="102">
        <f t="shared" si="66"/>
        <v>10.854503464203232</v>
      </c>
      <c r="Z78" s="102">
        <f t="shared" si="66"/>
        <v>6.0046189376443415</v>
      </c>
      <c r="AA78" s="102">
        <f t="shared" si="66"/>
        <v>9.930715935334872</v>
      </c>
      <c r="AB78" s="102">
        <f t="shared" si="66"/>
        <v>7.3903002309468819</v>
      </c>
      <c r="AC78" s="102">
        <f t="shared" si="66"/>
        <v>8.0831408775981526</v>
      </c>
      <c r="AD78" s="102">
        <f t="shared" si="67"/>
        <v>7.7691756951389728</v>
      </c>
      <c r="AE78" s="102">
        <f t="shared" si="67"/>
        <v>2.309468822170901</v>
      </c>
      <c r="AF78" s="102">
        <f t="shared" si="67"/>
        <v>3.695150115473441</v>
      </c>
      <c r="AG78" s="102">
        <f t="shared" si="67"/>
        <v>3.2332563510392611</v>
      </c>
      <c r="AH78" s="126">
        <f t="shared" si="53"/>
        <v>82.365018651259049</v>
      </c>
      <c r="AI78" s="103">
        <f t="shared" si="54"/>
        <v>6.8637515542715875</v>
      </c>
      <c r="AJ78" s="86"/>
      <c r="AK78" s="98">
        <v>95</v>
      </c>
      <c r="AN78" s="98">
        <v>1</v>
      </c>
      <c r="AO78" s="128">
        <f>+(AN78)*AI78</f>
        <v>6.8637515542715875</v>
      </c>
      <c r="AP78" s="104" t="s">
        <v>358</v>
      </c>
      <c r="AR78" s="89">
        <f t="shared" ca="1" si="62"/>
        <v>8.7116809219873037</v>
      </c>
      <c r="AS78" s="90">
        <f ca="1">+AR78*AI78*12*4.33</f>
        <v>3106.9385078288974</v>
      </c>
      <c r="AT78" s="90">
        <f t="shared" ca="1" si="57"/>
        <v>141.89850782889789</v>
      </c>
      <c r="AV78" s="403">
        <f t="shared" ca="1" si="64"/>
        <v>12.050064094856291</v>
      </c>
      <c r="AW78" s="403">
        <f t="shared" ca="1" si="65"/>
        <v>3118.9885719237536</v>
      </c>
    </row>
    <row r="79" spans="1:49">
      <c r="A79" s="38" t="str">
        <f t="shared" si="58"/>
        <v>Lewis County UTCCLEAN3-COMM</v>
      </c>
      <c r="B79" s="38">
        <f t="shared" si="59"/>
        <v>1</v>
      </c>
      <c r="C79" s="97" t="s">
        <v>361</v>
      </c>
      <c r="D79" s="97" t="s">
        <v>362</v>
      </c>
      <c r="E79" s="69">
        <v>13.5</v>
      </c>
      <c r="F79" s="69">
        <v>13.44</v>
      </c>
      <c r="G79" s="69" t="s">
        <v>363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>
        <v>0</v>
      </c>
      <c r="R79" s="88">
        <v>0</v>
      </c>
      <c r="S79" s="88">
        <v>0</v>
      </c>
      <c r="T79" s="88">
        <f t="shared" si="60"/>
        <v>0</v>
      </c>
      <c r="U79" s="88"/>
      <c r="V79" s="86">
        <f t="shared" ref="V79:AB110" si="68">IFERROR(H79/$E79,0)</f>
        <v>0</v>
      </c>
      <c r="W79" s="86">
        <f t="shared" si="68"/>
        <v>0</v>
      </c>
      <c r="X79" s="86">
        <f t="shared" si="68"/>
        <v>0</v>
      </c>
      <c r="Y79" s="86">
        <f t="shared" si="68"/>
        <v>0</v>
      </c>
      <c r="Z79" s="86">
        <f t="shared" si="68"/>
        <v>0</v>
      </c>
      <c r="AA79" s="86">
        <f t="shared" si="68"/>
        <v>0</v>
      </c>
      <c r="AB79" s="86">
        <f t="shared" si="68"/>
        <v>0</v>
      </c>
      <c r="AC79" s="86">
        <f t="shared" ref="AC79:AG110" si="69">IFERROR(O79/$F79,0)</f>
        <v>0</v>
      </c>
      <c r="AD79" s="86">
        <f t="shared" si="69"/>
        <v>0</v>
      </c>
      <c r="AE79" s="86">
        <f t="shared" si="69"/>
        <v>0</v>
      </c>
      <c r="AF79" s="86">
        <f t="shared" si="69"/>
        <v>0</v>
      </c>
      <c r="AG79" s="86">
        <f t="shared" si="69"/>
        <v>0</v>
      </c>
      <c r="AH79" s="70">
        <f t="shared" si="53"/>
        <v>0</v>
      </c>
      <c r="AI79" s="70">
        <f t="shared" si="54"/>
        <v>0</v>
      </c>
      <c r="AR79" s="89">
        <f t="shared" ca="1" si="62"/>
        <v>14.123641929011987</v>
      </c>
      <c r="AS79" s="90">
        <f t="shared" ref="AS79:AS142" ca="1" si="70">+AR79*AI79*12</f>
        <v>0</v>
      </c>
      <c r="AT79" s="90">
        <f t="shared" ca="1" si="57"/>
        <v>0</v>
      </c>
      <c r="AV79" s="403">
        <f t="shared" ca="1" si="64"/>
        <v>0</v>
      </c>
      <c r="AW79" s="403">
        <f t="shared" ca="1" si="65"/>
        <v>0</v>
      </c>
    </row>
    <row r="80" spans="1:49">
      <c r="A80" s="38" t="str">
        <f t="shared" si="58"/>
        <v>Lewis County UTCCLEAN6-COMM</v>
      </c>
      <c r="B80" s="38">
        <f t="shared" si="59"/>
        <v>1</v>
      </c>
      <c r="C80" s="97" t="s">
        <v>364</v>
      </c>
      <c r="D80" s="97" t="s">
        <v>365</v>
      </c>
      <c r="E80" s="69">
        <v>13.5</v>
      </c>
      <c r="F80" s="69">
        <v>13.44</v>
      </c>
      <c r="G80" s="69" t="s">
        <v>363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54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f t="shared" si="60"/>
        <v>54</v>
      </c>
      <c r="U80" s="88"/>
      <c r="V80" s="86">
        <f t="shared" si="68"/>
        <v>0</v>
      </c>
      <c r="W80" s="86">
        <f t="shared" si="68"/>
        <v>0</v>
      </c>
      <c r="X80" s="86">
        <f t="shared" si="68"/>
        <v>0</v>
      </c>
      <c r="Y80" s="86">
        <f t="shared" si="68"/>
        <v>0</v>
      </c>
      <c r="Z80" s="86">
        <f t="shared" si="68"/>
        <v>0</v>
      </c>
      <c r="AA80" s="86">
        <f t="shared" si="68"/>
        <v>4</v>
      </c>
      <c r="AB80" s="86">
        <f t="shared" si="68"/>
        <v>0</v>
      </c>
      <c r="AC80" s="86">
        <f t="shared" si="69"/>
        <v>0</v>
      </c>
      <c r="AD80" s="86">
        <f t="shared" si="69"/>
        <v>0</v>
      </c>
      <c r="AE80" s="86">
        <f t="shared" si="69"/>
        <v>0</v>
      </c>
      <c r="AF80" s="86">
        <f t="shared" si="69"/>
        <v>0</v>
      </c>
      <c r="AG80" s="86">
        <f t="shared" si="69"/>
        <v>0</v>
      </c>
      <c r="AH80" s="70">
        <f t="shared" si="53"/>
        <v>4</v>
      </c>
      <c r="AI80" s="70">
        <f t="shared" si="54"/>
        <v>0.33333333333333331</v>
      </c>
      <c r="AR80" s="89">
        <f t="shared" ca="1" si="62"/>
        <v>14.123641929011987</v>
      </c>
      <c r="AS80" s="90">
        <f t="shared" ca="1" si="70"/>
        <v>56.494567716047939</v>
      </c>
      <c r="AT80" s="90">
        <f t="shared" ca="1" si="57"/>
        <v>2.4945677160479391</v>
      </c>
      <c r="AV80" s="403">
        <f t="shared" ca="1" si="64"/>
        <v>0.21911060044290617</v>
      </c>
      <c r="AW80" s="403">
        <f t="shared" ca="1" si="65"/>
        <v>56.713678316490842</v>
      </c>
    </row>
    <row r="81" spans="1:49">
      <c r="A81" s="38" t="str">
        <f t="shared" si="58"/>
        <v>Lewis County UTCDEL1.5TEMP-COMM</v>
      </c>
      <c r="B81" s="38">
        <f t="shared" si="59"/>
        <v>1</v>
      </c>
      <c r="C81" s="97" t="s">
        <v>366</v>
      </c>
      <c r="D81" s="97" t="s">
        <v>367</v>
      </c>
      <c r="E81" s="69">
        <v>21.95</v>
      </c>
      <c r="F81" s="69">
        <v>21.85</v>
      </c>
      <c r="G81" s="69" t="s">
        <v>368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21.95</v>
      </c>
      <c r="N81" s="88">
        <v>21.95</v>
      </c>
      <c r="O81" s="88">
        <v>21.95</v>
      </c>
      <c r="P81" s="88">
        <v>21.85</v>
      </c>
      <c r="Q81" s="88">
        <v>43.7</v>
      </c>
      <c r="R81" s="88">
        <v>0</v>
      </c>
      <c r="S81" s="88">
        <v>0</v>
      </c>
      <c r="T81" s="88">
        <f t="shared" si="60"/>
        <v>131.39999999999998</v>
      </c>
      <c r="U81" s="88"/>
      <c r="V81" s="86">
        <f t="shared" si="68"/>
        <v>0</v>
      </c>
      <c r="W81" s="86">
        <f t="shared" si="68"/>
        <v>0</v>
      </c>
      <c r="X81" s="86">
        <f t="shared" si="68"/>
        <v>0</v>
      </c>
      <c r="Y81" s="86">
        <f t="shared" si="68"/>
        <v>0</v>
      </c>
      <c r="Z81" s="86">
        <f t="shared" si="68"/>
        <v>0</v>
      </c>
      <c r="AA81" s="86">
        <f t="shared" si="68"/>
        <v>1</v>
      </c>
      <c r="AB81" s="86">
        <f t="shared" si="68"/>
        <v>1</v>
      </c>
      <c r="AC81" s="86">
        <f t="shared" si="69"/>
        <v>1.0045766590389016</v>
      </c>
      <c r="AD81" s="86">
        <f t="shared" si="69"/>
        <v>1</v>
      </c>
      <c r="AE81" s="86">
        <f t="shared" si="69"/>
        <v>2</v>
      </c>
      <c r="AF81" s="86">
        <f t="shared" si="69"/>
        <v>0</v>
      </c>
      <c r="AG81" s="86">
        <f t="shared" si="69"/>
        <v>0</v>
      </c>
      <c r="AH81" s="70">
        <f t="shared" si="53"/>
        <v>6.0045766590389018</v>
      </c>
      <c r="AI81" s="70">
        <f t="shared" si="54"/>
        <v>0.50038138825324185</v>
      </c>
      <c r="AR81" s="89">
        <f t="shared" ca="1" si="62"/>
        <v>22.961426796794044</v>
      </c>
      <c r="AS81" s="90">
        <f t="shared" ca="1" si="70"/>
        <v>137.87364740225991</v>
      </c>
      <c r="AT81" s="90">
        <f t="shared" ca="1" si="57"/>
        <v>6.4736474022599282</v>
      </c>
      <c r="AV81" s="403">
        <f t="shared" ca="1" si="64"/>
        <v>0.53473420346185452</v>
      </c>
      <c r="AW81" s="403">
        <f t="shared" ca="1" si="65"/>
        <v>138.40838160572176</v>
      </c>
    </row>
    <row r="82" spans="1:49">
      <c r="A82" s="38" t="str">
        <f t="shared" si="58"/>
        <v>Lewis County UTCDEL1TEMP-COMM</v>
      </c>
      <c r="B82" s="38">
        <f t="shared" si="59"/>
        <v>1</v>
      </c>
      <c r="C82" s="97" t="s">
        <v>369</v>
      </c>
      <c r="D82" s="97" t="s">
        <v>370</v>
      </c>
      <c r="E82" s="69">
        <v>21.95</v>
      </c>
      <c r="F82" s="69">
        <v>21.85</v>
      </c>
      <c r="G82" s="69" t="s">
        <v>368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21.95</v>
      </c>
      <c r="N82" s="88">
        <v>0</v>
      </c>
      <c r="O82" s="88">
        <v>21.95</v>
      </c>
      <c r="P82" s="88">
        <v>0</v>
      </c>
      <c r="Q82" s="88">
        <v>0</v>
      </c>
      <c r="R82" s="88">
        <v>0</v>
      </c>
      <c r="S82" s="88">
        <v>0</v>
      </c>
      <c r="T82" s="88">
        <f t="shared" si="60"/>
        <v>43.9</v>
      </c>
      <c r="U82" s="88"/>
      <c r="V82" s="86">
        <f t="shared" si="68"/>
        <v>0</v>
      </c>
      <c r="W82" s="86">
        <f t="shared" si="68"/>
        <v>0</v>
      </c>
      <c r="X82" s="86">
        <f t="shared" si="68"/>
        <v>0</v>
      </c>
      <c r="Y82" s="86">
        <f t="shared" si="68"/>
        <v>0</v>
      </c>
      <c r="Z82" s="86">
        <f t="shared" si="68"/>
        <v>0</v>
      </c>
      <c r="AA82" s="86">
        <f t="shared" si="68"/>
        <v>1</v>
      </c>
      <c r="AB82" s="86">
        <f t="shared" si="68"/>
        <v>0</v>
      </c>
      <c r="AC82" s="86">
        <f t="shared" si="69"/>
        <v>1.0045766590389016</v>
      </c>
      <c r="AD82" s="86">
        <f t="shared" si="69"/>
        <v>0</v>
      </c>
      <c r="AE82" s="86">
        <f t="shared" si="69"/>
        <v>0</v>
      </c>
      <c r="AF82" s="86">
        <f t="shared" si="69"/>
        <v>0</v>
      </c>
      <c r="AG82" s="86">
        <f t="shared" si="69"/>
        <v>0</v>
      </c>
      <c r="AH82" s="70">
        <f t="shared" si="53"/>
        <v>2.0045766590389018</v>
      </c>
      <c r="AI82" s="70">
        <f t="shared" si="54"/>
        <v>0.16704805491990848</v>
      </c>
      <c r="AR82" s="89">
        <f t="shared" ca="1" si="62"/>
        <v>22.961426796794044</v>
      </c>
      <c r="AS82" s="90">
        <f t="shared" ca="1" si="70"/>
        <v>46.027940215083717</v>
      </c>
      <c r="AT82" s="90">
        <f t="shared" ca="1" si="57"/>
        <v>2.1279402150837186</v>
      </c>
      <c r="AV82" s="403">
        <f t="shared" ca="1" si="64"/>
        <v>0.17851644902156424</v>
      </c>
      <c r="AW82" s="403">
        <f t="shared" ca="1" si="65"/>
        <v>46.206456664105282</v>
      </c>
    </row>
    <row r="83" spans="1:49">
      <c r="A83" s="38" t="str">
        <f t="shared" si="58"/>
        <v>Lewis County UTCRTRNTRIP6-COMM</v>
      </c>
      <c r="B83" s="38">
        <f t="shared" si="59"/>
        <v>1</v>
      </c>
      <c r="C83" s="97" t="s">
        <v>371</v>
      </c>
      <c r="D83" s="97" t="s">
        <v>372</v>
      </c>
      <c r="E83" s="69">
        <v>29</v>
      </c>
      <c r="F83" s="69">
        <v>28.87</v>
      </c>
      <c r="G83" s="69" t="s">
        <v>373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58</v>
      </c>
      <c r="O83" s="88">
        <v>29</v>
      </c>
      <c r="P83" s="88">
        <v>28.87</v>
      </c>
      <c r="Q83" s="88">
        <v>0</v>
      </c>
      <c r="R83" s="88">
        <v>0</v>
      </c>
      <c r="S83" s="88">
        <v>86.61</v>
      </c>
      <c r="T83" s="88">
        <f t="shared" si="60"/>
        <v>202.48000000000002</v>
      </c>
      <c r="U83" s="88"/>
      <c r="V83" s="86">
        <f t="shared" si="68"/>
        <v>0</v>
      </c>
      <c r="W83" s="86">
        <f t="shared" si="68"/>
        <v>0</v>
      </c>
      <c r="X83" s="86">
        <f t="shared" si="68"/>
        <v>0</v>
      </c>
      <c r="Y83" s="86">
        <f t="shared" si="68"/>
        <v>0</v>
      </c>
      <c r="Z83" s="86">
        <f t="shared" si="68"/>
        <v>0</v>
      </c>
      <c r="AA83" s="86">
        <f t="shared" si="68"/>
        <v>0</v>
      </c>
      <c r="AB83" s="86">
        <f t="shared" si="68"/>
        <v>2</v>
      </c>
      <c r="AC83" s="86">
        <f t="shared" si="69"/>
        <v>1.0045029442327675</v>
      </c>
      <c r="AD83" s="86">
        <f t="shared" si="69"/>
        <v>1</v>
      </c>
      <c r="AE83" s="86">
        <f t="shared" si="69"/>
        <v>0</v>
      </c>
      <c r="AF83" s="86">
        <f t="shared" si="69"/>
        <v>0</v>
      </c>
      <c r="AG83" s="86">
        <f t="shared" si="69"/>
        <v>3</v>
      </c>
      <c r="AH83" s="70">
        <f t="shared" si="53"/>
        <v>7.0045029442327671</v>
      </c>
      <c r="AI83" s="70">
        <f t="shared" si="54"/>
        <v>0.58370857868606396</v>
      </c>
      <c r="AR83" s="89">
        <f t="shared" ca="1" si="62"/>
        <v>30.338507625786914</v>
      </c>
      <c r="AS83" s="90">
        <f t="shared" ca="1" si="70"/>
        <v>212.50616598845269</v>
      </c>
      <c r="AT83" s="90">
        <f t="shared" ca="1" si="57"/>
        <v>10.026165988452675</v>
      </c>
      <c r="AV83" s="403">
        <f t="shared" ca="1" si="64"/>
        <v>0.82419169682969673</v>
      </c>
      <c r="AW83" s="403">
        <f t="shared" ca="1" si="65"/>
        <v>213.33035768528239</v>
      </c>
    </row>
    <row r="84" spans="1:49" s="98" customFormat="1">
      <c r="A84" s="98" t="str">
        <f t="shared" si="58"/>
        <v>Lewis County UTCFL005.0YEO001</v>
      </c>
      <c r="B84" s="98">
        <f t="shared" si="59"/>
        <v>1</v>
      </c>
      <c r="C84" s="127" t="s">
        <v>374</v>
      </c>
      <c r="D84" s="127" t="s">
        <v>375</v>
      </c>
      <c r="E84" s="100">
        <v>165.81</v>
      </c>
      <c r="F84" s="100">
        <v>165.11</v>
      </c>
      <c r="G84" s="100" t="s">
        <v>368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f t="shared" si="60"/>
        <v>0</v>
      </c>
      <c r="U84" s="101"/>
      <c r="V84" s="102">
        <f t="shared" si="68"/>
        <v>0</v>
      </c>
      <c r="W84" s="102">
        <f t="shared" si="68"/>
        <v>0</v>
      </c>
      <c r="X84" s="102">
        <f t="shared" si="68"/>
        <v>0</v>
      </c>
      <c r="Y84" s="102">
        <f t="shared" si="68"/>
        <v>0</v>
      </c>
      <c r="Z84" s="102">
        <f t="shared" si="68"/>
        <v>0</v>
      </c>
      <c r="AA84" s="102">
        <f t="shared" si="68"/>
        <v>0</v>
      </c>
      <c r="AB84" s="102">
        <f t="shared" si="68"/>
        <v>0</v>
      </c>
      <c r="AC84" s="102">
        <f t="shared" si="69"/>
        <v>0</v>
      </c>
      <c r="AD84" s="102">
        <f t="shared" si="69"/>
        <v>0</v>
      </c>
      <c r="AE84" s="102">
        <f t="shared" si="69"/>
        <v>0</v>
      </c>
      <c r="AF84" s="102">
        <f t="shared" si="69"/>
        <v>0</v>
      </c>
      <c r="AG84" s="102">
        <f t="shared" si="69"/>
        <v>0</v>
      </c>
      <c r="AH84" s="126">
        <f t="shared" si="53"/>
        <v>0</v>
      </c>
      <c r="AI84" s="103">
        <f t="shared" si="54"/>
        <v>0</v>
      </c>
      <c r="AJ84" s="86"/>
      <c r="AM84" s="98">
        <v>5</v>
      </c>
      <c r="AN84" s="98">
        <v>1</v>
      </c>
      <c r="AO84" s="128">
        <f>+AN84*AI84</f>
        <v>0</v>
      </c>
      <c r="AP84" s="128"/>
      <c r="AR84" s="89">
        <f t="shared" ca="1" si="62"/>
        <v>173.50852075142632</v>
      </c>
      <c r="AS84" s="90">
        <f t="shared" ca="1" si="70"/>
        <v>0</v>
      </c>
      <c r="AT84" s="90">
        <f t="shared" ca="1" si="57"/>
        <v>0</v>
      </c>
      <c r="AV84" s="403">
        <f t="shared" ca="1" si="64"/>
        <v>0</v>
      </c>
      <c r="AW84" s="403">
        <f t="shared" ca="1" si="65"/>
        <v>0</v>
      </c>
    </row>
    <row r="85" spans="1:49">
      <c r="A85" s="38" t="str">
        <f t="shared" si="58"/>
        <v>Lewis County UTCDEL2TEMP-COMM</v>
      </c>
      <c r="B85" s="38">
        <f t="shared" si="59"/>
        <v>1</v>
      </c>
      <c r="C85" s="97" t="s">
        <v>376</v>
      </c>
      <c r="D85" s="97" t="s">
        <v>377</v>
      </c>
      <c r="E85" s="69">
        <v>21.95</v>
      </c>
      <c r="F85" s="69">
        <v>21.85</v>
      </c>
      <c r="G85" s="69" t="s">
        <v>368</v>
      </c>
      <c r="H85" s="88">
        <v>131.69999999999999</v>
      </c>
      <c r="I85" s="88">
        <v>65.849999999999994</v>
      </c>
      <c r="J85" s="88">
        <v>43.9</v>
      </c>
      <c r="K85" s="88">
        <v>131.69999999999999</v>
      </c>
      <c r="L85" s="88">
        <v>153.64999999999998</v>
      </c>
      <c r="M85" s="88">
        <v>241.45</v>
      </c>
      <c r="N85" s="88">
        <v>109.75</v>
      </c>
      <c r="O85" s="88">
        <v>241.45</v>
      </c>
      <c r="P85" s="88">
        <v>109.45</v>
      </c>
      <c r="Q85" s="88">
        <v>43.7</v>
      </c>
      <c r="R85" s="88">
        <v>43.7</v>
      </c>
      <c r="S85" s="88">
        <v>0</v>
      </c>
      <c r="T85" s="88">
        <f t="shared" si="60"/>
        <v>1316.3000000000002</v>
      </c>
      <c r="U85" s="88"/>
      <c r="V85" s="86">
        <f t="shared" si="68"/>
        <v>6</v>
      </c>
      <c r="W85" s="86">
        <f t="shared" si="68"/>
        <v>3</v>
      </c>
      <c r="X85" s="86">
        <f t="shared" si="68"/>
        <v>2</v>
      </c>
      <c r="Y85" s="86">
        <f t="shared" si="68"/>
        <v>6</v>
      </c>
      <c r="Z85" s="86">
        <f t="shared" si="68"/>
        <v>6.9999999999999991</v>
      </c>
      <c r="AA85" s="86">
        <f t="shared" si="68"/>
        <v>11</v>
      </c>
      <c r="AB85" s="86">
        <f t="shared" si="68"/>
        <v>5</v>
      </c>
      <c r="AC85" s="86">
        <f t="shared" si="69"/>
        <v>11.050343249427916</v>
      </c>
      <c r="AD85" s="86">
        <f t="shared" si="69"/>
        <v>5.0091533180778027</v>
      </c>
      <c r="AE85" s="86">
        <f t="shared" si="69"/>
        <v>2</v>
      </c>
      <c r="AF85" s="86">
        <f t="shared" si="69"/>
        <v>2</v>
      </c>
      <c r="AG85" s="86">
        <f t="shared" si="69"/>
        <v>0</v>
      </c>
      <c r="AH85" s="70">
        <f t="shared" si="53"/>
        <v>60.059496567505718</v>
      </c>
      <c r="AI85" s="70">
        <f t="shared" si="54"/>
        <v>5.0049580472921429</v>
      </c>
      <c r="AR85" s="89">
        <f t="shared" ca="1" si="62"/>
        <v>22.961426796794044</v>
      </c>
      <c r="AS85" s="90">
        <f t="shared" ca="1" si="70"/>
        <v>1379.0517338870857</v>
      </c>
      <c r="AT85" s="90">
        <f t="shared" ca="1" si="57"/>
        <v>62.751733887085493</v>
      </c>
      <c r="AV85" s="403">
        <f t="shared" ca="1" si="64"/>
        <v>5.3485647500228017</v>
      </c>
      <c r="AW85" s="403">
        <f t="shared" ca="1" si="65"/>
        <v>1384.4002986371086</v>
      </c>
    </row>
    <row r="86" spans="1:49">
      <c r="A86" s="38" t="str">
        <f t="shared" si="58"/>
        <v>Lewis County UTCDEL3TEMP-COMM</v>
      </c>
      <c r="B86" s="38">
        <f t="shared" si="59"/>
        <v>1</v>
      </c>
      <c r="C86" s="97" t="s">
        <v>378</v>
      </c>
      <c r="D86" s="97" t="s">
        <v>379</v>
      </c>
      <c r="E86" s="69">
        <v>32.39</v>
      </c>
      <c r="F86" s="69">
        <v>32.25</v>
      </c>
      <c r="G86" s="69" t="s">
        <v>368</v>
      </c>
      <c r="H86" s="88">
        <v>0</v>
      </c>
      <c r="I86" s="88">
        <v>0</v>
      </c>
      <c r="J86" s="88">
        <v>97.17</v>
      </c>
      <c r="K86" s="88">
        <v>0</v>
      </c>
      <c r="L86" s="88">
        <v>129.56</v>
      </c>
      <c r="M86" s="88">
        <v>0</v>
      </c>
      <c r="N86" s="88">
        <v>32.39</v>
      </c>
      <c r="O86" s="88">
        <v>32.39</v>
      </c>
      <c r="P86" s="88">
        <v>32.25</v>
      </c>
      <c r="Q86" s="88">
        <v>32.25</v>
      </c>
      <c r="R86" s="88">
        <v>0</v>
      </c>
      <c r="S86" s="88">
        <v>0</v>
      </c>
      <c r="T86" s="88">
        <f t="shared" si="60"/>
        <v>356.01</v>
      </c>
      <c r="U86" s="88"/>
      <c r="V86" s="86">
        <f t="shared" si="68"/>
        <v>0</v>
      </c>
      <c r="W86" s="86">
        <f t="shared" si="68"/>
        <v>0</v>
      </c>
      <c r="X86" s="86">
        <f t="shared" si="68"/>
        <v>3</v>
      </c>
      <c r="Y86" s="86">
        <f t="shared" si="68"/>
        <v>0</v>
      </c>
      <c r="Z86" s="86">
        <f t="shared" si="68"/>
        <v>4</v>
      </c>
      <c r="AA86" s="86">
        <f t="shared" si="68"/>
        <v>0</v>
      </c>
      <c r="AB86" s="86">
        <f t="shared" si="68"/>
        <v>1</v>
      </c>
      <c r="AC86" s="86">
        <f t="shared" si="69"/>
        <v>1.0043410852713179</v>
      </c>
      <c r="AD86" s="86">
        <f t="shared" si="69"/>
        <v>1</v>
      </c>
      <c r="AE86" s="86">
        <f t="shared" si="69"/>
        <v>1</v>
      </c>
      <c r="AF86" s="86">
        <f t="shared" si="69"/>
        <v>0</v>
      </c>
      <c r="AG86" s="86">
        <f t="shared" si="69"/>
        <v>0</v>
      </c>
      <c r="AH86" s="70">
        <f t="shared" si="53"/>
        <v>11.004341085271317</v>
      </c>
      <c r="AI86" s="70">
        <f t="shared" si="54"/>
        <v>0.91702842377260974</v>
      </c>
      <c r="AR86" s="89">
        <f t="shared" ca="1" si="62"/>
        <v>33.890435432339032</v>
      </c>
      <c r="AS86" s="90">
        <f t="shared" ca="1" si="70"/>
        <v>372.94191102582317</v>
      </c>
      <c r="AT86" s="90">
        <f t="shared" ca="1" si="57"/>
        <v>16.931911025823183</v>
      </c>
      <c r="AV86" s="403">
        <f t="shared" ca="1" si="64"/>
        <v>1.4464315660562308</v>
      </c>
      <c r="AW86" s="403">
        <f t="shared" ca="1" si="65"/>
        <v>374.38834259187939</v>
      </c>
    </row>
    <row r="87" spans="1:49">
      <c r="A87" s="38" t="str">
        <f t="shared" si="58"/>
        <v>Lewis County UTCDEL4TEMP-COMM</v>
      </c>
      <c r="B87" s="38">
        <f t="shared" si="59"/>
        <v>1</v>
      </c>
      <c r="C87" s="97" t="s">
        <v>380</v>
      </c>
      <c r="D87" s="97" t="s">
        <v>381</v>
      </c>
      <c r="E87" s="69">
        <v>32.39</v>
      </c>
      <c r="F87" s="69">
        <v>32.25</v>
      </c>
      <c r="G87" s="69" t="s">
        <v>368</v>
      </c>
      <c r="H87" s="88">
        <v>32.39</v>
      </c>
      <c r="I87" s="88">
        <v>32.39</v>
      </c>
      <c r="J87" s="88">
        <v>32.39</v>
      </c>
      <c r="K87" s="88">
        <v>32.39</v>
      </c>
      <c r="L87" s="88">
        <v>0</v>
      </c>
      <c r="M87" s="88">
        <v>0</v>
      </c>
      <c r="N87" s="88">
        <v>64.78</v>
      </c>
      <c r="O87" s="88">
        <v>194.33999999999997</v>
      </c>
      <c r="P87" s="88">
        <v>193.92</v>
      </c>
      <c r="Q87" s="88">
        <v>0</v>
      </c>
      <c r="R87" s="88">
        <v>0</v>
      </c>
      <c r="S87" s="88">
        <v>32.25</v>
      </c>
      <c r="T87" s="88">
        <f t="shared" si="60"/>
        <v>614.84999999999991</v>
      </c>
      <c r="U87" s="88"/>
      <c r="V87" s="86">
        <f t="shared" si="68"/>
        <v>1</v>
      </c>
      <c r="W87" s="86">
        <f t="shared" si="68"/>
        <v>1</v>
      </c>
      <c r="X87" s="86">
        <f t="shared" si="68"/>
        <v>1</v>
      </c>
      <c r="Y87" s="86">
        <f t="shared" si="68"/>
        <v>1</v>
      </c>
      <c r="Z87" s="86">
        <f t="shared" si="68"/>
        <v>0</v>
      </c>
      <c r="AA87" s="86">
        <f t="shared" si="68"/>
        <v>0</v>
      </c>
      <c r="AB87" s="86">
        <f t="shared" si="68"/>
        <v>2</v>
      </c>
      <c r="AC87" s="86">
        <f t="shared" si="69"/>
        <v>6.0260465116279063</v>
      </c>
      <c r="AD87" s="86">
        <f t="shared" si="69"/>
        <v>6.0130232558139527</v>
      </c>
      <c r="AE87" s="86">
        <f t="shared" si="69"/>
        <v>0</v>
      </c>
      <c r="AF87" s="86">
        <f t="shared" si="69"/>
        <v>0</v>
      </c>
      <c r="AG87" s="86">
        <f t="shared" si="69"/>
        <v>1</v>
      </c>
      <c r="AH87" s="70">
        <f t="shared" si="53"/>
        <v>19.039069767441859</v>
      </c>
      <c r="AI87" s="70">
        <f t="shared" si="54"/>
        <v>1.5865891472868217</v>
      </c>
      <c r="AR87" s="89">
        <f t="shared" ca="1" si="62"/>
        <v>33.890435432339032</v>
      </c>
      <c r="AS87" s="90">
        <f t="shared" ca="1" si="70"/>
        <v>645.24236464528644</v>
      </c>
      <c r="AT87" s="90">
        <f t="shared" ca="1" si="57"/>
        <v>30.392364645286534</v>
      </c>
      <c r="AV87" s="403">
        <f t="shared" ca="1" si="64"/>
        <v>2.5025316178933932</v>
      </c>
      <c r="AW87" s="403">
        <f t="shared" ca="1" si="65"/>
        <v>647.74489626317984</v>
      </c>
    </row>
    <row r="88" spans="1:49">
      <c r="A88" s="38" t="str">
        <f t="shared" si="58"/>
        <v>Lewis County UTCDEL5TEMP-COMM</v>
      </c>
      <c r="B88" s="38">
        <f t="shared" si="59"/>
        <v>1</v>
      </c>
      <c r="C88" s="97" t="s">
        <v>382</v>
      </c>
      <c r="D88" s="97" t="s">
        <v>383</v>
      </c>
      <c r="E88" s="69">
        <v>32.39</v>
      </c>
      <c r="F88" s="69">
        <v>32.25</v>
      </c>
      <c r="G88" s="69" t="s">
        <v>368</v>
      </c>
      <c r="H88" s="88">
        <v>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0</v>
      </c>
      <c r="O88" s="88">
        <v>0</v>
      </c>
      <c r="P88" s="88">
        <v>0</v>
      </c>
      <c r="Q88" s="88">
        <v>0</v>
      </c>
      <c r="R88" s="88">
        <v>0</v>
      </c>
      <c r="S88" s="88">
        <v>0</v>
      </c>
      <c r="T88" s="88">
        <f t="shared" si="60"/>
        <v>0</v>
      </c>
      <c r="U88" s="88"/>
      <c r="V88" s="86">
        <f t="shared" si="68"/>
        <v>0</v>
      </c>
      <c r="W88" s="86">
        <f t="shared" si="68"/>
        <v>0</v>
      </c>
      <c r="X88" s="86">
        <f t="shared" si="68"/>
        <v>0</v>
      </c>
      <c r="Y88" s="86">
        <f t="shared" si="68"/>
        <v>0</v>
      </c>
      <c r="Z88" s="86">
        <f t="shared" si="68"/>
        <v>0</v>
      </c>
      <c r="AA88" s="86">
        <f t="shared" si="68"/>
        <v>0</v>
      </c>
      <c r="AB88" s="86">
        <f t="shared" si="68"/>
        <v>0</v>
      </c>
      <c r="AC88" s="86">
        <f t="shared" si="69"/>
        <v>0</v>
      </c>
      <c r="AD88" s="86">
        <f t="shared" si="69"/>
        <v>0</v>
      </c>
      <c r="AE88" s="86">
        <f t="shared" si="69"/>
        <v>0</v>
      </c>
      <c r="AF88" s="86">
        <f t="shared" si="69"/>
        <v>0</v>
      </c>
      <c r="AG88" s="86">
        <f t="shared" si="69"/>
        <v>0</v>
      </c>
      <c r="AH88" s="70">
        <f t="shared" si="53"/>
        <v>0</v>
      </c>
      <c r="AI88" s="70">
        <f t="shared" si="54"/>
        <v>0</v>
      </c>
      <c r="AR88" s="89">
        <f t="shared" ca="1" si="62"/>
        <v>33.890435432339032</v>
      </c>
      <c r="AS88" s="90">
        <f t="shared" ca="1" si="70"/>
        <v>0</v>
      </c>
      <c r="AT88" s="90">
        <f t="shared" ca="1" si="57"/>
        <v>0</v>
      </c>
      <c r="AV88" s="403">
        <f t="shared" ca="1" si="64"/>
        <v>0</v>
      </c>
      <c r="AW88" s="403">
        <f t="shared" ca="1" si="65"/>
        <v>0</v>
      </c>
    </row>
    <row r="89" spans="1:49">
      <c r="A89" s="38" t="str">
        <f t="shared" si="58"/>
        <v>Lewis County UTCDEL6TEMP-COMM</v>
      </c>
      <c r="B89" s="38">
        <f t="shared" si="59"/>
        <v>1</v>
      </c>
      <c r="C89" s="97" t="s">
        <v>384</v>
      </c>
      <c r="D89" s="97" t="s">
        <v>385</v>
      </c>
      <c r="E89" s="69">
        <v>32.39</v>
      </c>
      <c r="F89" s="69">
        <v>32.25</v>
      </c>
      <c r="G89" s="69" t="s">
        <v>368</v>
      </c>
      <c r="H89" s="88">
        <v>64.78</v>
      </c>
      <c r="I89" s="88">
        <v>97.17</v>
      </c>
      <c r="J89" s="88">
        <v>161.94999999999999</v>
      </c>
      <c r="K89" s="88">
        <v>161.94999999999999</v>
      </c>
      <c r="L89" s="88">
        <v>712.57999999999993</v>
      </c>
      <c r="M89" s="88">
        <v>356.28999999999996</v>
      </c>
      <c r="N89" s="88">
        <v>712.57999999999993</v>
      </c>
      <c r="O89" s="88">
        <v>518.24</v>
      </c>
      <c r="P89" s="88">
        <v>161.38999999999999</v>
      </c>
      <c r="Q89" s="88">
        <v>96.75</v>
      </c>
      <c r="R89" s="88">
        <v>64.5</v>
      </c>
      <c r="S89" s="88">
        <v>161.25</v>
      </c>
      <c r="T89" s="88">
        <f t="shared" si="60"/>
        <v>3269.43</v>
      </c>
      <c r="U89" s="88"/>
      <c r="V89" s="86">
        <f t="shared" si="68"/>
        <v>2</v>
      </c>
      <c r="W89" s="86">
        <f t="shared" si="68"/>
        <v>3</v>
      </c>
      <c r="X89" s="86">
        <f t="shared" si="68"/>
        <v>5</v>
      </c>
      <c r="Y89" s="86">
        <f t="shared" si="68"/>
        <v>5</v>
      </c>
      <c r="Z89" s="86">
        <f t="shared" si="68"/>
        <v>21.999999999999996</v>
      </c>
      <c r="AA89" s="86">
        <f t="shared" si="68"/>
        <v>10.999999999999998</v>
      </c>
      <c r="AB89" s="86">
        <f t="shared" si="68"/>
        <v>21.999999999999996</v>
      </c>
      <c r="AC89" s="86">
        <f t="shared" si="69"/>
        <v>16.069457364341087</v>
      </c>
      <c r="AD89" s="86">
        <f t="shared" si="69"/>
        <v>5.0043410852713173</v>
      </c>
      <c r="AE89" s="86">
        <f t="shared" si="69"/>
        <v>3</v>
      </c>
      <c r="AF89" s="86">
        <f t="shared" si="69"/>
        <v>2</v>
      </c>
      <c r="AG89" s="86">
        <f t="shared" si="69"/>
        <v>5</v>
      </c>
      <c r="AH89" s="70">
        <f t="shared" si="53"/>
        <v>101.07379844961241</v>
      </c>
      <c r="AI89" s="70">
        <f t="shared" si="54"/>
        <v>8.4228165374677015</v>
      </c>
      <c r="AR89" s="89">
        <f t="shared" ca="1" si="62"/>
        <v>33.890435432339032</v>
      </c>
      <c r="AS89" s="90">
        <f t="shared" ca="1" si="70"/>
        <v>3425.4350402578384</v>
      </c>
      <c r="AT89" s="90">
        <f t="shared" ca="1" si="57"/>
        <v>156.00504025783857</v>
      </c>
      <c r="AV89" s="403">
        <f t="shared" ca="1" si="64"/>
        <v>13.285332710597292</v>
      </c>
      <c r="AW89" s="403">
        <f t="shared" ca="1" si="65"/>
        <v>3438.7203729684356</v>
      </c>
    </row>
    <row r="90" spans="1:49">
      <c r="A90" s="38" t="str">
        <f t="shared" si="58"/>
        <v>Lewis County UTCDISP-COMM</v>
      </c>
      <c r="B90" s="38">
        <f t="shared" si="59"/>
        <v>1</v>
      </c>
      <c r="C90" s="97" t="s">
        <v>386</v>
      </c>
      <c r="D90" s="97" t="s">
        <v>387</v>
      </c>
      <c r="E90" s="69">
        <v>100</v>
      </c>
      <c r="F90" s="69">
        <v>100</v>
      </c>
      <c r="G90" s="96" t="s">
        <v>234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f t="shared" si="60"/>
        <v>0</v>
      </c>
      <c r="U90" s="88"/>
      <c r="V90" s="86">
        <f t="shared" si="68"/>
        <v>0</v>
      </c>
      <c r="W90" s="86">
        <f t="shared" si="68"/>
        <v>0</v>
      </c>
      <c r="X90" s="86">
        <f t="shared" si="68"/>
        <v>0</v>
      </c>
      <c r="Y90" s="86">
        <f t="shared" si="68"/>
        <v>0</v>
      </c>
      <c r="Z90" s="86">
        <f t="shared" si="68"/>
        <v>0</v>
      </c>
      <c r="AA90" s="86">
        <f t="shared" si="68"/>
        <v>0</v>
      </c>
      <c r="AB90" s="86">
        <f t="shared" si="68"/>
        <v>0</v>
      </c>
      <c r="AC90" s="86">
        <f t="shared" si="69"/>
        <v>0</v>
      </c>
      <c r="AD90" s="86">
        <f t="shared" si="69"/>
        <v>0</v>
      </c>
      <c r="AE90" s="86">
        <f t="shared" si="69"/>
        <v>0</v>
      </c>
      <c r="AF90" s="86">
        <f t="shared" si="69"/>
        <v>0</v>
      </c>
      <c r="AG90" s="86">
        <f t="shared" si="69"/>
        <v>0</v>
      </c>
      <c r="AH90" s="70">
        <f t="shared" si="53"/>
        <v>0</v>
      </c>
      <c r="AI90" s="70">
        <f t="shared" si="54"/>
        <v>0</v>
      </c>
      <c r="AR90" s="89">
        <f t="shared" ca="1" si="62"/>
        <v>105.08662149562491</v>
      </c>
      <c r="AS90" s="90">
        <f t="shared" ca="1" si="70"/>
        <v>0</v>
      </c>
      <c r="AT90" s="90">
        <f t="shared" ca="1" si="57"/>
        <v>0</v>
      </c>
      <c r="AV90" s="403">
        <f t="shared" ca="1" si="64"/>
        <v>0</v>
      </c>
      <c r="AW90" s="403">
        <f t="shared" ca="1" si="65"/>
        <v>0</v>
      </c>
    </row>
    <row r="91" spans="1:49">
      <c r="A91" s="38" t="str">
        <f t="shared" si="58"/>
        <v>Lewis County UTCDRIVEIN-COMM</v>
      </c>
      <c r="B91" s="38">
        <f t="shared" si="59"/>
        <v>1</v>
      </c>
      <c r="C91" s="97" t="s">
        <v>388</v>
      </c>
      <c r="D91" s="97" t="s">
        <v>389</v>
      </c>
      <c r="E91" s="69">
        <v>7.36</v>
      </c>
      <c r="F91" s="69">
        <v>7.32</v>
      </c>
      <c r="G91" s="69" t="s">
        <v>237</v>
      </c>
      <c r="H91" s="88">
        <v>73.599999999999994</v>
      </c>
      <c r="I91" s="88">
        <v>73.599999999999994</v>
      </c>
      <c r="J91" s="88">
        <v>73.599999999999994</v>
      </c>
      <c r="K91" s="88">
        <v>73.599999999999994</v>
      </c>
      <c r="L91" s="88">
        <v>73.599999999999994</v>
      </c>
      <c r="M91" s="88">
        <v>73.599999999999994</v>
      </c>
      <c r="N91" s="88">
        <v>73.599999999999994</v>
      </c>
      <c r="O91" s="88">
        <v>73.599999999999994</v>
      </c>
      <c r="P91" s="88">
        <v>73.199999999999989</v>
      </c>
      <c r="Q91" s="88">
        <v>73.199999999999989</v>
      </c>
      <c r="R91" s="88">
        <v>73.199999999999989</v>
      </c>
      <c r="S91" s="88">
        <v>73.199999999999989</v>
      </c>
      <c r="T91" s="88">
        <f t="shared" si="60"/>
        <v>881.60000000000014</v>
      </c>
      <c r="U91" s="88"/>
      <c r="V91" s="86">
        <f t="shared" si="68"/>
        <v>9.9999999999999982</v>
      </c>
      <c r="W91" s="86">
        <f t="shared" si="68"/>
        <v>9.9999999999999982</v>
      </c>
      <c r="X91" s="86">
        <f t="shared" si="68"/>
        <v>9.9999999999999982</v>
      </c>
      <c r="Y91" s="86">
        <f t="shared" si="68"/>
        <v>9.9999999999999982</v>
      </c>
      <c r="Z91" s="86">
        <f t="shared" si="68"/>
        <v>9.9999999999999982</v>
      </c>
      <c r="AA91" s="86">
        <f t="shared" si="68"/>
        <v>9.9999999999999982</v>
      </c>
      <c r="AB91" s="86">
        <f t="shared" si="68"/>
        <v>9.9999999999999982</v>
      </c>
      <c r="AC91" s="86">
        <f t="shared" si="69"/>
        <v>10.054644808743168</v>
      </c>
      <c r="AD91" s="86">
        <f t="shared" si="69"/>
        <v>9.9999999999999982</v>
      </c>
      <c r="AE91" s="86">
        <f t="shared" si="69"/>
        <v>9.9999999999999982</v>
      </c>
      <c r="AF91" s="86">
        <f t="shared" si="69"/>
        <v>9.9999999999999982</v>
      </c>
      <c r="AG91" s="86">
        <f t="shared" si="69"/>
        <v>9.9999999999999982</v>
      </c>
      <c r="AH91" s="70">
        <f t="shared" si="53"/>
        <v>120.05464480874315</v>
      </c>
      <c r="AI91" s="70">
        <f t="shared" si="54"/>
        <v>10.004553734061929</v>
      </c>
      <c r="AR91" s="89">
        <f t="shared" ca="1" si="62"/>
        <v>7.6923406934797436</v>
      </c>
      <c r="AS91" s="90">
        <f t="shared" ca="1" si="70"/>
        <v>923.50122970355164</v>
      </c>
      <c r="AT91" s="90">
        <f t="shared" ca="1" si="57"/>
        <v>41.901229703551508</v>
      </c>
      <c r="AV91" s="403">
        <f t="shared" ca="1" si="64"/>
        <v>3.5817409908710185</v>
      </c>
      <c r="AW91" s="403">
        <f t="shared" ca="1" si="65"/>
        <v>927.08297069442267</v>
      </c>
    </row>
    <row r="92" spans="1:49">
      <c r="A92" s="38" t="str">
        <f t="shared" si="58"/>
        <v>Lewis County UTCEXTRA-COMM</v>
      </c>
      <c r="B92" s="38">
        <f t="shared" si="59"/>
        <v>1</v>
      </c>
      <c r="C92" s="97" t="s">
        <v>390</v>
      </c>
      <c r="D92" s="97" t="s">
        <v>391</v>
      </c>
      <c r="E92" s="69">
        <v>4.84</v>
      </c>
      <c r="F92" s="69">
        <v>4.82</v>
      </c>
      <c r="G92" s="69" t="s">
        <v>357</v>
      </c>
      <c r="H92" s="88">
        <v>0</v>
      </c>
      <c r="I92" s="88">
        <v>0</v>
      </c>
      <c r="J92" s="88">
        <v>0</v>
      </c>
      <c r="K92" s="88">
        <v>145.19999999999999</v>
      </c>
      <c r="L92" s="88">
        <v>0</v>
      </c>
      <c r="M92" s="88">
        <v>14.52</v>
      </c>
      <c r="N92" s="88">
        <v>0</v>
      </c>
      <c r="O92" s="88">
        <v>0</v>
      </c>
      <c r="P92" s="88">
        <v>14.46</v>
      </c>
      <c r="Q92" s="88">
        <v>0</v>
      </c>
      <c r="R92" s="88">
        <v>0</v>
      </c>
      <c r="S92" s="88">
        <v>0</v>
      </c>
      <c r="T92" s="88">
        <f t="shared" si="60"/>
        <v>174.18</v>
      </c>
      <c r="U92" s="88"/>
      <c r="V92" s="86">
        <f t="shared" si="68"/>
        <v>0</v>
      </c>
      <c r="W92" s="86">
        <f t="shared" si="68"/>
        <v>0</v>
      </c>
      <c r="X92" s="86">
        <f t="shared" si="68"/>
        <v>0</v>
      </c>
      <c r="Y92" s="86">
        <f t="shared" si="68"/>
        <v>30</v>
      </c>
      <c r="Z92" s="86">
        <f t="shared" si="68"/>
        <v>0</v>
      </c>
      <c r="AA92" s="86">
        <f t="shared" si="68"/>
        <v>3</v>
      </c>
      <c r="AB92" s="86">
        <f t="shared" si="68"/>
        <v>0</v>
      </c>
      <c r="AC92" s="86">
        <f t="shared" si="69"/>
        <v>0</v>
      </c>
      <c r="AD92" s="86">
        <f t="shared" si="69"/>
        <v>3</v>
      </c>
      <c r="AE92" s="86">
        <f t="shared" si="69"/>
        <v>0</v>
      </c>
      <c r="AF92" s="86">
        <f t="shared" si="69"/>
        <v>0</v>
      </c>
      <c r="AG92" s="86">
        <f t="shared" si="69"/>
        <v>0</v>
      </c>
      <c r="AH92" s="126">
        <f t="shared" si="53"/>
        <v>36</v>
      </c>
      <c r="AI92" s="70">
        <f t="shared" si="54"/>
        <v>3</v>
      </c>
      <c r="AJ92" s="86"/>
      <c r="AR92" s="89">
        <f t="shared" ca="1" si="62"/>
        <v>5.0651751560891212</v>
      </c>
      <c r="AS92" s="90">
        <f t="shared" ca="1" si="70"/>
        <v>182.34630561920835</v>
      </c>
      <c r="AT92" s="90">
        <f t="shared" ca="1" si="57"/>
        <v>8.1663056192083445</v>
      </c>
      <c r="AV92" s="403">
        <f t="shared" ca="1" si="64"/>
        <v>0.70721858982241603</v>
      </c>
      <c r="AW92" s="403">
        <f t="shared" ca="1" si="65"/>
        <v>183.05352420903077</v>
      </c>
    </row>
    <row r="93" spans="1:49">
      <c r="A93" s="38" t="str">
        <f t="shared" si="58"/>
        <v>Lewis County UTCEXTRAYDG-COM</v>
      </c>
      <c r="B93" s="38">
        <f t="shared" si="59"/>
        <v>1</v>
      </c>
      <c r="C93" s="97" t="s">
        <v>392</v>
      </c>
      <c r="D93" s="97" t="s">
        <v>393</v>
      </c>
      <c r="E93" s="69">
        <v>32.630000000000003</v>
      </c>
      <c r="F93" s="69">
        <v>32.49</v>
      </c>
      <c r="G93" s="69" t="s">
        <v>231</v>
      </c>
      <c r="H93" s="88">
        <v>1902.35</v>
      </c>
      <c r="I93" s="88">
        <v>290.41000000000003</v>
      </c>
      <c r="J93" s="88">
        <v>936.49999999999989</v>
      </c>
      <c r="K93" s="88">
        <v>336.08</v>
      </c>
      <c r="L93" s="88">
        <v>1501.01</v>
      </c>
      <c r="M93" s="88">
        <v>1292.1499999999999</v>
      </c>
      <c r="N93" s="88">
        <v>926.67</v>
      </c>
      <c r="O93" s="88">
        <v>1606.97</v>
      </c>
      <c r="P93" s="88">
        <v>971.97</v>
      </c>
      <c r="Q93" s="88">
        <v>753.82999999999993</v>
      </c>
      <c r="R93" s="88">
        <v>1091.74</v>
      </c>
      <c r="S93" s="88">
        <v>1052.74</v>
      </c>
      <c r="T93" s="88">
        <f t="shared" si="60"/>
        <v>12662.419999999998</v>
      </c>
      <c r="U93" s="88"/>
      <c r="V93" s="86">
        <f t="shared" si="68"/>
        <v>58.300643579528035</v>
      </c>
      <c r="W93" s="86">
        <f t="shared" si="68"/>
        <v>8.9000919399325777</v>
      </c>
      <c r="X93" s="86">
        <f t="shared" si="68"/>
        <v>28.700582286239651</v>
      </c>
      <c r="Y93" s="86">
        <f t="shared" si="68"/>
        <v>10.299724180202267</v>
      </c>
      <c r="Z93" s="86">
        <f t="shared" si="68"/>
        <v>46.000919399325767</v>
      </c>
      <c r="AA93" s="86">
        <f t="shared" si="68"/>
        <v>39.600061293288377</v>
      </c>
      <c r="AB93" s="86">
        <f t="shared" si="68"/>
        <v>28.399325773827762</v>
      </c>
      <c r="AC93" s="86">
        <f t="shared" si="69"/>
        <v>49.460449369036624</v>
      </c>
      <c r="AD93" s="86">
        <f t="shared" si="69"/>
        <v>29.915974145891042</v>
      </c>
      <c r="AE93" s="86">
        <f t="shared" si="69"/>
        <v>23.201908279470604</v>
      </c>
      <c r="AF93" s="86">
        <f t="shared" si="69"/>
        <v>33.602339181286546</v>
      </c>
      <c r="AG93" s="86">
        <f t="shared" si="69"/>
        <v>32.40196983687288</v>
      </c>
      <c r="AH93" s="126">
        <f t="shared" si="53"/>
        <v>388.78398926490212</v>
      </c>
      <c r="AI93" s="70">
        <f t="shared" si="54"/>
        <v>32.398665772075177</v>
      </c>
      <c r="AJ93" s="86"/>
      <c r="AR93" s="89">
        <f t="shared" ca="1" si="62"/>
        <v>34.142643323928539</v>
      </c>
      <c r="AS93" s="90">
        <f t="shared" ca="1" si="70"/>
        <v>13274.113075525616</v>
      </c>
      <c r="AT93" s="90">
        <f t="shared" ca="1" si="57"/>
        <v>611.69307552561804</v>
      </c>
      <c r="AV93" s="403">
        <f t="shared" ca="1" si="64"/>
        <v>51.482806292882856</v>
      </c>
      <c r="AW93" s="403">
        <f t="shared" ca="1" si="65"/>
        <v>13325.595881818499</v>
      </c>
    </row>
    <row r="94" spans="1:49" s="98" customFormat="1">
      <c r="A94" s="98" t="str">
        <f t="shared" si="58"/>
        <v>Lewis County UTCFL001.0Y1W001</v>
      </c>
      <c r="B94" s="98">
        <f t="shared" si="59"/>
        <v>1</v>
      </c>
      <c r="C94" s="127" t="s">
        <v>394</v>
      </c>
      <c r="D94" s="127" t="s">
        <v>395</v>
      </c>
      <c r="E94" s="100">
        <v>88.3</v>
      </c>
      <c r="F94" s="100">
        <v>87.92</v>
      </c>
      <c r="G94" s="100" t="s">
        <v>368</v>
      </c>
      <c r="H94" s="101">
        <v>2030.8999999999999</v>
      </c>
      <c r="I94" s="101">
        <v>2030.8999999999999</v>
      </c>
      <c r="J94" s="101">
        <v>2075.0500000000002</v>
      </c>
      <c r="K94" s="101">
        <v>2030.8999999999999</v>
      </c>
      <c r="L94" s="101">
        <v>2030.8999999999999</v>
      </c>
      <c r="M94" s="101">
        <v>1942.6</v>
      </c>
      <c r="N94" s="101">
        <v>1765.99</v>
      </c>
      <c r="O94" s="101">
        <v>2057.39</v>
      </c>
      <c r="P94" s="101">
        <v>2022.16</v>
      </c>
      <c r="Q94" s="101">
        <v>2022.16</v>
      </c>
      <c r="R94" s="101">
        <v>2022.16</v>
      </c>
      <c r="S94" s="101">
        <v>1956.22</v>
      </c>
      <c r="T94" s="101">
        <f t="shared" si="60"/>
        <v>23987.33</v>
      </c>
      <c r="U94" s="101"/>
      <c r="V94" s="102">
        <f t="shared" si="68"/>
        <v>23</v>
      </c>
      <c r="W94" s="102">
        <f t="shared" si="68"/>
        <v>23</v>
      </c>
      <c r="X94" s="102">
        <f t="shared" si="68"/>
        <v>23.500000000000004</v>
      </c>
      <c r="Y94" s="102">
        <f t="shared" si="68"/>
        <v>23</v>
      </c>
      <c r="Z94" s="102">
        <f t="shared" si="68"/>
        <v>23</v>
      </c>
      <c r="AA94" s="102">
        <f t="shared" si="68"/>
        <v>22</v>
      </c>
      <c r="AB94" s="102">
        <f t="shared" si="68"/>
        <v>19.999886749716875</v>
      </c>
      <c r="AC94" s="102">
        <f t="shared" si="69"/>
        <v>23.400705186533209</v>
      </c>
      <c r="AD94" s="102">
        <f t="shared" si="69"/>
        <v>23</v>
      </c>
      <c r="AE94" s="102">
        <f t="shared" si="69"/>
        <v>23</v>
      </c>
      <c r="AF94" s="102">
        <f t="shared" si="69"/>
        <v>23</v>
      </c>
      <c r="AG94" s="102">
        <f t="shared" si="69"/>
        <v>22.25</v>
      </c>
      <c r="AH94" s="126">
        <f t="shared" si="53"/>
        <v>272.15059193625007</v>
      </c>
      <c r="AI94" s="103">
        <f t="shared" si="54"/>
        <v>22.679215994687507</v>
      </c>
      <c r="AJ94" s="86"/>
      <c r="AM94" s="98">
        <v>1</v>
      </c>
      <c r="AN94" s="98">
        <v>1</v>
      </c>
      <c r="AO94" s="128">
        <f t="shared" ref="AO94:AO133" si="71">+AN94*AI94</f>
        <v>22.679215994687507</v>
      </c>
      <c r="AP94" s="129">
        <f t="shared" ref="AP94:AP132" si="72">+F94/4.33</f>
        <v>20.304849884526558</v>
      </c>
      <c r="AQ94" s="129">
        <f t="shared" ref="AQ94:AQ132" ca="1" si="73">+AR94/4.33</f>
        <v>21.337680743407255</v>
      </c>
      <c r="AR94" s="89">
        <f t="shared" ca="1" si="62"/>
        <v>92.392157618953419</v>
      </c>
      <c r="AS94" s="90">
        <f t="shared" ca="1" si="70"/>
        <v>25144.580386265494</v>
      </c>
      <c r="AT94" s="90">
        <f t="shared" ca="1" si="57"/>
        <v>1157.2503862654921</v>
      </c>
      <c r="AV94" s="403">
        <f t="shared" ca="1" si="64"/>
        <v>97.521661445592969</v>
      </c>
      <c r="AW94" s="403">
        <f t="shared" ca="1" si="65"/>
        <v>25242.102047711087</v>
      </c>
    </row>
    <row r="95" spans="1:49" s="98" customFormat="1">
      <c r="A95" s="98" t="str">
        <f t="shared" si="58"/>
        <v>Lewis County UTCFL001.0Y2W001</v>
      </c>
      <c r="B95" s="98">
        <f t="shared" si="59"/>
        <v>1</v>
      </c>
      <c r="C95" s="127" t="s">
        <v>396</v>
      </c>
      <c r="D95" s="127" t="s">
        <v>397</v>
      </c>
      <c r="E95" s="100">
        <v>169.36</v>
      </c>
      <c r="F95" s="100">
        <v>168.63</v>
      </c>
      <c r="G95" s="100" t="s">
        <v>368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150.54</v>
      </c>
      <c r="O95" s="101">
        <v>169.36</v>
      </c>
      <c r="P95" s="101">
        <v>168.63</v>
      </c>
      <c r="Q95" s="101">
        <v>168.63</v>
      </c>
      <c r="R95" s="101">
        <v>168.63</v>
      </c>
      <c r="S95" s="101">
        <v>168.63</v>
      </c>
      <c r="T95" s="101">
        <f t="shared" si="60"/>
        <v>994.42</v>
      </c>
      <c r="U95" s="101"/>
      <c r="V95" s="102">
        <f t="shared" si="68"/>
        <v>0</v>
      </c>
      <c r="W95" s="102">
        <f t="shared" si="68"/>
        <v>0</v>
      </c>
      <c r="X95" s="102">
        <f t="shared" si="68"/>
        <v>0</v>
      </c>
      <c r="Y95" s="102">
        <f t="shared" si="68"/>
        <v>0</v>
      </c>
      <c r="Z95" s="102">
        <f t="shared" si="68"/>
        <v>0</v>
      </c>
      <c r="AA95" s="102">
        <f t="shared" si="68"/>
        <v>0</v>
      </c>
      <c r="AB95" s="102">
        <f t="shared" si="68"/>
        <v>0.88887576759565412</v>
      </c>
      <c r="AC95" s="102">
        <f t="shared" si="69"/>
        <v>1.0043290043290045</v>
      </c>
      <c r="AD95" s="102">
        <f t="shared" si="69"/>
        <v>1</v>
      </c>
      <c r="AE95" s="102">
        <f t="shared" si="69"/>
        <v>1</v>
      </c>
      <c r="AF95" s="102">
        <f t="shared" si="69"/>
        <v>1</v>
      </c>
      <c r="AG95" s="102">
        <f t="shared" si="69"/>
        <v>1</v>
      </c>
      <c r="AH95" s="126">
        <f t="shared" si="53"/>
        <v>5.8932047719246583</v>
      </c>
      <c r="AI95" s="103">
        <f t="shared" si="54"/>
        <v>0.49110039766038821</v>
      </c>
      <c r="AJ95" s="86"/>
      <c r="AM95" s="98">
        <v>1</v>
      </c>
      <c r="AN95" s="98">
        <v>2</v>
      </c>
      <c r="AO95" s="128">
        <f t="shared" si="71"/>
        <v>0.98220079532077642</v>
      </c>
      <c r="AP95" s="129">
        <f t="shared" si="72"/>
        <v>38.944572748267895</v>
      </c>
      <c r="AQ95" s="129">
        <f t="shared" ca="1" si="73"/>
        <v>40.925535757060572</v>
      </c>
      <c r="AR95" s="89">
        <f t="shared" ca="1" si="62"/>
        <v>177.20756982807228</v>
      </c>
      <c r="AS95" s="90">
        <f t="shared" ca="1" si="70"/>
        <v>1044.3204961319677</v>
      </c>
      <c r="AT95" s="90">
        <f t="shared" ca="1" si="57"/>
        <v>49.90049613196777</v>
      </c>
      <c r="AV95" s="403">
        <f t="shared" ca="1" si="64"/>
        <v>4.0503308585775697</v>
      </c>
      <c r="AW95" s="403">
        <f t="shared" ca="1" si="65"/>
        <v>1048.3708269905453</v>
      </c>
    </row>
    <row r="96" spans="1:49" s="98" customFormat="1">
      <c r="A96" s="98" t="str">
        <f t="shared" si="58"/>
        <v>Lewis County UTCFL001.0Y3W001</v>
      </c>
      <c r="B96" s="98">
        <f t="shared" si="59"/>
        <v>1</v>
      </c>
      <c r="C96" s="127" t="s">
        <v>398</v>
      </c>
      <c r="D96" s="127" t="s">
        <v>399</v>
      </c>
      <c r="E96" s="100">
        <v>250.41</v>
      </c>
      <c r="F96" s="100">
        <v>249.34</v>
      </c>
      <c r="G96" s="100" t="s">
        <v>368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f t="shared" si="60"/>
        <v>0</v>
      </c>
      <c r="U96" s="101"/>
      <c r="V96" s="102">
        <f t="shared" si="68"/>
        <v>0</v>
      </c>
      <c r="W96" s="102">
        <f t="shared" si="68"/>
        <v>0</v>
      </c>
      <c r="X96" s="102">
        <f t="shared" si="68"/>
        <v>0</v>
      </c>
      <c r="Y96" s="102">
        <f t="shared" si="68"/>
        <v>0</v>
      </c>
      <c r="Z96" s="102">
        <f t="shared" si="68"/>
        <v>0</v>
      </c>
      <c r="AA96" s="102">
        <f t="shared" si="68"/>
        <v>0</v>
      </c>
      <c r="AB96" s="102">
        <f t="shared" si="68"/>
        <v>0</v>
      </c>
      <c r="AC96" s="102">
        <f t="shared" si="69"/>
        <v>0</v>
      </c>
      <c r="AD96" s="102">
        <f t="shared" si="69"/>
        <v>0</v>
      </c>
      <c r="AE96" s="102">
        <f t="shared" si="69"/>
        <v>0</v>
      </c>
      <c r="AF96" s="102">
        <f t="shared" si="69"/>
        <v>0</v>
      </c>
      <c r="AG96" s="102">
        <f t="shared" si="69"/>
        <v>0</v>
      </c>
      <c r="AH96" s="126">
        <f t="shared" si="53"/>
        <v>0</v>
      </c>
      <c r="AI96" s="103">
        <f t="shared" si="54"/>
        <v>0</v>
      </c>
      <c r="AJ96" s="86"/>
      <c r="AM96" s="98">
        <v>1</v>
      </c>
      <c r="AN96" s="98">
        <v>1</v>
      </c>
      <c r="AO96" s="128">
        <f t="shared" si="71"/>
        <v>0</v>
      </c>
      <c r="AP96" s="129">
        <f t="shared" si="72"/>
        <v>57.584295612009235</v>
      </c>
      <c r="AQ96" s="129">
        <f t="shared" ca="1" si="73"/>
        <v>60.513390770713883</v>
      </c>
      <c r="AR96" s="89">
        <f t="shared" ca="1" si="62"/>
        <v>262.02298203719113</v>
      </c>
      <c r="AS96" s="90">
        <f t="shared" ca="1" si="70"/>
        <v>0</v>
      </c>
      <c r="AT96" s="90">
        <f t="shared" ca="1" si="57"/>
        <v>0</v>
      </c>
      <c r="AV96" s="403">
        <f t="shared" ca="1" si="64"/>
        <v>0</v>
      </c>
      <c r="AW96" s="403">
        <f t="shared" ca="1" si="65"/>
        <v>0</v>
      </c>
    </row>
    <row r="97" spans="1:49" s="98" customFormat="1">
      <c r="A97" s="98" t="str">
        <f t="shared" si="58"/>
        <v>Lewis County UTCFL001.0YEO001</v>
      </c>
      <c r="B97" s="98">
        <f t="shared" si="59"/>
        <v>1</v>
      </c>
      <c r="C97" s="127" t="s">
        <v>400</v>
      </c>
      <c r="D97" s="127" t="s">
        <v>401</v>
      </c>
      <c r="E97" s="100">
        <v>47.86</v>
      </c>
      <c r="F97" s="100">
        <v>47.66</v>
      </c>
      <c r="G97" s="100" t="s">
        <v>368</v>
      </c>
      <c r="H97" s="101">
        <v>2775.88</v>
      </c>
      <c r="I97" s="101">
        <v>2775.88</v>
      </c>
      <c r="J97" s="101">
        <v>2728.0199999999995</v>
      </c>
      <c r="K97" s="101">
        <v>2919.46</v>
      </c>
      <c r="L97" s="101">
        <v>2919.46</v>
      </c>
      <c r="M97" s="101">
        <v>2919.46</v>
      </c>
      <c r="N97" s="101">
        <v>2799.81</v>
      </c>
      <c r="O97" s="101">
        <v>2823.74</v>
      </c>
      <c r="P97" s="101">
        <v>2811.94</v>
      </c>
      <c r="Q97" s="101">
        <v>2692.7900000000004</v>
      </c>
      <c r="R97" s="101">
        <v>2668.96</v>
      </c>
      <c r="S97" s="101">
        <v>2740.4500000000003</v>
      </c>
      <c r="T97" s="101">
        <f t="shared" si="60"/>
        <v>33575.85</v>
      </c>
      <c r="U97" s="101"/>
      <c r="V97" s="102">
        <f t="shared" si="68"/>
        <v>58</v>
      </c>
      <c r="W97" s="102">
        <f t="shared" si="68"/>
        <v>58</v>
      </c>
      <c r="X97" s="102">
        <f t="shared" si="68"/>
        <v>56.999999999999993</v>
      </c>
      <c r="Y97" s="102">
        <f t="shared" si="68"/>
        <v>61</v>
      </c>
      <c r="Z97" s="102">
        <f t="shared" si="68"/>
        <v>61</v>
      </c>
      <c r="AA97" s="102">
        <f t="shared" si="68"/>
        <v>61</v>
      </c>
      <c r="AB97" s="102">
        <f t="shared" si="68"/>
        <v>58.5</v>
      </c>
      <c r="AC97" s="102">
        <f t="shared" si="69"/>
        <v>59.247587075115398</v>
      </c>
      <c r="AD97" s="102">
        <f t="shared" si="69"/>
        <v>59.000000000000007</v>
      </c>
      <c r="AE97" s="102">
        <f t="shared" si="69"/>
        <v>56.500000000000014</v>
      </c>
      <c r="AF97" s="102">
        <f t="shared" si="69"/>
        <v>56.000000000000007</v>
      </c>
      <c r="AG97" s="102">
        <f t="shared" si="69"/>
        <v>57.500000000000007</v>
      </c>
      <c r="AH97" s="126">
        <f t="shared" si="53"/>
        <v>702.74758707511546</v>
      </c>
      <c r="AI97" s="103">
        <f t="shared" si="54"/>
        <v>58.562298922926288</v>
      </c>
      <c r="AJ97" s="86"/>
      <c r="AM97" s="98">
        <v>1.5</v>
      </c>
      <c r="AN97" s="98">
        <v>1</v>
      </c>
      <c r="AO97" s="128">
        <f t="shared" si="71"/>
        <v>58.562298922926288</v>
      </c>
      <c r="AP97" s="129">
        <f t="shared" si="72"/>
        <v>11.006928406466512</v>
      </c>
      <c r="AQ97" s="129">
        <f t="shared" ca="1" si="73"/>
        <v>11.566809192797882</v>
      </c>
      <c r="AR97" s="89">
        <f t="shared" ca="1" si="62"/>
        <v>50.084283804814831</v>
      </c>
      <c r="AS97" s="90">
        <f t="shared" ca="1" si="70"/>
        <v>35196.609594218906</v>
      </c>
      <c r="AT97" s="90">
        <f t="shared" ca="1" si="57"/>
        <v>1620.7595942189073</v>
      </c>
      <c r="AV97" s="403">
        <f t="shared" ca="1" si="64"/>
        <v>136.50781966339724</v>
      </c>
      <c r="AW97" s="403">
        <f t="shared" ca="1" si="65"/>
        <v>35333.117413882304</v>
      </c>
    </row>
    <row r="98" spans="1:49" s="98" customFormat="1">
      <c r="A98" s="98" t="str">
        <f t="shared" si="58"/>
        <v>Lewis County UTCFL001.5Y1W001</v>
      </c>
      <c r="B98" s="98">
        <f t="shared" si="59"/>
        <v>1</v>
      </c>
      <c r="C98" s="127" t="s">
        <v>402</v>
      </c>
      <c r="D98" s="127" t="s">
        <v>403</v>
      </c>
      <c r="E98" s="100">
        <v>122.32</v>
      </c>
      <c r="F98" s="100">
        <v>121.81</v>
      </c>
      <c r="G98" s="100" t="s">
        <v>368</v>
      </c>
      <c r="H98" s="101">
        <v>1590.1599999999999</v>
      </c>
      <c r="I98" s="101">
        <v>1590.1599999999999</v>
      </c>
      <c r="J98" s="101">
        <v>1590.1599999999999</v>
      </c>
      <c r="K98" s="101">
        <v>1590.1599999999999</v>
      </c>
      <c r="L98" s="101">
        <v>1590.1599999999999</v>
      </c>
      <c r="M98" s="101">
        <v>1590.1599999999999</v>
      </c>
      <c r="N98" s="101">
        <v>1590.1599999999999</v>
      </c>
      <c r="O98" s="101">
        <v>1590.1599999999999</v>
      </c>
      <c r="P98" s="101">
        <v>1522.63</v>
      </c>
      <c r="Q98" s="101">
        <v>1431.27</v>
      </c>
      <c r="R98" s="101">
        <v>1437.36</v>
      </c>
      <c r="S98" s="101">
        <v>1461.72</v>
      </c>
      <c r="T98" s="101">
        <f t="shared" si="60"/>
        <v>18574.260000000002</v>
      </c>
      <c r="U98" s="101"/>
      <c r="V98" s="102">
        <f t="shared" si="68"/>
        <v>13</v>
      </c>
      <c r="W98" s="102">
        <f t="shared" si="68"/>
        <v>13</v>
      </c>
      <c r="X98" s="102">
        <f t="shared" si="68"/>
        <v>13</v>
      </c>
      <c r="Y98" s="102">
        <f t="shared" si="68"/>
        <v>13</v>
      </c>
      <c r="Z98" s="102">
        <f t="shared" si="68"/>
        <v>13</v>
      </c>
      <c r="AA98" s="102">
        <f t="shared" si="68"/>
        <v>13</v>
      </c>
      <c r="AB98" s="102">
        <f t="shared" si="68"/>
        <v>13</v>
      </c>
      <c r="AC98" s="102">
        <f t="shared" si="69"/>
        <v>13.054429028815367</v>
      </c>
      <c r="AD98" s="102">
        <f t="shared" si="69"/>
        <v>12.500041047533044</v>
      </c>
      <c r="AE98" s="102">
        <f t="shared" si="69"/>
        <v>11.750020523766521</v>
      </c>
      <c r="AF98" s="102">
        <f t="shared" si="69"/>
        <v>11.800016419013216</v>
      </c>
      <c r="AG98" s="102">
        <f t="shared" si="69"/>
        <v>12</v>
      </c>
      <c r="AH98" s="126">
        <f t="shared" si="53"/>
        <v>152.10450701912814</v>
      </c>
      <c r="AI98" s="103">
        <f t="shared" si="54"/>
        <v>12.675375584927345</v>
      </c>
      <c r="AJ98" s="86"/>
      <c r="AM98" s="98">
        <v>1.5</v>
      </c>
      <c r="AN98" s="98">
        <v>1</v>
      </c>
      <c r="AO98" s="128">
        <f t="shared" si="71"/>
        <v>12.675375584927345</v>
      </c>
      <c r="AP98" s="129">
        <f t="shared" si="72"/>
        <v>28.131639722863742</v>
      </c>
      <c r="AQ98" s="129">
        <f t="shared" ca="1" si="73"/>
        <v>29.562589756078683</v>
      </c>
      <c r="AR98" s="89">
        <f t="shared" ca="1" si="62"/>
        <v>128.00601364382069</v>
      </c>
      <c r="AS98" s="90">
        <f t="shared" ca="1" si="70"/>
        <v>19470.291600777135</v>
      </c>
      <c r="AT98" s="90">
        <f t="shared" ca="1" si="57"/>
        <v>896.03160077713255</v>
      </c>
      <c r="AV98" s="403">
        <f t="shared" ca="1" si="64"/>
        <v>75.514292009228029</v>
      </c>
      <c r="AW98" s="403">
        <f t="shared" ca="1" si="65"/>
        <v>19545.805892786364</v>
      </c>
    </row>
    <row r="99" spans="1:49" s="98" customFormat="1">
      <c r="A99" s="98" t="str">
        <f t="shared" si="58"/>
        <v>Lewis County UTCFL001.5Y5W001</v>
      </c>
      <c r="B99" s="98">
        <f t="shared" si="59"/>
        <v>1</v>
      </c>
      <c r="C99" s="127" t="s">
        <v>404</v>
      </c>
      <c r="D99" s="127" t="s">
        <v>405</v>
      </c>
      <c r="E99" s="100">
        <v>569.70000000000005</v>
      </c>
      <c r="F99" s="100">
        <v>567.28</v>
      </c>
      <c r="G99" s="100" t="s">
        <v>368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f t="shared" si="60"/>
        <v>0</v>
      </c>
      <c r="U99" s="101"/>
      <c r="V99" s="102">
        <f t="shared" si="68"/>
        <v>0</v>
      </c>
      <c r="W99" s="102">
        <f t="shared" si="68"/>
        <v>0</v>
      </c>
      <c r="X99" s="102">
        <f t="shared" si="68"/>
        <v>0</v>
      </c>
      <c r="Y99" s="102">
        <f t="shared" si="68"/>
        <v>0</v>
      </c>
      <c r="Z99" s="102">
        <f t="shared" si="68"/>
        <v>0</v>
      </c>
      <c r="AA99" s="102">
        <f t="shared" si="68"/>
        <v>0</v>
      </c>
      <c r="AB99" s="102">
        <f t="shared" si="68"/>
        <v>0</v>
      </c>
      <c r="AC99" s="102">
        <f t="shared" si="69"/>
        <v>0</v>
      </c>
      <c r="AD99" s="102">
        <f t="shared" si="69"/>
        <v>0</v>
      </c>
      <c r="AE99" s="102">
        <f t="shared" si="69"/>
        <v>0</v>
      </c>
      <c r="AF99" s="102">
        <f t="shared" si="69"/>
        <v>0</v>
      </c>
      <c r="AG99" s="102">
        <f t="shared" si="69"/>
        <v>0</v>
      </c>
      <c r="AH99" s="126">
        <f t="shared" si="53"/>
        <v>0</v>
      </c>
      <c r="AI99" s="103">
        <f t="shared" si="54"/>
        <v>0</v>
      </c>
      <c r="AJ99" s="86"/>
      <c r="AM99" s="98">
        <v>1.5</v>
      </c>
      <c r="AN99" s="98">
        <v>1</v>
      </c>
      <c r="AO99" s="128">
        <f t="shared" si="71"/>
        <v>0</v>
      </c>
      <c r="AP99" s="129">
        <f t="shared" si="72"/>
        <v>131.01154734411085</v>
      </c>
      <c r="AQ99" s="129">
        <f t="shared" ca="1" si="73"/>
        <v>137.6756088730672</v>
      </c>
      <c r="AR99" s="89">
        <f t="shared" ca="1" si="62"/>
        <v>596.135386420381</v>
      </c>
      <c r="AS99" s="90">
        <f t="shared" ca="1" si="70"/>
        <v>0</v>
      </c>
      <c r="AT99" s="90">
        <f t="shared" ca="1" si="57"/>
        <v>0</v>
      </c>
      <c r="AV99" s="403">
        <f t="shared" ca="1" si="64"/>
        <v>0</v>
      </c>
      <c r="AW99" s="403">
        <f t="shared" ca="1" si="65"/>
        <v>0</v>
      </c>
    </row>
    <row r="100" spans="1:49" s="98" customFormat="1">
      <c r="A100" s="98" t="str">
        <f t="shared" si="58"/>
        <v>Lewis County UTCFL001.5YEO001</v>
      </c>
      <c r="B100" s="98">
        <f t="shared" si="59"/>
        <v>1</v>
      </c>
      <c r="C100" s="127" t="s">
        <v>406</v>
      </c>
      <c r="D100" s="127" t="s">
        <v>407</v>
      </c>
      <c r="E100" s="100">
        <v>66.53</v>
      </c>
      <c r="F100" s="100">
        <v>66.25</v>
      </c>
      <c r="G100" s="100" t="s">
        <v>368</v>
      </c>
      <c r="H100" s="101">
        <v>1230.8</v>
      </c>
      <c r="I100" s="101">
        <v>1297.33</v>
      </c>
      <c r="J100" s="101">
        <v>1330.6</v>
      </c>
      <c r="K100" s="101">
        <v>1330.6</v>
      </c>
      <c r="L100" s="101">
        <v>1352.77</v>
      </c>
      <c r="M100" s="101">
        <v>1441.48</v>
      </c>
      <c r="N100" s="101">
        <v>1397.1299999999999</v>
      </c>
      <c r="O100" s="101">
        <v>1363.86</v>
      </c>
      <c r="P100" s="101">
        <v>1457.5</v>
      </c>
      <c r="Q100" s="101">
        <v>1358.13</v>
      </c>
      <c r="R100" s="101">
        <v>1258.75</v>
      </c>
      <c r="S100" s="101">
        <v>1291.8800000000001</v>
      </c>
      <c r="T100" s="101">
        <f t="shared" si="60"/>
        <v>16110.830000000002</v>
      </c>
      <c r="U100" s="101"/>
      <c r="V100" s="102">
        <f t="shared" si="68"/>
        <v>18.499924845934164</v>
      </c>
      <c r="W100" s="102">
        <f t="shared" si="68"/>
        <v>19.499924845934164</v>
      </c>
      <c r="X100" s="102">
        <f t="shared" si="68"/>
        <v>20</v>
      </c>
      <c r="Y100" s="102">
        <f t="shared" si="68"/>
        <v>20</v>
      </c>
      <c r="Z100" s="102">
        <f t="shared" si="68"/>
        <v>20.333233127912219</v>
      </c>
      <c r="AA100" s="102">
        <f t="shared" si="68"/>
        <v>21.666616563956111</v>
      </c>
      <c r="AB100" s="102">
        <f t="shared" si="68"/>
        <v>20.999999999999996</v>
      </c>
      <c r="AC100" s="102">
        <f t="shared" si="69"/>
        <v>20.586566037735846</v>
      </c>
      <c r="AD100" s="102">
        <f t="shared" si="69"/>
        <v>22</v>
      </c>
      <c r="AE100" s="102">
        <f t="shared" si="69"/>
        <v>20.500075471698114</v>
      </c>
      <c r="AF100" s="102">
        <f t="shared" si="69"/>
        <v>19</v>
      </c>
      <c r="AG100" s="102">
        <f t="shared" si="69"/>
        <v>19.500075471698114</v>
      </c>
      <c r="AH100" s="126">
        <f t="shared" si="53"/>
        <v>242.58641636486874</v>
      </c>
      <c r="AI100" s="103">
        <f t="shared" si="54"/>
        <v>20.215534697072396</v>
      </c>
      <c r="AJ100" s="86"/>
      <c r="AM100" s="98">
        <v>1.5</v>
      </c>
      <c r="AN100" s="98">
        <v>1</v>
      </c>
      <c r="AO100" s="128">
        <f t="shared" si="71"/>
        <v>20.215534697072396</v>
      </c>
      <c r="AP100" s="129">
        <f t="shared" si="72"/>
        <v>15.300230946882216</v>
      </c>
      <c r="AQ100" s="129">
        <f t="shared" ca="1" si="73"/>
        <v>16.078495783106582</v>
      </c>
      <c r="AR100" s="89">
        <f t="shared" ca="1" si="62"/>
        <v>69.619886740851499</v>
      </c>
      <c r="AS100" s="90">
        <f t="shared" ca="1" si="70"/>
        <v>16888.838832191206</v>
      </c>
      <c r="AT100" s="90">
        <f t="shared" ca="1" si="57"/>
        <v>778.00883219120442</v>
      </c>
      <c r="AV100" s="403">
        <f t="shared" ca="1" si="64"/>
        <v>65.502291050431538</v>
      </c>
      <c r="AW100" s="403">
        <f t="shared" ca="1" si="65"/>
        <v>16954.341123241637</v>
      </c>
    </row>
    <row r="101" spans="1:49" s="98" customFormat="1">
      <c r="A101" s="98" t="str">
        <f t="shared" si="58"/>
        <v>Lewis County UTCFL002.0Y1W001</v>
      </c>
      <c r="B101" s="98">
        <f t="shared" si="59"/>
        <v>1</v>
      </c>
      <c r="C101" s="127" t="s">
        <v>408</v>
      </c>
      <c r="D101" s="127" t="s">
        <v>409</v>
      </c>
      <c r="E101" s="100">
        <v>153.30000000000001</v>
      </c>
      <c r="F101" s="100">
        <v>152.66999999999999</v>
      </c>
      <c r="G101" s="100" t="s">
        <v>368</v>
      </c>
      <c r="H101" s="101">
        <v>5633.77</v>
      </c>
      <c r="I101" s="101">
        <v>6017.02</v>
      </c>
      <c r="J101" s="101">
        <v>6132.0000000000009</v>
      </c>
      <c r="K101" s="101">
        <v>7741.5800000000008</v>
      </c>
      <c r="L101" s="101">
        <v>6952.15</v>
      </c>
      <c r="M101" s="101">
        <v>6407.9400000000005</v>
      </c>
      <c r="N101" s="101">
        <v>6745.2000000000007</v>
      </c>
      <c r="O101" s="101">
        <v>6553.57</v>
      </c>
      <c r="P101" s="101">
        <v>6580.08</v>
      </c>
      <c r="Q101" s="101">
        <v>6419.77</v>
      </c>
      <c r="R101" s="101">
        <v>6259.4800000000005</v>
      </c>
      <c r="S101" s="101">
        <v>6015.2000000000007</v>
      </c>
      <c r="T101" s="101">
        <f t="shared" si="60"/>
        <v>77457.759999999995</v>
      </c>
      <c r="U101" s="101"/>
      <c r="V101" s="102">
        <f t="shared" si="68"/>
        <v>36.74996738421396</v>
      </c>
      <c r="W101" s="102">
        <f t="shared" si="68"/>
        <v>39.24996738421396</v>
      </c>
      <c r="X101" s="102">
        <f t="shared" si="68"/>
        <v>40</v>
      </c>
      <c r="Y101" s="102">
        <f t="shared" si="68"/>
        <v>50.499543378995433</v>
      </c>
      <c r="Z101" s="102">
        <f t="shared" si="68"/>
        <v>45.349967384213954</v>
      </c>
      <c r="AA101" s="102">
        <f t="shared" si="68"/>
        <v>41.8</v>
      </c>
      <c r="AB101" s="102">
        <f t="shared" si="68"/>
        <v>44</v>
      </c>
      <c r="AC101" s="102">
        <f t="shared" si="69"/>
        <v>42.926377153337263</v>
      </c>
      <c r="AD101" s="102">
        <f t="shared" si="69"/>
        <v>43.100019650225981</v>
      </c>
      <c r="AE101" s="102">
        <f t="shared" si="69"/>
        <v>42.049977074736368</v>
      </c>
      <c r="AF101" s="102">
        <f t="shared" si="69"/>
        <v>41.000065500753266</v>
      </c>
      <c r="AG101" s="102">
        <f t="shared" si="69"/>
        <v>39.400013100150659</v>
      </c>
      <c r="AH101" s="126">
        <f t="shared" si="53"/>
        <v>506.12589801084084</v>
      </c>
      <c r="AI101" s="103">
        <f t="shared" si="54"/>
        <v>42.17715816757007</v>
      </c>
      <c r="AJ101" s="86"/>
      <c r="AM101" s="98">
        <v>2</v>
      </c>
      <c r="AN101" s="98">
        <v>1</v>
      </c>
      <c r="AO101" s="128">
        <f t="shared" si="71"/>
        <v>42.17715816757007</v>
      </c>
      <c r="AP101" s="129">
        <f t="shared" si="72"/>
        <v>35.258660508083139</v>
      </c>
      <c r="AQ101" s="129">
        <f t="shared" ca="1" si="73"/>
        <v>37.052135112556705</v>
      </c>
      <c r="AR101" s="89">
        <f t="shared" ca="1" si="62"/>
        <v>160.43574503737054</v>
      </c>
      <c r="AS101" s="90">
        <f t="shared" ca="1" si="70"/>
        <v>81200.685530077462</v>
      </c>
      <c r="AT101" s="90">
        <f t="shared" ca="1" si="57"/>
        <v>3742.9255300774676</v>
      </c>
      <c r="AV101" s="403">
        <f t="shared" ca="1" si="64"/>
        <v>314.93171259042788</v>
      </c>
      <c r="AW101" s="403">
        <f t="shared" ca="1" si="65"/>
        <v>81515.617242667897</v>
      </c>
    </row>
    <row r="102" spans="1:49" s="98" customFormat="1">
      <c r="A102" s="98" t="str">
        <f t="shared" si="58"/>
        <v>Lewis County UTCFL002.0Y2W001</v>
      </c>
      <c r="B102" s="98">
        <f t="shared" si="59"/>
        <v>1</v>
      </c>
      <c r="C102" s="127" t="s">
        <v>410</v>
      </c>
      <c r="D102" s="127" t="s">
        <v>411</v>
      </c>
      <c r="E102" s="100">
        <v>292.98</v>
      </c>
      <c r="F102" s="100">
        <v>291.8</v>
      </c>
      <c r="G102" s="100" t="s">
        <v>368</v>
      </c>
      <c r="H102" s="101">
        <v>4101.72</v>
      </c>
      <c r="I102" s="101">
        <v>4101.72</v>
      </c>
      <c r="J102" s="101">
        <v>4101.72</v>
      </c>
      <c r="K102" s="101">
        <v>1025.3599999999999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1">
        <v>2334.36</v>
      </c>
      <c r="T102" s="101">
        <f t="shared" si="60"/>
        <v>15664.880000000001</v>
      </c>
      <c r="U102" s="101"/>
      <c r="V102" s="102">
        <f t="shared" si="68"/>
        <v>14</v>
      </c>
      <c r="W102" s="102">
        <f t="shared" si="68"/>
        <v>14</v>
      </c>
      <c r="X102" s="102">
        <f t="shared" si="68"/>
        <v>14</v>
      </c>
      <c r="Y102" s="102">
        <f t="shared" si="68"/>
        <v>3.499761075841354</v>
      </c>
      <c r="Z102" s="102">
        <f t="shared" si="68"/>
        <v>0</v>
      </c>
      <c r="AA102" s="102">
        <f t="shared" si="68"/>
        <v>0</v>
      </c>
      <c r="AB102" s="102">
        <f t="shared" si="68"/>
        <v>0</v>
      </c>
      <c r="AC102" s="102">
        <f t="shared" si="69"/>
        <v>0</v>
      </c>
      <c r="AD102" s="102">
        <f t="shared" si="69"/>
        <v>0</v>
      </c>
      <c r="AE102" s="102">
        <f t="shared" si="69"/>
        <v>0</v>
      </c>
      <c r="AF102" s="102">
        <f t="shared" si="69"/>
        <v>0</v>
      </c>
      <c r="AG102" s="102">
        <f t="shared" si="69"/>
        <v>7.9998629198080877</v>
      </c>
      <c r="AH102" s="126">
        <f t="shared" si="53"/>
        <v>53.499623995649443</v>
      </c>
      <c r="AI102" s="103">
        <f t="shared" si="54"/>
        <v>4.4583019996374533</v>
      </c>
      <c r="AJ102" s="86"/>
      <c r="AM102" s="98">
        <v>2</v>
      </c>
      <c r="AN102" s="98">
        <v>1</v>
      </c>
      <c r="AO102" s="128">
        <f t="shared" si="71"/>
        <v>4.4583019996374533</v>
      </c>
      <c r="AP102" s="129">
        <f t="shared" si="72"/>
        <v>67.390300230946877</v>
      </c>
      <c r="AQ102" s="129">
        <f t="shared" ca="1" si="73"/>
        <v>70.818189728460396</v>
      </c>
      <c r="AR102" s="89">
        <f t="shared" ca="1" si="62"/>
        <v>306.64276152423349</v>
      </c>
      <c r="AS102" s="90">
        <f t="shared" ca="1" si="70"/>
        <v>16405.272442534093</v>
      </c>
      <c r="AT102" s="90">
        <f t="shared" ca="1" si="57"/>
        <v>740.39244253409197</v>
      </c>
      <c r="AV102" s="403">
        <f t="shared" ca="1" si="64"/>
        <v>63.626809455027086</v>
      </c>
      <c r="AW102" s="403">
        <f t="shared" ca="1" si="65"/>
        <v>16468.899251989122</v>
      </c>
    </row>
    <row r="103" spans="1:49" s="98" customFormat="1">
      <c r="A103" s="98" t="str">
        <f t="shared" si="58"/>
        <v>Lewis County UTCFL002.0Y2W002</v>
      </c>
      <c r="B103" s="98">
        <f t="shared" si="59"/>
        <v>1</v>
      </c>
      <c r="C103" s="127" t="s">
        <v>412</v>
      </c>
      <c r="D103" s="127" t="s">
        <v>413</v>
      </c>
      <c r="E103" s="100">
        <v>585.96</v>
      </c>
      <c r="F103" s="100">
        <v>583.59</v>
      </c>
      <c r="G103" s="100" t="s">
        <v>368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f t="shared" si="60"/>
        <v>0</v>
      </c>
      <c r="U103" s="101"/>
      <c r="V103" s="102">
        <f t="shared" si="68"/>
        <v>0</v>
      </c>
      <c r="W103" s="102">
        <f t="shared" si="68"/>
        <v>0</v>
      </c>
      <c r="X103" s="102">
        <f t="shared" si="68"/>
        <v>0</v>
      </c>
      <c r="Y103" s="102">
        <f t="shared" si="68"/>
        <v>0</v>
      </c>
      <c r="Z103" s="102">
        <f t="shared" si="68"/>
        <v>0</v>
      </c>
      <c r="AA103" s="102">
        <f t="shared" si="68"/>
        <v>0</v>
      </c>
      <c r="AB103" s="102">
        <f t="shared" si="68"/>
        <v>0</v>
      </c>
      <c r="AC103" s="102">
        <f t="shared" si="69"/>
        <v>0</v>
      </c>
      <c r="AD103" s="102">
        <f t="shared" si="69"/>
        <v>0</v>
      </c>
      <c r="AE103" s="102">
        <f t="shared" si="69"/>
        <v>0</v>
      </c>
      <c r="AF103" s="102">
        <f t="shared" si="69"/>
        <v>0</v>
      </c>
      <c r="AG103" s="102">
        <f t="shared" si="69"/>
        <v>0</v>
      </c>
      <c r="AH103" s="126">
        <f t="shared" si="53"/>
        <v>0</v>
      </c>
      <c r="AI103" s="103">
        <f t="shared" si="54"/>
        <v>0</v>
      </c>
      <c r="AJ103" s="86"/>
      <c r="AM103" s="98">
        <v>2</v>
      </c>
      <c r="AN103" s="98">
        <v>2</v>
      </c>
      <c r="AO103" s="128">
        <f t="shared" si="71"/>
        <v>0</v>
      </c>
      <c r="AP103" s="129">
        <f t="shared" si="72"/>
        <v>134.77829099307161</v>
      </c>
      <c r="AQ103" s="129">
        <f t="shared" ca="1" si="73"/>
        <v>141.63395251416108</v>
      </c>
      <c r="AR103" s="89">
        <f t="shared" ca="1" si="62"/>
        <v>613.27501438631748</v>
      </c>
      <c r="AS103" s="90">
        <f t="shared" ca="1" si="70"/>
        <v>0</v>
      </c>
      <c r="AT103" s="90">
        <f t="shared" ca="1" si="57"/>
        <v>0</v>
      </c>
      <c r="AV103" s="403">
        <f t="shared" ca="1" si="64"/>
        <v>0</v>
      </c>
      <c r="AW103" s="403">
        <f t="shared" ca="1" si="65"/>
        <v>0</v>
      </c>
    </row>
    <row r="104" spans="1:49" s="98" customFormat="1">
      <c r="A104" s="98" t="str">
        <f t="shared" si="58"/>
        <v>Lewis County UTCFL002.0Y3W001</v>
      </c>
      <c r="B104" s="98">
        <f t="shared" si="59"/>
        <v>1</v>
      </c>
      <c r="C104" s="127" t="s">
        <v>414</v>
      </c>
      <c r="D104" s="127" t="s">
        <v>415</v>
      </c>
      <c r="E104" s="100">
        <v>432.67</v>
      </c>
      <c r="F104" s="100">
        <v>430.92</v>
      </c>
      <c r="G104" s="100" t="s">
        <v>368</v>
      </c>
      <c r="H104" s="101">
        <v>432.67</v>
      </c>
      <c r="I104" s="101">
        <v>432.67</v>
      </c>
      <c r="J104" s="101">
        <v>432.67</v>
      </c>
      <c r="K104" s="101">
        <v>432.67</v>
      </c>
      <c r="L104" s="101">
        <v>432.67</v>
      </c>
      <c r="M104" s="101">
        <v>432.67</v>
      </c>
      <c r="N104" s="101">
        <v>432.67</v>
      </c>
      <c r="O104" s="101">
        <v>432.67</v>
      </c>
      <c r="P104" s="101">
        <v>430.92</v>
      </c>
      <c r="Q104" s="101">
        <v>430.92</v>
      </c>
      <c r="R104" s="101">
        <v>430.92</v>
      </c>
      <c r="S104" s="101">
        <v>430.92</v>
      </c>
      <c r="T104" s="101">
        <f t="shared" si="60"/>
        <v>5185.04</v>
      </c>
      <c r="U104" s="101"/>
      <c r="V104" s="102">
        <f t="shared" si="68"/>
        <v>1</v>
      </c>
      <c r="W104" s="102">
        <f t="shared" si="68"/>
        <v>1</v>
      </c>
      <c r="X104" s="102">
        <f t="shared" si="68"/>
        <v>1</v>
      </c>
      <c r="Y104" s="102">
        <f t="shared" si="68"/>
        <v>1</v>
      </c>
      <c r="Z104" s="102">
        <f t="shared" si="68"/>
        <v>1</v>
      </c>
      <c r="AA104" s="102">
        <f t="shared" si="68"/>
        <v>1</v>
      </c>
      <c r="AB104" s="102">
        <f t="shared" si="68"/>
        <v>1</v>
      </c>
      <c r="AC104" s="102">
        <f t="shared" si="69"/>
        <v>1.0040610786224822</v>
      </c>
      <c r="AD104" s="102">
        <f t="shared" si="69"/>
        <v>1</v>
      </c>
      <c r="AE104" s="102">
        <f t="shared" si="69"/>
        <v>1</v>
      </c>
      <c r="AF104" s="102">
        <f t="shared" si="69"/>
        <v>1</v>
      </c>
      <c r="AG104" s="102">
        <f t="shared" si="69"/>
        <v>1</v>
      </c>
      <c r="AH104" s="126">
        <f t="shared" si="53"/>
        <v>12.004061078622483</v>
      </c>
      <c r="AI104" s="103">
        <f t="shared" si="54"/>
        <v>1.0003384232185402</v>
      </c>
      <c r="AJ104" s="86"/>
      <c r="AM104" s="98">
        <v>2</v>
      </c>
      <c r="AN104" s="98">
        <v>1</v>
      </c>
      <c r="AO104" s="128">
        <f t="shared" si="71"/>
        <v>1.0003384232185402</v>
      </c>
      <c r="AP104" s="129">
        <f t="shared" si="72"/>
        <v>99.519630484988454</v>
      </c>
      <c r="AQ104" s="129">
        <f t="shared" ca="1" si="73"/>
        <v>104.58181740160435</v>
      </c>
      <c r="AR104" s="89">
        <f t="shared" ca="1" si="62"/>
        <v>452.83926934894686</v>
      </c>
      <c r="AS104" s="90">
        <f t="shared" ca="1" si="70"/>
        <v>5435.9102480635356</v>
      </c>
      <c r="AT104" s="90">
        <f t="shared" ca="1" si="57"/>
        <v>250.87024806353566</v>
      </c>
      <c r="AV104" s="403">
        <f t="shared" ca="1" si="64"/>
        <v>21.082833386626874</v>
      </c>
      <c r="AW104" s="403">
        <f t="shared" ca="1" si="65"/>
        <v>5456.9930814501622</v>
      </c>
    </row>
    <row r="105" spans="1:49" s="98" customFormat="1">
      <c r="A105" s="98" t="str">
        <f t="shared" si="58"/>
        <v>Lewis County UTCFL002.0YEO001</v>
      </c>
      <c r="B105" s="98">
        <f t="shared" si="59"/>
        <v>1</v>
      </c>
      <c r="C105" s="127" t="s">
        <v>416</v>
      </c>
      <c r="D105" s="127" t="s">
        <v>417</v>
      </c>
      <c r="E105" s="100">
        <v>83.61</v>
      </c>
      <c r="F105" s="100">
        <v>83.27</v>
      </c>
      <c r="G105" s="100" t="s">
        <v>368</v>
      </c>
      <c r="H105" s="101">
        <v>3386.1999999999994</v>
      </c>
      <c r="I105" s="101">
        <v>3511.6199999999994</v>
      </c>
      <c r="J105" s="101">
        <v>3455.8699999999994</v>
      </c>
      <c r="K105" s="101">
        <v>3386.2000000000003</v>
      </c>
      <c r="L105" s="101">
        <v>4222.3</v>
      </c>
      <c r="M105" s="101">
        <v>4375.5800000000008</v>
      </c>
      <c r="N105" s="101">
        <v>4264.1099999999997</v>
      </c>
      <c r="O105" s="101">
        <v>4264.1099999999997</v>
      </c>
      <c r="P105" s="101">
        <v>4225.95</v>
      </c>
      <c r="Q105" s="101">
        <v>4038.6000000000004</v>
      </c>
      <c r="R105" s="101">
        <v>3996.96</v>
      </c>
      <c r="S105" s="101">
        <v>3830.4799999999996</v>
      </c>
      <c r="T105" s="101">
        <f t="shared" si="60"/>
        <v>46957.979999999996</v>
      </c>
      <c r="U105" s="101"/>
      <c r="V105" s="102">
        <f t="shared" si="68"/>
        <v>40.499940198540834</v>
      </c>
      <c r="W105" s="102">
        <f t="shared" si="68"/>
        <v>41.999999999999993</v>
      </c>
      <c r="X105" s="102">
        <f t="shared" si="68"/>
        <v>41.333213730415018</v>
      </c>
      <c r="Y105" s="102">
        <f t="shared" si="68"/>
        <v>40.499940198540848</v>
      </c>
      <c r="Z105" s="102">
        <f t="shared" si="68"/>
        <v>50.499940198540848</v>
      </c>
      <c r="AA105" s="102">
        <f t="shared" si="68"/>
        <v>52.333213730415032</v>
      </c>
      <c r="AB105" s="102">
        <f t="shared" si="68"/>
        <v>50.999999999999993</v>
      </c>
      <c r="AC105" s="102">
        <f t="shared" si="69"/>
        <v>51.208238261078421</v>
      </c>
      <c r="AD105" s="102">
        <f t="shared" si="69"/>
        <v>50.749969977182658</v>
      </c>
      <c r="AE105" s="102">
        <f t="shared" si="69"/>
        <v>48.50006004563469</v>
      </c>
      <c r="AF105" s="102">
        <f t="shared" si="69"/>
        <v>48</v>
      </c>
      <c r="AG105" s="102">
        <f t="shared" si="69"/>
        <v>46.000720547616183</v>
      </c>
      <c r="AH105" s="126">
        <f t="shared" si="53"/>
        <v>562.62523688796466</v>
      </c>
      <c r="AI105" s="103">
        <f t="shared" si="54"/>
        <v>46.885436407330388</v>
      </c>
      <c r="AJ105" s="86"/>
      <c r="AM105" s="98">
        <v>2</v>
      </c>
      <c r="AN105" s="98">
        <v>1</v>
      </c>
      <c r="AO105" s="128">
        <f t="shared" si="71"/>
        <v>46.885436407330388</v>
      </c>
      <c r="AP105" s="129">
        <f t="shared" si="72"/>
        <v>19.23094688221709</v>
      </c>
      <c r="AQ105" s="129">
        <f t="shared" ca="1" si="73"/>
        <v>20.209152360140152</v>
      </c>
      <c r="AR105" s="89">
        <f t="shared" ca="1" si="62"/>
        <v>87.505629719406855</v>
      </c>
      <c r="AS105" s="90">
        <f t="shared" ca="1" si="70"/>
        <v>49232.875649911803</v>
      </c>
      <c r="AT105" s="90">
        <f t="shared" ca="1" si="57"/>
        <v>2274.8956499118067</v>
      </c>
      <c r="AV105" s="403">
        <f t="shared" ca="1" si="64"/>
        <v>190.9465879870572</v>
      </c>
      <c r="AW105" s="403">
        <f t="shared" ca="1" si="65"/>
        <v>49423.822237898858</v>
      </c>
    </row>
    <row r="106" spans="1:49" s="98" customFormat="1">
      <c r="A106" s="98" t="str">
        <f t="shared" si="58"/>
        <v>Lewis County UTCFL003.0Y1W001</v>
      </c>
      <c r="B106" s="98">
        <f t="shared" si="59"/>
        <v>1</v>
      </c>
      <c r="C106" s="127" t="s">
        <v>418</v>
      </c>
      <c r="D106" s="127" t="s">
        <v>419</v>
      </c>
      <c r="E106" s="100">
        <v>220.23</v>
      </c>
      <c r="F106" s="100">
        <v>219.29</v>
      </c>
      <c r="G106" s="100" t="s">
        <v>368</v>
      </c>
      <c r="H106" s="101">
        <v>11683.189999999999</v>
      </c>
      <c r="I106" s="101">
        <v>11341.840000000002</v>
      </c>
      <c r="J106" s="101">
        <v>11143.64</v>
      </c>
      <c r="K106" s="101">
        <v>11231.73</v>
      </c>
      <c r="L106" s="101">
        <v>12233.76</v>
      </c>
      <c r="M106" s="101">
        <v>12337.75</v>
      </c>
      <c r="N106" s="101">
        <v>12828.39</v>
      </c>
      <c r="O106" s="101">
        <v>12905.47</v>
      </c>
      <c r="P106" s="101">
        <v>11951.29</v>
      </c>
      <c r="Q106" s="101">
        <v>11567.55</v>
      </c>
      <c r="R106" s="101">
        <v>11567.56</v>
      </c>
      <c r="S106" s="101">
        <v>11074.15</v>
      </c>
      <c r="T106" s="101">
        <f t="shared" ref="T106:T137" si="74">SUM(H106:S106)</f>
        <v>141866.32</v>
      </c>
      <c r="U106" s="101"/>
      <c r="V106" s="102">
        <f t="shared" si="68"/>
        <v>53.049947781864411</v>
      </c>
      <c r="W106" s="102">
        <f t="shared" si="68"/>
        <v>51.499977296462802</v>
      </c>
      <c r="X106" s="102">
        <f t="shared" si="68"/>
        <v>50.600009081414882</v>
      </c>
      <c r="Y106" s="102">
        <f t="shared" si="68"/>
        <v>51</v>
      </c>
      <c r="Z106" s="102">
        <f t="shared" si="68"/>
        <v>55.549925078327206</v>
      </c>
      <c r="AA106" s="102">
        <f t="shared" si="68"/>
        <v>56.022113245243609</v>
      </c>
      <c r="AB106" s="102">
        <f t="shared" si="68"/>
        <v>58.249965944694182</v>
      </c>
      <c r="AC106" s="102">
        <f t="shared" si="69"/>
        <v>58.851156003465732</v>
      </c>
      <c r="AD106" s="102">
        <f t="shared" si="69"/>
        <v>54.499931597428066</v>
      </c>
      <c r="AE106" s="102">
        <f t="shared" si="69"/>
        <v>52.750011400428654</v>
      </c>
      <c r="AF106" s="102">
        <f t="shared" si="69"/>
        <v>52.750057002143279</v>
      </c>
      <c r="AG106" s="102">
        <f t="shared" si="69"/>
        <v>50.500022800857309</v>
      </c>
      <c r="AH106" s="126">
        <f t="shared" ref="AH106:AH137" si="75">SUM(V106:AG106)</f>
        <v>645.32311723233011</v>
      </c>
      <c r="AI106" s="103">
        <f t="shared" si="54"/>
        <v>53.776926436027509</v>
      </c>
      <c r="AJ106" s="86"/>
      <c r="AM106" s="98">
        <v>3</v>
      </c>
      <c r="AN106" s="98">
        <v>1</v>
      </c>
      <c r="AO106" s="128">
        <f t="shared" si="71"/>
        <v>53.776926436027509</v>
      </c>
      <c r="AP106" s="129">
        <f t="shared" si="72"/>
        <v>50.644341801385679</v>
      </c>
      <c r="AQ106" s="129">
        <f t="shared" ca="1" si="73"/>
        <v>53.220427777772713</v>
      </c>
      <c r="AR106" s="89">
        <f t="shared" ca="1" si="62"/>
        <v>230.44445227775586</v>
      </c>
      <c r="AS106" s="90">
        <f t="shared" ca="1" si="70"/>
        <v>148711.13229277835</v>
      </c>
      <c r="AT106" s="90">
        <f t="shared" ca="1" si="57"/>
        <v>6844.8122927783406</v>
      </c>
      <c r="AV106" s="403">
        <f t="shared" ca="1" si="64"/>
        <v>576.76670176483537</v>
      </c>
      <c r="AW106" s="403">
        <f t="shared" ca="1" si="65"/>
        <v>149287.89899454318</v>
      </c>
    </row>
    <row r="107" spans="1:49" s="98" customFormat="1">
      <c r="A107" s="98" t="str">
        <f t="shared" si="58"/>
        <v>Lewis County UTCFL003.0Y2W001</v>
      </c>
      <c r="B107" s="98">
        <f t="shared" si="59"/>
        <v>1</v>
      </c>
      <c r="C107" s="127" t="s">
        <v>420</v>
      </c>
      <c r="D107" s="127" t="s">
        <v>421</v>
      </c>
      <c r="E107" s="100">
        <v>424.26</v>
      </c>
      <c r="F107" s="100">
        <v>422.46</v>
      </c>
      <c r="G107" s="100" t="s">
        <v>368</v>
      </c>
      <c r="H107" s="101">
        <v>848.52</v>
      </c>
      <c r="I107" s="101">
        <v>848.52</v>
      </c>
      <c r="J107" s="101">
        <v>848.52</v>
      </c>
      <c r="K107" s="101">
        <v>848.52</v>
      </c>
      <c r="L107" s="101">
        <v>848.52</v>
      </c>
      <c r="M107" s="101">
        <v>848.52</v>
      </c>
      <c r="N107" s="101">
        <v>848.52</v>
      </c>
      <c r="O107" s="101">
        <v>848.52</v>
      </c>
      <c r="P107" s="101">
        <v>844.92</v>
      </c>
      <c r="Q107" s="101">
        <v>844.92</v>
      </c>
      <c r="R107" s="101">
        <v>844.92</v>
      </c>
      <c r="S107" s="101">
        <v>760.43</v>
      </c>
      <c r="T107" s="101">
        <f t="shared" si="74"/>
        <v>10083.350000000002</v>
      </c>
      <c r="U107" s="101"/>
      <c r="V107" s="102">
        <f t="shared" si="68"/>
        <v>2</v>
      </c>
      <c r="W107" s="102">
        <f t="shared" si="68"/>
        <v>2</v>
      </c>
      <c r="X107" s="102">
        <f t="shared" si="68"/>
        <v>2</v>
      </c>
      <c r="Y107" s="102">
        <f t="shared" si="68"/>
        <v>2</v>
      </c>
      <c r="Z107" s="102">
        <f t="shared" si="68"/>
        <v>2</v>
      </c>
      <c r="AA107" s="102">
        <f t="shared" si="68"/>
        <v>2</v>
      </c>
      <c r="AB107" s="102">
        <f t="shared" si="68"/>
        <v>2</v>
      </c>
      <c r="AC107" s="102">
        <f t="shared" si="69"/>
        <v>2.0085215168299957</v>
      </c>
      <c r="AD107" s="102">
        <f t="shared" si="69"/>
        <v>2</v>
      </c>
      <c r="AE107" s="102">
        <f t="shared" si="69"/>
        <v>2</v>
      </c>
      <c r="AF107" s="102">
        <f t="shared" si="69"/>
        <v>2</v>
      </c>
      <c r="AG107" s="102">
        <f t="shared" si="69"/>
        <v>1.8000047341760166</v>
      </c>
      <c r="AH107" s="126">
        <f t="shared" si="75"/>
        <v>23.808526251006011</v>
      </c>
      <c r="AI107" s="103">
        <f t="shared" si="54"/>
        <v>1.984043854250501</v>
      </c>
      <c r="AJ107" s="86"/>
      <c r="AM107" s="98">
        <v>3</v>
      </c>
      <c r="AN107" s="98">
        <v>1</v>
      </c>
      <c r="AO107" s="128">
        <f t="shared" si="71"/>
        <v>1.984043854250501</v>
      </c>
      <c r="AP107" s="129">
        <f t="shared" si="72"/>
        <v>97.565819861431862</v>
      </c>
      <c r="AQ107" s="129">
        <f t="shared" ca="1" si="73"/>
        <v>102.52862382688613</v>
      </c>
      <c r="AR107" s="89">
        <f t="shared" ca="1" si="62"/>
        <v>443.94894117041696</v>
      </c>
      <c r="AS107" s="90">
        <f t="shared" ca="1" si="70"/>
        <v>10569.770019962196</v>
      </c>
      <c r="AT107" s="90">
        <f t="shared" ca="1" si="57"/>
        <v>486.42001996219369</v>
      </c>
      <c r="AV107" s="403">
        <f t="shared" ca="1" si="64"/>
        <v>40.994183144434835</v>
      </c>
      <c r="AW107" s="403">
        <f t="shared" ca="1" si="65"/>
        <v>10610.764203106632</v>
      </c>
    </row>
    <row r="108" spans="1:49" s="98" customFormat="1">
      <c r="A108" s="98" t="str">
        <f t="shared" si="58"/>
        <v>Lewis County UTCFL003.0Y3W001</v>
      </c>
      <c r="B108" s="98">
        <f t="shared" si="59"/>
        <v>1</v>
      </c>
      <c r="C108" s="127" t="s">
        <v>422</v>
      </c>
      <c r="D108" s="127" t="s">
        <v>423</v>
      </c>
      <c r="E108" s="100">
        <v>628.29</v>
      </c>
      <c r="F108" s="100">
        <v>625.62</v>
      </c>
      <c r="G108" s="100" t="s">
        <v>368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f t="shared" si="74"/>
        <v>0</v>
      </c>
      <c r="U108" s="101"/>
      <c r="V108" s="102">
        <f t="shared" si="68"/>
        <v>0</v>
      </c>
      <c r="W108" s="102">
        <f t="shared" si="68"/>
        <v>0</v>
      </c>
      <c r="X108" s="102">
        <f t="shared" si="68"/>
        <v>0</v>
      </c>
      <c r="Y108" s="102">
        <f t="shared" si="68"/>
        <v>0</v>
      </c>
      <c r="Z108" s="102">
        <f t="shared" si="68"/>
        <v>0</v>
      </c>
      <c r="AA108" s="102">
        <f t="shared" si="68"/>
        <v>0</v>
      </c>
      <c r="AB108" s="102">
        <f t="shared" si="68"/>
        <v>0</v>
      </c>
      <c r="AC108" s="102">
        <f t="shared" si="69"/>
        <v>0</v>
      </c>
      <c r="AD108" s="102">
        <f t="shared" si="69"/>
        <v>0</v>
      </c>
      <c r="AE108" s="102">
        <f t="shared" si="69"/>
        <v>0</v>
      </c>
      <c r="AF108" s="102">
        <f t="shared" si="69"/>
        <v>0</v>
      </c>
      <c r="AG108" s="102">
        <f t="shared" si="69"/>
        <v>0</v>
      </c>
      <c r="AH108" s="126">
        <f t="shared" si="75"/>
        <v>0</v>
      </c>
      <c r="AI108" s="103">
        <f t="shared" si="54"/>
        <v>0</v>
      </c>
      <c r="AJ108" s="86"/>
      <c r="AM108" s="98">
        <v>3</v>
      </c>
      <c r="AN108" s="98">
        <v>1</v>
      </c>
      <c r="AO108" s="128">
        <f t="shared" si="71"/>
        <v>0</v>
      </c>
      <c r="AP108" s="129">
        <f t="shared" si="72"/>
        <v>144.4849884526559</v>
      </c>
      <c r="AQ108" s="129">
        <f t="shared" ca="1" si="73"/>
        <v>151.83439293323985</v>
      </c>
      <c r="AR108" s="89">
        <f t="shared" ca="1" si="62"/>
        <v>657.44292140092853</v>
      </c>
      <c r="AS108" s="90">
        <f t="shared" ca="1" si="70"/>
        <v>0</v>
      </c>
      <c r="AT108" s="90">
        <f t="shared" ca="1" si="57"/>
        <v>0</v>
      </c>
      <c r="AV108" s="403">
        <f t="shared" ca="1" si="64"/>
        <v>0</v>
      </c>
      <c r="AW108" s="403">
        <f t="shared" ca="1" si="65"/>
        <v>0</v>
      </c>
    </row>
    <row r="109" spans="1:49" s="98" customFormat="1">
      <c r="A109" s="98" t="str">
        <f t="shared" si="58"/>
        <v>Lewis County UTCFL003.0Y4W001</v>
      </c>
      <c r="B109" s="98">
        <f t="shared" si="59"/>
        <v>1</v>
      </c>
      <c r="C109" s="127" t="s">
        <v>424</v>
      </c>
      <c r="D109" s="127" t="s">
        <v>425</v>
      </c>
      <c r="E109" s="100">
        <v>832.32</v>
      </c>
      <c r="F109" s="100">
        <v>828.78</v>
      </c>
      <c r="G109" s="100" t="s">
        <v>368</v>
      </c>
      <c r="H109" s="101">
        <v>832.32</v>
      </c>
      <c r="I109" s="101">
        <v>832.32</v>
      </c>
      <c r="J109" s="101">
        <v>832.32</v>
      </c>
      <c r="K109" s="101">
        <v>832.32</v>
      </c>
      <c r="L109" s="101">
        <v>832.32</v>
      </c>
      <c r="M109" s="101">
        <v>832.32</v>
      </c>
      <c r="N109" s="101">
        <v>832.32</v>
      </c>
      <c r="O109" s="101">
        <v>832.32</v>
      </c>
      <c r="P109" s="101">
        <v>828.78</v>
      </c>
      <c r="Q109" s="101">
        <v>828.78</v>
      </c>
      <c r="R109" s="101">
        <v>828.78</v>
      </c>
      <c r="S109" s="101">
        <v>828.78</v>
      </c>
      <c r="T109" s="101">
        <f t="shared" si="74"/>
        <v>9973.68</v>
      </c>
      <c r="U109" s="101"/>
      <c r="V109" s="102">
        <f t="shared" si="68"/>
        <v>1</v>
      </c>
      <c r="W109" s="102">
        <f t="shared" si="68"/>
        <v>1</v>
      </c>
      <c r="X109" s="102">
        <f t="shared" si="68"/>
        <v>1</v>
      </c>
      <c r="Y109" s="102">
        <f t="shared" si="68"/>
        <v>1</v>
      </c>
      <c r="Z109" s="102">
        <f t="shared" si="68"/>
        <v>1</v>
      </c>
      <c r="AA109" s="102">
        <f t="shared" si="68"/>
        <v>1</v>
      </c>
      <c r="AB109" s="102">
        <f t="shared" si="68"/>
        <v>1</v>
      </c>
      <c r="AC109" s="102">
        <f t="shared" si="69"/>
        <v>1.0042713385940782</v>
      </c>
      <c r="AD109" s="102">
        <f t="shared" si="69"/>
        <v>1</v>
      </c>
      <c r="AE109" s="102">
        <f t="shared" si="69"/>
        <v>1</v>
      </c>
      <c r="AF109" s="102">
        <f t="shared" si="69"/>
        <v>1</v>
      </c>
      <c r="AG109" s="102">
        <f t="shared" si="69"/>
        <v>1</v>
      </c>
      <c r="AH109" s="126">
        <f t="shared" si="75"/>
        <v>12.004271338594078</v>
      </c>
      <c r="AI109" s="103">
        <f t="shared" si="54"/>
        <v>1.0003559448828399</v>
      </c>
      <c r="AJ109" s="86"/>
      <c r="AM109" s="98">
        <v>3</v>
      </c>
      <c r="AN109" s="98">
        <v>1</v>
      </c>
      <c r="AO109" s="128">
        <f t="shared" si="71"/>
        <v>1.0003559448828399</v>
      </c>
      <c r="AP109" s="129">
        <f t="shared" si="72"/>
        <v>191.40415704387991</v>
      </c>
      <c r="AQ109" s="129">
        <f t="shared" ca="1" si="73"/>
        <v>201.14016203959358</v>
      </c>
      <c r="AR109" s="89">
        <f t="shared" ca="1" si="62"/>
        <v>870.93690163144015</v>
      </c>
      <c r="AS109" s="90">
        <f t="shared" ca="1" si="70"/>
        <v>10454.962885978228</v>
      </c>
      <c r="AT109" s="90">
        <f t="shared" ca="1" si="57"/>
        <v>481.28288597822757</v>
      </c>
      <c r="AV109" s="403">
        <f t="shared" ca="1" si="64"/>
        <v>40.548910951384485</v>
      </c>
      <c r="AW109" s="403">
        <f t="shared" ca="1" si="65"/>
        <v>10495.511796929612</v>
      </c>
    </row>
    <row r="110" spans="1:49" s="98" customFormat="1">
      <c r="A110" s="98" t="str">
        <f t="shared" si="58"/>
        <v>Lewis County UTCFL003.0Y5W001</v>
      </c>
      <c r="B110" s="98">
        <f t="shared" si="59"/>
        <v>1</v>
      </c>
      <c r="C110" s="127" t="s">
        <v>426</v>
      </c>
      <c r="D110" s="127" t="s">
        <v>427</v>
      </c>
      <c r="E110" s="100">
        <v>1036.3499999999999</v>
      </c>
      <c r="F110" s="100">
        <v>1031.95</v>
      </c>
      <c r="G110" s="100" t="s">
        <v>368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f t="shared" si="74"/>
        <v>0</v>
      </c>
      <c r="U110" s="101"/>
      <c r="V110" s="102">
        <f t="shared" si="68"/>
        <v>0</v>
      </c>
      <c r="W110" s="102">
        <f t="shared" si="68"/>
        <v>0</v>
      </c>
      <c r="X110" s="102">
        <f t="shared" si="68"/>
        <v>0</v>
      </c>
      <c r="Y110" s="102">
        <f t="shared" si="68"/>
        <v>0</v>
      </c>
      <c r="Z110" s="102">
        <f t="shared" si="68"/>
        <v>0</v>
      </c>
      <c r="AA110" s="102">
        <f t="shared" si="68"/>
        <v>0</v>
      </c>
      <c r="AB110" s="102">
        <f t="shared" si="68"/>
        <v>0</v>
      </c>
      <c r="AC110" s="102">
        <f t="shared" si="69"/>
        <v>0</v>
      </c>
      <c r="AD110" s="102">
        <f t="shared" si="69"/>
        <v>0</v>
      </c>
      <c r="AE110" s="102">
        <f t="shared" si="69"/>
        <v>0</v>
      </c>
      <c r="AF110" s="102">
        <f t="shared" si="69"/>
        <v>0</v>
      </c>
      <c r="AG110" s="102">
        <f t="shared" si="69"/>
        <v>0</v>
      </c>
      <c r="AH110" s="126">
        <f t="shared" si="75"/>
        <v>0</v>
      </c>
      <c r="AI110" s="103">
        <f t="shared" si="54"/>
        <v>0</v>
      </c>
      <c r="AJ110" s="86"/>
      <c r="AM110" s="98">
        <v>3</v>
      </c>
      <c r="AN110" s="98">
        <v>1</v>
      </c>
      <c r="AO110" s="128">
        <f t="shared" si="71"/>
        <v>0</v>
      </c>
      <c r="AP110" s="129">
        <f t="shared" si="72"/>
        <v>238.32563510392612</v>
      </c>
      <c r="AQ110" s="129">
        <f t="shared" ca="1" si="73"/>
        <v>250.44835808870698</v>
      </c>
      <c r="AR110" s="89">
        <f t="shared" ca="1" si="62"/>
        <v>1084.4413905241013</v>
      </c>
      <c r="AS110" s="90">
        <f t="shared" ca="1" si="70"/>
        <v>0</v>
      </c>
      <c r="AT110" s="90">
        <f t="shared" ca="1" si="57"/>
        <v>0</v>
      </c>
      <c r="AV110" s="403">
        <f t="shared" ca="1" si="64"/>
        <v>0</v>
      </c>
      <c r="AW110" s="403">
        <f t="shared" ca="1" si="65"/>
        <v>0</v>
      </c>
    </row>
    <row r="111" spans="1:49" s="98" customFormat="1">
      <c r="A111" s="98" t="str">
        <f t="shared" si="58"/>
        <v>Lewis County UTCFL003.0YEO001</v>
      </c>
      <c r="B111" s="98">
        <f t="shared" si="59"/>
        <v>1</v>
      </c>
      <c r="C111" s="127" t="s">
        <v>428</v>
      </c>
      <c r="D111" s="127" t="s">
        <v>429</v>
      </c>
      <c r="E111" s="100">
        <v>118.45</v>
      </c>
      <c r="F111" s="100">
        <v>117.95</v>
      </c>
      <c r="G111" s="100" t="s">
        <v>368</v>
      </c>
      <c r="H111" s="101">
        <v>3296.85</v>
      </c>
      <c r="I111" s="101">
        <v>3316.6</v>
      </c>
      <c r="J111" s="101">
        <v>3174.46</v>
      </c>
      <c r="K111" s="101">
        <v>3316.6</v>
      </c>
      <c r="L111" s="101">
        <v>3198.15</v>
      </c>
      <c r="M111" s="101">
        <v>3079.7000000000003</v>
      </c>
      <c r="N111" s="101">
        <v>3435.05</v>
      </c>
      <c r="O111" s="101">
        <v>3375.82</v>
      </c>
      <c r="P111" s="101">
        <v>3499.18</v>
      </c>
      <c r="Q111" s="101">
        <v>3597.48</v>
      </c>
      <c r="R111" s="101">
        <v>3538.5000000000005</v>
      </c>
      <c r="S111" s="101">
        <v>3361.5800000000004</v>
      </c>
      <c r="T111" s="101">
        <f t="shared" si="74"/>
        <v>40189.97</v>
      </c>
      <c r="U111" s="101"/>
      <c r="V111" s="102">
        <f t="shared" ref="V111:AB142" si="76">IFERROR(H111/$E111,0)</f>
        <v>27.833262980160402</v>
      </c>
      <c r="W111" s="102">
        <f t="shared" si="76"/>
        <v>28</v>
      </c>
      <c r="X111" s="102">
        <f t="shared" si="76"/>
        <v>26.8</v>
      </c>
      <c r="Y111" s="102">
        <f t="shared" si="76"/>
        <v>28</v>
      </c>
      <c r="Z111" s="102">
        <f t="shared" si="76"/>
        <v>27</v>
      </c>
      <c r="AA111" s="102">
        <f t="shared" si="76"/>
        <v>26</v>
      </c>
      <c r="AB111" s="102">
        <f t="shared" si="76"/>
        <v>29</v>
      </c>
      <c r="AC111" s="102">
        <f t="shared" ref="AC111:AG142" si="77">IFERROR(O111/$F111,0)</f>
        <v>28.620771513353116</v>
      </c>
      <c r="AD111" s="102">
        <f t="shared" si="77"/>
        <v>29.66663840610428</v>
      </c>
      <c r="AE111" s="102">
        <f t="shared" si="77"/>
        <v>30.500042390843578</v>
      </c>
      <c r="AF111" s="102">
        <f t="shared" si="77"/>
        <v>30.000000000000004</v>
      </c>
      <c r="AG111" s="102">
        <f t="shared" si="77"/>
        <v>28.500042390843582</v>
      </c>
      <c r="AH111" s="126">
        <f t="shared" si="75"/>
        <v>339.92075768130496</v>
      </c>
      <c r="AI111" s="103">
        <f t="shared" si="54"/>
        <v>28.326729806775415</v>
      </c>
      <c r="AJ111" s="86"/>
      <c r="AM111" s="98">
        <v>3</v>
      </c>
      <c r="AN111" s="98">
        <v>1</v>
      </c>
      <c r="AO111" s="128">
        <f t="shared" si="71"/>
        <v>28.326729806775415</v>
      </c>
      <c r="AP111" s="129">
        <f t="shared" si="72"/>
        <v>27.240184757505773</v>
      </c>
      <c r="AQ111" s="129">
        <f t="shared" ca="1" si="73"/>
        <v>28.625789850829001</v>
      </c>
      <c r="AR111" s="89">
        <f t="shared" ca="1" si="62"/>
        <v>123.94967005408958</v>
      </c>
      <c r="AS111" s="90">
        <f t="shared" ca="1" si="70"/>
        <v>42133.065759133882</v>
      </c>
      <c r="AT111" s="90">
        <f t="shared" ca="1" si="57"/>
        <v>1943.0957591338811</v>
      </c>
      <c r="AV111" s="403">
        <f t="shared" ca="1" si="64"/>
        <v>163.41042528876409</v>
      </c>
      <c r="AW111" s="403">
        <f t="shared" ca="1" si="65"/>
        <v>42296.476184422645</v>
      </c>
    </row>
    <row r="112" spans="1:49" s="98" customFormat="1">
      <c r="A112" s="98" t="str">
        <f t="shared" si="58"/>
        <v>Lewis County UTCFL003.0YEO003</v>
      </c>
      <c r="B112" s="98">
        <f t="shared" si="59"/>
        <v>1</v>
      </c>
      <c r="C112" s="127" t="s">
        <v>430</v>
      </c>
      <c r="D112" s="127" t="s">
        <v>431</v>
      </c>
      <c r="E112" s="100">
        <v>355.35</v>
      </c>
      <c r="F112" s="100">
        <v>353.84</v>
      </c>
      <c r="G112" s="100" t="s">
        <v>368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f t="shared" si="74"/>
        <v>0</v>
      </c>
      <c r="U112" s="101"/>
      <c r="V112" s="102">
        <f t="shared" si="76"/>
        <v>0</v>
      </c>
      <c r="W112" s="102">
        <f t="shared" si="76"/>
        <v>0</v>
      </c>
      <c r="X112" s="102">
        <f t="shared" si="76"/>
        <v>0</v>
      </c>
      <c r="Y112" s="102">
        <f t="shared" si="76"/>
        <v>0</v>
      </c>
      <c r="Z112" s="102">
        <f t="shared" si="76"/>
        <v>0</v>
      </c>
      <c r="AA112" s="102">
        <f t="shared" si="76"/>
        <v>0</v>
      </c>
      <c r="AB112" s="102">
        <f t="shared" si="76"/>
        <v>0</v>
      </c>
      <c r="AC112" s="102">
        <f t="shared" si="77"/>
        <v>0</v>
      </c>
      <c r="AD112" s="102">
        <f t="shared" si="77"/>
        <v>0</v>
      </c>
      <c r="AE112" s="102">
        <f t="shared" si="77"/>
        <v>0</v>
      </c>
      <c r="AF112" s="102">
        <f t="shared" si="77"/>
        <v>0</v>
      </c>
      <c r="AG112" s="102">
        <f t="shared" si="77"/>
        <v>0</v>
      </c>
      <c r="AH112" s="126">
        <f t="shared" si="75"/>
        <v>0</v>
      </c>
      <c r="AI112" s="103">
        <f t="shared" si="54"/>
        <v>0</v>
      </c>
      <c r="AJ112" s="86"/>
      <c r="AM112" s="98">
        <v>3</v>
      </c>
      <c r="AN112" s="98">
        <v>3</v>
      </c>
      <c r="AO112" s="128">
        <f t="shared" si="71"/>
        <v>0</v>
      </c>
      <c r="AP112" s="129">
        <f t="shared" si="72"/>
        <v>81.718244803695143</v>
      </c>
      <c r="AQ112" s="129">
        <f t="shared" ca="1" si="73"/>
        <v>85.874942609727285</v>
      </c>
      <c r="AR112" s="89">
        <f t="shared" ca="1" si="62"/>
        <v>371.83850150011915</v>
      </c>
      <c r="AS112" s="90">
        <f t="shared" ca="1" si="70"/>
        <v>0</v>
      </c>
      <c r="AT112" s="90">
        <f t="shared" ca="1" si="57"/>
        <v>0</v>
      </c>
      <c r="AV112" s="403">
        <f t="shared" ca="1" si="64"/>
        <v>0</v>
      </c>
      <c r="AW112" s="403">
        <f t="shared" ca="1" si="65"/>
        <v>0</v>
      </c>
    </row>
    <row r="113" spans="1:49" s="98" customFormat="1">
      <c r="A113" s="98" t="str">
        <f t="shared" si="58"/>
        <v>Lewis County UTCFL004.0Y1W001</v>
      </c>
      <c r="B113" s="98">
        <f t="shared" si="59"/>
        <v>1</v>
      </c>
      <c r="C113" s="127" t="s">
        <v>432</v>
      </c>
      <c r="D113" s="127" t="s">
        <v>433</v>
      </c>
      <c r="E113" s="100">
        <v>263.47000000000003</v>
      </c>
      <c r="F113" s="100">
        <v>262.36</v>
      </c>
      <c r="G113" s="100" t="s">
        <v>368</v>
      </c>
      <c r="H113" s="101">
        <v>16927.940000000002</v>
      </c>
      <c r="I113" s="101">
        <v>16862.07</v>
      </c>
      <c r="J113" s="101">
        <v>17652.489999999998</v>
      </c>
      <c r="K113" s="101">
        <v>18179.41</v>
      </c>
      <c r="L113" s="101">
        <v>17850.079999999998</v>
      </c>
      <c r="M113" s="101">
        <v>16703.990000000002</v>
      </c>
      <c r="N113" s="101">
        <v>15847.7</v>
      </c>
      <c r="O113" s="101">
        <v>15439.34</v>
      </c>
      <c r="P113" s="101">
        <v>15374.300000000001</v>
      </c>
      <c r="Q113" s="101">
        <v>17123.41</v>
      </c>
      <c r="R113" s="101">
        <v>17053.399999999998</v>
      </c>
      <c r="S113" s="101">
        <v>17000.93</v>
      </c>
      <c r="T113" s="101">
        <f t="shared" si="74"/>
        <v>202015.06</v>
      </c>
      <c r="U113" s="101"/>
      <c r="V113" s="102">
        <f t="shared" si="76"/>
        <v>64.249971533760956</v>
      </c>
      <c r="W113" s="102">
        <f t="shared" si="76"/>
        <v>63.999962045014605</v>
      </c>
      <c r="X113" s="102">
        <f t="shared" si="76"/>
        <v>66.999999999999986</v>
      </c>
      <c r="Y113" s="102">
        <f t="shared" si="76"/>
        <v>68.999924090029211</v>
      </c>
      <c r="Z113" s="102">
        <f t="shared" si="76"/>
        <v>67.749952556268255</v>
      </c>
      <c r="AA113" s="102">
        <f t="shared" si="76"/>
        <v>63.39996963601169</v>
      </c>
      <c r="AB113" s="102">
        <f t="shared" si="76"/>
        <v>60.149922192279952</v>
      </c>
      <c r="AC113" s="102">
        <f t="shared" si="77"/>
        <v>58.847918890074702</v>
      </c>
      <c r="AD113" s="102">
        <f t="shared" si="77"/>
        <v>58.600015246226562</v>
      </c>
      <c r="AE113" s="102">
        <f t="shared" si="77"/>
        <v>65.266847080347617</v>
      </c>
      <c r="AF113" s="102">
        <f t="shared" si="77"/>
        <v>64.999999999999986</v>
      </c>
      <c r="AG113" s="102">
        <f t="shared" si="77"/>
        <v>64.800007623113274</v>
      </c>
      <c r="AH113" s="126">
        <f t="shared" si="75"/>
        <v>768.06449089312684</v>
      </c>
      <c r="AI113" s="103">
        <f t="shared" si="54"/>
        <v>64.005374241093904</v>
      </c>
      <c r="AJ113" s="86"/>
      <c r="AM113" s="98">
        <v>4</v>
      </c>
      <c r="AN113" s="98">
        <v>1</v>
      </c>
      <c r="AO113" s="128">
        <f t="shared" si="71"/>
        <v>64.005374241093904</v>
      </c>
      <c r="AP113" s="129">
        <f t="shared" si="72"/>
        <v>60.591224018475749</v>
      </c>
      <c r="AQ113" s="129">
        <f t="shared" ca="1" si="73"/>
        <v>63.673270243861779</v>
      </c>
      <c r="AR113" s="89">
        <f t="shared" ca="1" si="62"/>
        <v>275.70526015592151</v>
      </c>
      <c r="AS113" s="90">
        <f t="shared" ca="1" si="70"/>
        <v>211759.42027821497</v>
      </c>
      <c r="AT113" s="90">
        <f t="shared" ca="1" si="57"/>
        <v>9744.3602782149683</v>
      </c>
      <c r="AV113" s="403">
        <f t="shared" ca="1" si="64"/>
        <v>821.29549091887816</v>
      </c>
      <c r="AW113" s="403">
        <f t="shared" ca="1" si="65"/>
        <v>212580.71576913385</v>
      </c>
    </row>
    <row r="114" spans="1:49" s="98" customFormat="1">
      <c r="A114" s="98" t="str">
        <f t="shared" si="58"/>
        <v>Lewis County UTCFL004.0Y2W001</v>
      </c>
      <c r="B114" s="98">
        <f t="shared" si="59"/>
        <v>1</v>
      </c>
      <c r="C114" s="127" t="s">
        <v>434</v>
      </c>
      <c r="D114" s="127" t="s">
        <v>435</v>
      </c>
      <c r="E114" s="100">
        <v>509.45</v>
      </c>
      <c r="F114" s="100">
        <v>507.31</v>
      </c>
      <c r="G114" s="100" t="s">
        <v>368</v>
      </c>
      <c r="H114" s="101">
        <v>3566.1499999999996</v>
      </c>
      <c r="I114" s="101">
        <v>3566.1499999999996</v>
      </c>
      <c r="J114" s="101">
        <v>3566.1499999999996</v>
      </c>
      <c r="K114" s="101">
        <v>4521.32</v>
      </c>
      <c r="L114" s="101">
        <v>4754.8599999999997</v>
      </c>
      <c r="M114" s="101">
        <v>6339.82</v>
      </c>
      <c r="N114" s="101">
        <v>6622.8499999999995</v>
      </c>
      <c r="O114" s="101">
        <v>6622.8499999999995</v>
      </c>
      <c r="P114" s="101">
        <v>4706.7300000000005</v>
      </c>
      <c r="Q114" s="101">
        <v>2705.64</v>
      </c>
      <c r="R114" s="101">
        <v>2029.24</v>
      </c>
      <c r="S114" s="101">
        <v>2705.66</v>
      </c>
      <c r="T114" s="101">
        <f t="shared" si="74"/>
        <v>51707.42</v>
      </c>
      <c r="U114" s="101"/>
      <c r="V114" s="102">
        <f t="shared" si="76"/>
        <v>6.9999999999999991</v>
      </c>
      <c r="W114" s="102">
        <f t="shared" si="76"/>
        <v>6.9999999999999991</v>
      </c>
      <c r="X114" s="102">
        <f t="shared" si="76"/>
        <v>6.9999999999999991</v>
      </c>
      <c r="Y114" s="102">
        <f t="shared" si="76"/>
        <v>8.8749043085680626</v>
      </c>
      <c r="Z114" s="102">
        <f t="shared" si="76"/>
        <v>9.3333202473255472</v>
      </c>
      <c r="AA114" s="102">
        <f t="shared" si="76"/>
        <v>12.444440082441849</v>
      </c>
      <c r="AB114" s="102">
        <f t="shared" si="76"/>
        <v>13</v>
      </c>
      <c r="AC114" s="102">
        <f t="shared" si="77"/>
        <v>13.054838264571957</v>
      </c>
      <c r="AD114" s="102">
        <f t="shared" si="77"/>
        <v>9.2778182965050959</v>
      </c>
      <c r="AE114" s="102">
        <f t="shared" si="77"/>
        <v>5.3333070509156135</v>
      </c>
      <c r="AF114" s="102">
        <f t="shared" si="77"/>
        <v>4</v>
      </c>
      <c r="AG114" s="102">
        <f t="shared" si="77"/>
        <v>5.3333464745421928</v>
      </c>
      <c r="AH114" s="126">
        <f t="shared" si="75"/>
        <v>101.65197472487031</v>
      </c>
      <c r="AI114" s="103">
        <f t="shared" si="54"/>
        <v>8.4709978937391934</v>
      </c>
      <c r="AJ114" s="86"/>
      <c r="AM114" s="98">
        <v>4</v>
      </c>
      <c r="AN114" s="98">
        <v>1</v>
      </c>
      <c r="AO114" s="128">
        <f t="shared" si="71"/>
        <v>8.4709978937391934</v>
      </c>
      <c r="AP114" s="129">
        <f t="shared" si="72"/>
        <v>117.16166281755196</v>
      </c>
      <c r="AQ114" s="129">
        <f t="shared" ca="1" si="73"/>
        <v>123.12123314306115</v>
      </c>
      <c r="AR114" s="89">
        <f t="shared" ca="1" si="62"/>
        <v>533.11493950945476</v>
      </c>
      <c r="AS114" s="90">
        <f t="shared" ca="1" si="70"/>
        <v>54192.186356465871</v>
      </c>
      <c r="AT114" s="90">
        <f t="shared" ca="1" si="57"/>
        <v>2484.7663564658724</v>
      </c>
      <c r="AV114" s="403">
        <f t="shared" ca="1" si="64"/>
        <v>210.18096025728386</v>
      </c>
      <c r="AW114" s="403">
        <f t="shared" ca="1" si="65"/>
        <v>54402.367316723154</v>
      </c>
    </row>
    <row r="115" spans="1:49" s="98" customFormat="1">
      <c r="A115" s="98" t="str">
        <f t="shared" si="58"/>
        <v>Lewis County UTCFL004.0Y2W002</v>
      </c>
      <c r="B115" s="98">
        <f t="shared" si="59"/>
        <v>1</v>
      </c>
      <c r="C115" s="127" t="s">
        <v>436</v>
      </c>
      <c r="D115" s="127" t="s">
        <v>437</v>
      </c>
      <c r="E115" s="100">
        <v>1018.91</v>
      </c>
      <c r="F115" s="100">
        <v>1014.61</v>
      </c>
      <c r="G115" s="100" t="s">
        <v>368</v>
      </c>
      <c r="H115" s="101">
        <v>2037.82</v>
      </c>
      <c r="I115" s="101">
        <v>2037.82</v>
      </c>
      <c r="J115" s="101">
        <v>2037.82</v>
      </c>
      <c r="K115" s="101">
        <v>2037.82</v>
      </c>
      <c r="L115" s="101">
        <v>2037.82</v>
      </c>
      <c r="M115" s="101">
        <v>2037.82</v>
      </c>
      <c r="N115" s="101">
        <v>2037.82</v>
      </c>
      <c r="O115" s="101">
        <v>2037.82</v>
      </c>
      <c r="P115" s="101">
        <v>2029.22</v>
      </c>
      <c r="Q115" s="101">
        <v>2029.22</v>
      </c>
      <c r="R115" s="101">
        <v>2029.22</v>
      </c>
      <c r="S115" s="101">
        <v>2029.22</v>
      </c>
      <c r="T115" s="101">
        <f t="shared" si="74"/>
        <v>24419.440000000002</v>
      </c>
      <c r="U115" s="101"/>
      <c r="V115" s="102">
        <f t="shared" si="76"/>
        <v>2</v>
      </c>
      <c r="W115" s="102">
        <f t="shared" si="76"/>
        <v>2</v>
      </c>
      <c r="X115" s="102">
        <f t="shared" si="76"/>
        <v>2</v>
      </c>
      <c r="Y115" s="102">
        <f t="shared" si="76"/>
        <v>2</v>
      </c>
      <c r="Z115" s="102">
        <f t="shared" si="76"/>
        <v>2</v>
      </c>
      <c r="AA115" s="102">
        <f t="shared" si="76"/>
        <v>2</v>
      </c>
      <c r="AB115" s="102">
        <f t="shared" si="76"/>
        <v>2</v>
      </c>
      <c r="AC115" s="102">
        <f t="shared" si="77"/>
        <v>2.0084761632548465</v>
      </c>
      <c r="AD115" s="102">
        <f t="shared" si="77"/>
        <v>2</v>
      </c>
      <c r="AE115" s="102">
        <f t="shared" si="77"/>
        <v>2</v>
      </c>
      <c r="AF115" s="102">
        <f t="shared" si="77"/>
        <v>2</v>
      </c>
      <c r="AG115" s="102">
        <f t="shared" si="77"/>
        <v>2</v>
      </c>
      <c r="AH115" s="126">
        <f t="shared" si="75"/>
        <v>24.008476163254848</v>
      </c>
      <c r="AI115" s="103">
        <f t="shared" si="54"/>
        <v>2.0007063469379038</v>
      </c>
      <c r="AJ115" s="86"/>
      <c r="AM115" s="98">
        <v>4</v>
      </c>
      <c r="AN115" s="98">
        <v>2</v>
      </c>
      <c r="AO115" s="128">
        <f t="shared" si="71"/>
        <v>4.0014126938758077</v>
      </c>
      <c r="AP115" s="129">
        <f t="shared" si="72"/>
        <v>234.32101616628177</v>
      </c>
      <c r="AQ115" s="129">
        <f t="shared" ca="1" si="73"/>
        <v>246.24003934336258</v>
      </c>
      <c r="AR115" s="89">
        <f t="shared" ca="1" si="62"/>
        <v>1066.21937035676</v>
      </c>
      <c r="AS115" s="90">
        <f t="shared" ca="1" si="70"/>
        <v>25598.302338010864</v>
      </c>
      <c r="AT115" s="90">
        <f t="shared" ca="1" si="57"/>
        <v>1178.862338010862</v>
      </c>
      <c r="AV115" s="403">
        <f t="shared" ca="1" si="64"/>
        <v>99.281393280001097</v>
      </c>
      <c r="AW115" s="403">
        <f t="shared" ca="1" si="65"/>
        <v>25697.583731290866</v>
      </c>
    </row>
    <row r="116" spans="1:49" s="98" customFormat="1">
      <c r="A116" s="98" t="str">
        <f t="shared" si="58"/>
        <v>Lewis County UTCFL004.0Y3W001</v>
      </c>
      <c r="B116" s="98">
        <f t="shared" si="59"/>
        <v>1</v>
      </c>
      <c r="C116" s="127" t="s">
        <v>438</v>
      </c>
      <c r="D116" s="127" t="s">
        <v>439</v>
      </c>
      <c r="E116" s="100">
        <v>755.44</v>
      </c>
      <c r="F116" s="100">
        <v>752.25</v>
      </c>
      <c r="G116" s="100" t="s">
        <v>368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101">
        <v>0</v>
      </c>
      <c r="O116" s="101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f t="shared" si="74"/>
        <v>0</v>
      </c>
      <c r="U116" s="101"/>
      <c r="V116" s="102">
        <f t="shared" si="76"/>
        <v>0</v>
      </c>
      <c r="W116" s="102">
        <f t="shared" si="76"/>
        <v>0</v>
      </c>
      <c r="X116" s="102">
        <f t="shared" si="76"/>
        <v>0</v>
      </c>
      <c r="Y116" s="102">
        <f t="shared" si="76"/>
        <v>0</v>
      </c>
      <c r="Z116" s="102">
        <f t="shared" si="76"/>
        <v>0</v>
      </c>
      <c r="AA116" s="102">
        <f t="shared" si="76"/>
        <v>0</v>
      </c>
      <c r="AB116" s="102">
        <f t="shared" si="76"/>
        <v>0</v>
      </c>
      <c r="AC116" s="102">
        <f t="shared" si="77"/>
        <v>0</v>
      </c>
      <c r="AD116" s="102">
        <f t="shared" si="77"/>
        <v>0</v>
      </c>
      <c r="AE116" s="102">
        <f t="shared" si="77"/>
        <v>0</v>
      </c>
      <c r="AF116" s="102">
        <f t="shared" si="77"/>
        <v>0</v>
      </c>
      <c r="AG116" s="102">
        <f t="shared" si="77"/>
        <v>0</v>
      </c>
      <c r="AH116" s="126">
        <f t="shared" si="75"/>
        <v>0</v>
      </c>
      <c r="AI116" s="103">
        <f t="shared" si="54"/>
        <v>0</v>
      </c>
      <c r="AJ116" s="86"/>
      <c r="AM116" s="98">
        <v>4</v>
      </c>
      <c r="AN116" s="98">
        <v>1</v>
      </c>
      <c r="AO116" s="128">
        <f t="shared" si="71"/>
        <v>0</v>
      </c>
      <c r="AP116" s="129">
        <f t="shared" si="72"/>
        <v>173.72979214780599</v>
      </c>
      <c r="AQ116" s="129">
        <f t="shared" ca="1" si="73"/>
        <v>182.56676909950076</v>
      </c>
      <c r="AR116" s="89">
        <f t="shared" ca="1" si="62"/>
        <v>790.51411020083833</v>
      </c>
      <c r="AS116" s="90">
        <f t="shared" ca="1" si="70"/>
        <v>0</v>
      </c>
      <c r="AT116" s="90">
        <f t="shared" ca="1" si="57"/>
        <v>0</v>
      </c>
      <c r="AV116" s="403">
        <f t="shared" ca="1" si="64"/>
        <v>0</v>
      </c>
      <c r="AW116" s="403">
        <f t="shared" ca="1" si="65"/>
        <v>0</v>
      </c>
    </row>
    <row r="117" spans="1:49" s="98" customFormat="1">
      <c r="A117" s="98" t="str">
        <f t="shared" si="58"/>
        <v>Lewis County UTCFL004.0Y4W001</v>
      </c>
      <c r="B117" s="98">
        <f t="shared" si="59"/>
        <v>1</v>
      </c>
      <c r="C117" s="127" t="s">
        <v>440</v>
      </c>
      <c r="D117" s="127" t="s">
        <v>441</v>
      </c>
      <c r="E117" s="100">
        <v>1001.43</v>
      </c>
      <c r="F117" s="100">
        <v>997.2</v>
      </c>
      <c r="G117" s="100" t="s">
        <v>368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 s="101">
        <v>0</v>
      </c>
      <c r="O117" s="101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f t="shared" si="74"/>
        <v>0</v>
      </c>
      <c r="U117" s="101"/>
      <c r="V117" s="102">
        <f t="shared" si="76"/>
        <v>0</v>
      </c>
      <c r="W117" s="102">
        <f t="shared" si="76"/>
        <v>0</v>
      </c>
      <c r="X117" s="102">
        <f t="shared" si="76"/>
        <v>0</v>
      </c>
      <c r="Y117" s="102">
        <f t="shared" si="76"/>
        <v>0</v>
      </c>
      <c r="Z117" s="102">
        <f t="shared" si="76"/>
        <v>0</v>
      </c>
      <c r="AA117" s="102">
        <f t="shared" si="76"/>
        <v>0</v>
      </c>
      <c r="AB117" s="102">
        <f t="shared" si="76"/>
        <v>0</v>
      </c>
      <c r="AC117" s="102">
        <f t="shared" si="77"/>
        <v>0</v>
      </c>
      <c r="AD117" s="102">
        <f t="shared" si="77"/>
        <v>0</v>
      </c>
      <c r="AE117" s="102">
        <f t="shared" si="77"/>
        <v>0</v>
      </c>
      <c r="AF117" s="102">
        <f t="shared" si="77"/>
        <v>0</v>
      </c>
      <c r="AG117" s="102">
        <f t="shared" si="77"/>
        <v>0</v>
      </c>
      <c r="AH117" s="126">
        <f t="shared" si="75"/>
        <v>0</v>
      </c>
      <c r="AI117" s="103">
        <f t="shared" si="54"/>
        <v>0</v>
      </c>
      <c r="AJ117" s="86"/>
      <c r="AM117" s="98">
        <v>4</v>
      </c>
      <c r="AN117" s="98">
        <v>1</v>
      </c>
      <c r="AO117" s="128">
        <f t="shared" si="71"/>
        <v>0</v>
      </c>
      <c r="AP117" s="129">
        <f t="shared" si="72"/>
        <v>230.30023094688224</v>
      </c>
      <c r="AQ117" s="129">
        <f t="shared" ca="1" si="73"/>
        <v>242.01473199870017</v>
      </c>
      <c r="AR117" s="89">
        <f t="shared" ca="1" si="62"/>
        <v>1047.9237895543718</v>
      </c>
      <c r="AS117" s="90">
        <f t="shared" ca="1" si="70"/>
        <v>0</v>
      </c>
      <c r="AT117" s="90">
        <f t="shared" ca="1" si="57"/>
        <v>0</v>
      </c>
      <c r="AV117" s="403">
        <f t="shared" ca="1" si="64"/>
        <v>0</v>
      </c>
      <c r="AW117" s="403">
        <f t="shared" ca="1" si="65"/>
        <v>0</v>
      </c>
    </row>
    <row r="118" spans="1:49" s="98" customFormat="1">
      <c r="A118" s="98" t="str">
        <f t="shared" si="58"/>
        <v>Lewis County UTCFL004.0YEO001</v>
      </c>
      <c r="B118" s="98">
        <f t="shared" si="59"/>
        <v>1</v>
      </c>
      <c r="C118" s="127" t="s">
        <v>442</v>
      </c>
      <c r="D118" s="127" t="s">
        <v>443</v>
      </c>
      <c r="E118" s="100">
        <v>140.76</v>
      </c>
      <c r="F118" s="100">
        <v>140.16999999999999</v>
      </c>
      <c r="G118" s="100" t="s">
        <v>368</v>
      </c>
      <c r="H118" s="101">
        <v>5911.92</v>
      </c>
      <c r="I118" s="101">
        <v>5630.4</v>
      </c>
      <c r="J118" s="101">
        <v>5818.07</v>
      </c>
      <c r="K118" s="101">
        <v>5911.92</v>
      </c>
      <c r="L118" s="101">
        <v>6334.2000000000007</v>
      </c>
      <c r="M118" s="101">
        <v>6193.4400000000005</v>
      </c>
      <c r="N118" s="101">
        <v>6123.0599999999995</v>
      </c>
      <c r="O118" s="101">
        <v>6474.96</v>
      </c>
      <c r="P118" s="101">
        <v>6587.99</v>
      </c>
      <c r="Q118" s="101">
        <v>6377.75</v>
      </c>
      <c r="R118" s="101">
        <v>6517.91</v>
      </c>
      <c r="S118" s="101">
        <v>6447.83</v>
      </c>
      <c r="T118" s="101">
        <f t="shared" si="74"/>
        <v>74329.45</v>
      </c>
      <c r="U118" s="101"/>
      <c r="V118" s="102">
        <f t="shared" si="76"/>
        <v>42</v>
      </c>
      <c r="W118" s="102">
        <f t="shared" si="76"/>
        <v>40</v>
      </c>
      <c r="X118" s="102">
        <f t="shared" si="76"/>
        <v>41.333262290423413</v>
      </c>
      <c r="Y118" s="102">
        <f t="shared" si="76"/>
        <v>42</v>
      </c>
      <c r="Z118" s="102">
        <f t="shared" si="76"/>
        <v>45.000000000000007</v>
      </c>
      <c r="AA118" s="102">
        <f t="shared" si="76"/>
        <v>44.000000000000007</v>
      </c>
      <c r="AB118" s="102">
        <f t="shared" si="76"/>
        <v>43.5</v>
      </c>
      <c r="AC118" s="102">
        <f t="shared" si="77"/>
        <v>46.193622030391673</v>
      </c>
      <c r="AD118" s="102">
        <f t="shared" si="77"/>
        <v>47</v>
      </c>
      <c r="AE118" s="102">
        <f t="shared" si="77"/>
        <v>45.500107012912899</v>
      </c>
      <c r="AF118" s="102">
        <f t="shared" si="77"/>
        <v>46.500035670970966</v>
      </c>
      <c r="AG118" s="102">
        <f t="shared" si="77"/>
        <v>46.000071341941933</v>
      </c>
      <c r="AH118" s="126">
        <f t="shared" si="75"/>
        <v>529.02709834664097</v>
      </c>
      <c r="AI118" s="103">
        <f t="shared" si="54"/>
        <v>44.085591528886745</v>
      </c>
      <c r="AJ118" s="86"/>
      <c r="AM118" s="98">
        <v>4</v>
      </c>
      <c r="AN118" s="98">
        <v>1</v>
      </c>
      <c r="AO118" s="128">
        <f t="shared" si="71"/>
        <v>44.085591528886745</v>
      </c>
      <c r="AP118" s="129">
        <f t="shared" si="72"/>
        <v>32.371824480369511</v>
      </c>
      <c r="AQ118" s="129">
        <f t="shared" ca="1" si="73"/>
        <v>34.018456662913955</v>
      </c>
      <c r="AR118" s="89">
        <f t="shared" ca="1" si="62"/>
        <v>147.29991735041742</v>
      </c>
      <c r="AS118" s="90">
        <f t="shared" ca="1" si="70"/>
        <v>77925.647862591359</v>
      </c>
      <c r="AT118" s="90">
        <f t="shared" ca="1" si="57"/>
        <v>3596.1978625913616</v>
      </c>
      <c r="AV118" s="403">
        <f t="shared" ca="1" si="64"/>
        <v>302.22968655842453</v>
      </c>
      <c r="AW118" s="403">
        <f t="shared" ca="1" si="65"/>
        <v>78227.87754914978</v>
      </c>
    </row>
    <row r="119" spans="1:49" s="98" customFormat="1">
      <c r="A119" s="98" t="str">
        <f t="shared" si="58"/>
        <v>Lewis County UTCFL005.0Y1W001</v>
      </c>
      <c r="B119" s="98">
        <f t="shared" si="59"/>
        <v>1</v>
      </c>
      <c r="C119" s="127" t="s">
        <v>444</v>
      </c>
      <c r="D119" s="127" t="s">
        <v>445</v>
      </c>
      <c r="E119" s="100">
        <v>310.74</v>
      </c>
      <c r="F119" s="100">
        <v>309.44</v>
      </c>
      <c r="G119" s="100" t="s">
        <v>368</v>
      </c>
      <c r="H119" s="101">
        <v>0</v>
      </c>
      <c r="I119" s="101">
        <v>0</v>
      </c>
      <c r="J119" s="101">
        <v>0</v>
      </c>
      <c r="K119" s="101">
        <v>0</v>
      </c>
      <c r="L119" s="101">
        <v>0</v>
      </c>
      <c r="M119" s="101">
        <v>0</v>
      </c>
      <c r="N119" s="101">
        <v>0</v>
      </c>
      <c r="O119" s="101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f t="shared" si="74"/>
        <v>0</v>
      </c>
      <c r="U119" s="101"/>
      <c r="V119" s="102">
        <f t="shared" si="76"/>
        <v>0</v>
      </c>
      <c r="W119" s="102">
        <f t="shared" si="76"/>
        <v>0</v>
      </c>
      <c r="X119" s="102">
        <f t="shared" si="76"/>
        <v>0</v>
      </c>
      <c r="Y119" s="102">
        <f t="shared" si="76"/>
        <v>0</v>
      </c>
      <c r="Z119" s="102">
        <f t="shared" si="76"/>
        <v>0</v>
      </c>
      <c r="AA119" s="102">
        <f t="shared" si="76"/>
        <v>0</v>
      </c>
      <c r="AB119" s="102">
        <f t="shared" si="76"/>
        <v>0</v>
      </c>
      <c r="AC119" s="102">
        <f t="shared" si="77"/>
        <v>0</v>
      </c>
      <c r="AD119" s="102">
        <f t="shared" si="77"/>
        <v>0</v>
      </c>
      <c r="AE119" s="102">
        <f t="shared" si="77"/>
        <v>0</v>
      </c>
      <c r="AF119" s="102">
        <f t="shared" si="77"/>
        <v>0</v>
      </c>
      <c r="AG119" s="102">
        <f t="shared" si="77"/>
        <v>0</v>
      </c>
      <c r="AH119" s="126">
        <f t="shared" si="75"/>
        <v>0</v>
      </c>
      <c r="AI119" s="103">
        <f t="shared" si="54"/>
        <v>0</v>
      </c>
      <c r="AJ119" s="86"/>
      <c r="AM119" s="98">
        <v>5</v>
      </c>
      <c r="AN119" s="98">
        <v>1</v>
      </c>
      <c r="AO119" s="128">
        <f t="shared" si="71"/>
        <v>0</v>
      </c>
      <c r="AP119" s="129">
        <f t="shared" si="72"/>
        <v>71.464203233256356</v>
      </c>
      <c r="AQ119" s="129">
        <f t="shared" ca="1" si="73"/>
        <v>75.099316756596238</v>
      </c>
      <c r="AR119" s="89">
        <f t="shared" ca="1" si="62"/>
        <v>325.18004155606172</v>
      </c>
      <c r="AS119" s="90">
        <f t="shared" ca="1" si="70"/>
        <v>0</v>
      </c>
      <c r="AT119" s="90">
        <f t="shared" ca="1" si="57"/>
        <v>0</v>
      </c>
      <c r="AV119" s="403">
        <f t="shared" ca="1" si="64"/>
        <v>0</v>
      </c>
      <c r="AW119" s="403">
        <f t="shared" ca="1" si="65"/>
        <v>0</v>
      </c>
    </row>
    <row r="120" spans="1:49" s="98" customFormat="1">
      <c r="A120" s="98" t="str">
        <f t="shared" si="58"/>
        <v>Lewis County UTCFL006.0Y1W001</v>
      </c>
      <c r="B120" s="98">
        <f t="shared" si="59"/>
        <v>1</v>
      </c>
      <c r="C120" s="127" t="s">
        <v>446</v>
      </c>
      <c r="D120" s="127" t="s">
        <v>447</v>
      </c>
      <c r="E120" s="100">
        <v>374.17</v>
      </c>
      <c r="F120" s="100">
        <v>372.6</v>
      </c>
      <c r="G120" s="100" t="s">
        <v>368</v>
      </c>
      <c r="H120" s="101">
        <v>31897.97</v>
      </c>
      <c r="I120" s="101">
        <v>31804.449999999997</v>
      </c>
      <c r="J120" s="101">
        <v>32178.620000000003</v>
      </c>
      <c r="K120" s="101">
        <v>32646.32</v>
      </c>
      <c r="L120" s="101">
        <v>32028.95</v>
      </c>
      <c r="M120" s="101">
        <v>28661.38</v>
      </c>
      <c r="N120" s="101">
        <v>30326.44</v>
      </c>
      <c r="O120" s="101">
        <v>29372.34</v>
      </c>
      <c r="P120" s="101">
        <v>29435.4</v>
      </c>
      <c r="Q120" s="101">
        <v>34838.1</v>
      </c>
      <c r="R120" s="101">
        <v>33906.6</v>
      </c>
      <c r="S120" s="101">
        <v>33068.25</v>
      </c>
      <c r="T120" s="101">
        <f t="shared" si="74"/>
        <v>380164.82</v>
      </c>
      <c r="U120" s="101"/>
      <c r="V120" s="102">
        <f t="shared" si="76"/>
        <v>85.249939866905422</v>
      </c>
      <c r="W120" s="102">
        <f t="shared" si="76"/>
        <v>84.999999999999986</v>
      </c>
      <c r="X120" s="102">
        <f t="shared" si="76"/>
        <v>86</v>
      </c>
      <c r="Y120" s="102">
        <f t="shared" si="76"/>
        <v>87.249966592725229</v>
      </c>
      <c r="Z120" s="102">
        <f t="shared" si="76"/>
        <v>85.599994654836038</v>
      </c>
      <c r="AA120" s="102">
        <f t="shared" si="76"/>
        <v>76.599887751556778</v>
      </c>
      <c r="AB120" s="102">
        <f t="shared" si="76"/>
        <v>81.049897105593701</v>
      </c>
      <c r="AC120" s="102">
        <f t="shared" si="77"/>
        <v>78.830756843800316</v>
      </c>
      <c r="AD120" s="102">
        <f t="shared" si="77"/>
        <v>79</v>
      </c>
      <c r="AE120" s="102">
        <f t="shared" si="77"/>
        <v>93.499999999999986</v>
      </c>
      <c r="AF120" s="102">
        <f t="shared" si="77"/>
        <v>90.999999999999986</v>
      </c>
      <c r="AG120" s="102">
        <f t="shared" si="77"/>
        <v>88.75</v>
      </c>
      <c r="AH120" s="126">
        <f t="shared" si="75"/>
        <v>1017.8304428154174</v>
      </c>
      <c r="AI120" s="103">
        <f t="shared" si="54"/>
        <v>84.819203567951448</v>
      </c>
      <c r="AJ120" s="86"/>
      <c r="AM120" s="98">
        <v>6</v>
      </c>
      <c r="AN120" s="98">
        <v>1</v>
      </c>
      <c r="AO120" s="128">
        <f t="shared" si="71"/>
        <v>84.819203567951448</v>
      </c>
      <c r="AP120" s="129">
        <f t="shared" si="72"/>
        <v>86.05080831408776</v>
      </c>
      <c r="AQ120" s="129">
        <f t="shared" ca="1" si="73"/>
        <v>90.427887226951142</v>
      </c>
      <c r="AR120" s="89">
        <f t="shared" ca="1" si="62"/>
        <v>391.55275169269845</v>
      </c>
      <c r="AS120" s="90">
        <f t="shared" ca="1" si="70"/>
        <v>398534.31064097444</v>
      </c>
      <c r="AT120" s="90">
        <f t="shared" ca="1" si="57"/>
        <v>18369.490640974429</v>
      </c>
      <c r="AV120" s="403">
        <f t="shared" ca="1" si="64"/>
        <v>1545.6900659997166</v>
      </c>
      <c r="AW120" s="403">
        <f t="shared" ca="1" si="65"/>
        <v>400080.00070697413</v>
      </c>
    </row>
    <row r="121" spans="1:49" s="98" customFormat="1">
      <c r="A121" s="98" t="str">
        <f t="shared" si="58"/>
        <v>Lewis County UTCFL006.0Y1W002</v>
      </c>
      <c r="B121" s="98">
        <f t="shared" si="59"/>
        <v>1</v>
      </c>
      <c r="C121" s="127" t="s">
        <v>448</v>
      </c>
      <c r="D121" s="127" t="s">
        <v>449</v>
      </c>
      <c r="E121" s="100">
        <v>748.34</v>
      </c>
      <c r="F121" s="100">
        <v>745.19</v>
      </c>
      <c r="G121" s="100" t="s">
        <v>368</v>
      </c>
      <c r="H121" s="101">
        <v>2245.02</v>
      </c>
      <c r="I121" s="101">
        <v>2245.02</v>
      </c>
      <c r="J121" s="101">
        <v>2245.02</v>
      </c>
      <c r="K121" s="101">
        <v>2245.02</v>
      </c>
      <c r="L121" s="101">
        <v>2245.02</v>
      </c>
      <c r="M121" s="101">
        <v>2394.6799999999998</v>
      </c>
      <c r="N121" s="101">
        <v>3367.53</v>
      </c>
      <c r="O121" s="101">
        <v>3741.7000000000003</v>
      </c>
      <c r="P121" s="101">
        <v>4284.84</v>
      </c>
      <c r="Q121" s="101">
        <v>3167.06</v>
      </c>
      <c r="R121" s="101">
        <v>3576.91</v>
      </c>
      <c r="S121" s="101">
        <v>3725.9500000000003</v>
      </c>
      <c r="T121" s="101">
        <f t="shared" si="74"/>
        <v>35483.770000000004</v>
      </c>
      <c r="U121" s="101"/>
      <c r="V121" s="102">
        <f t="shared" si="76"/>
        <v>3</v>
      </c>
      <c r="W121" s="102">
        <f t="shared" si="76"/>
        <v>3</v>
      </c>
      <c r="X121" s="102">
        <f t="shared" si="76"/>
        <v>3</v>
      </c>
      <c r="Y121" s="102">
        <f t="shared" si="76"/>
        <v>3</v>
      </c>
      <c r="Z121" s="102">
        <f t="shared" si="76"/>
        <v>3</v>
      </c>
      <c r="AA121" s="102">
        <f t="shared" si="76"/>
        <v>3.1999893096720737</v>
      </c>
      <c r="AB121" s="102">
        <f t="shared" si="76"/>
        <v>4.5</v>
      </c>
      <c r="AC121" s="102">
        <f t="shared" si="77"/>
        <v>5.0211355493229917</v>
      </c>
      <c r="AD121" s="102">
        <f t="shared" si="77"/>
        <v>5.749996645150901</v>
      </c>
      <c r="AE121" s="102">
        <f t="shared" si="77"/>
        <v>4.2500033548490981</v>
      </c>
      <c r="AF121" s="102">
        <f t="shared" si="77"/>
        <v>4.7999973161207201</v>
      </c>
      <c r="AG121" s="102">
        <f t="shared" si="77"/>
        <v>5</v>
      </c>
      <c r="AH121" s="126">
        <f t="shared" si="75"/>
        <v>47.521122175115792</v>
      </c>
      <c r="AI121" s="103">
        <f t="shared" si="54"/>
        <v>3.9600935145929825</v>
      </c>
      <c r="AJ121" s="86"/>
      <c r="AM121" s="98">
        <v>6</v>
      </c>
      <c r="AN121" s="98">
        <v>2</v>
      </c>
      <c r="AO121" s="128">
        <f t="shared" si="71"/>
        <v>7.9201870291859651</v>
      </c>
      <c r="AP121" s="129">
        <f t="shared" si="72"/>
        <v>172.09930715935334</v>
      </c>
      <c r="AQ121" s="129">
        <f t="shared" ca="1" si="73"/>
        <v>180.85334751114254</v>
      </c>
      <c r="AR121" s="89">
        <f t="shared" ca="1" si="62"/>
        <v>783.09499472324728</v>
      </c>
      <c r="AS121" s="90">
        <f t="shared" ca="1" si="70"/>
        <v>37213.552918965092</v>
      </c>
      <c r="AT121" s="90">
        <f t="shared" ca="1" si="57"/>
        <v>1729.7829189650874</v>
      </c>
      <c r="AV121" s="403">
        <f t="shared" ca="1" si="64"/>
        <v>144.33040652105208</v>
      </c>
      <c r="AW121" s="403">
        <f t="shared" ca="1" si="65"/>
        <v>37357.883325486146</v>
      </c>
    </row>
    <row r="122" spans="1:49" s="98" customFormat="1">
      <c r="A122" s="98" t="str">
        <f t="shared" si="58"/>
        <v>Lewis County UTCFL006.0Y2W001</v>
      </c>
      <c r="B122" s="98">
        <f t="shared" si="59"/>
        <v>1</v>
      </c>
      <c r="C122" s="127" t="s">
        <v>450</v>
      </c>
      <c r="D122" s="127" t="s">
        <v>451</v>
      </c>
      <c r="E122" s="100">
        <v>725.55</v>
      </c>
      <c r="F122" s="100">
        <v>722.5</v>
      </c>
      <c r="G122" s="100" t="s">
        <v>368</v>
      </c>
      <c r="H122" s="101">
        <v>2902.2</v>
      </c>
      <c r="I122" s="101">
        <v>2902.2</v>
      </c>
      <c r="J122" s="101">
        <v>2902.2</v>
      </c>
      <c r="K122" s="101">
        <v>3990.5199999999995</v>
      </c>
      <c r="L122" s="101">
        <v>4836.99</v>
      </c>
      <c r="M122" s="101">
        <v>14511</v>
      </c>
      <c r="N122" s="101">
        <v>14430.38</v>
      </c>
      <c r="O122" s="101">
        <v>13785.449999999999</v>
      </c>
      <c r="P122" s="101">
        <v>6803.61</v>
      </c>
      <c r="Q122" s="101">
        <v>6382.08</v>
      </c>
      <c r="R122" s="101">
        <v>3191.05</v>
      </c>
      <c r="S122" s="101">
        <v>2077.19</v>
      </c>
      <c r="T122" s="101">
        <f t="shared" si="74"/>
        <v>78714.87</v>
      </c>
      <c r="U122" s="101"/>
      <c r="V122" s="102">
        <f t="shared" si="76"/>
        <v>4</v>
      </c>
      <c r="W122" s="102">
        <f t="shared" si="76"/>
        <v>4</v>
      </c>
      <c r="X122" s="102">
        <f t="shared" si="76"/>
        <v>4</v>
      </c>
      <c r="Y122" s="102">
        <f t="shared" si="76"/>
        <v>5.4999931086761764</v>
      </c>
      <c r="Z122" s="102">
        <f t="shared" si="76"/>
        <v>6.6666528840190198</v>
      </c>
      <c r="AA122" s="102">
        <f t="shared" si="76"/>
        <v>20</v>
      </c>
      <c r="AB122" s="102">
        <f t="shared" si="76"/>
        <v>19.888884294673005</v>
      </c>
      <c r="AC122" s="102">
        <f t="shared" si="77"/>
        <v>19.080207612456746</v>
      </c>
      <c r="AD122" s="102">
        <f t="shared" si="77"/>
        <v>9.4167612456747403</v>
      </c>
      <c r="AE122" s="102">
        <f t="shared" si="77"/>
        <v>8.833328719723184</v>
      </c>
      <c r="AF122" s="102">
        <f t="shared" si="77"/>
        <v>4.4166782006920418</v>
      </c>
      <c r="AG122" s="102">
        <f t="shared" si="77"/>
        <v>2.8750034602076124</v>
      </c>
      <c r="AH122" s="126">
        <f t="shared" si="75"/>
        <v>108.67750952612252</v>
      </c>
      <c r="AI122" s="103">
        <f t="shared" si="54"/>
        <v>9.0564591271768773</v>
      </c>
      <c r="AJ122" s="86"/>
      <c r="AM122" s="98">
        <v>6</v>
      </c>
      <c r="AN122" s="98">
        <v>1</v>
      </c>
      <c r="AO122" s="128">
        <f t="shared" si="71"/>
        <v>9.0564591271768773</v>
      </c>
      <c r="AP122" s="129">
        <f t="shared" si="72"/>
        <v>166.85912240184757</v>
      </c>
      <c r="AQ122" s="129">
        <f t="shared" ca="1" si="73"/>
        <v>175.34661438935103</v>
      </c>
      <c r="AR122" s="89">
        <f t="shared" ca="1" si="62"/>
        <v>759.25084030588994</v>
      </c>
      <c r="AS122" s="90">
        <f t="shared" ca="1" si="70"/>
        <v>82513.490430059886</v>
      </c>
      <c r="AT122" s="90">
        <f t="shared" ca="1" si="57"/>
        <v>3798.6204300598911</v>
      </c>
      <c r="AV122" s="403">
        <f t="shared" ca="1" si="64"/>
        <v>320.02334319366247</v>
      </c>
      <c r="AW122" s="403">
        <f t="shared" ca="1" si="65"/>
        <v>82833.513773253551</v>
      </c>
    </row>
    <row r="123" spans="1:49" s="98" customFormat="1">
      <c r="A123" s="98" t="str">
        <f t="shared" si="58"/>
        <v>Lewis County UTCFL006.0Y2W002</v>
      </c>
      <c r="B123" s="98">
        <f t="shared" si="59"/>
        <v>1</v>
      </c>
      <c r="C123" s="127" t="s">
        <v>452</v>
      </c>
      <c r="D123" s="127" t="s">
        <v>453</v>
      </c>
      <c r="E123" s="100">
        <v>1451.1</v>
      </c>
      <c r="F123" s="100">
        <v>1445.01</v>
      </c>
      <c r="G123" s="100" t="s">
        <v>368</v>
      </c>
      <c r="H123" s="101">
        <v>0</v>
      </c>
      <c r="I123" s="101">
        <v>0</v>
      </c>
      <c r="J123" s="101">
        <v>0</v>
      </c>
      <c r="K123" s="101">
        <v>0</v>
      </c>
      <c r="L123" s="101">
        <v>1451.1</v>
      </c>
      <c r="M123" s="101">
        <v>1451.1</v>
      </c>
      <c r="N123" s="101">
        <v>1612.33</v>
      </c>
      <c r="O123" s="101">
        <v>2902.2</v>
      </c>
      <c r="P123" s="101">
        <v>2890.02</v>
      </c>
      <c r="Q123" s="101">
        <v>2408.35</v>
      </c>
      <c r="R123" s="101">
        <v>481.67</v>
      </c>
      <c r="S123" s="101">
        <v>0</v>
      </c>
      <c r="T123" s="101">
        <f t="shared" si="74"/>
        <v>13196.77</v>
      </c>
      <c r="U123" s="101"/>
      <c r="V123" s="102">
        <f t="shared" si="76"/>
        <v>0</v>
      </c>
      <c r="W123" s="102">
        <f t="shared" si="76"/>
        <v>0</v>
      </c>
      <c r="X123" s="102">
        <f t="shared" si="76"/>
        <v>0</v>
      </c>
      <c r="Y123" s="102">
        <f t="shared" si="76"/>
        <v>0</v>
      </c>
      <c r="Z123" s="102">
        <f t="shared" si="76"/>
        <v>1</v>
      </c>
      <c r="AA123" s="102">
        <f t="shared" si="76"/>
        <v>1</v>
      </c>
      <c r="AB123" s="102">
        <f t="shared" si="76"/>
        <v>1.11110881400317</v>
      </c>
      <c r="AC123" s="102">
        <f t="shared" si="77"/>
        <v>2.0084290074117135</v>
      </c>
      <c r="AD123" s="102">
        <f t="shared" si="77"/>
        <v>2</v>
      </c>
      <c r="AE123" s="102">
        <f t="shared" si="77"/>
        <v>1.6666666666666665</v>
      </c>
      <c r="AF123" s="102">
        <f t="shared" si="77"/>
        <v>0.33333333333333337</v>
      </c>
      <c r="AG123" s="102">
        <f t="shared" si="77"/>
        <v>0</v>
      </c>
      <c r="AH123" s="126">
        <f t="shared" si="75"/>
        <v>9.1195378214148839</v>
      </c>
      <c r="AI123" s="103">
        <f t="shared" si="54"/>
        <v>0.75996148511790695</v>
      </c>
      <c r="AJ123" s="86"/>
      <c r="AM123" s="98">
        <v>6</v>
      </c>
      <c r="AN123" s="98">
        <v>2</v>
      </c>
      <c r="AO123" s="128">
        <f t="shared" si="71"/>
        <v>1.5199229702358139</v>
      </c>
      <c r="AP123" s="129">
        <f t="shared" si="72"/>
        <v>333.72055427251729</v>
      </c>
      <c r="AQ123" s="129">
        <f t="shared" ca="1" si="73"/>
        <v>350.69565572146178</v>
      </c>
      <c r="AR123" s="89">
        <f t="shared" ca="1" si="62"/>
        <v>1518.5121892739296</v>
      </c>
      <c r="AS123" s="90">
        <f t="shared" ca="1" si="70"/>
        <v>13848.129342363118</v>
      </c>
      <c r="AT123" s="90">
        <f t="shared" ca="1" si="57"/>
        <v>651.35934236311732</v>
      </c>
      <c r="AV123" s="403">
        <f t="shared" ca="1" si="64"/>
        <v>53.709092004509486</v>
      </c>
      <c r="AW123" s="403">
        <f t="shared" ca="1" si="65"/>
        <v>13901.838434367628</v>
      </c>
    </row>
    <row r="124" spans="1:49" s="98" customFormat="1">
      <c r="A124" s="98" t="str">
        <f t="shared" si="58"/>
        <v>Lewis County UTCFL006.0Y3W001</v>
      </c>
      <c r="B124" s="98">
        <f t="shared" si="59"/>
        <v>1</v>
      </c>
      <c r="C124" s="127" t="s">
        <v>454</v>
      </c>
      <c r="D124" s="127" t="s">
        <v>455</v>
      </c>
      <c r="E124" s="100">
        <v>1076.93</v>
      </c>
      <c r="F124" s="100">
        <v>1072.4100000000001</v>
      </c>
      <c r="G124" s="100" t="s">
        <v>368</v>
      </c>
      <c r="H124" s="101">
        <v>3230.79</v>
      </c>
      <c r="I124" s="101">
        <v>3230.79</v>
      </c>
      <c r="J124" s="101">
        <v>3230.79</v>
      </c>
      <c r="K124" s="101">
        <v>3230.79</v>
      </c>
      <c r="L124" s="101">
        <v>3230.79</v>
      </c>
      <c r="M124" s="101">
        <v>3230.79</v>
      </c>
      <c r="N124" s="101">
        <v>3230.79</v>
      </c>
      <c r="O124" s="101">
        <v>3230.79</v>
      </c>
      <c r="P124" s="101">
        <v>3217.23</v>
      </c>
      <c r="Q124" s="101">
        <v>3217.23</v>
      </c>
      <c r="R124" s="101">
        <v>3217.23</v>
      </c>
      <c r="S124" s="101">
        <v>3217.23</v>
      </c>
      <c r="T124" s="101">
        <f t="shared" si="74"/>
        <v>38715.240000000005</v>
      </c>
      <c r="U124" s="101"/>
      <c r="V124" s="102">
        <f t="shared" si="76"/>
        <v>3</v>
      </c>
      <c r="W124" s="102">
        <f t="shared" si="76"/>
        <v>3</v>
      </c>
      <c r="X124" s="102">
        <f t="shared" si="76"/>
        <v>3</v>
      </c>
      <c r="Y124" s="102">
        <f t="shared" si="76"/>
        <v>3</v>
      </c>
      <c r="Z124" s="102">
        <f t="shared" si="76"/>
        <v>3</v>
      </c>
      <c r="AA124" s="102">
        <f t="shared" si="76"/>
        <v>3</v>
      </c>
      <c r="AB124" s="102">
        <f t="shared" si="76"/>
        <v>3</v>
      </c>
      <c r="AC124" s="102">
        <f t="shared" si="77"/>
        <v>3.0126444177133744</v>
      </c>
      <c r="AD124" s="102">
        <f t="shared" si="77"/>
        <v>3</v>
      </c>
      <c r="AE124" s="102">
        <f t="shared" si="77"/>
        <v>3</v>
      </c>
      <c r="AF124" s="102">
        <f t="shared" si="77"/>
        <v>3</v>
      </c>
      <c r="AG124" s="102">
        <f t="shared" si="77"/>
        <v>3</v>
      </c>
      <c r="AH124" s="126">
        <f t="shared" si="75"/>
        <v>36.012644417713375</v>
      </c>
      <c r="AI124" s="103">
        <f t="shared" si="54"/>
        <v>3.0010537014761147</v>
      </c>
      <c r="AJ124" s="86"/>
      <c r="AM124" s="98">
        <v>6</v>
      </c>
      <c r="AN124" s="98">
        <v>1</v>
      </c>
      <c r="AO124" s="128">
        <f t="shared" si="71"/>
        <v>3.0010537014761147</v>
      </c>
      <c r="AP124" s="129">
        <f t="shared" si="72"/>
        <v>247.66974595842959</v>
      </c>
      <c r="AQ124" s="129">
        <f t="shared" ca="1" si="73"/>
        <v>260.26776849451068</v>
      </c>
      <c r="AR124" s="89">
        <f t="shared" ca="1" si="62"/>
        <v>1126.9594375812312</v>
      </c>
      <c r="AS124" s="90">
        <f t="shared" ca="1" si="70"/>
        <v>40584.789498799131</v>
      </c>
      <c r="AT124" s="90">
        <f t="shared" ca="1" si="57"/>
        <v>1869.549498799126</v>
      </c>
      <c r="AV124" s="403">
        <f t="shared" ca="1" si="64"/>
        <v>157.40553393781957</v>
      </c>
      <c r="AW124" s="403">
        <f t="shared" ca="1" si="65"/>
        <v>40742.195032736949</v>
      </c>
    </row>
    <row r="125" spans="1:49" s="98" customFormat="1">
      <c r="A125" s="98" t="str">
        <f t="shared" si="58"/>
        <v>Lewis County UTCFL006.0Y5W001</v>
      </c>
      <c r="B125" s="98">
        <f t="shared" si="59"/>
        <v>1</v>
      </c>
      <c r="C125" s="127" t="s">
        <v>456</v>
      </c>
      <c r="D125" s="127" t="s">
        <v>457</v>
      </c>
      <c r="E125" s="100">
        <v>1779.69</v>
      </c>
      <c r="F125" s="100">
        <v>1772.23</v>
      </c>
      <c r="G125" s="100" t="s">
        <v>368</v>
      </c>
      <c r="H125" s="101">
        <v>0</v>
      </c>
      <c r="I125" s="101">
        <v>0</v>
      </c>
      <c r="J125" s="101">
        <v>0</v>
      </c>
      <c r="K125" s="101">
        <v>0</v>
      </c>
      <c r="L125" s="101">
        <v>0</v>
      </c>
      <c r="M125" s="101">
        <v>0</v>
      </c>
      <c r="N125" s="101">
        <v>0</v>
      </c>
      <c r="O125" s="101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f t="shared" si="74"/>
        <v>0</v>
      </c>
      <c r="U125" s="101"/>
      <c r="V125" s="102">
        <f t="shared" si="76"/>
        <v>0</v>
      </c>
      <c r="W125" s="102">
        <f t="shared" si="76"/>
        <v>0</v>
      </c>
      <c r="X125" s="102">
        <f t="shared" si="76"/>
        <v>0</v>
      </c>
      <c r="Y125" s="102">
        <f t="shared" si="76"/>
        <v>0</v>
      </c>
      <c r="Z125" s="102">
        <f t="shared" si="76"/>
        <v>0</v>
      </c>
      <c r="AA125" s="102">
        <f t="shared" si="76"/>
        <v>0</v>
      </c>
      <c r="AB125" s="102">
        <f t="shared" si="76"/>
        <v>0</v>
      </c>
      <c r="AC125" s="102">
        <f t="shared" si="77"/>
        <v>0</v>
      </c>
      <c r="AD125" s="102">
        <f t="shared" si="77"/>
        <v>0</v>
      </c>
      <c r="AE125" s="102">
        <f t="shared" si="77"/>
        <v>0</v>
      </c>
      <c r="AF125" s="102">
        <f t="shared" si="77"/>
        <v>0</v>
      </c>
      <c r="AG125" s="102">
        <f t="shared" si="77"/>
        <v>0</v>
      </c>
      <c r="AH125" s="126">
        <f t="shared" si="75"/>
        <v>0</v>
      </c>
      <c r="AI125" s="103">
        <f t="shared" si="54"/>
        <v>0</v>
      </c>
      <c r="AJ125" s="86"/>
      <c r="AM125" s="98">
        <v>6</v>
      </c>
      <c r="AN125" s="98">
        <v>1</v>
      </c>
      <c r="AO125" s="128">
        <f t="shared" si="71"/>
        <v>0</v>
      </c>
      <c r="AP125" s="129">
        <f t="shared" si="72"/>
        <v>409.2909930715935</v>
      </c>
      <c r="AQ125" s="129">
        <f t="shared" ca="1" si="73"/>
        <v>430.11007670482985</v>
      </c>
      <c r="AR125" s="89">
        <f t="shared" ca="1" si="62"/>
        <v>1862.3766321319133</v>
      </c>
      <c r="AS125" s="90">
        <f t="shared" ca="1" si="70"/>
        <v>0</v>
      </c>
      <c r="AT125" s="90">
        <f t="shared" ca="1" si="57"/>
        <v>0</v>
      </c>
      <c r="AV125" s="403">
        <f t="shared" ca="1" si="64"/>
        <v>0</v>
      </c>
      <c r="AW125" s="403">
        <f t="shared" ca="1" si="65"/>
        <v>0</v>
      </c>
    </row>
    <row r="126" spans="1:49" s="98" customFormat="1">
      <c r="A126" s="98" t="str">
        <f t="shared" si="58"/>
        <v>Lewis County UTCFL006.0YEO001</v>
      </c>
      <c r="B126" s="98">
        <f t="shared" si="59"/>
        <v>1</v>
      </c>
      <c r="C126" s="127" t="s">
        <v>458</v>
      </c>
      <c r="D126" s="127" t="s">
        <v>459</v>
      </c>
      <c r="E126" s="100">
        <v>198.89</v>
      </c>
      <c r="F126" s="100">
        <v>198.05</v>
      </c>
      <c r="G126" s="100" t="s">
        <v>368</v>
      </c>
      <c r="H126" s="101">
        <v>5171.1399999999994</v>
      </c>
      <c r="I126" s="101">
        <v>5370.03</v>
      </c>
      <c r="J126" s="101">
        <v>5635.21</v>
      </c>
      <c r="K126" s="101">
        <v>5370.0300000000007</v>
      </c>
      <c r="L126" s="101">
        <v>5469.47</v>
      </c>
      <c r="M126" s="101">
        <v>5568.92</v>
      </c>
      <c r="N126" s="101">
        <v>5270.58</v>
      </c>
      <c r="O126" s="101">
        <v>5867.25</v>
      </c>
      <c r="P126" s="101">
        <v>5842.47</v>
      </c>
      <c r="Q126" s="101">
        <v>6139.5499999999993</v>
      </c>
      <c r="R126" s="101">
        <v>6040.5300000000007</v>
      </c>
      <c r="S126" s="101">
        <v>6139.55</v>
      </c>
      <c r="T126" s="101">
        <f t="shared" si="74"/>
        <v>67884.73</v>
      </c>
      <c r="U126" s="101"/>
      <c r="V126" s="102">
        <f t="shared" si="76"/>
        <v>26</v>
      </c>
      <c r="W126" s="102">
        <f t="shared" si="76"/>
        <v>27</v>
      </c>
      <c r="X126" s="102">
        <f t="shared" si="76"/>
        <v>28.333299813967521</v>
      </c>
      <c r="Y126" s="102">
        <f t="shared" si="76"/>
        <v>27.000000000000004</v>
      </c>
      <c r="Z126" s="102">
        <f t="shared" si="76"/>
        <v>27.499974860475643</v>
      </c>
      <c r="AA126" s="102">
        <f t="shared" si="76"/>
        <v>28.000000000000004</v>
      </c>
      <c r="AB126" s="102">
        <f t="shared" si="76"/>
        <v>26.499974860475643</v>
      </c>
      <c r="AC126" s="102">
        <f t="shared" si="77"/>
        <v>29.625094673062357</v>
      </c>
      <c r="AD126" s="102">
        <f t="shared" si="77"/>
        <v>29.499974753850037</v>
      </c>
      <c r="AE126" s="102">
        <f t="shared" si="77"/>
        <v>30.999999999999993</v>
      </c>
      <c r="AF126" s="102">
        <f t="shared" si="77"/>
        <v>30.500025246149963</v>
      </c>
      <c r="AG126" s="102">
        <f t="shared" si="77"/>
        <v>31</v>
      </c>
      <c r="AH126" s="126">
        <f t="shared" si="75"/>
        <v>341.95834420798116</v>
      </c>
      <c r="AI126" s="103">
        <f t="shared" si="54"/>
        <v>28.496528683998431</v>
      </c>
      <c r="AJ126" s="86"/>
      <c r="AM126" s="98">
        <v>6</v>
      </c>
      <c r="AN126" s="98">
        <v>1</v>
      </c>
      <c r="AO126" s="128">
        <f t="shared" si="71"/>
        <v>28.496528683998431</v>
      </c>
      <c r="AP126" s="129">
        <f t="shared" si="72"/>
        <v>45.739030023094692</v>
      </c>
      <c r="AQ126" s="129">
        <f t="shared" ca="1" si="73"/>
        <v>48.065601356139751</v>
      </c>
      <c r="AR126" s="89">
        <f t="shared" ca="1" si="62"/>
        <v>208.12405387208514</v>
      </c>
      <c r="AS126" s="90">
        <f t="shared" ca="1" si="70"/>
        <v>71169.756851950908</v>
      </c>
      <c r="AT126" s="90">
        <f t="shared" ca="1" si="57"/>
        <v>3285.0268519509118</v>
      </c>
      <c r="AV126" s="403">
        <f t="shared" ca="1" si="64"/>
        <v>276.02739144027345</v>
      </c>
      <c r="AW126" s="403">
        <f t="shared" ca="1" si="65"/>
        <v>71445.784243391186</v>
      </c>
    </row>
    <row r="127" spans="1:49" s="98" customFormat="1">
      <c r="A127" s="98" t="str">
        <f t="shared" si="58"/>
        <v>Lewis County UTCFL001.0YXX001TEMPC</v>
      </c>
      <c r="B127" s="98">
        <f t="shared" si="59"/>
        <v>1</v>
      </c>
      <c r="C127" s="127" t="s">
        <v>460</v>
      </c>
      <c r="D127" s="127" t="s">
        <v>461</v>
      </c>
      <c r="E127" s="100">
        <v>26.28</v>
      </c>
      <c r="F127" s="100">
        <v>26.17</v>
      </c>
      <c r="G127" s="100" t="s">
        <v>368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  <c r="O127" s="101">
        <v>26.28</v>
      </c>
      <c r="P127" s="101">
        <v>0</v>
      </c>
      <c r="Q127" s="101">
        <v>0</v>
      </c>
      <c r="R127" s="101">
        <v>0</v>
      </c>
      <c r="S127" s="101">
        <v>0</v>
      </c>
      <c r="T127" s="101">
        <f t="shared" si="74"/>
        <v>26.28</v>
      </c>
      <c r="U127" s="101"/>
      <c r="V127" s="102">
        <f t="shared" si="76"/>
        <v>0</v>
      </c>
      <c r="W127" s="102">
        <f t="shared" si="76"/>
        <v>0</v>
      </c>
      <c r="X127" s="102">
        <f t="shared" si="76"/>
        <v>0</v>
      </c>
      <c r="Y127" s="102">
        <f t="shared" si="76"/>
        <v>0</v>
      </c>
      <c r="Z127" s="102">
        <f t="shared" si="76"/>
        <v>0</v>
      </c>
      <c r="AA127" s="102">
        <f t="shared" si="76"/>
        <v>0</v>
      </c>
      <c r="AB127" s="102">
        <f t="shared" si="76"/>
        <v>0</v>
      </c>
      <c r="AC127" s="102">
        <f t="shared" si="77"/>
        <v>1.004203286205579</v>
      </c>
      <c r="AD127" s="102">
        <f t="shared" si="77"/>
        <v>0</v>
      </c>
      <c r="AE127" s="102">
        <f t="shared" si="77"/>
        <v>0</v>
      </c>
      <c r="AF127" s="102">
        <f t="shared" si="77"/>
        <v>0</v>
      </c>
      <c r="AG127" s="102">
        <f t="shared" si="77"/>
        <v>0</v>
      </c>
      <c r="AH127" s="126">
        <f t="shared" si="75"/>
        <v>1.004203286205579</v>
      </c>
      <c r="AI127" s="103">
        <f t="shared" si="54"/>
        <v>8.3683607183798248E-2</v>
      </c>
      <c r="AJ127" s="86"/>
      <c r="AM127" s="98">
        <v>1</v>
      </c>
      <c r="AN127" s="98">
        <v>1</v>
      </c>
      <c r="AO127" s="128">
        <f t="shared" si="71"/>
        <v>8.3683607183798248E-2</v>
      </c>
      <c r="AP127" s="129">
        <f t="shared" si="72"/>
        <v>6.043879907621247</v>
      </c>
      <c r="AQ127" s="129">
        <f t="shared" ca="1" si="73"/>
        <v>6.3513092021720645</v>
      </c>
      <c r="AR127" s="89">
        <f t="shared" ca="1" si="62"/>
        <v>27.50116884540504</v>
      </c>
      <c r="AS127" s="90">
        <f t="shared" ca="1" si="70"/>
        <v>27.616764129050228</v>
      </c>
      <c r="AT127" s="90">
        <f t="shared" ca="1" si="57"/>
        <v>1.336764129050227</v>
      </c>
      <c r="AV127" s="403">
        <f t="shared" ca="1" si="64"/>
        <v>0.10710986941293853</v>
      </c>
      <c r="AW127" s="403">
        <f t="shared" ca="1" si="65"/>
        <v>27.723873998463166</v>
      </c>
    </row>
    <row r="128" spans="1:49" s="98" customFormat="1">
      <c r="A128" s="98" t="str">
        <f t="shared" si="58"/>
        <v>Lewis County UTCFL001.5YXX001TEMPC</v>
      </c>
      <c r="B128" s="98">
        <f t="shared" si="59"/>
        <v>1</v>
      </c>
      <c r="C128" s="127" t="s">
        <v>462</v>
      </c>
      <c r="D128" s="127" t="s">
        <v>463</v>
      </c>
      <c r="E128" s="100">
        <v>35.26</v>
      </c>
      <c r="F128" s="100">
        <v>35.11</v>
      </c>
      <c r="G128" s="100" t="s">
        <v>368</v>
      </c>
      <c r="H128" s="101">
        <v>0</v>
      </c>
      <c r="I128" s="101">
        <v>0</v>
      </c>
      <c r="J128" s="101">
        <v>0</v>
      </c>
      <c r="K128" s="101">
        <v>0</v>
      </c>
      <c r="L128" s="101">
        <v>0</v>
      </c>
      <c r="M128" s="101">
        <v>0</v>
      </c>
      <c r="N128" s="101">
        <v>0</v>
      </c>
      <c r="O128" s="101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f t="shared" si="74"/>
        <v>0</v>
      </c>
      <c r="U128" s="101"/>
      <c r="V128" s="102">
        <f t="shared" si="76"/>
        <v>0</v>
      </c>
      <c r="W128" s="102">
        <f t="shared" si="76"/>
        <v>0</v>
      </c>
      <c r="X128" s="102">
        <f t="shared" si="76"/>
        <v>0</v>
      </c>
      <c r="Y128" s="102">
        <f t="shared" si="76"/>
        <v>0</v>
      </c>
      <c r="Z128" s="102">
        <f t="shared" si="76"/>
        <v>0</v>
      </c>
      <c r="AA128" s="102">
        <f t="shared" si="76"/>
        <v>0</v>
      </c>
      <c r="AB128" s="102">
        <f t="shared" si="76"/>
        <v>0</v>
      </c>
      <c r="AC128" s="102">
        <f t="shared" si="77"/>
        <v>0</v>
      </c>
      <c r="AD128" s="102">
        <f t="shared" si="77"/>
        <v>0</v>
      </c>
      <c r="AE128" s="102">
        <f t="shared" si="77"/>
        <v>0</v>
      </c>
      <c r="AF128" s="102">
        <f t="shared" si="77"/>
        <v>0</v>
      </c>
      <c r="AG128" s="102">
        <f t="shared" si="77"/>
        <v>0</v>
      </c>
      <c r="AH128" s="126">
        <f t="shared" si="75"/>
        <v>0</v>
      </c>
      <c r="AI128" s="103">
        <f t="shared" si="54"/>
        <v>0</v>
      </c>
      <c r="AJ128" s="86"/>
      <c r="AM128" s="98">
        <v>1.5</v>
      </c>
      <c r="AN128" s="98">
        <v>1</v>
      </c>
      <c r="AO128" s="128">
        <f t="shared" si="71"/>
        <v>0</v>
      </c>
      <c r="AP128" s="129">
        <f t="shared" si="72"/>
        <v>8.1085450346420327</v>
      </c>
      <c r="AQ128" s="129">
        <f t="shared" ca="1" si="73"/>
        <v>8.5209960293565601</v>
      </c>
      <c r="AR128" s="89">
        <f t="shared" ca="1" si="62"/>
        <v>36.895912807113902</v>
      </c>
      <c r="AS128" s="90">
        <f t="shared" ca="1" si="70"/>
        <v>0</v>
      </c>
      <c r="AT128" s="90">
        <f t="shared" ca="1" si="57"/>
        <v>0</v>
      </c>
      <c r="AV128" s="403">
        <f t="shared" ca="1" si="64"/>
        <v>0</v>
      </c>
      <c r="AW128" s="403">
        <f t="shared" ca="1" si="65"/>
        <v>0</v>
      </c>
    </row>
    <row r="129" spans="1:49" s="98" customFormat="1">
      <c r="A129" s="98" t="str">
        <f t="shared" si="58"/>
        <v>Lewis County UTCFL002.0YXX001TEMPC</v>
      </c>
      <c r="B129" s="98">
        <f t="shared" si="59"/>
        <v>1</v>
      </c>
      <c r="C129" s="127" t="s">
        <v>464</v>
      </c>
      <c r="D129" s="127" t="s">
        <v>465</v>
      </c>
      <c r="E129" s="100">
        <v>46.92</v>
      </c>
      <c r="F129" s="100">
        <v>46.72</v>
      </c>
      <c r="G129" s="100" t="s">
        <v>368</v>
      </c>
      <c r="H129" s="101">
        <v>140.76</v>
      </c>
      <c r="I129" s="101">
        <v>46.92</v>
      </c>
      <c r="J129" s="101">
        <v>0</v>
      </c>
      <c r="K129" s="101">
        <v>0</v>
      </c>
      <c r="L129" s="101">
        <v>0</v>
      </c>
      <c r="M129" s="101">
        <v>93.84</v>
      </c>
      <c r="N129" s="101">
        <v>140.76</v>
      </c>
      <c r="O129" s="101">
        <v>93.84</v>
      </c>
      <c r="P129" s="101">
        <v>93.44</v>
      </c>
      <c r="Q129" s="101">
        <v>186.88</v>
      </c>
      <c r="R129" s="101">
        <v>0</v>
      </c>
      <c r="S129" s="101">
        <v>0</v>
      </c>
      <c r="T129" s="101">
        <f t="shared" si="74"/>
        <v>796.43999999999994</v>
      </c>
      <c r="U129" s="101"/>
      <c r="V129" s="102">
        <f t="shared" si="76"/>
        <v>2.9999999999999996</v>
      </c>
      <c r="W129" s="102">
        <f t="shared" si="76"/>
        <v>1</v>
      </c>
      <c r="X129" s="102">
        <f t="shared" si="76"/>
        <v>0</v>
      </c>
      <c r="Y129" s="102">
        <f t="shared" si="76"/>
        <v>0</v>
      </c>
      <c r="Z129" s="102">
        <f t="shared" si="76"/>
        <v>0</v>
      </c>
      <c r="AA129" s="102">
        <f t="shared" si="76"/>
        <v>2</v>
      </c>
      <c r="AB129" s="102">
        <f t="shared" si="76"/>
        <v>2.9999999999999996</v>
      </c>
      <c r="AC129" s="102">
        <f t="shared" si="77"/>
        <v>2.0085616438356166</v>
      </c>
      <c r="AD129" s="102">
        <f t="shared" si="77"/>
        <v>2</v>
      </c>
      <c r="AE129" s="102">
        <f t="shared" si="77"/>
        <v>4</v>
      </c>
      <c r="AF129" s="102">
        <f t="shared" si="77"/>
        <v>0</v>
      </c>
      <c r="AG129" s="102">
        <f t="shared" si="77"/>
        <v>0</v>
      </c>
      <c r="AH129" s="126">
        <f t="shared" si="75"/>
        <v>17.008561643835616</v>
      </c>
      <c r="AI129" s="103">
        <f t="shared" si="54"/>
        <v>1.4173801369863013</v>
      </c>
      <c r="AJ129" s="86"/>
      <c r="AM129" s="98">
        <v>2</v>
      </c>
      <c r="AN129" s="98">
        <v>1</v>
      </c>
      <c r="AO129" s="128">
        <f t="shared" si="71"/>
        <v>1.4173801369863013</v>
      </c>
      <c r="AP129" s="129">
        <f t="shared" si="72"/>
        <v>10.789838337182447</v>
      </c>
      <c r="AQ129" s="129">
        <f t="shared" ca="1" si="73"/>
        <v>11.338676573384747</v>
      </c>
      <c r="AR129" s="89">
        <f t="shared" ca="1" si="62"/>
        <v>49.096469562755956</v>
      </c>
      <c r="AS129" s="90">
        <f t="shared" ca="1" si="70"/>
        <v>835.06032905283382</v>
      </c>
      <c r="AT129" s="90">
        <f t="shared" ca="1" si="57"/>
        <v>38.620329052833881</v>
      </c>
      <c r="AV129" s="403">
        <f t="shared" ca="1" si="64"/>
        <v>3.2387285627967075</v>
      </c>
      <c r="AW129" s="403">
        <f t="shared" ca="1" si="65"/>
        <v>838.29905761563055</v>
      </c>
    </row>
    <row r="130" spans="1:49" s="98" customFormat="1">
      <c r="A130" s="98" t="str">
        <f t="shared" si="58"/>
        <v>Lewis County UTCFL003.0YXX001TEMPC</v>
      </c>
      <c r="B130" s="98">
        <f t="shared" si="59"/>
        <v>1</v>
      </c>
      <c r="C130" s="127" t="s">
        <v>466</v>
      </c>
      <c r="D130" s="127" t="s">
        <v>467</v>
      </c>
      <c r="E130" s="100">
        <v>58.67</v>
      </c>
      <c r="F130" s="100">
        <v>58.42</v>
      </c>
      <c r="G130" s="100" t="s">
        <v>368</v>
      </c>
      <c r="H130" s="101">
        <v>0</v>
      </c>
      <c r="I130" s="101">
        <v>58.67</v>
      </c>
      <c r="J130" s="101">
        <v>58.67</v>
      </c>
      <c r="K130" s="101">
        <v>293.35000000000002</v>
      </c>
      <c r="L130" s="101">
        <v>117.34</v>
      </c>
      <c r="M130" s="101">
        <v>352.02000000000004</v>
      </c>
      <c r="N130" s="101">
        <v>117.34</v>
      </c>
      <c r="O130" s="101">
        <v>176.01</v>
      </c>
      <c r="P130" s="101">
        <v>175.26</v>
      </c>
      <c r="Q130" s="101">
        <v>175.26</v>
      </c>
      <c r="R130" s="101">
        <v>292.10000000000002</v>
      </c>
      <c r="S130" s="101">
        <v>58.42</v>
      </c>
      <c r="T130" s="101">
        <f t="shared" si="74"/>
        <v>1874.44</v>
      </c>
      <c r="U130" s="101"/>
      <c r="V130" s="102">
        <f t="shared" si="76"/>
        <v>0</v>
      </c>
      <c r="W130" s="102">
        <f t="shared" si="76"/>
        <v>1</v>
      </c>
      <c r="X130" s="102">
        <f t="shared" si="76"/>
        <v>1</v>
      </c>
      <c r="Y130" s="102">
        <f t="shared" si="76"/>
        <v>5</v>
      </c>
      <c r="Z130" s="102">
        <f t="shared" si="76"/>
        <v>2</v>
      </c>
      <c r="AA130" s="102">
        <f t="shared" si="76"/>
        <v>6.0000000000000009</v>
      </c>
      <c r="AB130" s="102">
        <f t="shared" si="76"/>
        <v>2</v>
      </c>
      <c r="AC130" s="102">
        <f t="shared" si="77"/>
        <v>3.012838069154399</v>
      </c>
      <c r="AD130" s="102">
        <f t="shared" si="77"/>
        <v>2.9999999999999996</v>
      </c>
      <c r="AE130" s="102">
        <f t="shared" si="77"/>
        <v>2.9999999999999996</v>
      </c>
      <c r="AF130" s="102">
        <f t="shared" si="77"/>
        <v>5</v>
      </c>
      <c r="AG130" s="102">
        <f t="shared" si="77"/>
        <v>1</v>
      </c>
      <c r="AH130" s="126">
        <f t="shared" si="75"/>
        <v>32.012838069154398</v>
      </c>
      <c r="AI130" s="103">
        <f t="shared" si="54"/>
        <v>2.6677365057628664</v>
      </c>
      <c r="AJ130" s="86"/>
      <c r="AM130" s="98">
        <v>3</v>
      </c>
      <c r="AN130" s="98">
        <v>1</v>
      </c>
      <c r="AO130" s="128">
        <f t="shared" si="71"/>
        <v>2.6677365057628664</v>
      </c>
      <c r="AP130" s="129">
        <f t="shared" si="72"/>
        <v>13.491916859122401</v>
      </c>
      <c r="AQ130" s="129">
        <f t="shared" ca="1" si="73"/>
        <v>14.178199602250363</v>
      </c>
      <c r="AR130" s="89">
        <f t="shared" ca="1" si="62"/>
        <v>61.391604277744072</v>
      </c>
      <c r="AS130" s="90">
        <f t="shared" ca="1" si="70"/>
        <v>1965.3194865490273</v>
      </c>
      <c r="AT130" s="90">
        <f t="shared" ca="1" si="57"/>
        <v>90.879486549027206</v>
      </c>
      <c r="AV130" s="403">
        <f t="shared" ca="1" si="64"/>
        <v>7.6223670729597979</v>
      </c>
      <c r="AW130" s="403">
        <f t="shared" ca="1" si="65"/>
        <v>1972.9418536219871</v>
      </c>
    </row>
    <row r="131" spans="1:49" s="98" customFormat="1">
      <c r="A131" s="98" t="str">
        <f t="shared" si="58"/>
        <v>Lewis County UTCFL004.0YXX001TEMPC</v>
      </c>
      <c r="B131" s="98">
        <f t="shared" si="59"/>
        <v>1</v>
      </c>
      <c r="C131" s="127" t="s">
        <v>468</v>
      </c>
      <c r="D131" s="127" t="s">
        <v>469</v>
      </c>
      <c r="E131" s="100">
        <v>71.36</v>
      </c>
      <c r="F131" s="100">
        <v>71.06</v>
      </c>
      <c r="G131" s="100" t="s">
        <v>368</v>
      </c>
      <c r="H131" s="101">
        <v>71.36</v>
      </c>
      <c r="I131" s="101">
        <v>214.07999999999998</v>
      </c>
      <c r="J131" s="101">
        <v>214.07999999999998</v>
      </c>
      <c r="K131" s="101">
        <v>285.44</v>
      </c>
      <c r="L131" s="101">
        <v>71.36</v>
      </c>
      <c r="M131" s="101">
        <v>-71.36</v>
      </c>
      <c r="N131" s="101">
        <v>0</v>
      </c>
      <c r="O131" s="101">
        <v>356.8</v>
      </c>
      <c r="P131" s="101">
        <v>640.14</v>
      </c>
      <c r="Q131" s="101">
        <v>426.36</v>
      </c>
      <c r="R131" s="101">
        <v>213.18</v>
      </c>
      <c r="S131" s="101">
        <v>142.12</v>
      </c>
      <c r="T131" s="101">
        <f t="shared" si="74"/>
        <v>2563.56</v>
      </c>
      <c r="U131" s="101"/>
      <c r="V131" s="102">
        <f t="shared" si="76"/>
        <v>1</v>
      </c>
      <c r="W131" s="102">
        <f t="shared" si="76"/>
        <v>3</v>
      </c>
      <c r="X131" s="102">
        <f t="shared" si="76"/>
        <v>3</v>
      </c>
      <c r="Y131" s="102">
        <f t="shared" si="76"/>
        <v>4</v>
      </c>
      <c r="Z131" s="102">
        <f t="shared" si="76"/>
        <v>1</v>
      </c>
      <c r="AA131" s="102">
        <f t="shared" si="76"/>
        <v>-1</v>
      </c>
      <c r="AB131" s="102">
        <f t="shared" si="76"/>
        <v>0</v>
      </c>
      <c r="AC131" s="102">
        <f t="shared" si="77"/>
        <v>5.0211089220377145</v>
      </c>
      <c r="AD131" s="102">
        <f t="shared" si="77"/>
        <v>9.0084435688150855</v>
      </c>
      <c r="AE131" s="102">
        <f t="shared" si="77"/>
        <v>6</v>
      </c>
      <c r="AF131" s="102">
        <f t="shared" si="77"/>
        <v>3</v>
      </c>
      <c r="AG131" s="102">
        <f t="shared" si="77"/>
        <v>2</v>
      </c>
      <c r="AH131" s="126">
        <f t="shared" si="75"/>
        <v>36.029552490852801</v>
      </c>
      <c r="AI131" s="103">
        <f t="shared" si="54"/>
        <v>3.0024627075710666</v>
      </c>
      <c r="AJ131" s="86"/>
      <c r="AM131" s="98">
        <v>4</v>
      </c>
      <c r="AN131" s="98">
        <v>1</v>
      </c>
      <c r="AO131" s="128">
        <f t="shared" si="71"/>
        <v>3.0024627075710666</v>
      </c>
      <c r="AP131" s="129">
        <f t="shared" si="72"/>
        <v>16.41108545034642</v>
      </c>
      <c r="AQ131" s="129">
        <f t="shared" ca="1" si="73"/>
        <v>17.245855250529114</v>
      </c>
      <c r="AR131" s="89">
        <f t="shared" ca="1" si="62"/>
        <v>74.674553234791063</v>
      </c>
      <c r="AS131" s="90">
        <f t="shared" ca="1" si="70"/>
        <v>2690.4907355038863</v>
      </c>
      <c r="AT131" s="90">
        <f t="shared" ca="1" si="57"/>
        <v>126.93073550388635</v>
      </c>
      <c r="AV131" s="403">
        <f t="shared" ca="1" si="64"/>
        <v>10.434897803012557</v>
      </c>
      <c r="AW131" s="403">
        <f t="shared" ca="1" si="65"/>
        <v>2700.9256333068988</v>
      </c>
    </row>
    <row r="132" spans="1:49" s="98" customFormat="1">
      <c r="A132" s="98" t="str">
        <f t="shared" si="58"/>
        <v>Lewis County UTCFL005.0YXX001TEMPC</v>
      </c>
      <c r="B132" s="98">
        <f t="shared" si="59"/>
        <v>1</v>
      </c>
      <c r="C132" s="127" t="s">
        <v>470</v>
      </c>
      <c r="D132" s="127" t="s">
        <v>471</v>
      </c>
      <c r="E132" s="100">
        <v>81.69</v>
      </c>
      <c r="F132" s="100">
        <v>81.349999999999994</v>
      </c>
      <c r="G132" s="100" t="s">
        <v>368</v>
      </c>
      <c r="H132" s="101">
        <v>0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f t="shared" si="74"/>
        <v>0</v>
      </c>
      <c r="U132" s="101"/>
      <c r="V132" s="102">
        <f t="shared" si="76"/>
        <v>0</v>
      </c>
      <c r="W132" s="102">
        <f t="shared" si="76"/>
        <v>0</v>
      </c>
      <c r="X132" s="102">
        <f t="shared" si="76"/>
        <v>0</v>
      </c>
      <c r="Y132" s="102">
        <f t="shared" si="76"/>
        <v>0</v>
      </c>
      <c r="Z132" s="102">
        <f t="shared" si="76"/>
        <v>0</v>
      </c>
      <c r="AA132" s="102">
        <f t="shared" si="76"/>
        <v>0</v>
      </c>
      <c r="AB132" s="102">
        <f t="shared" si="76"/>
        <v>0</v>
      </c>
      <c r="AC132" s="102">
        <f t="shared" si="77"/>
        <v>0</v>
      </c>
      <c r="AD132" s="102">
        <f t="shared" si="77"/>
        <v>0</v>
      </c>
      <c r="AE132" s="102">
        <f t="shared" si="77"/>
        <v>0</v>
      </c>
      <c r="AF132" s="102">
        <f t="shared" si="77"/>
        <v>0</v>
      </c>
      <c r="AG132" s="102">
        <f t="shared" si="77"/>
        <v>0</v>
      </c>
      <c r="AH132" s="126">
        <f t="shared" si="75"/>
        <v>0</v>
      </c>
      <c r="AI132" s="103">
        <f t="shared" si="54"/>
        <v>0</v>
      </c>
      <c r="AJ132" s="86"/>
      <c r="AM132" s="98">
        <v>5</v>
      </c>
      <c r="AN132" s="98">
        <v>1</v>
      </c>
      <c r="AO132" s="128">
        <f t="shared" si="71"/>
        <v>0</v>
      </c>
      <c r="AP132" s="129">
        <f t="shared" si="72"/>
        <v>18.787528868360276</v>
      </c>
      <c r="AQ132" s="129">
        <f t="shared" ca="1" si="73"/>
        <v>19.743179350275025</v>
      </c>
      <c r="AR132" s="89">
        <f t="shared" ca="1" si="62"/>
        <v>85.48796658669086</v>
      </c>
      <c r="AS132" s="90">
        <f t="shared" ca="1" si="70"/>
        <v>0</v>
      </c>
      <c r="AT132" s="90">
        <f t="shared" ca="1" si="57"/>
        <v>0</v>
      </c>
      <c r="AV132" s="403">
        <f t="shared" ca="1" si="64"/>
        <v>0</v>
      </c>
      <c r="AW132" s="403">
        <f t="shared" ca="1" si="65"/>
        <v>0</v>
      </c>
    </row>
    <row r="133" spans="1:49" s="98" customFormat="1">
      <c r="A133" s="98" t="str">
        <f t="shared" si="58"/>
        <v>Lewis County UTCFL006.0YXX001TEMPC</v>
      </c>
      <c r="B133" s="98">
        <f t="shared" si="59"/>
        <v>1</v>
      </c>
      <c r="C133" s="127" t="s">
        <v>472</v>
      </c>
      <c r="D133" s="127" t="s">
        <v>473</v>
      </c>
      <c r="E133" s="100">
        <v>96.54</v>
      </c>
      <c r="F133" s="100">
        <v>96.14</v>
      </c>
      <c r="G133" s="100" t="s">
        <v>368</v>
      </c>
      <c r="H133" s="101">
        <v>675.78</v>
      </c>
      <c r="I133" s="101">
        <v>675.78</v>
      </c>
      <c r="J133" s="101">
        <v>675.78</v>
      </c>
      <c r="K133" s="101">
        <v>675.78</v>
      </c>
      <c r="L133" s="101">
        <v>1930.8</v>
      </c>
      <c r="M133" s="101">
        <v>2896.2</v>
      </c>
      <c r="N133" s="101">
        <v>1930.8</v>
      </c>
      <c r="O133" s="101">
        <v>3278.2</v>
      </c>
      <c r="P133" s="101">
        <v>3462.48</v>
      </c>
      <c r="Q133" s="101">
        <v>865.26</v>
      </c>
      <c r="R133" s="101">
        <v>865.26</v>
      </c>
      <c r="S133" s="101">
        <v>672.98</v>
      </c>
      <c r="T133" s="101">
        <f t="shared" si="74"/>
        <v>18605.099999999995</v>
      </c>
      <c r="U133" s="101"/>
      <c r="V133" s="102">
        <f t="shared" si="76"/>
        <v>6.9999999999999991</v>
      </c>
      <c r="W133" s="102">
        <f t="shared" si="76"/>
        <v>6.9999999999999991</v>
      </c>
      <c r="X133" s="102">
        <f t="shared" si="76"/>
        <v>6.9999999999999991</v>
      </c>
      <c r="Y133" s="102">
        <f t="shared" si="76"/>
        <v>6.9999999999999991</v>
      </c>
      <c r="Z133" s="102">
        <f t="shared" si="76"/>
        <v>20</v>
      </c>
      <c r="AA133" s="102">
        <f t="shared" si="76"/>
        <v>29.999999999999996</v>
      </c>
      <c r="AB133" s="102">
        <f t="shared" si="76"/>
        <v>20</v>
      </c>
      <c r="AC133" s="102">
        <f t="shared" si="77"/>
        <v>34.098190139380065</v>
      </c>
      <c r="AD133" s="102">
        <f t="shared" si="77"/>
        <v>36.014978156854589</v>
      </c>
      <c r="AE133" s="102">
        <f t="shared" si="77"/>
        <v>9</v>
      </c>
      <c r="AF133" s="102">
        <f t="shared" si="77"/>
        <v>9</v>
      </c>
      <c r="AG133" s="102">
        <f t="shared" si="77"/>
        <v>7</v>
      </c>
      <c r="AH133" s="126">
        <f t="shared" si="75"/>
        <v>193.11316829623465</v>
      </c>
      <c r="AI133" s="103">
        <f t="shared" si="54"/>
        <v>16.092764024686222</v>
      </c>
      <c r="AJ133" s="86"/>
      <c r="AM133" s="98">
        <v>6</v>
      </c>
      <c r="AN133" s="98">
        <v>1</v>
      </c>
      <c r="AO133" s="128">
        <f t="shared" si="71"/>
        <v>16.092764024686222</v>
      </c>
      <c r="AP133" s="128"/>
      <c r="AR133" s="89">
        <f t="shared" ca="1" si="62"/>
        <v>101.03027790589378</v>
      </c>
      <c r="AS133" s="90">
        <f t="shared" ca="1" si="70"/>
        <v>19510.277060256223</v>
      </c>
      <c r="AT133" s="90">
        <f t="shared" ca="1" si="57"/>
        <v>905.17706025622829</v>
      </c>
      <c r="AV133" s="403">
        <f t="shared" ca="1" si="64"/>
        <v>75.669373079668006</v>
      </c>
      <c r="AW133" s="403">
        <f t="shared" ca="1" si="65"/>
        <v>19585.946433335892</v>
      </c>
    </row>
    <row r="134" spans="1:49">
      <c r="A134" s="38" t="str">
        <f t="shared" si="58"/>
        <v>Lewis County UTCLCKCEOW</v>
      </c>
      <c r="B134" s="38">
        <f t="shared" si="59"/>
        <v>1</v>
      </c>
      <c r="C134" s="97" t="s">
        <v>474</v>
      </c>
      <c r="D134" s="97" t="s">
        <v>475</v>
      </c>
      <c r="E134" s="69">
        <v>7.94</v>
      </c>
      <c r="F134" s="69">
        <v>7.9</v>
      </c>
      <c r="G134" s="69" t="s">
        <v>368</v>
      </c>
      <c r="H134" s="88">
        <v>47.64</v>
      </c>
      <c r="I134" s="88">
        <v>47.64</v>
      </c>
      <c r="J134" s="88">
        <v>47.64</v>
      </c>
      <c r="K134" s="88">
        <v>47.64</v>
      </c>
      <c r="L134" s="88">
        <v>47.64</v>
      </c>
      <c r="M134" s="88">
        <v>47.64</v>
      </c>
      <c r="N134" s="88">
        <v>47.64</v>
      </c>
      <c r="O134" s="88">
        <v>55.58</v>
      </c>
      <c r="P134" s="88">
        <v>55.300000000000004</v>
      </c>
      <c r="Q134" s="88">
        <v>55.300000000000004</v>
      </c>
      <c r="R134" s="88">
        <v>55.300000000000004</v>
      </c>
      <c r="S134" s="88">
        <v>55.300000000000004</v>
      </c>
      <c r="T134" s="88">
        <f t="shared" si="74"/>
        <v>610.25999999999988</v>
      </c>
      <c r="U134" s="88"/>
      <c r="V134" s="86">
        <f t="shared" si="76"/>
        <v>6</v>
      </c>
      <c r="W134" s="86">
        <f t="shared" si="76"/>
        <v>6</v>
      </c>
      <c r="X134" s="86">
        <f t="shared" si="76"/>
        <v>6</v>
      </c>
      <c r="Y134" s="86">
        <f t="shared" si="76"/>
        <v>6</v>
      </c>
      <c r="Z134" s="86">
        <f t="shared" si="76"/>
        <v>6</v>
      </c>
      <c r="AA134" s="86">
        <f t="shared" si="76"/>
        <v>6</v>
      </c>
      <c r="AB134" s="86">
        <f t="shared" si="76"/>
        <v>6</v>
      </c>
      <c r="AC134" s="86">
        <f t="shared" si="77"/>
        <v>7.0354430379746828</v>
      </c>
      <c r="AD134" s="86">
        <f t="shared" si="77"/>
        <v>7</v>
      </c>
      <c r="AE134" s="86">
        <f t="shared" si="77"/>
        <v>7</v>
      </c>
      <c r="AF134" s="86">
        <f t="shared" si="77"/>
        <v>7</v>
      </c>
      <c r="AG134" s="86">
        <f t="shared" si="77"/>
        <v>7</v>
      </c>
      <c r="AH134" s="70">
        <f t="shared" si="75"/>
        <v>77.035443037974687</v>
      </c>
      <c r="AI134" s="70">
        <f t="shared" si="54"/>
        <v>6.419620253164557</v>
      </c>
      <c r="AR134" s="89">
        <f t="shared" ca="1" si="62"/>
        <v>8.3018430981543681</v>
      </c>
      <c r="AS134" s="90">
        <f t="shared" ca="1" si="70"/>
        <v>639.5361610980741</v>
      </c>
      <c r="AT134" s="90">
        <f t="shared" ca="1" si="57"/>
        <v>29.276161098074226</v>
      </c>
      <c r="AV134" s="403">
        <f t="shared" ca="1" si="64"/>
        <v>2.4804004690763368</v>
      </c>
      <c r="AW134" s="403">
        <f t="shared" ca="1" si="65"/>
        <v>642.01656156715046</v>
      </c>
    </row>
    <row r="135" spans="1:49">
      <c r="A135" s="38" t="str">
        <f t="shared" si="58"/>
        <v>Lewis County UTCLCKC</v>
      </c>
      <c r="B135" s="38">
        <f t="shared" si="59"/>
        <v>1</v>
      </c>
      <c r="C135" s="97" t="s">
        <v>476</v>
      </c>
      <c r="D135" s="97" t="s">
        <v>477</v>
      </c>
      <c r="E135" s="69">
        <v>15.85</v>
      </c>
      <c r="F135" s="69">
        <v>15.76</v>
      </c>
      <c r="G135" s="69" t="s">
        <v>368</v>
      </c>
      <c r="H135" s="88">
        <v>47.55</v>
      </c>
      <c r="I135" s="88">
        <v>47.55</v>
      </c>
      <c r="J135" s="88">
        <v>47.55</v>
      </c>
      <c r="K135" s="88">
        <v>47.55</v>
      </c>
      <c r="L135" s="88">
        <v>47.55</v>
      </c>
      <c r="M135" s="88">
        <v>47.55</v>
      </c>
      <c r="N135" s="88">
        <v>72.91</v>
      </c>
      <c r="O135" s="88">
        <v>79.25</v>
      </c>
      <c r="P135" s="88">
        <v>78.8</v>
      </c>
      <c r="Q135" s="88">
        <v>78.8</v>
      </c>
      <c r="R135" s="88">
        <v>78.8</v>
      </c>
      <c r="S135" s="88">
        <v>78.8</v>
      </c>
      <c r="T135" s="88">
        <f t="shared" si="74"/>
        <v>752.65999999999985</v>
      </c>
      <c r="U135" s="88"/>
      <c r="V135" s="86">
        <f t="shared" si="76"/>
        <v>3</v>
      </c>
      <c r="W135" s="86">
        <f t="shared" si="76"/>
        <v>3</v>
      </c>
      <c r="X135" s="86">
        <f t="shared" si="76"/>
        <v>3</v>
      </c>
      <c r="Y135" s="86">
        <f t="shared" si="76"/>
        <v>3</v>
      </c>
      <c r="Z135" s="86">
        <f t="shared" si="76"/>
        <v>3</v>
      </c>
      <c r="AA135" s="86">
        <f t="shared" si="76"/>
        <v>3</v>
      </c>
      <c r="AB135" s="86">
        <f t="shared" si="76"/>
        <v>4.5999999999999996</v>
      </c>
      <c r="AC135" s="86">
        <f t="shared" si="77"/>
        <v>5.0285532994923861</v>
      </c>
      <c r="AD135" s="86">
        <f t="shared" si="77"/>
        <v>5</v>
      </c>
      <c r="AE135" s="86">
        <f t="shared" si="77"/>
        <v>5</v>
      </c>
      <c r="AF135" s="86">
        <f t="shared" si="77"/>
        <v>5</v>
      </c>
      <c r="AG135" s="86">
        <f t="shared" si="77"/>
        <v>5</v>
      </c>
      <c r="AH135" s="70">
        <f t="shared" si="75"/>
        <v>47.628553299492388</v>
      </c>
      <c r="AI135" s="70">
        <f t="shared" si="54"/>
        <v>3.9690461082910322</v>
      </c>
      <c r="AR135" s="89">
        <f t="shared" ca="1" si="62"/>
        <v>16.561651547710486</v>
      </c>
      <c r="AS135" s="90">
        <f t="shared" ca="1" si="70"/>
        <v>788.80750346774948</v>
      </c>
      <c r="AT135" s="90">
        <f t="shared" ca="1" si="57"/>
        <v>36.14750346774963</v>
      </c>
      <c r="AV135" s="403">
        <f t="shared" ca="1" si="64"/>
        <v>3.0593399101201064</v>
      </c>
      <c r="AW135" s="403">
        <f t="shared" ca="1" si="65"/>
        <v>791.8668433778696</v>
      </c>
    </row>
    <row r="136" spans="1:49">
      <c r="A136" s="38" t="str">
        <f t="shared" si="58"/>
        <v>Lewis County UTCREDEL-COMM</v>
      </c>
      <c r="B136" s="38">
        <f t="shared" si="59"/>
        <v>1</v>
      </c>
      <c r="C136" s="97" t="s">
        <v>478</v>
      </c>
      <c r="D136" s="97" t="s">
        <v>479</v>
      </c>
      <c r="E136" s="69">
        <v>21.52</v>
      </c>
      <c r="F136" s="69">
        <v>21.43</v>
      </c>
      <c r="G136" s="69" t="s">
        <v>247</v>
      </c>
      <c r="H136" s="88">
        <v>86.08</v>
      </c>
      <c r="I136" s="88">
        <v>43.04</v>
      </c>
      <c r="J136" s="88">
        <v>107.6</v>
      </c>
      <c r="K136" s="88">
        <v>43.04</v>
      </c>
      <c r="L136" s="88">
        <v>64.56</v>
      </c>
      <c r="M136" s="88">
        <v>107.6</v>
      </c>
      <c r="N136" s="88">
        <v>0</v>
      </c>
      <c r="O136" s="88">
        <v>0</v>
      </c>
      <c r="P136" s="88">
        <v>42.95</v>
      </c>
      <c r="Q136" s="88">
        <v>21.43</v>
      </c>
      <c r="R136" s="88">
        <v>64.290000000000006</v>
      </c>
      <c r="S136" s="88">
        <v>42.86</v>
      </c>
      <c r="T136" s="88">
        <f t="shared" si="74"/>
        <v>623.44999999999993</v>
      </c>
      <c r="U136" s="88"/>
      <c r="V136" s="86">
        <f t="shared" si="76"/>
        <v>4</v>
      </c>
      <c r="W136" s="86">
        <f t="shared" si="76"/>
        <v>2</v>
      </c>
      <c r="X136" s="86">
        <f t="shared" si="76"/>
        <v>5</v>
      </c>
      <c r="Y136" s="86">
        <f t="shared" si="76"/>
        <v>2</v>
      </c>
      <c r="Z136" s="86">
        <f t="shared" si="76"/>
        <v>3</v>
      </c>
      <c r="AA136" s="86">
        <f t="shared" si="76"/>
        <v>5</v>
      </c>
      <c r="AB136" s="86">
        <f t="shared" si="76"/>
        <v>0</v>
      </c>
      <c r="AC136" s="86">
        <f t="shared" si="77"/>
        <v>0</v>
      </c>
      <c r="AD136" s="86">
        <f t="shared" si="77"/>
        <v>2.0041997200186654</v>
      </c>
      <c r="AE136" s="86">
        <f t="shared" si="77"/>
        <v>1</v>
      </c>
      <c r="AF136" s="86">
        <f t="shared" si="77"/>
        <v>3.0000000000000004</v>
      </c>
      <c r="AG136" s="86">
        <f t="shared" si="77"/>
        <v>2</v>
      </c>
      <c r="AH136" s="70">
        <f t="shared" si="75"/>
        <v>29.004199720018665</v>
      </c>
      <c r="AI136" s="70">
        <f t="shared" si="54"/>
        <v>2.4170166433348887</v>
      </c>
      <c r="AR136" s="89">
        <f t="shared" ca="1" si="62"/>
        <v>22.520062986512418</v>
      </c>
      <c r="AS136" s="90">
        <f t="shared" ca="1" si="70"/>
        <v>653.17640456820618</v>
      </c>
      <c r="AT136" s="90">
        <f t="shared" ca="1" si="57"/>
        <v>29.726404568206249</v>
      </c>
      <c r="AV136" s="403">
        <f t="shared" ca="1" si="64"/>
        <v>2.5333032889005356</v>
      </c>
      <c r="AW136" s="403">
        <f t="shared" ca="1" si="65"/>
        <v>655.70970785710676</v>
      </c>
    </row>
    <row r="137" spans="1:49">
      <c r="A137" s="38" t="str">
        <f t="shared" si="58"/>
        <v>Lewis County UTCREINSTATE-COMM</v>
      </c>
      <c r="B137" s="38">
        <f t="shared" si="59"/>
        <v>1</v>
      </c>
      <c r="C137" s="97" t="s">
        <v>480</v>
      </c>
      <c r="D137" s="97" t="s">
        <v>481</v>
      </c>
      <c r="E137" s="69">
        <v>15.67</v>
      </c>
      <c r="F137" s="69">
        <v>15.6</v>
      </c>
      <c r="G137" s="69" t="s">
        <v>247</v>
      </c>
      <c r="H137" s="88">
        <v>156.69999999999999</v>
      </c>
      <c r="I137" s="88">
        <v>156.69999999999999</v>
      </c>
      <c r="J137" s="88">
        <v>125.35999999999999</v>
      </c>
      <c r="K137" s="88">
        <v>94.02</v>
      </c>
      <c r="L137" s="88">
        <v>94.02</v>
      </c>
      <c r="M137" s="88">
        <v>94.02</v>
      </c>
      <c r="N137" s="88">
        <v>78.349999999999994</v>
      </c>
      <c r="O137" s="88">
        <v>172.37</v>
      </c>
      <c r="P137" s="88">
        <v>249.6</v>
      </c>
      <c r="Q137" s="88">
        <v>93.529999999999987</v>
      </c>
      <c r="R137" s="88">
        <v>312</v>
      </c>
      <c r="S137" s="88">
        <v>156</v>
      </c>
      <c r="T137" s="88">
        <f t="shared" si="74"/>
        <v>1782.6699999999998</v>
      </c>
      <c r="U137" s="88"/>
      <c r="V137" s="86">
        <f t="shared" si="76"/>
        <v>10</v>
      </c>
      <c r="W137" s="86">
        <f t="shared" si="76"/>
        <v>10</v>
      </c>
      <c r="X137" s="86">
        <f t="shared" si="76"/>
        <v>7.9999999999999991</v>
      </c>
      <c r="Y137" s="86">
        <f t="shared" si="76"/>
        <v>6</v>
      </c>
      <c r="Z137" s="86">
        <f t="shared" si="76"/>
        <v>6</v>
      </c>
      <c r="AA137" s="86">
        <f t="shared" si="76"/>
        <v>6</v>
      </c>
      <c r="AB137" s="86">
        <f t="shared" si="76"/>
        <v>5</v>
      </c>
      <c r="AC137" s="86">
        <f t="shared" si="77"/>
        <v>11.049358974358976</v>
      </c>
      <c r="AD137" s="86">
        <f t="shared" si="77"/>
        <v>16</v>
      </c>
      <c r="AE137" s="86">
        <f t="shared" si="77"/>
        <v>5.9955128205128201</v>
      </c>
      <c r="AF137" s="86">
        <f t="shared" si="77"/>
        <v>20</v>
      </c>
      <c r="AG137" s="86">
        <f t="shared" si="77"/>
        <v>10</v>
      </c>
      <c r="AH137" s="70">
        <f t="shared" si="75"/>
        <v>114.04487179487178</v>
      </c>
      <c r="AI137" s="70">
        <f t="shared" ref="AI137:AI191" si="78">AH137/12</f>
        <v>9.5037393162393151</v>
      </c>
      <c r="AR137" s="89">
        <f t="shared" ca="1" si="62"/>
        <v>16.393512953317487</v>
      </c>
      <c r="AS137" s="90">
        <f t="shared" ca="1" si="70"/>
        <v>1869.5960830286626</v>
      </c>
      <c r="AT137" s="90">
        <f t="shared" ref="AT137:AT191" ca="1" si="79">+AS137-T137</f>
        <v>86.926083028662788</v>
      </c>
      <c r="AV137" s="403">
        <f t="shared" ca="1" si="64"/>
        <v>7.2511099190471429</v>
      </c>
      <c r="AW137" s="403">
        <f t="shared" ca="1" si="65"/>
        <v>1876.8471929477098</v>
      </c>
    </row>
    <row r="138" spans="1:49">
      <c r="A138" s="38" t="str">
        <f t="shared" ref="A138:A191" si="80">$A$1&amp;C138</f>
        <v>Lewis County UTCRENT1.5TEMP-COMM</v>
      </c>
      <c r="B138" s="38">
        <f t="shared" ref="B138:B191" si="81">COUNTIF(C:C,C138)</f>
        <v>1</v>
      </c>
      <c r="C138" s="97" t="s">
        <v>482</v>
      </c>
      <c r="D138" s="97" t="s">
        <v>483</v>
      </c>
      <c r="E138" s="69">
        <v>0.49</v>
      </c>
      <c r="F138" s="69">
        <v>0.49</v>
      </c>
      <c r="G138" s="69" t="s">
        <v>368</v>
      </c>
      <c r="H138" s="88">
        <v>0</v>
      </c>
      <c r="I138" s="88">
        <v>0</v>
      </c>
      <c r="J138" s="88">
        <v>0</v>
      </c>
      <c r="K138" s="88">
        <v>0</v>
      </c>
      <c r="L138" s="88">
        <v>0</v>
      </c>
      <c r="M138" s="88">
        <v>1.47</v>
      </c>
      <c r="N138" s="88">
        <v>25.19</v>
      </c>
      <c r="O138" s="88">
        <v>44.5</v>
      </c>
      <c r="P138" s="88">
        <v>53.03</v>
      </c>
      <c r="Q138" s="88">
        <v>57.24</v>
      </c>
      <c r="R138" s="88">
        <v>45.19</v>
      </c>
      <c r="S138" s="88">
        <v>31.560000000000002</v>
      </c>
      <c r="T138" s="88">
        <f t="shared" ref="T138:T169" si="82">SUM(H138:S138)</f>
        <v>258.18</v>
      </c>
      <c r="U138" s="88"/>
      <c r="V138" s="86">
        <f t="shared" si="76"/>
        <v>0</v>
      </c>
      <c r="W138" s="86">
        <f t="shared" si="76"/>
        <v>0</v>
      </c>
      <c r="X138" s="86">
        <f t="shared" si="76"/>
        <v>0</v>
      </c>
      <c r="Y138" s="86">
        <f t="shared" si="76"/>
        <v>0</v>
      </c>
      <c r="Z138" s="86">
        <f t="shared" si="76"/>
        <v>0</v>
      </c>
      <c r="AA138" s="86">
        <f t="shared" si="76"/>
        <v>3</v>
      </c>
      <c r="AB138" s="86">
        <f t="shared" si="76"/>
        <v>51.408163265306129</v>
      </c>
      <c r="AC138" s="86">
        <f t="shared" si="77"/>
        <v>90.816326530612244</v>
      </c>
      <c r="AD138" s="86">
        <f t="shared" si="77"/>
        <v>108.22448979591837</v>
      </c>
      <c r="AE138" s="86">
        <f t="shared" si="77"/>
        <v>116.81632653061224</v>
      </c>
      <c r="AF138" s="86">
        <f t="shared" si="77"/>
        <v>92.224489795918359</v>
      </c>
      <c r="AG138" s="86">
        <f t="shared" si="77"/>
        <v>64.408163265306129</v>
      </c>
      <c r="AH138" s="70">
        <f t="shared" ref="AH138:AH169" si="83">SUM(V138:AG138)</f>
        <v>526.89795918367349</v>
      </c>
      <c r="AI138" s="70">
        <f t="shared" si="78"/>
        <v>43.908163265306122</v>
      </c>
      <c r="AR138" s="89">
        <f t="shared" ref="AR138:AR191" ca="1" si="84">+F138*(1+$BB$2)</f>
        <v>0.51492444532856207</v>
      </c>
      <c r="AS138" s="90">
        <f t="shared" ca="1" si="70"/>
        <v>271.31263937740437</v>
      </c>
      <c r="AT138" s="90">
        <f t="shared" ca="1" si="79"/>
        <v>13.132639377404359</v>
      </c>
      <c r="AV138" s="403">
        <f t="shared" ca="1" si="64"/>
        <v>1.0522688769038229</v>
      </c>
      <c r="AW138" s="403">
        <f t="shared" ca="1" si="65"/>
        <v>272.3649082543082</v>
      </c>
    </row>
    <row r="139" spans="1:49">
      <c r="A139" s="38" t="str">
        <f t="shared" si="80"/>
        <v>Lewis County UTCRENT1TEMP-COMM</v>
      </c>
      <c r="B139" s="38">
        <f t="shared" si="81"/>
        <v>1</v>
      </c>
      <c r="C139" s="97" t="s">
        <v>484</v>
      </c>
      <c r="D139" s="97" t="s">
        <v>485</v>
      </c>
      <c r="E139" s="69">
        <v>0.49</v>
      </c>
      <c r="F139" s="69">
        <v>0.49</v>
      </c>
      <c r="G139" s="69" t="s">
        <v>368</v>
      </c>
      <c r="H139" s="88">
        <v>0</v>
      </c>
      <c r="I139" s="88">
        <v>0</v>
      </c>
      <c r="J139" s="88">
        <v>0</v>
      </c>
      <c r="K139" s="88">
        <v>0</v>
      </c>
      <c r="L139" s="88">
        <v>0</v>
      </c>
      <c r="M139" s="88">
        <v>19.309999999999999</v>
      </c>
      <c r="N139" s="88">
        <v>29.8</v>
      </c>
      <c r="O139" s="88">
        <v>40.58</v>
      </c>
      <c r="P139" s="88">
        <v>17.350000000000001</v>
      </c>
      <c r="Q139" s="88">
        <v>0</v>
      </c>
      <c r="R139" s="88">
        <v>0</v>
      </c>
      <c r="S139" s="88">
        <v>0</v>
      </c>
      <c r="T139" s="88">
        <f t="shared" si="82"/>
        <v>107.03999999999999</v>
      </c>
      <c r="U139" s="88"/>
      <c r="V139" s="86">
        <f t="shared" si="76"/>
        <v>0</v>
      </c>
      <c r="W139" s="86">
        <f t="shared" si="76"/>
        <v>0</v>
      </c>
      <c r="X139" s="86">
        <f t="shared" si="76"/>
        <v>0</v>
      </c>
      <c r="Y139" s="86">
        <f t="shared" si="76"/>
        <v>0</v>
      </c>
      <c r="Z139" s="86">
        <f t="shared" si="76"/>
        <v>0</v>
      </c>
      <c r="AA139" s="86">
        <f t="shared" si="76"/>
        <v>39.408163265306122</v>
      </c>
      <c r="AB139" s="86">
        <f t="shared" si="76"/>
        <v>60.816326530612244</v>
      </c>
      <c r="AC139" s="86">
        <f t="shared" si="77"/>
        <v>82.816326530612244</v>
      </c>
      <c r="AD139" s="86">
        <f t="shared" si="77"/>
        <v>35.408163265306129</v>
      </c>
      <c r="AE139" s="86">
        <f t="shared" si="77"/>
        <v>0</v>
      </c>
      <c r="AF139" s="86">
        <f t="shared" si="77"/>
        <v>0</v>
      </c>
      <c r="AG139" s="86">
        <f t="shared" si="77"/>
        <v>0</v>
      </c>
      <c r="AH139" s="70">
        <f t="shared" si="83"/>
        <v>218.44897959183675</v>
      </c>
      <c r="AI139" s="70">
        <f t="shared" si="78"/>
        <v>18.204081632653061</v>
      </c>
      <c r="AR139" s="89">
        <f t="shared" ca="1" si="84"/>
        <v>0.51492444532856207</v>
      </c>
      <c r="AS139" s="90">
        <f t="shared" ca="1" si="70"/>
        <v>112.48471964891691</v>
      </c>
      <c r="AT139" s="90">
        <f t="shared" ca="1" si="79"/>
        <v>5.4447196489169158</v>
      </c>
      <c r="AV139" s="403">
        <f t="shared" ref="AV139:AV191" ca="1" si="85">AS139*AW$2</f>
        <v>0.4362648562390008</v>
      </c>
      <c r="AW139" s="403">
        <f t="shared" ref="AW139:AW191" ca="1" si="86">+AV139+AS139</f>
        <v>112.92098450515591</v>
      </c>
    </row>
    <row r="140" spans="1:49">
      <c r="A140" s="38" t="str">
        <f t="shared" si="80"/>
        <v>Lewis County UTCRENT2TEMP-COMM</v>
      </c>
      <c r="B140" s="38">
        <f t="shared" si="81"/>
        <v>1</v>
      </c>
      <c r="C140" s="97" t="s">
        <v>486</v>
      </c>
      <c r="D140" s="97" t="s">
        <v>487</v>
      </c>
      <c r="E140" s="69">
        <v>0.54</v>
      </c>
      <c r="F140" s="69">
        <v>0.54</v>
      </c>
      <c r="G140" s="69" t="s">
        <v>368</v>
      </c>
      <c r="H140" s="88">
        <v>115.71</v>
      </c>
      <c r="I140" s="88">
        <v>161.99</v>
      </c>
      <c r="J140" s="88">
        <v>121.57</v>
      </c>
      <c r="K140" s="88">
        <v>156.44</v>
      </c>
      <c r="L140" s="88">
        <v>142.86000000000001</v>
      </c>
      <c r="M140" s="88">
        <v>260.58000000000004</v>
      </c>
      <c r="N140" s="88">
        <v>221.54</v>
      </c>
      <c r="O140" s="88">
        <v>294.44000000000005</v>
      </c>
      <c r="P140" s="88">
        <v>203.03000000000003</v>
      </c>
      <c r="Q140" s="88">
        <v>118.1</v>
      </c>
      <c r="R140" s="88">
        <v>60.71</v>
      </c>
      <c r="S140" s="88">
        <v>20.21</v>
      </c>
      <c r="T140" s="88">
        <f t="shared" si="82"/>
        <v>1877.18</v>
      </c>
      <c r="U140" s="88"/>
      <c r="V140" s="86">
        <f t="shared" si="76"/>
        <v>214.27777777777774</v>
      </c>
      <c r="W140" s="86">
        <f t="shared" si="76"/>
        <v>299.98148148148147</v>
      </c>
      <c r="X140" s="86">
        <f t="shared" si="76"/>
        <v>225.12962962962959</v>
      </c>
      <c r="Y140" s="86">
        <f t="shared" si="76"/>
        <v>289.7037037037037</v>
      </c>
      <c r="Z140" s="86">
        <f t="shared" si="76"/>
        <v>264.55555555555554</v>
      </c>
      <c r="AA140" s="86">
        <f t="shared" si="76"/>
        <v>482.5555555555556</v>
      </c>
      <c r="AB140" s="86">
        <f t="shared" si="76"/>
        <v>410.25925925925924</v>
      </c>
      <c r="AC140" s="86">
        <f t="shared" si="77"/>
        <v>545.25925925925935</v>
      </c>
      <c r="AD140" s="86">
        <f t="shared" si="77"/>
        <v>375.98148148148152</v>
      </c>
      <c r="AE140" s="86">
        <f t="shared" si="77"/>
        <v>218.70370370370367</v>
      </c>
      <c r="AF140" s="86">
        <f t="shared" si="77"/>
        <v>112.42592592592592</v>
      </c>
      <c r="AG140" s="86">
        <f t="shared" si="77"/>
        <v>37.425925925925924</v>
      </c>
      <c r="AH140" s="70">
        <f t="shared" si="83"/>
        <v>3476.25925925926</v>
      </c>
      <c r="AI140" s="70">
        <f t="shared" si="78"/>
        <v>289.68827160493834</v>
      </c>
      <c r="AR140" s="89">
        <f t="shared" ca="1" si="84"/>
        <v>0.56746775607637456</v>
      </c>
      <c r="AS140" s="90">
        <f t="shared" ca="1" si="70"/>
        <v>1972.6650413915722</v>
      </c>
      <c r="AT140" s="90">
        <f t="shared" ca="1" si="79"/>
        <v>95.485041391572167</v>
      </c>
      <c r="AV140" s="403">
        <f t="shared" ca="1" si="85"/>
        <v>7.6508563418789954</v>
      </c>
      <c r="AW140" s="403">
        <f t="shared" ca="1" si="86"/>
        <v>1980.3158977334513</v>
      </c>
    </row>
    <row r="141" spans="1:49">
      <c r="A141" s="38" t="str">
        <f t="shared" si="80"/>
        <v>Lewis County UTCRENT3TEMP-COMM</v>
      </c>
      <c r="B141" s="38">
        <f t="shared" si="81"/>
        <v>1</v>
      </c>
      <c r="C141" s="97" t="s">
        <v>488</v>
      </c>
      <c r="D141" s="97" t="s">
        <v>489</v>
      </c>
      <c r="E141" s="69">
        <v>0.54</v>
      </c>
      <c r="F141" s="69">
        <v>0.54</v>
      </c>
      <c r="G141" s="69" t="s">
        <v>368</v>
      </c>
      <c r="H141" s="88">
        <v>16.43</v>
      </c>
      <c r="I141" s="88">
        <v>7.02</v>
      </c>
      <c r="J141" s="88">
        <v>28.08</v>
      </c>
      <c r="K141" s="88">
        <v>35.56</v>
      </c>
      <c r="L141" s="88">
        <v>53.92</v>
      </c>
      <c r="M141" s="88">
        <v>49.6</v>
      </c>
      <c r="N141" s="88">
        <v>40.42</v>
      </c>
      <c r="O141" s="88">
        <v>33.71</v>
      </c>
      <c r="P141" s="88">
        <v>31.01</v>
      </c>
      <c r="Q141" s="88">
        <v>40.42</v>
      </c>
      <c r="R141" s="88">
        <v>45.88</v>
      </c>
      <c r="S141" s="88">
        <v>7.56</v>
      </c>
      <c r="T141" s="88">
        <f t="shared" si="82"/>
        <v>389.60999999999996</v>
      </c>
      <c r="U141" s="88"/>
      <c r="V141" s="86">
        <f t="shared" si="76"/>
        <v>30.425925925925924</v>
      </c>
      <c r="W141" s="86">
        <f t="shared" si="76"/>
        <v>12.999999999999998</v>
      </c>
      <c r="X141" s="86">
        <f t="shared" si="76"/>
        <v>51.999999999999993</v>
      </c>
      <c r="Y141" s="86">
        <f t="shared" si="76"/>
        <v>65.851851851851848</v>
      </c>
      <c r="Z141" s="86">
        <f t="shared" si="76"/>
        <v>99.851851851851848</v>
      </c>
      <c r="AA141" s="86">
        <f t="shared" si="76"/>
        <v>91.851851851851848</v>
      </c>
      <c r="AB141" s="86">
        <f t="shared" si="76"/>
        <v>74.851851851851848</v>
      </c>
      <c r="AC141" s="86">
        <f t="shared" si="77"/>
        <v>62.425925925925924</v>
      </c>
      <c r="AD141" s="86">
        <f t="shared" si="77"/>
        <v>57.425925925925924</v>
      </c>
      <c r="AE141" s="86">
        <f t="shared" si="77"/>
        <v>74.851851851851848</v>
      </c>
      <c r="AF141" s="86">
        <f t="shared" si="77"/>
        <v>84.962962962962962</v>
      </c>
      <c r="AG141" s="86">
        <f t="shared" si="77"/>
        <v>13.999999999999998</v>
      </c>
      <c r="AH141" s="70">
        <f t="shared" si="83"/>
        <v>721.5</v>
      </c>
      <c r="AI141" s="70">
        <f t="shared" si="78"/>
        <v>60.125</v>
      </c>
      <c r="AR141" s="89">
        <f t="shared" ca="1" si="84"/>
        <v>0.56746775607637456</v>
      </c>
      <c r="AS141" s="90">
        <f t="shared" ca="1" si="70"/>
        <v>409.42798600910419</v>
      </c>
      <c r="AT141" s="90">
        <f t="shared" ca="1" si="79"/>
        <v>19.817986009104231</v>
      </c>
      <c r="AV141" s="403">
        <f t="shared" ca="1" si="85"/>
        <v>1.5879404955089413</v>
      </c>
      <c r="AW141" s="403">
        <f t="shared" ca="1" si="86"/>
        <v>411.01592650461311</v>
      </c>
    </row>
    <row r="142" spans="1:49">
      <c r="A142" s="38" t="str">
        <f t="shared" si="80"/>
        <v>Lewis County UTCRENT4TEMP-COMM</v>
      </c>
      <c r="B142" s="38">
        <f t="shared" si="81"/>
        <v>1</v>
      </c>
      <c r="C142" s="97" t="s">
        <v>490</v>
      </c>
      <c r="D142" s="97" t="s">
        <v>491</v>
      </c>
      <c r="E142" s="69">
        <v>0.59</v>
      </c>
      <c r="F142" s="69">
        <v>0.59</v>
      </c>
      <c r="G142" s="69" t="s">
        <v>368</v>
      </c>
      <c r="H142" s="88">
        <v>75.929999999999993</v>
      </c>
      <c r="I142" s="88">
        <v>46.86</v>
      </c>
      <c r="J142" s="88">
        <v>39.78</v>
      </c>
      <c r="K142" s="88">
        <v>24.19</v>
      </c>
      <c r="L142" s="88">
        <v>0</v>
      </c>
      <c r="M142" s="88">
        <v>0</v>
      </c>
      <c r="N142" s="88">
        <v>14.16</v>
      </c>
      <c r="O142" s="88">
        <v>64.56</v>
      </c>
      <c r="P142" s="88">
        <v>83.01</v>
      </c>
      <c r="Q142" s="88">
        <v>48.879999999999995</v>
      </c>
      <c r="R142" s="88">
        <v>35.9</v>
      </c>
      <c r="S142" s="88">
        <v>21.24</v>
      </c>
      <c r="T142" s="88">
        <f t="shared" si="82"/>
        <v>454.51</v>
      </c>
      <c r="U142" s="88"/>
      <c r="V142" s="86">
        <f t="shared" si="76"/>
        <v>128.69491525423729</v>
      </c>
      <c r="W142" s="86">
        <f t="shared" si="76"/>
        <v>79.423728813559322</v>
      </c>
      <c r="X142" s="86">
        <f t="shared" si="76"/>
        <v>67.423728813559322</v>
      </c>
      <c r="Y142" s="86">
        <f t="shared" si="76"/>
        <v>41.000000000000007</v>
      </c>
      <c r="Z142" s="86">
        <f t="shared" si="76"/>
        <v>0</v>
      </c>
      <c r="AA142" s="86">
        <f t="shared" si="76"/>
        <v>0</v>
      </c>
      <c r="AB142" s="86">
        <f t="shared" si="76"/>
        <v>24</v>
      </c>
      <c r="AC142" s="86">
        <f t="shared" si="77"/>
        <v>109.42372881355934</v>
      </c>
      <c r="AD142" s="86">
        <f t="shared" si="77"/>
        <v>140.69491525423732</v>
      </c>
      <c r="AE142" s="86">
        <f t="shared" si="77"/>
        <v>82.847457627118644</v>
      </c>
      <c r="AF142" s="86">
        <f t="shared" si="77"/>
        <v>60.847457627118644</v>
      </c>
      <c r="AG142" s="86">
        <f t="shared" si="77"/>
        <v>36</v>
      </c>
      <c r="AH142" s="70">
        <f t="shared" si="83"/>
        <v>770.35593220338978</v>
      </c>
      <c r="AI142" s="70">
        <f t="shared" si="78"/>
        <v>64.19632768361582</v>
      </c>
      <c r="AR142" s="89">
        <f t="shared" ca="1" si="84"/>
        <v>0.62001106682418694</v>
      </c>
      <c r="AS142" s="90">
        <f t="shared" ca="1" si="70"/>
        <v>477.6292033597648</v>
      </c>
      <c r="AT142" s="90">
        <f t="shared" ca="1" si="79"/>
        <v>23.119203359764811</v>
      </c>
      <c r="AV142" s="403">
        <f t="shared" ca="1" si="85"/>
        <v>1.8524545946299351</v>
      </c>
      <c r="AW142" s="403">
        <f t="shared" ca="1" si="86"/>
        <v>479.48165795439473</v>
      </c>
    </row>
    <row r="143" spans="1:49">
      <c r="A143" s="38" t="str">
        <f t="shared" si="80"/>
        <v>Lewis County UTCRENT5TEMP-COMM</v>
      </c>
      <c r="B143" s="38">
        <f t="shared" si="81"/>
        <v>1</v>
      </c>
      <c r="C143" s="97" t="s">
        <v>492</v>
      </c>
      <c r="D143" s="97" t="s">
        <v>493</v>
      </c>
      <c r="E143" s="69">
        <v>0.59</v>
      </c>
      <c r="F143" s="69">
        <v>0.59</v>
      </c>
      <c r="G143" s="69" t="s">
        <v>368</v>
      </c>
      <c r="H143" s="88">
        <v>0</v>
      </c>
      <c r="I143" s="88">
        <v>0</v>
      </c>
      <c r="J143" s="88">
        <v>0</v>
      </c>
      <c r="K143" s="88">
        <v>0</v>
      </c>
      <c r="L143" s="88">
        <v>0</v>
      </c>
      <c r="M143" s="88">
        <v>0</v>
      </c>
      <c r="N143" s="88">
        <v>0</v>
      </c>
      <c r="O143" s="88">
        <v>0</v>
      </c>
      <c r="P143" s="88">
        <v>0</v>
      </c>
      <c r="Q143" s="88">
        <v>0</v>
      </c>
      <c r="R143" s="88">
        <v>0</v>
      </c>
      <c r="S143" s="88">
        <v>0</v>
      </c>
      <c r="T143" s="88">
        <f t="shared" si="82"/>
        <v>0</v>
      </c>
      <c r="U143" s="88"/>
      <c r="V143" s="86">
        <f t="shared" ref="V143:AB174" si="87">IFERROR(H143/$E143,0)</f>
        <v>0</v>
      </c>
      <c r="W143" s="86">
        <f t="shared" si="87"/>
        <v>0</v>
      </c>
      <c r="X143" s="86">
        <f t="shared" si="87"/>
        <v>0</v>
      </c>
      <c r="Y143" s="86">
        <f t="shared" si="87"/>
        <v>0</v>
      </c>
      <c r="Z143" s="86">
        <f t="shared" si="87"/>
        <v>0</v>
      </c>
      <c r="AA143" s="86">
        <f t="shared" si="87"/>
        <v>0</v>
      </c>
      <c r="AB143" s="86">
        <f t="shared" si="87"/>
        <v>0</v>
      </c>
      <c r="AC143" s="86">
        <f t="shared" ref="AC143:AG174" si="88">IFERROR(O143/$F143,0)</f>
        <v>0</v>
      </c>
      <c r="AD143" s="86">
        <f t="shared" si="88"/>
        <v>0</v>
      </c>
      <c r="AE143" s="86">
        <f t="shared" si="88"/>
        <v>0</v>
      </c>
      <c r="AF143" s="86">
        <f t="shared" si="88"/>
        <v>0</v>
      </c>
      <c r="AG143" s="86">
        <f t="shared" si="88"/>
        <v>0</v>
      </c>
      <c r="AH143" s="70">
        <f t="shared" si="83"/>
        <v>0</v>
      </c>
      <c r="AI143" s="70">
        <f t="shared" si="78"/>
        <v>0</v>
      </c>
      <c r="AR143" s="89">
        <f t="shared" ca="1" si="84"/>
        <v>0.62001106682418694</v>
      </c>
      <c r="AS143" s="90">
        <f t="shared" ref="AS143:AS191" ca="1" si="89">+AR143*AI143*12</f>
        <v>0</v>
      </c>
      <c r="AT143" s="90">
        <f t="shared" ca="1" si="79"/>
        <v>0</v>
      </c>
      <c r="AV143" s="403">
        <f t="shared" ca="1" si="85"/>
        <v>0</v>
      </c>
      <c r="AW143" s="403">
        <f t="shared" ca="1" si="86"/>
        <v>0</v>
      </c>
    </row>
    <row r="144" spans="1:49">
      <c r="A144" s="38" t="str">
        <f t="shared" si="80"/>
        <v>Lewis County UTCRENT6TEMP-COMM</v>
      </c>
      <c r="B144" s="38">
        <f t="shared" si="81"/>
        <v>1</v>
      </c>
      <c r="C144" s="97" t="s">
        <v>494</v>
      </c>
      <c r="D144" s="97" t="s">
        <v>495</v>
      </c>
      <c r="E144" s="69">
        <v>0.65</v>
      </c>
      <c r="F144" s="69">
        <v>0.65</v>
      </c>
      <c r="G144" s="69" t="s">
        <v>368</v>
      </c>
      <c r="H144" s="88">
        <v>123.28</v>
      </c>
      <c r="I144" s="88">
        <v>87.91</v>
      </c>
      <c r="J144" s="88">
        <v>129.4</v>
      </c>
      <c r="K144" s="88">
        <v>204.42000000000002</v>
      </c>
      <c r="L144" s="88">
        <v>378.89</v>
      </c>
      <c r="M144" s="88">
        <v>401.69</v>
      </c>
      <c r="N144" s="88">
        <v>505.46999999999997</v>
      </c>
      <c r="O144" s="88">
        <v>555.5200000000001</v>
      </c>
      <c r="P144" s="88">
        <v>396.33</v>
      </c>
      <c r="Q144" s="88">
        <v>154.1</v>
      </c>
      <c r="R144" s="88">
        <v>144.07999999999998</v>
      </c>
      <c r="S144" s="88">
        <v>141.21</v>
      </c>
      <c r="T144" s="88">
        <f t="shared" si="82"/>
        <v>3222.2999999999997</v>
      </c>
      <c r="U144" s="88"/>
      <c r="V144" s="86">
        <f t="shared" si="87"/>
        <v>189.66153846153847</v>
      </c>
      <c r="W144" s="86">
        <f t="shared" si="87"/>
        <v>135.24615384615385</v>
      </c>
      <c r="X144" s="86">
        <f t="shared" si="87"/>
        <v>199.07692307692307</v>
      </c>
      <c r="Y144" s="86">
        <f t="shared" si="87"/>
        <v>314.49230769230769</v>
      </c>
      <c r="Z144" s="86">
        <f t="shared" si="87"/>
        <v>582.90769230769229</v>
      </c>
      <c r="AA144" s="86">
        <f t="shared" si="87"/>
        <v>617.98461538461538</v>
      </c>
      <c r="AB144" s="86">
        <f t="shared" si="87"/>
        <v>777.64615384615377</v>
      </c>
      <c r="AC144" s="86">
        <f t="shared" si="88"/>
        <v>854.64615384615399</v>
      </c>
      <c r="AD144" s="86">
        <f t="shared" si="88"/>
        <v>609.73846153846148</v>
      </c>
      <c r="AE144" s="86">
        <f t="shared" si="88"/>
        <v>237.07692307692307</v>
      </c>
      <c r="AF144" s="86">
        <f t="shared" si="88"/>
        <v>221.66153846153844</v>
      </c>
      <c r="AG144" s="86">
        <f t="shared" si="88"/>
        <v>217.24615384615385</v>
      </c>
      <c r="AH144" s="70">
        <f t="shared" si="83"/>
        <v>4957.3846153846152</v>
      </c>
      <c r="AI144" s="70">
        <f t="shared" si="78"/>
        <v>413.11538461538458</v>
      </c>
      <c r="AR144" s="89">
        <f t="shared" ca="1" si="84"/>
        <v>0.6830630397215619</v>
      </c>
      <c r="AS144" s="90">
        <f t="shared" ca="1" si="89"/>
        <v>3386.2062044535214</v>
      </c>
      <c r="AT144" s="90">
        <f t="shared" ca="1" si="79"/>
        <v>163.9062044535217</v>
      </c>
      <c r="AV144" s="403">
        <f t="shared" ca="1" si="85"/>
        <v>13.133186157127541</v>
      </c>
      <c r="AW144" s="403">
        <f t="shared" ca="1" si="86"/>
        <v>3399.3393906106489</v>
      </c>
    </row>
    <row r="145" spans="1:49" s="98" customFormat="1">
      <c r="A145" s="98" t="str">
        <f t="shared" si="80"/>
        <v>Lewis County UTCRL001.0Y1W001</v>
      </c>
      <c r="B145" s="98">
        <f t="shared" si="81"/>
        <v>1</v>
      </c>
      <c r="C145" s="127" t="s">
        <v>496</v>
      </c>
      <c r="D145" s="127" t="s">
        <v>395</v>
      </c>
      <c r="E145" s="100">
        <v>88.3</v>
      </c>
      <c r="F145" s="100">
        <v>87.92</v>
      </c>
      <c r="G145" s="100" t="s">
        <v>368</v>
      </c>
      <c r="H145" s="101">
        <v>14540.79</v>
      </c>
      <c r="I145" s="101">
        <v>14856.470000000001</v>
      </c>
      <c r="J145" s="101">
        <v>14556.25</v>
      </c>
      <c r="K145" s="101">
        <v>14746.08</v>
      </c>
      <c r="L145" s="101">
        <v>14935.93</v>
      </c>
      <c r="M145" s="101">
        <v>14988.920000000002</v>
      </c>
      <c r="N145" s="101">
        <v>15178.75</v>
      </c>
      <c r="O145" s="101">
        <v>15222.91</v>
      </c>
      <c r="P145" s="101">
        <v>15645.359999999999</v>
      </c>
      <c r="Q145" s="101">
        <v>15601.41</v>
      </c>
      <c r="R145" s="101">
        <v>15509.09</v>
      </c>
      <c r="S145" s="101">
        <v>15034.320000000002</v>
      </c>
      <c r="T145" s="101">
        <f t="shared" si="82"/>
        <v>180816.28</v>
      </c>
      <c r="U145" s="101"/>
      <c r="V145" s="102">
        <f t="shared" si="87"/>
        <v>164.6748584371461</v>
      </c>
      <c r="W145" s="102">
        <f t="shared" si="87"/>
        <v>168.24994337485845</v>
      </c>
      <c r="X145" s="102">
        <f t="shared" si="87"/>
        <v>164.84994337485844</v>
      </c>
      <c r="Y145" s="102">
        <f t="shared" si="87"/>
        <v>166.99977349943376</v>
      </c>
      <c r="Z145" s="102">
        <f t="shared" si="87"/>
        <v>169.14983012457532</v>
      </c>
      <c r="AA145" s="102">
        <f t="shared" si="87"/>
        <v>169.74994337485847</v>
      </c>
      <c r="AB145" s="102">
        <f t="shared" si="87"/>
        <v>171.89977349943376</v>
      </c>
      <c r="AC145" s="102">
        <f t="shared" si="88"/>
        <v>173.14501819836215</v>
      </c>
      <c r="AD145" s="102">
        <f t="shared" si="88"/>
        <v>177.94995450409462</v>
      </c>
      <c r="AE145" s="102">
        <f t="shared" si="88"/>
        <v>177.45006824385806</v>
      </c>
      <c r="AF145" s="102">
        <f t="shared" si="88"/>
        <v>176.40002274795268</v>
      </c>
      <c r="AG145" s="102">
        <f t="shared" si="88"/>
        <v>171</v>
      </c>
      <c r="AH145" s="126">
        <f t="shared" si="83"/>
        <v>2051.5191293794319</v>
      </c>
      <c r="AI145" s="103">
        <f t="shared" si="78"/>
        <v>170.95992744828598</v>
      </c>
      <c r="AJ145" s="86"/>
      <c r="AM145" s="98">
        <v>1</v>
      </c>
      <c r="AN145" s="98">
        <v>1</v>
      </c>
      <c r="AO145" s="128">
        <f t="shared" ref="AO145:AO159" si="90">+AN145*AI145</f>
        <v>170.95992744828598</v>
      </c>
      <c r="AP145" s="129">
        <f>+F145/4.33</f>
        <v>20.304849884526558</v>
      </c>
      <c r="AQ145" s="129">
        <f ca="1">+AR145/4.33</f>
        <v>21.337680743407255</v>
      </c>
      <c r="AR145" s="89">
        <f t="shared" ca="1" si="84"/>
        <v>92.392157618953419</v>
      </c>
      <c r="AS145" s="90">
        <f t="shared" ca="1" si="89"/>
        <v>189544.27875992254</v>
      </c>
      <c r="AT145" s="90">
        <f t="shared" ca="1" si="79"/>
        <v>8727.9987599225424</v>
      </c>
      <c r="AV145" s="403">
        <f t="shared" ca="1" si="85"/>
        <v>735.13547246431631</v>
      </c>
      <c r="AW145" s="403">
        <f t="shared" ca="1" si="86"/>
        <v>190279.41423238686</v>
      </c>
    </row>
    <row r="146" spans="1:49" s="98" customFormat="1">
      <c r="A146" s="98" t="str">
        <f t="shared" si="80"/>
        <v>Lewis County UTCRL001.0Y2W001</v>
      </c>
      <c r="B146" s="98">
        <f t="shared" si="81"/>
        <v>1</v>
      </c>
      <c r="C146" s="127" t="s">
        <v>497</v>
      </c>
      <c r="D146" s="127" t="s">
        <v>397</v>
      </c>
      <c r="E146" s="100">
        <v>169.36</v>
      </c>
      <c r="F146" s="100">
        <v>168.63</v>
      </c>
      <c r="G146" s="100" t="s">
        <v>368</v>
      </c>
      <c r="H146" s="101">
        <v>0</v>
      </c>
      <c r="I146" s="101">
        <v>0</v>
      </c>
      <c r="J146" s="101">
        <v>0</v>
      </c>
      <c r="K146" s="101">
        <v>0</v>
      </c>
      <c r="L146" s="101">
        <v>0</v>
      </c>
      <c r="M146" s="101">
        <v>0</v>
      </c>
      <c r="N146" s="101">
        <v>0</v>
      </c>
      <c r="O146" s="101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f t="shared" si="82"/>
        <v>0</v>
      </c>
      <c r="U146" s="101"/>
      <c r="V146" s="102">
        <f t="shared" si="87"/>
        <v>0</v>
      </c>
      <c r="W146" s="102">
        <f t="shared" si="87"/>
        <v>0</v>
      </c>
      <c r="X146" s="102">
        <f t="shared" si="87"/>
        <v>0</v>
      </c>
      <c r="Y146" s="102">
        <f t="shared" si="87"/>
        <v>0</v>
      </c>
      <c r="Z146" s="102">
        <f t="shared" si="87"/>
        <v>0</v>
      </c>
      <c r="AA146" s="102">
        <f t="shared" si="87"/>
        <v>0</v>
      </c>
      <c r="AB146" s="102">
        <f t="shared" si="87"/>
        <v>0</v>
      </c>
      <c r="AC146" s="102">
        <f t="shared" si="88"/>
        <v>0</v>
      </c>
      <c r="AD146" s="102">
        <f t="shared" si="88"/>
        <v>0</v>
      </c>
      <c r="AE146" s="102">
        <f t="shared" si="88"/>
        <v>0</v>
      </c>
      <c r="AF146" s="102">
        <f t="shared" si="88"/>
        <v>0</v>
      </c>
      <c r="AG146" s="102">
        <f t="shared" si="88"/>
        <v>0</v>
      </c>
      <c r="AH146" s="126">
        <f t="shared" si="83"/>
        <v>0</v>
      </c>
      <c r="AI146" s="103">
        <f t="shared" si="78"/>
        <v>0</v>
      </c>
      <c r="AJ146" s="86"/>
      <c r="AM146" s="98">
        <v>1</v>
      </c>
      <c r="AN146" s="98">
        <v>1</v>
      </c>
      <c r="AO146" s="128">
        <f t="shared" si="90"/>
        <v>0</v>
      </c>
      <c r="AP146" s="129">
        <f t="shared" ref="AP146:AP159" si="91">+F146/4.33</f>
        <v>38.944572748267895</v>
      </c>
      <c r="AQ146" s="129">
        <f t="shared" ref="AQ146:AQ159" ca="1" si="92">+AR146/4.33</f>
        <v>40.925535757060572</v>
      </c>
      <c r="AR146" s="89">
        <f t="shared" ca="1" si="84"/>
        <v>177.20756982807228</v>
      </c>
      <c r="AS146" s="90">
        <f t="shared" ca="1" si="89"/>
        <v>0</v>
      </c>
      <c r="AT146" s="90">
        <f t="shared" ca="1" si="79"/>
        <v>0</v>
      </c>
      <c r="AV146" s="403">
        <f t="shared" ca="1" si="85"/>
        <v>0</v>
      </c>
      <c r="AW146" s="403">
        <f t="shared" ca="1" si="86"/>
        <v>0</v>
      </c>
    </row>
    <row r="147" spans="1:49" s="98" customFormat="1">
      <c r="A147" s="98" t="str">
        <f t="shared" si="80"/>
        <v>Lewis County UTCRL001.0YEO001</v>
      </c>
      <c r="B147" s="98">
        <f t="shared" si="81"/>
        <v>1</v>
      </c>
      <c r="C147" s="127" t="s">
        <v>498</v>
      </c>
      <c r="D147" s="127" t="s">
        <v>401</v>
      </c>
      <c r="E147" s="100">
        <v>47.86</v>
      </c>
      <c r="F147" s="100">
        <v>47.66</v>
      </c>
      <c r="G147" s="100" t="s">
        <v>368</v>
      </c>
      <c r="H147" s="101">
        <v>22964.81</v>
      </c>
      <c r="I147" s="101">
        <v>22901.01</v>
      </c>
      <c r="J147" s="101">
        <v>23489.54</v>
      </c>
      <c r="K147" s="101">
        <v>23594.98</v>
      </c>
      <c r="L147" s="101">
        <v>23730.57</v>
      </c>
      <c r="M147" s="101">
        <v>23351.07</v>
      </c>
      <c r="N147" s="101">
        <v>23642.84</v>
      </c>
      <c r="O147" s="101">
        <v>23695.469999999998</v>
      </c>
      <c r="P147" s="101">
        <v>23599.839999999997</v>
      </c>
      <c r="Q147" s="101">
        <v>23742.629999999997</v>
      </c>
      <c r="R147" s="101">
        <v>23814.11</v>
      </c>
      <c r="S147" s="101">
        <v>23996.809999999998</v>
      </c>
      <c r="T147" s="101">
        <f t="shared" si="82"/>
        <v>282523.68</v>
      </c>
      <c r="U147" s="101"/>
      <c r="V147" s="102">
        <f t="shared" si="87"/>
        <v>479.83305474300045</v>
      </c>
      <c r="W147" s="102">
        <f t="shared" si="87"/>
        <v>478.5</v>
      </c>
      <c r="X147" s="102">
        <f t="shared" si="87"/>
        <v>490.79690764730464</v>
      </c>
      <c r="Y147" s="102">
        <f t="shared" si="87"/>
        <v>493</v>
      </c>
      <c r="Z147" s="102">
        <f t="shared" si="87"/>
        <v>495.83305474300045</v>
      </c>
      <c r="AA147" s="102">
        <f t="shared" si="87"/>
        <v>487.90367739239446</v>
      </c>
      <c r="AB147" s="102">
        <f t="shared" si="87"/>
        <v>494</v>
      </c>
      <c r="AC147" s="102">
        <f t="shared" si="88"/>
        <v>497.17729752412924</v>
      </c>
      <c r="AD147" s="102">
        <f t="shared" si="88"/>
        <v>495.17079311791855</v>
      </c>
      <c r="AE147" s="102">
        <f t="shared" si="88"/>
        <v>498.16680654637008</v>
      </c>
      <c r="AF147" s="102">
        <f t="shared" si="88"/>
        <v>499.66659672681499</v>
      </c>
      <c r="AG147" s="102">
        <f t="shared" si="88"/>
        <v>503.5</v>
      </c>
      <c r="AH147" s="126">
        <f t="shared" si="83"/>
        <v>5913.5481884409328</v>
      </c>
      <c r="AI147" s="103">
        <f t="shared" si="78"/>
        <v>492.79568237007771</v>
      </c>
      <c r="AJ147" s="86"/>
      <c r="AM147" s="98">
        <v>1</v>
      </c>
      <c r="AN147" s="98">
        <v>1</v>
      </c>
      <c r="AO147" s="128">
        <f t="shared" si="90"/>
        <v>492.79568237007771</v>
      </c>
      <c r="AP147" s="129">
        <f t="shared" si="91"/>
        <v>11.006928406466512</v>
      </c>
      <c r="AQ147" s="129">
        <f t="shared" ca="1" si="92"/>
        <v>11.566809192797882</v>
      </c>
      <c r="AR147" s="89">
        <f t="shared" ca="1" si="84"/>
        <v>50.084283804814831</v>
      </c>
      <c r="AS147" s="90">
        <f t="shared" ca="1" si="89"/>
        <v>296175.82576332428</v>
      </c>
      <c r="AT147" s="90">
        <f t="shared" ca="1" si="79"/>
        <v>13652.145763324283</v>
      </c>
      <c r="AV147" s="403">
        <f t="shared" ca="1" si="85"/>
        <v>1148.6991695529211</v>
      </c>
      <c r="AW147" s="403">
        <f t="shared" ca="1" si="86"/>
        <v>297324.52493287722</v>
      </c>
    </row>
    <row r="148" spans="1:49" s="98" customFormat="1">
      <c r="A148" s="98" t="str">
        <f t="shared" si="80"/>
        <v>Lewis County UTCRL001.5Y1W001</v>
      </c>
      <c r="B148" s="98">
        <f t="shared" si="81"/>
        <v>1</v>
      </c>
      <c r="C148" s="127" t="s">
        <v>499</v>
      </c>
      <c r="D148" s="127" t="s">
        <v>403</v>
      </c>
      <c r="E148" s="100">
        <v>122.32</v>
      </c>
      <c r="F148" s="100">
        <v>121.81</v>
      </c>
      <c r="G148" s="100" t="s">
        <v>368</v>
      </c>
      <c r="H148" s="101">
        <v>9021.1</v>
      </c>
      <c r="I148" s="101">
        <v>9143.42</v>
      </c>
      <c r="J148" s="101">
        <v>9222.92</v>
      </c>
      <c r="K148" s="101">
        <v>8832.42</v>
      </c>
      <c r="L148" s="101">
        <v>9528.73</v>
      </c>
      <c r="M148" s="101">
        <v>9369.7000000000007</v>
      </c>
      <c r="N148" s="101">
        <v>9589.8799999999992</v>
      </c>
      <c r="O148" s="101">
        <v>9956.84</v>
      </c>
      <c r="P148" s="101">
        <v>10232.050000000001</v>
      </c>
      <c r="Q148" s="101">
        <v>10384.300000000001</v>
      </c>
      <c r="R148" s="101">
        <v>10317.300000000001</v>
      </c>
      <c r="S148" s="101">
        <v>10146.780000000001</v>
      </c>
      <c r="T148" s="101">
        <f t="shared" si="82"/>
        <v>115745.44</v>
      </c>
      <c r="U148" s="101"/>
      <c r="V148" s="102">
        <f t="shared" si="87"/>
        <v>73.75</v>
      </c>
      <c r="W148" s="102">
        <f t="shared" si="87"/>
        <v>74.75</v>
      </c>
      <c r="X148" s="102">
        <f t="shared" si="87"/>
        <v>75.399934597776323</v>
      </c>
      <c r="Y148" s="102">
        <f t="shared" si="87"/>
        <v>72.207488554610862</v>
      </c>
      <c r="Z148" s="102">
        <f t="shared" si="87"/>
        <v>77.900016350555916</v>
      </c>
      <c r="AA148" s="102">
        <f t="shared" si="87"/>
        <v>76.599901896664491</v>
      </c>
      <c r="AB148" s="102">
        <f t="shared" si="87"/>
        <v>78.399934597776323</v>
      </c>
      <c r="AC148" s="102">
        <f t="shared" si="88"/>
        <v>81.740743781298747</v>
      </c>
      <c r="AD148" s="102">
        <f t="shared" si="88"/>
        <v>84.000082095066091</v>
      </c>
      <c r="AE148" s="102">
        <f t="shared" si="88"/>
        <v>85.249979476233491</v>
      </c>
      <c r="AF148" s="102">
        <f t="shared" si="88"/>
        <v>84.699942533453751</v>
      </c>
      <c r="AG148" s="102">
        <f t="shared" si="88"/>
        <v>83.300057466546264</v>
      </c>
      <c r="AH148" s="126">
        <f t="shared" si="83"/>
        <v>947.99808134998227</v>
      </c>
      <c r="AI148" s="103">
        <f t="shared" si="78"/>
        <v>78.999840112498518</v>
      </c>
      <c r="AJ148" s="86"/>
      <c r="AM148" s="98">
        <v>1.5</v>
      </c>
      <c r="AN148" s="98">
        <v>1</v>
      </c>
      <c r="AO148" s="128">
        <f t="shared" si="90"/>
        <v>78.999840112498518</v>
      </c>
      <c r="AP148" s="129">
        <f t="shared" si="91"/>
        <v>28.131639722863742</v>
      </c>
      <c r="AQ148" s="129">
        <f t="shared" ca="1" si="92"/>
        <v>29.562589756078683</v>
      </c>
      <c r="AR148" s="89">
        <f t="shared" ca="1" si="84"/>
        <v>128.00601364382069</v>
      </c>
      <c r="AS148" s="90">
        <f t="shared" ca="1" si="89"/>
        <v>121349.45533560165</v>
      </c>
      <c r="AT148" s="90">
        <f t="shared" ca="1" si="79"/>
        <v>5604.0153356016526</v>
      </c>
      <c r="AV148" s="403">
        <f t="shared" ca="1" si="85"/>
        <v>470.64617178140475</v>
      </c>
      <c r="AW148" s="403">
        <f t="shared" ca="1" si="86"/>
        <v>121820.10150738306</v>
      </c>
    </row>
    <row r="149" spans="1:49" s="98" customFormat="1">
      <c r="A149" s="98" t="str">
        <f t="shared" si="80"/>
        <v>Lewis County UTCRL001.5Y2W001</v>
      </c>
      <c r="B149" s="98">
        <f t="shared" si="81"/>
        <v>1</v>
      </c>
      <c r="C149" s="127" t="s">
        <v>500</v>
      </c>
      <c r="D149" s="127" t="s">
        <v>501</v>
      </c>
      <c r="E149" s="100">
        <v>234.17</v>
      </c>
      <c r="F149" s="100">
        <v>233.18</v>
      </c>
      <c r="G149" s="100" t="s">
        <v>368</v>
      </c>
      <c r="H149" s="101">
        <v>234.17</v>
      </c>
      <c r="I149" s="101">
        <v>234.17</v>
      </c>
      <c r="J149" s="101">
        <v>234.17</v>
      </c>
      <c r="K149" s="101">
        <v>234.17</v>
      </c>
      <c r="L149" s="101">
        <v>234.17</v>
      </c>
      <c r="M149" s="101">
        <v>234.17</v>
      </c>
      <c r="N149" s="101">
        <v>234.17</v>
      </c>
      <c r="O149" s="101">
        <v>234.17</v>
      </c>
      <c r="P149" s="101">
        <v>233.18</v>
      </c>
      <c r="Q149" s="101">
        <v>440.45000000000005</v>
      </c>
      <c r="R149" s="101">
        <v>233.18</v>
      </c>
      <c r="S149" s="101">
        <v>51.82</v>
      </c>
      <c r="T149" s="101">
        <f t="shared" si="82"/>
        <v>2831.99</v>
      </c>
      <c r="U149" s="101"/>
      <c r="V149" s="102">
        <f t="shared" si="87"/>
        <v>1</v>
      </c>
      <c r="W149" s="102">
        <f t="shared" si="87"/>
        <v>1</v>
      </c>
      <c r="X149" s="102">
        <f t="shared" si="87"/>
        <v>1</v>
      </c>
      <c r="Y149" s="102">
        <f t="shared" si="87"/>
        <v>1</v>
      </c>
      <c r="Z149" s="102">
        <f t="shared" si="87"/>
        <v>1</v>
      </c>
      <c r="AA149" s="102">
        <f t="shared" si="87"/>
        <v>1</v>
      </c>
      <c r="AB149" s="102">
        <f t="shared" si="87"/>
        <v>1</v>
      </c>
      <c r="AC149" s="102">
        <f t="shared" si="88"/>
        <v>1.0042456471395487</v>
      </c>
      <c r="AD149" s="102">
        <f t="shared" si="88"/>
        <v>1</v>
      </c>
      <c r="AE149" s="102">
        <f t="shared" si="88"/>
        <v>1.8888841238528178</v>
      </c>
      <c r="AF149" s="102">
        <f t="shared" si="88"/>
        <v>1</v>
      </c>
      <c r="AG149" s="102">
        <f t="shared" si="88"/>
        <v>0.22223175229436487</v>
      </c>
      <c r="AH149" s="126">
        <f t="shared" si="83"/>
        <v>12.115361523286731</v>
      </c>
      <c r="AI149" s="103">
        <f t="shared" si="78"/>
        <v>1.0096134602738942</v>
      </c>
      <c r="AJ149" s="86"/>
      <c r="AM149" s="98">
        <v>1.5</v>
      </c>
      <c r="AN149" s="98">
        <v>1</v>
      </c>
      <c r="AO149" s="128">
        <f t="shared" si="90"/>
        <v>1.0096134602738942</v>
      </c>
      <c r="AP149" s="129">
        <f t="shared" si="91"/>
        <v>53.852193995381064</v>
      </c>
      <c r="AQ149" s="129">
        <f t="shared" ca="1" si="92"/>
        <v>56.591451271015742</v>
      </c>
      <c r="AR149" s="89">
        <f t="shared" ca="1" si="84"/>
        <v>245.04098400349818</v>
      </c>
      <c r="AS149" s="90">
        <f t="shared" ca="1" si="89"/>
        <v>2968.7601092243012</v>
      </c>
      <c r="AT149" s="90">
        <f t="shared" ca="1" si="79"/>
        <v>136.77010922430145</v>
      </c>
      <c r="AV149" s="403">
        <f t="shared" ca="1" si="85"/>
        <v>11.514147933170324</v>
      </c>
      <c r="AW149" s="403">
        <f t="shared" ca="1" si="86"/>
        <v>2980.2742571574718</v>
      </c>
    </row>
    <row r="150" spans="1:49" s="98" customFormat="1">
      <c r="A150" s="98" t="str">
        <f t="shared" si="80"/>
        <v>Lewis County UTCRL001.5Y3W001</v>
      </c>
      <c r="B150" s="98">
        <f t="shared" si="81"/>
        <v>1</v>
      </c>
      <c r="C150" s="127" t="s">
        <v>502</v>
      </c>
      <c r="D150" s="127" t="s">
        <v>503</v>
      </c>
      <c r="E150" s="100">
        <v>346.01</v>
      </c>
      <c r="F150" s="100">
        <v>344.54</v>
      </c>
      <c r="G150" s="100" t="s">
        <v>368</v>
      </c>
      <c r="H150" s="101">
        <v>0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101">
        <v>0</v>
      </c>
      <c r="O150" s="101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f t="shared" si="82"/>
        <v>0</v>
      </c>
      <c r="U150" s="101"/>
      <c r="V150" s="102">
        <f t="shared" si="87"/>
        <v>0</v>
      </c>
      <c r="W150" s="102">
        <f t="shared" si="87"/>
        <v>0</v>
      </c>
      <c r="X150" s="102">
        <f t="shared" si="87"/>
        <v>0</v>
      </c>
      <c r="Y150" s="102">
        <f t="shared" si="87"/>
        <v>0</v>
      </c>
      <c r="Z150" s="102">
        <f t="shared" si="87"/>
        <v>0</v>
      </c>
      <c r="AA150" s="102">
        <f t="shared" si="87"/>
        <v>0</v>
      </c>
      <c r="AB150" s="102">
        <f t="shared" si="87"/>
        <v>0</v>
      </c>
      <c r="AC150" s="102">
        <f t="shared" si="88"/>
        <v>0</v>
      </c>
      <c r="AD150" s="102">
        <f t="shared" si="88"/>
        <v>0</v>
      </c>
      <c r="AE150" s="102">
        <f t="shared" si="88"/>
        <v>0</v>
      </c>
      <c r="AF150" s="102">
        <f t="shared" si="88"/>
        <v>0</v>
      </c>
      <c r="AG150" s="102">
        <f t="shared" si="88"/>
        <v>0</v>
      </c>
      <c r="AH150" s="126">
        <f t="shared" si="83"/>
        <v>0</v>
      </c>
      <c r="AI150" s="103">
        <f t="shared" si="78"/>
        <v>0</v>
      </c>
      <c r="AJ150" s="86"/>
      <c r="AM150" s="98">
        <v>1.5</v>
      </c>
      <c r="AN150" s="98">
        <v>1</v>
      </c>
      <c r="AO150" s="128">
        <f t="shared" si="90"/>
        <v>0</v>
      </c>
      <c r="AP150" s="129">
        <f t="shared" si="91"/>
        <v>79.570438799076214</v>
      </c>
      <c r="AQ150" s="129">
        <f t="shared" ca="1" si="92"/>
        <v>83.617885843193093</v>
      </c>
      <c r="AR150" s="89">
        <f t="shared" ca="1" si="84"/>
        <v>362.06544570102608</v>
      </c>
      <c r="AS150" s="90">
        <f t="shared" ca="1" si="89"/>
        <v>0</v>
      </c>
      <c r="AT150" s="90">
        <f t="shared" ca="1" si="79"/>
        <v>0</v>
      </c>
      <c r="AV150" s="403">
        <f t="shared" ca="1" si="85"/>
        <v>0</v>
      </c>
      <c r="AW150" s="403">
        <f t="shared" ca="1" si="86"/>
        <v>0</v>
      </c>
    </row>
    <row r="151" spans="1:49" s="98" customFormat="1">
      <c r="A151" s="98" t="str">
        <f t="shared" si="80"/>
        <v>Lewis County UTCRL001.5YEO001</v>
      </c>
      <c r="B151" s="98">
        <f t="shared" si="81"/>
        <v>1</v>
      </c>
      <c r="C151" s="127" t="s">
        <v>504</v>
      </c>
      <c r="D151" s="127" t="s">
        <v>407</v>
      </c>
      <c r="E151" s="100">
        <v>66.53</v>
      </c>
      <c r="F151" s="100">
        <v>66.25</v>
      </c>
      <c r="G151" s="100" t="s">
        <v>368</v>
      </c>
      <c r="H151" s="101">
        <v>7351.56</v>
      </c>
      <c r="I151" s="101">
        <v>7384.8200000000006</v>
      </c>
      <c r="J151" s="101">
        <v>7484.59</v>
      </c>
      <c r="K151" s="101">
        <v>7717.4800000000005</v>
      </c>
      <c r="L151" s="101">
        <v>7784.0000000000009</v>
      </c>
      <c r="M151" s="101">
        <v>8083.3700000000017</v>
      </c>
      <c r="N151" s="101">
        <v>8183.1900000000014</v>
      </c>
      <c r="O151" s="101">
        <v>8161.0000000000009</v>
      </c>
      <c r="P151" s="101">
        <v>8082.53</v>
      </c>
      <c r="Q151" s="101">
        <v>8435.85</v>
      </c>
      <c r="R151" s="101">
        <v>8369.6</v>
      </c>
      <c r="S151" s="101">
        <v>8562.82</v>
      </c>
      <c r="T151" s="101">
        <f t="shared" si="82"/>
        <v>95600.810000000027</v>
      </c>
      <c r="U151" s="101"/>
      <c r="V151" s="102">
        <f t="shared" si="87"/>
        <v>110.49992484593417</v>
      </c>
      <c r="W151" s="102">
        <f t="shared" si="87"/>
        <v>110.99984969186833</v>
      </c>
      <c r="X151" s="102">
        <f t="shared" si="87"/>
        <v>112.49947392153915</v>
      </c>
      <c r="Y151" s="102">
        <f t="shared" si="87"/>
        <v>116</v>
      </c>
      <c r="Z151" s="102">
        <f t="shared" si="87"/>
        <v>116.99984969186835</v>
      </c>
      <c r="AA151" s="102">
        <f t="shared" si="87"/>
        <v>121.49962422967084</v>
      </c>
      <c r="AB151" s="102">
        <f t="shared" si="87"/>
        <v>123.00000000000001</v>
      </c>
      <c r="AC151" s="102">
        <f t="shared" si="88"/>
        <v>123.18490566037737</v>
      </c>
      <c r="AD151" s="102">
        <f t="shared" si="88"/>
        <v>122.00045283018868</v>
      </c>
      <c r="AE151" s="102">
        <f t="shared" si="88"/>
        <v>127.33358490566039</v>
      </c>
      <c r="AF151" s="102">
        <f t="shared" si="88"/>
        <v>126.33358490566039</v>
      </c>
      <c r="AG151" s="102">
        <f t="shared" si="88"/>
        <v>129.25011320754717</v>
      </c>
      <c r="AH151" s="126">
        <f t="shared" si="83"/>
        <v>1439.601363890315</v>
      </c>
      <c r="AI151" s="103">
        <f t="shared" si="78"/>
        <v>119.96678032419292</v>
      </c>
      <c r="AJ151" s="86"/>
      <c r="AM151" s="98">
        <v>1.5</v>
      </c>
      <c r="AN151" s="98">
        <v>1</v>
      </c>
      <c r="AO151" s="128">
        <f t="shared" si="90"/>
        <v>119.96678032419292</v>
      </c>
      <c r="AP151" s="129">
        <f t="shared" si="91"/>
        <v>15.300230946882216</v>
      </c>
      <c r="AQ151" s="129">
        <f t="shared" ca="1" si="92"/>
        <v>16.078495783106582</v>
      </c>
      <c r="AR151" s="89">
        <f t="shared" ca="1" si="84"/>
        <v>69.619886740851499</v>
      </c>
      <c r="AS151" s="90">
        <f t="shared" ca="1" si="89"/>
        <v>100224.88390601907</v>
      </c>
      <c r="AT151" s="90">
        <f t="shared" ca="1" si="79"/>
        <v>4624.073906019039</v>
      </c>
      <c r="AV151" s="403">
        <f t="shared" ca="1" si="85"/>
        <v>388.71586029908343</v>
      </c>
      <c r="AW151" s="403">
        <f t="shared" ca="1" si="86"/>
        <v>100613.59976631815</v>
      </c>
    </row>
    <row r="152" spans="1:49" s="98" customFormat="1">
      <c r="A152" s="98" t="str">
        <f t="shared" si="80"/>
        <v>Lewis County UTCRL002.0Y1W001</v>
      </c>
      <c r="B152" s="98">
        <f t="shared" si="81"/>
        <v>1</v>
      </c>
      <c r="C152" s="127" t="s">
        <v>505</v>
      </c>
      <c r="D152" s="127" t="s">
        <v>409</v>
      </c>
      <c r="E152" s="100">
        <v>153.30000000000001</v>
      </c>
      <c r="F152" s="100">
        <v>152.66999999999999</v>
      </c>
      <c r="G152" s="100" t="s">
        <v>368</v>
      </c>
      <c r="H152" s="101">
        <v>13551.71</v>
      </c>
      <c r="I152" s="101">
        <v>14563.5</v>
      </c>
      <c r="J152" s="101">
        <v>15575.28</v>
      </c>
      <c r="K152" s="101">
        <v>15981.52</v>
      </c>
      <c r="L152" s="101">
        <v>18319.349999999999</v>
      </c>
      <c r="M152" s="101">
        <v>19116.5</v>
      </c>
      <c r="N152" s="101">
        <v>19139.5</v>
      </c>
      <c r="O152" s="101">
        <v>19216.150000000001</v>
      </c>
      <c r="P152" s="101">
        <v>18289.879999999997</v>
      </c>
      <c r="Q152" s="101">
        <v>18953.999999999996</v>
      </c>
      <c r="R152" s="101">
        <v>17236.440000000002</v>
      </c>
      <c r="S152" s="101">
        <v>17160.099999999999</v>
      </c>
      <c r="T152" s="101">
        <f t="shared" si="82"/>
        <v>207103.93</v>
      </c>
      <c r="U152" s="101"/>
      <c r="V152" s="102">
        <f t="shared" si="87"/>
        <v>88.399934768427912</v>
      </c>
      <c r="W152" s="102">
        <f t="shared" si="87"/>
        <v>95</v>
      </c>
      <c r="X152" s="102">
        <f t="shared" si="87"/>
        <v>101.6</v>
      </c>
      <c r="Y152" s="102">
        <f t="shared" si="87"/>
        <v>104.24996738421396</v>
      </c>
      <c r="Z152" s="102">
        <f t="shared" si="87"/>
        <v>119.49999999999999</v>
      </c>
      <c r="AA152" s="102">
        <f t="shared" si="87"/>
        <v>124.69993476842791</v>
      </c>
      <c r="AB152" s="102">
        <f t="shared" si="87"/>
        <v>124.84996738421395</v>
      </c>
      <c r="AC152" s="102">
        <f t="shared" si="88"/>
        <v>125.86722997314472</v>
      </c>
      <c r="AD152" s="102">
        <f t="shared" si="88"/>
        <v>119.80009170105455</v>
      </c>
      <c r="AE152" s="102">
        <f t="shared" si="88"/>
        <v>124.15012772646884</v>
      </c>
      <c r="AF152" s="102">
        <f t="shared" si="88"/>
        <v>112.89998034977404</v>
      </c>
      <c r="AG152" s="102">
        <f t="shared" si="88"/>
        <v>112.39994759939739</v>
      </c>
      <c r="AH152" s="126">
        <f t="shared" si="83"/>
        <v>1353.4171816551234</v>
      </c>
      <c r="AI152" s="103">
        <f t="shared" si="78"/>
        <v>112.78476513792695</v>
      </c>
      <c r="AJ152" s="86"/>
      <c r="AM152" s="98">
        <v>2</v>
      </c>
      <c r="AN152" s="98">
        <v>1</v>
      </c>
      <c r="AO152" s="128">
        <f t="shared" si="90"/>
        <v>112.78476513792695</v>
      </c>
      <c r="AP152" s="129">
        <f t="shared" si="91"/>
        <v>35.258660508083139</v>
      </c>
      <c r="AQ152" s="129">
        <f t="shared" ca="1" si="92"/>
        <v>37.052135112556705</v>
      </c>
      <c r="AR152" s="89">
        <f t="shared" ca="1" si="84"/>
        <v>160.43574503737054</v>
      </c>
      <c r="AS152" s="90">
        <f t="shared" ca="1" si="89"/>
        <v>217136.49388521799</v>
      </c>
      <c r="AT152" s="90">
        <f t="shared" ca="1" si="79"/>
        <v>10032.563885217998</v>
      </c>
      <c r="AV152" s="403">
        <f t="shared" ca="1" si="85"/>
        <v>842.15013012202871</v>
      </c>
      <c r="AW152" s="403">
        <f t="shared" ca="1" si="86"/>
        <v>217978.64401534002</v>
      </c>
    </row>
    <row r="153" spans="1:49" s="98" customFormat="1">
      <c r="A153" s="98" t="str">
        <f t="shared" si="80"/>
        <v>Lewis County UTCRL002.0Y1W003</v>
      </c>
      <c r="B153" s="98">
        <f t="shared" si="81"/>
        <v>1</v>
      </c>
      <c r="C153" s="127" t="s">
        <v>506</v>
      </c>
      <c r="D153" s="127" t="s">
        <v>507</v>
      </c>
      <c r="E153" s="100">
        <v>459.89</v>
      </c>
      <c r="F153" s="100">
        <v>458.02</v>
      </c>
      <c r="G153" s="100" t="s">
        <v>368</v>
      </c>
      <c r="H153" s="101">
        <v>0</v>
      </c>
      <c r="I153" s="101">
        <v>0</v>
      </c>
      <c r="J153" s="101">
        <v>0</v>
      </c>
      <c r="K153" s="101">
        <v>0</v>
      </c>
      <c r="L153" s="101">
        <v>183.95</v>
      </c>
      <c r="M153" s="101">
        <v>459.89</v>
      </c>
      <c r="N153" s="101">
        <v>459.89</v>
      </c>
      <c r="O153" s="101">
        <v>459.89</v>
      </c>
      <c r="P153" s="101">
        <v>458.02</v>
      </c>
      <c r="Q153" s="101">
        <v>0</v>
      </c>
      <c r="R153" s="101">
        <v>0</v>
      </c>
      <c r="S153" s="101">
        <v>0</v>
      </c>
      <c r="T153" s="101">
        <f t="shared" si="82"/>
        <v>2021.6399999999999</v>
      </c>
      <c r="U153" s="101"/>
      <c r="V153" s="102">
        <f t="shared" si="87"/>
        <v>0</v>
      </c>
      <c r="W153" s="102">
        <f t="shared" si="87"/>
        <v>0</v>
      </c>
      <c r="X153" s="102">
        <f t="shared" si="87"/>
        <v>0</v>
      </c>
      <c r="Y153" s="102">
        <f t="shared" si="87"/>
        <v>0</v>
      </c>
      <c r="Z153" s="102">
        <f t="shared" si="87"/>
        <v>0.39998695340190044</v>
      </c>
      <c r="AA153" s="102">
        <f t="shared" si="87"/>
        <v>1</v>
      </c>
      <c r="AB153" s="102">
        <f t="shared" si="87"/>
        <v>1</v>
      </c>
      <c r="AC153" s="102">
        <f t="shared" si="88"/>
        <v>1.0040827911444916</v>
      </c>
      <c r="AD153" s="102">
        <f t="shared" si="88"/>
        <v>1</v>
      </c>
      <c r="AE153" s="102">
        <f t="shared" si="88"/>
        <v>0</v>
      </c>
      <c r="AF153" s="102">
        <f t="shared" si="88"/>
        <v>0</v>
      </c>
      <c r="AG153" s="102">
        <f t="shared" si="88"/>
        <v>0</v>
      </c>
      <c r="AH153" s="126">
        <f t="shared" si="83"/>
        <v>4.4040697445463923</v>
      </c>
      <c r="AI153" s="103">
        <f t="shared" si="78"/>
        <v>0.36700581204553268</v>
      </c>
      <c r="AJ153" s="86"/>
      <c r="AM153" s="98">
        <v>2</v>
      </c>
      <c r="AN153" s="98">
        <v>1</v>
      </c>
      <c r="AO153" s="128">
        <f t="shared" si="90"/>
        <v>0.36700581204553268</v>
      </c>
      <c r="AP153" s="129">
        <f t="shared" si="91"/>
        <v>105.77829099307159</v>
      </c>
      <c r="AQ153" s="129">
        <f t="shared" ca="1" si="92"/>
        <v>111.15883228042983</v>
      </c>
      <c r="AR153" s="89">
        <f t="shared" ca="1" si="84"/>
        <v>481.3177437742612</v>
      </c>
      <c r="AS153" s="90">
        <f t="shared" ca="1" si="89"/>
        <v>2119.7569128695563</v>
      </c>
      <c r="AT153" s="90">
        <f t="shared" ca="1" si="79"/>
        <v>98.116912869556472</v>
      </c>
      <c r="AV153" s="403">
        <f t="shared" ca="1" si="85"/>
        <v>8.2213428431971884</v>
      </c>
      <c r="AW153" s="403">
        <f t="shared" ca="1" si="86"/>
        <v>2127.9782557127537</v>
      </c>
    </row>
    <row r="154" spans="1:49" s="98" customFormat="1">
      <c r="A154" s="98" t="str">
        <f t="shared" si="80"/>
        <v>Lewis County UTCRL002.0Y2W001</v>
      </c>
      <c r="B154" s="98">
        <f t="shared" si="81"/>
        <v>1</v>
      </c>
      <c r="C154" s="127" t="s">
        <v>508</v>
      </c>
      <c r="D154" s="127" t="s">
        <v>411</v>
      </c>
      <c r="E154" s="100">
        <v>292.98</v>
      </c>
      <c r="F154" s="100">
        <v>291.8</v>
      </c>
      <c r="G154" s="100" t="s">
        <v>368</v>
      </c>
      <c r="H154" s="101">
        <v>878.94</v>
      </c>
      <c r="I154" s="101">
        <v>878.94</v>
      </c>
      <c r="J154" s="101">
        <v>878.94</v>
      </c>
      <c r="K154" s="101">
        <v>878.94</v>
      </c>
      <c r="L154" s="101">
        <v>878.94</v>
      </c>
      <c r="M154" s="101">
        <v>878.94</v>
      </c>
      <c r="N154" s="101">
        <v>878.94</v>
      </c>
      <c r="O154" s="101">
        <v>878.94</v>
      </c>
      <c r="P154" s="101">
        <v>875.40000000000009</v>
      </c>
      <c r="Q154" s="101">
        <v>875.40000000000009</v>
      </c>
      <c r="R154" s="101">
        <v>1021.3</v>
      </c>
      <c r="S154" s="101">
        <v>1167.2</v>
      </c>
      <c r="T154" s="101">
        <f t="shared" si="82"/>
        <v>10970.820000000002</v>
      </c>
      <c r="U154" s="101"/>
      <c r="V154" s="102">
        <f t="shared" si="87"/>
        <v>3</v>
      </c>
      <c r="W154" s="102">
        <f t="shared" si="87"/>
        <v>3</v>
      </c>
      <c r="X154" s="102">
        <f t="shared" si="87"/>
        <v>3</v>
      </c>
      <c r="Y154" s="102">
        <f t="shared" si="87"/>
        <v>3</v>
      </c>
      <c r="Z154" s="102">
        <f t="shared" si="87"/>
        <v>3</v>
      </c>
      <c r="AA154" s="102">
        <f t="shared" si="87"/>
        <v>3</v>
      </c>
      <c r="AB154" s="102">
        <f t="shared" si="87"/>
        <v>3</v>
      </c>
      <c r="AC154" s="102">
        <f t="shared" si="88"/>
        <v>3.0121315969842359</v>
      </c>
      <c r="AD154" s="102">
        <f t="shared" si="88"/>
        <v>3</v>
      </c>
      <c r="AE154" s="102">
        <f t="shared" si="88"/>
        <v>3</v>
      </c>
      <c r="AF154" s="102">
        <f t="shared" si="88"/>
        <v>3.4999999999999996</v>
      </c>
      <c r="AG154" s="102">
        <f t="shared" si="88"/>
        <v>4</v>
      </c>
      <c r="AH154" s="126">
        <f t="shared" si="83"/>
        <v>37.512131596984233</v>
      </c>
      <c r="AI154" s="103">
        <f t="shared" si="78"/>
        <v>3.1260109664153526</v>
      </c>
      <c r="AJ154" s="86"/>
      <c r="AM154" s="98">
        <v>2</v>
      </c>
      <c r="AN154" s="98">
        <v>1</v>
      </c>
      <c r="AO154" s="128">
        <f t="shared" si="90"/>
        <v>3.1260109664153526</v>
      </c>
      <c r="AP154" s="129">
        <f t="shared" si="91"/>
        <v>67.390300230946877</v>
      </c>
      <c r="AQ154" s="129">
        <f t="shared" ca="1" si="92"/>
        <v>70.818189728460396</v>
      </c>
      <c r="AR154" s="89">
        <f t="shared" ca="1" si="84"/>
        <v>306.64276152423349</v>
      </c>
      <c r="AS154" s="90">
        <f t="shared" ca="1" si="89"/>
        <v>11502.8236235597</v>
      </c>
      <c r="AT154" s="90">
        <f t="shared" ca="1" si="79"/>
        <v>532.0036235596981</v>
      </c>
      <c r="AV154" s="403">
        <f t="shared" ca="1" si="85"/>
        <v>44.612972412054852</v>
      </c>
      <c r="AW154" s="403">
        <f t="shared" ca="1" si="86"/>
        <v>11547.436595971754</v>
      </c>
    </row>
    <row r="155" spans="1:49" s="98" customFormat="1">
      <c r="A155" s="98" t="str">
        <f t="shared" si="80"/>
        <v>Lewis County UTCRL002.0Y3W001</v>
      </c>
      <c r="B155" s="98">
        <f t="shared" si="81"/>
        <v>1</v>
      </c>
      <c r="C155" s="127" t="s">
        <v>509</v>
      </c>
      <c r="D155" s="127" t="s">
        <v>415</v>
      </c>
      <c r="E155" s="100">
        <v>432.67</v>
      </c>
      <c r="F155" s="100">
        <v>430.92</v>
      </c>
      <c r="G155" s="100" t="s">
        <v>368</v>
      </c>
      <c r="H155" s="101">
        <v>0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f t="shared" si="82"/>
        <v>0</v>
      </c>
      <c r="U155" s="101"/>
      <c r="V155" s="102">
        <f t="shared" si="87"/>
        <v>0</v>
      </c>
      <c r="W155" s="102">
        <f t="shared" si="87"/>
        <v>0</v>
      </c>
      <c r="X155" s="102">
        <f t="shared" si="87"/>
        <v>0</v>
      </c>
      <c r="Y155" s="102">
        <f t="shared" si="87"/>
        <v>0</v>
      </c>
      <c r="Z155" s="102">
        <f t="shared" si="87"/>
        <v>0</v>
      </c>
      <c r="AA155" s="102">
        <f t="shared" si="87"/>
        <v>0</v>
      </c>
      <c r="AB155" s="102">
        <f t="shared" si="87"/>
        <v>0</v>
      </c>
      <c r="AC155" s="102">
        <f t="shared" si="88"/>
        <v>0</v>
      </c>
      <c r="AD155" s="102">
        <f t="shared" si="88"/>
        <v>0</v>
      </c>
      <c r="AE155" s="102">
        <f t="shared" si="88"/>
        <v>0</v>
      </c>
      <c r="AF155" s="102">
        <f t="shared" si="88"/>
        <v>0</v>
      </c>
      <c r="AG155" s="102">
        <f t="shared" si="88"/>
        <v>0</v>
      </c>
      <c r="AH155" s="126">
        <f t="shared" si="83"/>
        <v>0</v>
      </c>
      <c r="AI155" s="103">
        <f t="shared" si="78"/>
        <v>0</v>
      </c>
      <c r="AJ155" s="86"/>
      <c r="AM155" s="98">
        <v>2</v>
      </c>
      <c r="AN155" s="98">
        <v>1</v>
      </c>
      <c r="AO155" s="128">
        <f t="shared" si="90"/>
        <v>0</v>
      </c>
      <c r="AP155" s="129">
        <f t="shared" si="91"/>
        <v>99.519630484988454</v>
      </c>
      <c r="AQ155" s="129">
        <f t="shared" ca="1" si="92"/>
        <v>104.58181740160435</v>
      </c>
      <c r="AR155" s="89">
        <f t="shared" ca="1" si="84"/>
        <v>452.83926934894686</v>
      </c>
      <c r="AS155" s="90">
        <f t="shared" ca="1" si="89"/>
        <v>0</v>
      </c>
      <c r="AT155" s="90">
        <f t="shared" ca="1" si="79"/>
        <v>0</v>
      </c>
      <c r="AV155" s="403">
        <f t="shared" ca="1" si="85"/>
        <v>0</v>
      </c>
      <c r="AW155" s="403">
        <f t="shared" ca="1" si="86"/>
        <v>0</v>
      </c>
    </row>
    <row r="156" spans="1:49" s="98" customFormat="1">
      <c r="A156" s="98" t="str">
        <f t="shared" si="80"/>
        <v>Lewis County UTCRL002.0YEO001</v>
      </c>
      <c r="B156" s="98">
        <f t="shared" si="81"/>
        <v>1</v>
      </c>
      <c r="C156" s="127" t="s">
        <v>510</v>
      </c>
      <c r="D156" s="127" t="s">
        <v>417</v>
      </c>
      <c r="E156" s="100">
        <v>83.61</v>
      </c>
      <c r="F156" s="100">
        <v>83.27</v>
      </c>
      <c r="G156" s="100" t="s">
        <v>368</v>
      </c>
      <c r="H156" s="101">
        <v>11453.050000000001</v>
      </c>
      <c r="I156" s="101">
        <v>14255.500000000002</v>
      </c>
      <c r="J156" s="101">
        <v>14840.78</v>
      </c>
      <c r="K156" s="101">
        <v>14840.760000000002</v>
      </c>
      <c r="L156" s="101">
        <v>14994.029999999999</v>
      </c>
      <c r="M156" s="101">
        <v>15300.61</v>
      </c>
      <c r="N156" s="101">
        <v>15335.449999999999</v>
      </c>
      <c r="O156" s="101">
        <v>14073.91</v>
      </c>
      <c r="P156" s="101">
        <v>15053.970000000001</v>
      </c>
      <c r="Q156" s="101">
        <v>15307.820000000002</v>
      </c>
      <c r="R156" s="101">
        <v>15418.85</v>
      </c>
      <c r="S156" s="101">
        <v>15738.04</v>
      </c>
      <c r="T156" s="101">
        <f t="shared" si="82"/>
        <v>176612.77000000002</v>
      </c>
      <c r="U156" s="101"/>
      <c r="V156" s="102">
        <f t="shared" si="87"/>
        <v>136.9818203564167</v>
      </c>
      <c r="W156" s="102">
        <f t="shared" si="87"/>
        <v>170.49994019854086</v>
      </c>
      <c r="X156" s="102">
        <f t="shared" si="87"/>
        <v>177.50005980145917</v>
      </c>
      <c r="Y156" s="102">
        <f t="shared" si="87"/>
        <v>177.49982059562257</v>
      </c>
      <c r="Z156" s="102">
        <f t="shared" si="87"/>
        <v>179.33297452457839</v>
      </c>
      <c r="AA156" s="102">
        <f t="shared" si="87"/>
        <v>182.99976079416339</v>
      </c>
      <c r="AB156" s="102">
        <f t="shared" si="87"/>
        <v>183.41645736155962</v>
      </c>
      <c r="AC156" s="102">
        <f t="shared" si="88"/>
        <v>169.0153716824787</v>
      </c>
      <c r="AD156" s="102">
        <f t="shared" si="88"/>
        <v>180.78503662783717</v>
      </c>
      <c r="AE156" s="102">
        <f t="shared" si="88"/>
        <v>183.83355350066054</v>
      </c>
      <c r="AF156" s="102">
        <f t="shared" si="88"/>
        <v>185.16692686441698</v>
      </c>
      <c r="AG156" s="102">
        <f t="shared" si="88"/>
        <v>189.00012009126939</v>
      </c>
      <c r="AH156" s="126">
        <f t="shared" si="83"/>
        <v>2116.0318423990034</v>
      </c>
      <c r="AI156" s="103">
        <f t="shared" si="78"/>
        <v>176.33598686658362</v>
      </c>
      <c r="AJ156" s="86"/>
      <c r="AM156" s="98">
        <v>2</v>
      </c>
      <c r="AN156" s="98">
        <v>1</v>
      </c>
      <c r="AO156" s="128">
        <f t="shared" si="90"/>
        <v>176.33598686658362</v>
      </c>
      <c r="AP156" s="129">
        <f t="shared" si="91"/>
        <v>19.23094688221709</v>
      </c>
      <c r="AQ156" s="129">
        <f t="shared" ca="1" si="92"/>
        <v>20.209152360140152</v>
      </c>
      <c r="AR156" s="89">
        <f t="shared" ca="1" si="84"/>
        <v>87.505629719406855</v>
      </c>
      <c r="AS156" s="90">
        <f t="shared" ca="1" si="89"/>
        <v>185164.69887544148</v>
      </c>
      <c r="AT156" s="90">
        <f t="shared" ca="1" si="79"/>
        <v>8551.9288754414592</v>
      </c>
      <c r="AV156" s="403">
        <f t="shared" ca="1" si="85"/>
        <v>718.14954944602709</v>
      </c>
      <c r="AW156" s="403">
        <f t="shared" ca="1" si="86"/>
        <v>185882.84842488752</v>
      </c>
    </row>
    <row r="157" spans="1:49" s="98" customFormat="1">
      <c r="A157" s="98" t="str">
        <f t="shared" si="80"/>
        <v>Lewis County UTCRL001.0YXX001TEMPC</v>
      </c>
      <c r="B157" s="98">
        <f t="shared" si="81"/>
        <v>1</v>
      </c>
      <c r="C157" s="127" t="s">
        <v>511</v>
      </c>
      <c r="D157" s="127" t="s">
        <v>461</v>
      </c>
      <c r="E157" s="100">
        <v>26.28</v>
      </c>
      <c r="F157" s="100">
        <v>26.17</v>
      </c>
      <c r="G157" s="100" t="s">
        <v>368</v>
      </c>
      <c r="H157" s="101">
        <v>-26.28</v>
      </c>
      <c r="I157" s="101">
        <v>0</v>
      </c>
      <c r="J157" s="101">
        <v>0</v>
      </c>
      <c r="K157" s="101">
        <v>0</v>
      </c>
      <c r="L157" s="101">
        <v>0</v>
      </c>
      <c r="M157" s="101">
        <v>26.28</v>
      </c>
      <c r="N157" s="101">
        <v>52.56</v>
      </c>
      <c r="O157" s="101">
        <v>78.84</v>
      </c>
      <c r="P157" s="101">
        <v>26.17</v>
      </c>
      <c r="Q157" s="101">
        <v>0</v>
      </c>
      <c r="R157" s="101">
        <v>0</v>
      </c>
      <c r="S157" s="101">
        <v>0</v>
      </c>
      <c r="T157" s="101">
        <f t="shared" si="82"/>
        <v>157.57</v>
      </c>
      <c r="U157" s="101"/>
      <c r="V157" s="102">
        <f t="shared" si="87"/>
        <v>-1</v>
      </c>
      <c r="W157" s="102">
        <f t="shared" si="87"/>
        <v>0</v>
      </c>
      <c r="X157" s="102">
        <f t="shared" si="87"/>
        <v>0</v>
      </c>
      <c r="Y157" s="102">
        <f t="shared" si="87"/>
        <v>0</v>
      </c>
      <c r="Z157" s="102">
        <f t="shared" si="87"/>
        <v>0</v>
      </c>
      <c r="AA157" s="102">
        <f t="shared" si="87"/>
        <v>1</v>
      </c>
      <c r="AB157" s="102">
        <f t="shared" si="87"/>
        <v>2</v>
      </c>
      <c r="AC157" s="102">
        <f t="shared" si="88"/>
        <v>3.0126098586167367</v>
      </c>
      <c r="AD157" s="102">
        <f t="shared" si="88"/>
        <v>1</v>
      </c>
      <c r="AE157" s="102">
        <f t="shared" si="88"/>
        <v>0</v>
      </c>
      <c r="AF157" s="102">
        <f t="shared" si="88"/>
        <v>0</v>
      </c>
      <c r="AG157" s="102">
        <f t="shared" si="88"/>
        <v>0</v>
      </c>
      <c r="AH157" s="126">
        <f t="shared" si="83"/>
        <v>6.0126098586167362</v>
      </c>
      <c r="AI157" s="103">
        <f t="shared" si="78"/>
        <v>0.50105082155139469</v>
      </c>
      <c r="AJ157" s="86"/>
      <c r="AM157" s="98">
        <v>1</v>
      </c>
      <c r="AN157" s="98">
        <v>1</v>
      </c>
      <c r="AO157" s="128">
        <f t="shared" si="90"/>
        <v>0.50105082155139469</v>
      </c>
      <c r="AP157" s="129">
        <f t="shared" si="91"/>
        <v>6.043879907621247</v>
      </c>
      <c r="AQ157" s="129">
        <f t="shared" ca="1" si="92"/>
        <v>6.3513092021720645</v>
      </c>
      <c r="AR157" s="89">
        <f t="shared" ca="1" si="84"/>
        <v>27.50116884540504</v>
      </c>
      <c r="AS157" s="90">
        <f t="shared" ca="1" si="89"/>
        <v>165.35379892336579</v>
      </c>
      <c r="AT157" s="90">
        <f t="shared" ca="1" si="79"/>
        <v>7.7837989233657936</v>
      </c>
      <c r="AV157" s="403">
        <f t="shared" ca="1" si="85"/>
        <v>0.64131422953294814</v>
      </c>
      <c r="AW157" s="403">
        <f t="shared" ca="1" si="86"/>
        <v>165.99511315289874</v>
      </c>
    </row>
    <row r="158" spans="1:49" s="98" customFormat="1">
      <c r="A158" s="98" t="str">
        <f t="shared" si="80"/>
        <v>Lewis County UTCRL001.5YXX001TEMPC</v>
      </c>
      <c r="B158" s="98">
        <f t="shared" si="81"/>
        <v>1</v>
      </c>
      <c r="C158" s="127" t="s">
        <v>512</v>
      </c>
      <c r="D158" s="127" t="s">
        <v>463</v>
      </c>
      <c r="E158" s="100">
        <v>35.26</v>
      </c>
      <c r="F158" s="100">
        <v>35.11</v>
      </c>
      <c r="G158" s="100" t="s">
        <v>368</v>
      </c>
      <c r="H158" s="101">
        <v>0</v>
      </c>
      <c r="I158" s="101">
        <v>0</v>
      </c>
      <c r="J158" s="101">
        <v>0</v>
      </c>
      <c r="K158" s="101">
        <v>0</v>
      </c>
      <c r="L158" s="101">
        <v>0</v>
      </c>
      <c r="M158" s="101">
        <v>0</v>
      </c>
      <c r="N158" s="101">
        <v>70.52</v>
      </c>
      <c r="O158" s="101">
        <v>176.3</v>
      </c>
      <c r="P158" s="101">
        <v>175.55</v>
      </c>
      <c r="Q158" s="101">
        <v>210.66</v>
      </c>
      <c r="R158" s="101">
        <v>245.77</v>
      </c>
      <c r="S158" s="101">
        <v>140.44</v>
      </c>
      <c r="T158" s="101">
        <f t="shared" si="82"/>
        <v>1019.24</v>
      </c>
      <c r="U158" s="101"/>
      <c r="V158" s="102">
        <f t="shared" si="87"/>
        <v>0</v>
      </c>
      <c r="W158" s="102">
        <f t="shared" si="87"/>
        <v>0</v>
      </c>
      <c r="X158" s="102">
        <f t="shared" si="87"/>
        <v>0</v>
      </c>
      <c r="Y158" s="102">
        <f t="shared" si="87"/>
        <v>0</v>
      </c>
      <c r="Z158" s="102">
        <f t="shared" si="87"/>
        <v>0</v>
      </c>
      <c r="AA158" s="102">
        <f t="shared" si="87"/>
        <v>0</v>
      </c>
      <c r="AB158" s="102">
        <f t="shared" si="87"/>
        <v>2</v>
      </c>
      <c r="AC158" s="102">
        <f t="shared" si="88"/>
        <v>5.0213614354884655</v>
      </c>
      <c r="AD158" s="102">
        <f t="shared" si="88"/>
        <v>5</v>
      </c>
      <c r="AE158" s="102">
        <f t="shared" si="88"/>
        <v>6</v>
      </c>
      <c r="AF158" s="102">
        <f t="shared" si="88"/>
        <v>7</v>
      </c>
      <c r="AG158" s="102">
        <f t="shared" si="88"/>
        <v>4</v>
      </c>
      <c r="AH158" s="126">
        <f t="shared" si="83"/>
        <v>29.021361435488465</v>
      </c>
      <c r="AI158" s="103">
        <f t="shared" si="78"/>
        <v>2.4184467862907053</v>
      </c>
      <c r="AJ158" s="86"/>
      <c r="AM158" s="98">
        <v>1.5</v>
      </c>
      <c r="AN158" s="98">
        <v>1</v>
      </c>
      <c r="AO158" s="128">
        <f t="shared" si="90"/>
        <v>2.4184467862907053</v>
      </c>
      <c r="AP158" s="129">
        <f t="shared" si="91"/>
        <v>8.1085450346420327</v>
      </c>
      <c r="AQ158" s="129">
        <f t="shared" ca="1" si="92"/>
        <v>8.5209960293565601</v>
      </c>
      <c r="AR158" s="89">
        <f t="shared" ca="1" si="84"/>
        <v>36.895912807113902</v>
      </c>
      <c r="AS158" s="90">
        <f t="shared" ca="1" si="89"/>
        <v>1070.7696210675203</v>
      </c>
      <c r="AT158" s="90">
        <f t="shared" ca="1" si="79"/>
        <v>51.529621067520338</v>
      </c>
      <c r="AV158" s="403">
        <f t="shared" ca="1" si="85"/>
        <v>4.15291211337974</v>
      </c>
      <c r="AW158" s="403">
        <f t="shared" ca="1" si="86"/>
        <v>1074.9225331809</v>
      </c>
    </row>
    <row r="159" spans="1:49" s="98" customFormat="1">
      <c r="A159" s="98" t="str">
        <f t="shared" si="80"/>
        <v>Lewis County UTCRL002.0YXX001TEMPC</v>
      </c>
      <c r="B159" s="98">
        <f t="shared" si="81"/>
        <v>1</v>
      </c>
      <c r="C159" s="127" t="s">
        <v>513</v>
      </c>
      <c r="D159" s="127" t="s">
        <v>465</v>
      </c>
      <c r="E159" s="100">
        <v>46.92</v>
      </c>
      <c r="F159" s="100">
        <v>46.72</v>
      </c>
      <c r="G159" s="100" t="s">
        <v>368</v>
      </c>
      <c r="H159" s="101">
        <v>750.72</v>
      </c>
      <c r="I159" s="101">
        <v>797.64</v>
      </c>
      <c r="J159" s="101">
        <v>844.56</v>
      </c>
      <c r="K159" s="101">
        <v>609.95999999999992</v>
      </c>
      <c r="L159" s="101">
        <v>703.8</v>
      </c>
      <c r="M159" s="101">
        <v>1219.92</v>
      </c>
      <c r="N159" s="101">
        <v>1265.19</v>
      </c>
      <c r="O159" s="101">
        <v>2061.1800000000003</v>
      </c>
      <c r="P159" s="101">
        <v>1448.52</v>
      </c>
      <c r="Q159" s="101">
        <v>467.2</v>
      </c>
      <c r="R159" s="101">
        <v>186.88</v>
      </c>
      <c r="S159" s="101">
        <v>93.44</v>
      </c>
      <c r="T159" s="101">
        <f t="shared" si="82"/>
        <v>10449.010000000002</v>
      </c>
      <c r="U159" s="101"/>
      <c r="V159" s="102">
        <f t="shared" si="87"/>
        <v>16</v>
      </c>
      <c r="W159" s="102">
        <f t="shared" si="87"/>
        <v>17</v>
      </c>
      <c r="X159" s="102">
        <f t="shared" si="87"/>
        <v>17.999999999999996</v>
      </c>
      <c r="Y159" s="102">
        <f t="shared" si="87"/>
        <v>12.999999999999998</v>
      </c>
      <c r="Z159" s="102">
        <f t="shared" si="87"/>
        <v>14.999999999999998</v>
      </c>
      <c r="AA159" s="102">
        <f t="shared" si="87"/>
        <v>26</v>
      </c>
      <c r="AB159" s="102">
        <f t="shared" si="87"/>
        <v>26.964833759590793</v>
      </c>
      <c r="AC159" s="102">
        <f t="shared" si="88"/>
        <v>44.117722602739732</v>
      </c>
      <c r="AD159" s="102">
        <f t="shared" si="88"/>
        <v>31.00428082191781</v>
      </c>
      <c r="AE159" s="102">
        <f t="shared" si="88"/>
        <v>10</v>
      </c>
      <c r="AF159" s="102">
        <f t="shared" si="88"/>
        <v>4</v>
      </c>
      <c r="AG159" s="102">
        <f t="shared" si="88"/>
        <v>2</v>
      </c>
      <c r="AH159" s="126">
        <f t="shared" si="83"/>
        <v>223.08683718424834</v>
      </c>
      <c r="AI159" s="103">
        <f t="shared" si="78"/>
        <v>18.590569765354029</v>
      </c>
      <c r="AJ159" s="86"/>
      <c r="AM159" s="98">
        <v>2</v>
      </c>
      <c r="AN159" s="98">
        <v>1</v>
      </c>
      <c r="AO159" s="128">
        <f t="shared" si="90"/>
        <v>18.590569765354029</v>
      </c>
      <c r="AP159" s="129">
        <f t="shared" si="91"/>
        <v>10.789838337182447</v>
      </c>
      <c r="AQ159" s="129">
        <f t="shared" ca="1" si="92"/>
        <v>11.338676573384747</v>
      </c>
      <c r="AR159" s="89">
        <f t="shared" ca="1" si="84"/>
        <v>49.096469562755956</v>
      </c>
      <c r="AS159" s="90">
        <f t="shared" ca="1" si="89"/>
        <v>10952.776111667943</v>
      </c>
      <c r="AT159" s="90">
        <f t="shared" ca="1" si="79"/>
        <v>503.766111667941</v>
      </c>
      <c r="AV159" s="403">
        <f t="shared" ca="1" si="85"/>
        <v>42.479647997422788</v>
      </c>
      <c r="AW159" s="403">
        <f t="shared" ca="1" si="86"/>
        <v>10995.255759665366</v>
      </c>
    </row>
    <row r="160" spans="1:49">
      <c r="A160" s="38" t="str">
        <f t="shared" si="80"/>
        <v>Lewis County UTCROLL-COMM</v>
      </c>
      <c r="B160" s="38">
        <f t="shared" si="81"/>
        <v>1</v>
      </c>
      <c r="C160" s="97" t="s">
        <v>514</v>
      </c>
      <c r="D160" s="97" t="s">
        <v>515</v>
      </c>
      <c r="E160" s="69">
        <v>19.920000000000002</v>
      </c>
      <c r="F160" s="69">
        <v>19.829999999999998</v>
      </c>
      <c r="G160" s="69" t="s">
        <v>252</v>
      </c>
      <c r="H160" s="88">
        <v>19.920000000000002</v>
      </c>
      <c r="I160" s="88">
        <v>19.920000000000002</v>
      </c>
      <c r="J160" s="88">
        <v>19.920000000000002</v>
      </c>
      <c r="K160" s="88">
        <v>19.920000000000002</v>
      </c>
      <c r="L160" s="88">
        <v>19.920000000000002</v>
      </c>
      <c r="M160" s="88">
        <v>19.920000000000002</v>
      </c>
      <c r="N160" s="88">
        <v>19.920000000000002</v>
      </c>
      <c r="O160" s="88">
        <v>19.920000000000002</v>
      </c>
      <c r="P160" s="88">
        <v>19.829999999999998</v>
      </c>
      <c r="Q160" s="88">
        <v>19.829999999999998</v>
      </c>
      <c r="R160" s="88">
        <v>19.829999999999998</v>
      </c>
      <c r="S160" s="88">
        <v>19.829999999999998</v>
      </c>
      <c r="T160" s="88">
        <f t="shared" si="82"/>
        <v>238.67999999999995</v>
      </c>
      <c r="U160" s="88"/>
      <c r="V160" s="86">
        <f t="shared" si="87"/>
        <v>1</v>
      </c>
      <c r="W160" s="86">
        <f t="shared" si="87"/>
        <v>1</v>
      </c>
      <c r="X160" s="86">
        <f t="shared" si="87"/>
        <v>1</v>
      </c>
      <c r="Y160" s="86">
        <f t="shared" si="87"/>
        <v>1</v>
      </c>
      <c r="Z160" s="86">
        <f t="shared" si="87"/>
        <v>1</v>
      </c>
      <c r="AA160" s="86">
        <f t="shared" si="87"/>
        <v>1</v>
      </c>
      <c r="AB160" s="86">
        <f t="shared" si="87"/>
        <v>1</v>
      </c>
      <c r="AC160" s="86">
        <f t="shared" si="88"/>
        <v>1.0045385779122544</v>
      </c>
      <c r="AD160" s="86">
        <f t="shared" si="88"/>
        <v>1</v>
      </c>
      <c r="AE160" s="86">
        <f t="shared" si="88"/>
        <v>1</v>
      </c>
      <c r="AF160" s="86">
        <f t="shared" si="88"/>
        <v>1</v>
      </c>
      <c r="AG160" s="86">
        <f t="shared" si="88"/>
        <v>1</v>
      </c>
      <c r="AH160" s="70">
        <f t="shared" si="83"/>
        <v>12.004538577912255</v>
      </c>
      <c r="AI160" s="70">
        <f t="shared" si="78"/>
        <v>1.0003782148260212</v>
      </c>
      <c r="AR160" s="89">
        <f t="shared" ca="1" si="84"/>
        <v>20.838677042582418</v>
      </c>
      <c r="AS160" s="90">
        <f t="shared" ca="1" si="89"/>
        <v>250.15870247033507</v>
      </c>
      <c r="AT160" s="90">
        <f t="shared" ca="1" si="79"/>
        <v>11.478702470335122</v>
      </c>
      <c r="AV160" s="403">
        <f t="shared" ca="1" si="85"/>
        <v>0.97022467327815887</v>
      </c>
      <c r="AW160" s="403">
        <f t="shared" ca="1" si="86"/>
        <v>251.12892714361323</v>
      </c>
    </row>
    <row r="161" spans="1:49">
      <c r="A161" s="38" t="str">
        <f t="shared" si="80"/>
        <v>Lewis County UTCROLL1W-COMM</v>
      </c>
      <c r="B161" s="38">
        <f t="shared" si="81"/>
        <v>1</v>
      </c>
      <c r="C161" s="97" t="s">
        <v>516</v>
      </c>
      <c r="D161" s="97" t="s">
        <v>517</v>
      </c>
      <c r="E161" s="69">
        <v>4.72</v>
      </c>
      <c r="F161" s="69">
        <v>4.72</v>
      </c>
      <c r="G161" s="69" t="s">
        <v>252</v>
      </c>
      <c r="H161" s="88">
        <v>4.72</v>
      </c>
      <c r="I161" s="88">
        <v>4.72</v>
      </c>
      <c r="J161" s="88">
        <v>4.72</v>
      </c>
      <c r="K161" s="88">
        <v>4.72</v>
      </c>
      <c r="L161" s="88">
        <v>4.72</v>
      </c>
      <c r="M161" s="88">
        <v>4.72</v>
      </c>
      <c r="N161" s="88">
        <v>4.72</v>
      </c>
      <c r="O161" s="88">
        <v>4.72</v>
      </c>
      <c r="P161" s="88">
        <v>4.72</v>
      </c>
      <c r="Q161" s="88">
        <v>4.72</v>
      </c>
      <c r="R161" s="88">
        <v>8.26</v>
      </c>
      <c r="S161" s="88">
        <v>7.08</v>
      </c>
      <c r="T161" s="88">
        <f t="shared" si="82"/>
        <v>62.539999999999992</v>
      </c>
      <c r="U161" s="88"/>
      <c r="V161" s="86">
        <f t="shared" si="87"/>
        <v>1</v>
      </c>
      <c r="W161" s="86">
        <f t="shared" si="87"/>
        <v>1</v>
      </c>
      <c r="X161" s="86">
        <f t="shared" si="87"/>
        <v>1</v>
      </c>
      <c r="Y161" s="86">
        <f t="shared" si="87"/>
        <v>1</v>
      </c>
      <c r="Z161" s="86">
        <f t="shared" si="87"/>
        <v>1</v>
      </c>
      <c r="AA161" s="86">
        <f t="shared" si="87"/>
        <v>1</v>
      </c>
      <c r="AB161" s="86">
        <f t="shared" si="87"/>
        <v>1</v>
      </c>
      <c r="AC161" s="86">
        <f t="shared" si="88"/>
        <v>1</v>
      </c>
      <c r="AD161" s="86">
        <f t="shared" si="88"/>
        <v>1</v>
      </c>
      <c r="AE161" s="86">
        <f t="shared" si="88"/>
        <v>1</v>
      </c>
      <c r="AF161" s="86">
        <f t="shared" si="88"/>
        <v>1.75</v>
      </c>
      <c r="AG161" s="86">
        <f t="shared" si="88"/>
        <v>1.5</v>
      </c>
      <c r="AH161" s="70">
        <f t="shared" si="83"/>
        <v>13.25</v>
      </c>
      <c r="AI161" s="70">
        <f t="shared" si="78"/>
        <v>1.1041666666666667</v>
      </c>
      <c r="AR161" s="89">
        <f t="shared" ca="1" si="84"/>
        <v>4.9600885345934955</v>
      </c>
      <c r="AS161" s="90">
        <f t="shared" ca="1" si="89"/>
        <v>65.721173083363823</v>
      </c>
      <c r="AT161" s="90">
        <f t="shared" ca="1" si="79"/>
        <v>3.1811730833638308</v>
      </c>
      <c r="AV161" s="403">
        <f t="shared" ca="1" si="85"/>
        <v>0.25489540460750287</v>
      </c>
      <c r="AW161" s="403">
        <f t="shared" ca="1" si="86"/>
        <v>65.976068487971332</v>
      </c>
    </row>
    <row r="162" spans="1:49">
      <c r="A162" s="38" t="str">
        <f t="shared" si="80"/>
        <v>Lewis County UTCROLLEOW-COMM</v>
      </c>
      <c r="B162" s="38">
        <f t="shared" si="81"/>
        <v>1</v>
      </c>
      <c r="C162" s="97" t="s">
        <v>518</v>
      </c>
      <c r="D162" s="97" t="s">
        <v>519</v>
      </c>
      <c r="E162" s="69">
        <v>9.98</v>
      </c>
      <c r="F162" s="69">
        <v>9.94</v>
      </c>
      <c r="G162" s="69" t="s">
        <v>252</v>
      </c>
      <c r="H162" s="88">
        <v>0</v>
      </c>
      <c r="I162" s="88">
        <v>0</v>
      </c>
      <c r="J162" s="88">
        <v>0</v>
      </c>
      <c r="K162" s="88">
        <v>0</v>
      </c>
      <c r="L162" s="88">
        <v>0</v>
      </c>
      <c r="M162" s="88">
        <v>0</v>
      </c>
      <c r="N162" s="88">
        <v>0</v>
      </c>
      <c r="O162" s="88">
        <v>0</v>
      </c>
      <c r="P162" s="88">
        <v>0</v>
      </c>
      <c r="Q162" s="88">
        <v>0</v>
      </c>
      <c r="R162" s="88">
        <v>0</v>
      </c>
      <c r="S162" s="88">
        <v>0</v>
      </c>
      <c r="T162" s="88">
        <f t="shared" si="82"/>
        <v>0</v>
      </c>
      <c r="U162" s="88"/>
      <c r="V162" s="86">
        <f t="shared" si="87"/>
        <v>0</v>
      </c>
      <c r="W162" s="86">
        <f t="shared" si="87"/>
        <v>0</v>
      </c>
      <c r="X162" s="86">
        <f t="shared" si="87"/>
        <v>0</v>
      </c>
      <c r="Y162" s="86">
        <f t="shared" si="87"/>
        <v>0</v>
      </c>
      <c r="Z162" s="86">
        <f t="shared" si="87"/>
        <v>0</v>
      </c>
      <c r="AA162" s="86">
        <f t="shared" si="87"/>
        <v>0</v>
      </c>
      <c r="AB162" s="86">
        <f t="shared" si="87"/>
        <v>0</v>
      </c>
      <c r="AC162" s="86">
        <f t="shared" si="88"/>
        <v>0</v>
      </c>
      <c r="AD162" s="86">
        <f t="shared" si="88"/>
        <v>0</v>
      </c>
      <c r="AE162" s="86">
        <f t="shared" si="88"/>
        <v>0</v>
      </c>
      <c r="AF162" s="86">
        <f t="shared" si="88"/>
        <v>0</v>
      </c>
      <c r="AG162" s="86">
        <f t="shared" si="88"/>
        <v>0</v>
      </c>
      <c r="AH162" s="70">
        <f t="shared" si="83"/>
        <v>0</v>
      </c>
      <c r="AI162" s="70">
        <f t="shared" si="78"/>
        <v>0</v>
      </c>
      <c r="AR162" s="89">
        <f t="shared" ca="1" si="84"/>
        <v>10.445610176665115</v>
      </c>
      <c r="AS162" s="90">
        <f t="shared" ca="1" si="89"/>
        <v>0</v>
      </c>
      <c r="AT162" s="90">
        <f t="shared" ca="1" si="79"/>
        <v>0</v>
      </c>
      <c r="AV162" s="403">
        <f t="shared" ca="1" si="85"/>
        <v>0</v>
      </c>
      <c r="AW162" s="403">
        <f t="shared" ca="1" si="86"/>
        <v>0</v>
      </c>
    </row>
    <row r="163" spans="1:49">
      <c r="A163" s="38" t="str">
        <f t="shared" si="80"/>
        <v>Lewis County UTCRTRNCAN-COMM</v>
      </c>
      <c r="B163" s="38">
        <f t="shared" si="81"/>
        <v>1</v>
      </c>
      <c r="C163" s="97" t="s">
        <v>520</v>
      </c>
      <c r="D163" s="97" t="s">
        <v>521</v>
      </c>
      <c r="E163" s="69">
        <v>23.3</v>
      </c>
      <c r="F163" s="69">
        <v>23.2</v>
      </c>
      <c r="G163" s="69" t="s">
        <v>373</v>
      </c>
      <c r="H163" s="88">
        <v>0</v>
      </c>
      <c r="I163" s="88">
        <v>69.900000000000006</v>
      </c>
      <c r="J163" s="88">
        <v>0</v>
      </c>
      <c r="K163" s="88">
        <v>69.900000000000006</v>
      </c>
      <c r="L163" s="88">
        <v>0</v>
      </c>
      <c r="M163" s="88">
        <v>46.6</v>
      </c>
      <c r="N163" s="88">
        <v>23.3</v>
      </c>
      <c r="O163" s="88">
        <v>23.3</v>
      </c>
      <c r="P163" s="88">
        <v>46.4</v>
      </c>
      <c r="Q163" s="88">
        <v>23.2</v>
      </c>
      <c r="R163" s="88">
        <v>69.599999999999994</v>
      </c>
      <c r="S163" s="88">
        <v>0</v>
      </c>
      <c r="T163" s="88">
        <f t="shared" si="82"/>
        <v>372.20000000000005</v>
      </c>
      <c r="U163" s="88"/>
      <c r="V163" s="86">
        <f t="shared" si="87"/>
        <v>0</v>
      </c>
      <c r="W163" s="86">
        <f t="shared" si="87"/>
        <v>3</v>
      </c>
      <c r="X163" s="86">
        <f t="shared" si="87"/>
        <v>0</v>
      </c>
      <c r="Y163" s="86">
        <f t="shared" si="87"/>
        <v>3</v>
      </c>
      <c r="Z163" s="86">
        <f t="shared" si="87"/>
        <v>0</v>
      </c>
      <c r="AA163" s="86">
        <f t="shared" si="87"/>
        <v>2</v>
      </c>
      <c r="AB163" s="86">
        <f t="shared" si="87"/>
        <v>1</v>
      </c>
      <c r="AC163" s="86">
        <f t="shared" si="88"/>
        <v>1.0043103448275863</v>
      </c>
      <c r="AD163" s="86">
        <f t="shared" si="88"/>
        <v>2</v>
      </c>
      <c r="AE163" s="86">
        <f t="shared" si="88"/>
        <v>1</v>
      </c>
      <c r="AF163" s="86">
        <f t="shared" si="88"/>
        <v>3</v>
      </c>
      <c r="AG163" s="86">
        <f t="shared" si="88"/>
        <v>0</v>
      </c>
      <c r="AH163" s="70">
        <f t="shared" si="83"/>
        <v>16.004310344827587</v>
      </c>
      <c r="AI163" s="70">
        <f t="shared" si="78"/>
        <v>1.3336925287356323</v>
      </c>
      <c r="AR163" s="89">
        <f t="shared" ca="1" si="84"/>
        <v>24.380096186984979</v>
      </c>
      <c r="AS163" s="90">
        <f t="shared" ca="1" si="89"/>
        <v>390.18662561325527</v>
      </c>
      <c r="AT163" s="90">
        <f t="shared" ca="1" si="79"/>
        <v>17.986625613255228</v>
      </c>
      <c r="AV163" s="403">
        <f t="shared" ca="1" si="85"/>
        <v>1.5133140986691047</v>
      </c>
      <c r="AW163" s="403">
        <f t="shared" ca="1" si="86"/>
        <v>391.6999397119244</v>
      </c>
    </row>
    <row r="164" spans="1:49">
      <c r="A164" s="38" t="str">
        <f t="shared" si="80"/>
        <v>Lewis County UTCRTRNCART65-COMM</v>
      </c>
      <c r="B164" s="38">
        <f t="shared" si="81"/>
        <v>1</v>
      </c>
      <c r="C164" s="97" t="s">
        <v>522</v>
      </c>
      <c r="D164" s="97" t="s">
        <v>523</v>
      </c>
      <c r="E164" s="69">
        <v>23.3</v>
      </c>
      <c r="F164" s="69">
        <v>23.2</v>
      </c>
      <c r="G164" s="69" t="s">
        <v>373</v>
      </c>
      <c r="H164" s="88">
        <v>0</v>
      </c>
      <c r="I164" s="88">
        <v>0</v>
      </c>
      <c r="J164" s="88">
        <v>0</v>
      </c>
      <c r="K164" s="88">
        <v>0</v>
      </c>
      <c r="L164" s="88">
        <v>0</v>
      </c>
      <c r="M164" s="88">
        <v>0</v>
      </c>
      <c r="N164" s="88">
        <v>0</v>
      </c>
      <c r="O164" s="88">
        <v>0</v>
      </c>
      <c r="P164" s="88">
        <v>0</v>
      </c>
      <c r="Q164" s="88">
        <v>0</v>
      </c>
      <c r="R164" s="88">
        <v>0</v>
      </c>
      <c r="S164" s="88">
        <v>0</v>
      </c>
      <c r="T164" s="88">
        <f t="shared" si="82"/>
        <v>0</v>
      </c>
      <c r="U164" s="88"/>
      <c r="V164" s="86">
        <f t="shared" si="87"/>
        <v>0</v>
      </c>
      <c r="W164" s="86">
        <f t="shared" si="87"/>
        <v>0</v>
      </c>
      <c r="X164" s="86">
        <f t="shared" si="87"/>
        <v>0</v>
      </c>
      <c r="Y164" s="86">
        <f t="shared" si="87"/>
        <v>0</v>
      </c>
      <c r="Z164" s="86">
        <f t="shared" si="87"/>
        <v>0</v>
      </c>
      <c r="AA164" s="86">
        <f t="shared" si="87"/>
        <v>0</v>
      </c>
      <c r="AB164" s="86">
        <f t="shared" si="87"/>
        <v>0</v>
      </c>
      <c r="AC164" s="86">
        <f t="shared" si="88"/>
        <v>0</v>
      </c>
      <c r="AD164" s="86">
        <f t="shared" si="88"/>
        <v>0</v>
      </c>
      <c r="AE164" s="86">
        <f t="shared" si="88"/>
        <v>0</v>
      </c>
      <c r="AF164" s="86">
        <f t="shared" si="88"/>
        <v>0</v>
      </c>
      <c r="AG164" s="86">
        <f t="shared" si="88"/>
        <v>0</v>
      </c>
      <c r="AH164" s="70">
        <f t="shared" si="83"/>
        <v>0</v>
      </c>
      <c r="AI164" s="70">
        <f t="shared" si="78"/>
        <v>0</v>
      </c>
      <c r="AR164" s="89">
        <f t="shared" ca="1" si="84"/>
        <v>24.380096186984979</v>
      </c>
      <c r="AS164" s="90">
        <f t="shared" ca="1" si="89"/>
        <v>0</v>
      </c>
      <c r="AT164" s="90">
        <f t="shared" ca="1" si="79"/>
        <v>0</v>
      </c>
      <c r="AV164" s="403">
        <f t="shared" ca="1" si="85"/>
        <v>0</v>
      </c>
      <c r="AW164" s="403">
        <f t="shared" ca="1" si="86"/>
        <v>0</v>
      </c>
    </row>
    <row r="165" spans="1:49">
      <c r="A165" s="38" t="str">
        <f t="shared" si="80"/>
        <v>Lewis County UTCRTRNCART95-COMM</v>
      </c>
      <c r="B165" s="38">
        <f t="shared" si="81"/>
        <v>1</v>
      </c>
      <c r="C165" s="97" t="s">
        <v>524</v>
      </c>
      <c r="D165" s="97" t="s">
        <v>525</v>
      </c>
      <c r="E165" s="69">
        <v>23.3</v>
      </c>
      <c r="F165" s="69">
        <v>23.2</v>
      </c>
      <c r="G165" s="69" t="s">
        <v>373</v>
      </c>
      <c r="H165" s="88">
        <v>0</v>
      </c>
      <c r="I165" s="88">
        <v>0</v>
      </c>
      <c r="J165" s="88">
        <v>0</v>
      </c>
      <c r="K165" s="88">
        <v>0</v>
      </c>
      <c r="L165" s="88">
        <v>0</v>
      </c>
      <c r="M165" s="88">
        <v>0</v>
      </c>
      <c r="N165" s="88">
        <v>0</v>
      </c>
      <c r="O165" s="88">
        <v>0</v>
      </c>
      <c r="P165" s="88">
        <v>0</v>
      </c>
      <c r="Q165" s="88">
        <v>0</v>
      </c>
      <c r="R165" s="88">
        <v>0</v>
      </c>
      <c r="S165" s="88">
        <v>0</v>
      </c>
      <c r="T165" s="88">
        <f t="shared" si="82"/>
        <v>0</v>
      </c>
      <c r="U165" s="88"/>
      <c r="V165" s="86">
        <f t="shared" si="87"/>
        <v>0</v>
      </c>
      <c r="W165" s="86">
        <f t="shared" si="87"/>
        <v>0</v>
      </c>
      <c r="X165" s="86">
        <f t="shared" si="87"/>
        <v>0</v>
      </c>
      <c r="Y165" s="86">
        <f t="shared" si="87"/>
        <v>0</v>
      </c>
      <c r="Z165" s="86">
        <f t="shared" si="87"/>
        <v>0</v>
      </c>
      <c r="AA165" s="86">
        <f t="shared" si="87"/>
        <v>0</v>
      </c>
      <c r="AB165" s="86">
        <f t="shared" si="87"/>
        <v>0</v>
      </c>
      <c r="AC165" s="86">
        <f t="shared" si="88"/>
        <v>0</v>
      </c>
      <c r="AD165" s="86">
        <f t="shared" si="88"/>
        <v>0</v>
      </c>
      <c r="AE165" s="86">
        <f t="shared" si="88"/>
        <v>0</v>
      </c>
      <c r="AF165" s="86">
        <f t="shared" si="88"/>
        <v>0</v>
      </c>
      <c r="AG165" s="86">
        <f t="shared" si="88"/>
        <v>0</v>
      </c>
      <c r="AH165" s="70">
        <f t="shared" si="83"/>
        <v>0</v>
      </c>
      <c r="AI165" s="70">
        <f t="shared" si="78"/>
        <v>0</v>
      </c>
      <c r="AR165" s="89">
        <f t="shared" ca="1" si="84"/>
        <v>24.380096186984979</v>
      </c>
      <c r="AS165" s="90">
        <f t="shared" ca="1" si="89"/>
        <v>0</v>
      </c>
      <c r="AT165" s="90">
        <f t="shared" ca="1" si="79"/>
        <v>0</v>
      </c>
      <c r="AV165" s="403">
        <f t="shared" ca="1" si="85"/>
        <v>0</v>
      </c>
      <c r="AW165" s="403">
        <f t="shared" ca="1" si="86"/>
        <v>0</v>
      </c>
    </row>
    <row r="166" spans="1:49">
      <c r="A166" s="38" t="str">
        <f t="shared" si="80"/>
        <v>Lewis County UTCRTRNTRIP1.5-COMM</v>
      </c>
      <c r="B166" s="38">
        <f t="shared" si="81"/>
        <v>1</v>
      </c>
      <c r="C166" s="97" t="s">
        <v>526</v>
      </c>
      <c r="D166" s="97" t="s">
        <v>527</v>
      </c>
      <c r="E166" s="69">
        <v>29</v>
      </c>
      <c r="F166" s="69">
        <v>28.87</v>
      </c>
      <c r="G166" s="69" t="s">
        <v>373</v>
      </c>
      <c r="H166" s="88">
        <v>0</v>
      </c>
      <c r="I166" s="88">
        <v>0</v>
      </c>
      <c r="J166" s="88">
        <v>0</v>
      </c>
      <c r="K166" s="88">
        <v>0</v>
      </c>
      <c r="L166" s="88">
        <v>0</v>
      </c>
      <c r="M166" s="88">
        <v>0</v>
      </c>
      <c r="N166" s="88">
        <v>0</v>
      </c>
      <c r="O166" s="88">
        <v>29</v>
      </c>
      <c r="P166" s="88">
        <v>28.87</v>
      </c>
      <c r="Q166" s="88">
        <v>0</v>
      </c>
      <c r="R166" s="88">
        <v>57.74</v>
      </c>
      <c r="S166" s="88">
        <v>0</v>
      </c>
      <c r="T166" s="88">
        <f t="shared" si="82"/>
        <v>115.61000000000001</v>
      </c>
      <c r="U166" s="88"/>
      <c r="V166" s="86">
        <f t="shared" si="87"/>
        <v>0</v>
      </c>
      <c r="W166" s="86">
        <f t="shared" si="87"/>
        <v>0</v>
      </c>
      <c r="X166" s="86">
        <f t="shared" si="87"/>
        <v>0</v>
      </c>
      <c r="Y166" s="86">
        <f t="shared" si="87"/>
        <v>0</v>
      </c>
      <c r="Z166" s="86">
        <f t="shared" si="87"/>
        <v>0</v>
      </c>
      <c r="AA166" s="86">
        <f t="shared" si="87"/>
        <v>0</v>
      </c>
      <c r="AB166" s="86">
        <f t="shared" si="87"/>
        <v>0</v>
      </c>
      <c r="AC166" s="86">
        <f t="shared" si="88"/>
        <v>1.0045029442327675</v>
      </c>
      <c r="AD166" s="86">
        <f t="shared" si="88"/>
        <v>1</v>
      </c>
      <c r="AE166" s="86">
        <f t="shared" si="88"/>
        <v>0</v>
      </c>
      <c r="AF166" s="86">
        <f t="shared" si="88"/>
        <v>2</v>
      </c>
      <c r="AG166" s="86">
        <f t="shared" si="88"/>
        <v>0</v>
      </c>
      <c r="AH166" s="70">
        <f t="shared" si="83"/>
        <v>4.0045029442327671</v>
      </c>
      <c r="AI166" s="70">
        <f t="shared" si="78"/>
        <v>0.33370857868606391</v>
      </c>
      <c r="AR166" s="89">
        <f t="shared" ca="1" si="84"/>
        <v>30.338507625786914</v>
      </c>
      <c r="AS166" s="90">
        <f t="shared" ca="1" si="89"/>
        <v>121.49064311109194</v>
      </c>
      <c r="AT166" s="90">
        <f t="shared" ca="1" si="79"/>
        <v>5.8806431110919277</v>
      </c>
      <c r="AV166" s="403">
        <f t="shared" ca="1" si="85"/>
        <v>0.47119375962061727</v>
      </c>
      <c r="AW166" s="403">
        <f t="shared" ca="1" si="86"/>
        <v>121.96183687071256</v>
      </c>
    </row>
    <row r="167" spans="1:49">
      <c r="A167" s="38" t="str">
        <f t="shared" si="80"/>
        <v>Lewis County UTCRTRNTRIP1-COMM</v>
      </c>
      <c r="B167" s="38">
        <f t="shared" si="81"/>
        <v>1</v>
      </c>
      <c r="C167" s="97" t="s">
        <v>528</v>
      </c>
      <c r="D167" s="97" t="s">
        <v>529</v>
      </c>
      <c r="E167" s="69">
        <v>29</v>
      </c>
      <c r="F167" s="69">
        <v>28.87</v>
      </c>
      <c r="G167" s="69" t="s">
        <v>373</v>
      </c>
      <c r="H167" s="88">
        <v>0</v>
      </c>
      <c r="I167" s="88">
        <v>0</v>
      </c>
      <c r="J167" s="88">
        <v>0</v>
      </c>
      <c r="K167" s="88">
        <v>0</v>
      </c>
      <c r="L167" s="88">
        <v>0</v>
      </c>
      <c r="M167" s="88">
        <v>0</v>
      </c>
      <c r="N167" s="88">
        <v>0</v>
      </c>
      <c r="O167" s="88">
        <v>0</v>
      </c>
      <c r="P167" s="88">
        <v>0</v>
      </c>
      <c r="Q167" s="88">
        <v>57.74</v>
      </c>
      <c r="R167" s="88">
        <v>28.87</v>
      </c>
      <c r="S167" s="88">
        <v>0</v>
      </c>
      <c r="T167" s="88">
        <f t="shared" si="82"/>
        <v>86.61</v>
      </c>
      <c r="U167" s="88"/>
      <c r="V167" s="86">
        <f t="shared" si="87"/>
        <v>0</v>
      </c>
      <c r="W167" s="86">
        <f t="shared" si="87"/>
        <v>0</v>
      </c>
      <c r="X167" s="86">
        <f t="shared" si="87"/>
        <v>0</v>
      </c>
      <c r="Y167" s="86">
        <f t="shared" si="87"/>
        <v>0</v>
      </c>
      <c r="Z167" s="86">
        <f t="shared" si="87"/>
        <v>0</v>
      </c>
      <c r="AA167" s="86">
        <f t="shared" si="87"/>
        <v>0</v>
      </c>
      <c r="AB167" s="86">
        <f t="shared" si="87"/>
        <v>0</v>
      </c>
      <c r="AC167" s="86">
        <f t="shared" si="88"/>
        <v>0</v>
      </c>
      <c r="AD167" s="86">
        <f t="shared" si="88"/>
        <v>0</v>
      </c>
      <c r="AE167" s="86">
        <f t="shared" si="88"/>
        <v>2</v>
      </c>
      <c r="AF167" s="86">
        <f t="shared" si="88"/>
        <v>1</v>
      </c>
      <c r="AG167" s="86">
        <f t="shared" si="88"/>
        <v>0</v>
      </c>
      <c r="AH167" s="70">
        <f t="shared" si="83"/>
        <v>3</v>
      </c>
      <c r="AI167" s="70">
        <f t="shared" si="78"/>
        <v>0.25</v>
      </c>
      <c r="AR167" s="89">
        <f t="shared" ca="1" si="84"/>
        <v>30.338507625786914</v>
      </c>
      <c r="AS167" s="90">
        <f t="shared" ca="1" si="89"/>
        <v>91.015522877360738</v>
      </c>
      <c r="AT167" s="90">
        <f t="shared" ca="1" si="79"/>
        <v>4.4055228773607382</v>
      </c>
      <c r="AV167" s="403">
        <f t="shared" ca="1" si="85"/>
        <v>0.3529979372090794</v>
      </c>
      <c r="AW167" s="403">
        <f t="shared" ca="1" si="86"/>
        <v>91.36852081456982</v>
      </c>
    </row>
    <row r="168" spans="1:49">
      <c r="A168" s="38" t="str">
        <f t="shared" si="80"/>
        <v>Lewis County UTCRTRNTRIP2-COMM</v>
      </c>
      <c r="B168" s="38">
        <f t="shared" si="81"/>
        <v>1</v>
      </c>
      <c r="C168" s="97" t="s">
        <v>530</v>
      </c>
      <c r="D168" s="97" t="s">
        <v>531</v>
      </c>
      <c r="E168" s="69">
        <v>29</v>
      </c>
      <c r="F168" s="69">
        <v>28.87</v>
      </c>
      <c r="G168" s="69" t="s">
        <v>373</v>
      </c>
      <c r="H168" s="88">
        <v>29</v>
      </c>
      <c r="I168" s="88">
        <v>0</v>
      </c>
      <c r="J168" s="88">
        <v>0</v>
      </c>
      <c r="K168" s="88">
        <v>0</v>
      </c>
      <c r="L168" s="88">
        <v>29</v>
      </c>
      <c r="M168" s="88">
        <v>29</v>
      </c>
      <c r="N168" s="88">
        <v>29</v>
      </c>
      <c r="O168" s="88">
        <v>29</v>
      </c>
      <c r="P168" s="88">
        <v>0</v>
      </c>
      <c r="Q168" s="88">
        <v>0</v>
      </c>
      <c r="R168" s="88">
        <v>0</v>
      </c>
      <c r="S168" s="88">
        <v>28.87</v>
      </c>
      <c r="T168" s="88">
        <f t="shared" si="82"/>
        <v>173.87</v>
      </c>
      <c r="U168" s="88"/>
      <c r="V168" s="86">
        <f t="shared" si="87"/>
        <v>1</v>
      </c>
      <c r="W168" s="86">
        <f t="shared" si="87"/>
        <v>0</v>
      </c>
      <c r="X168" s="86">
        <f t="shared" si="87"/>
        <v>0</v>
      </c>
      <c r="Y168" s="86">
        <f t="shared" si="87"/>
        <v>0</v>
      </c>
      <c r="Z168" s="86">
        <f t="shared" si="87"/>
        <v>1</v>
      </c>
      <c r="AA168" s="86">
        <f t="shared" si="87"/>
        <v>1</v>
      </c>
      <c r="AB168" s="86">
        <f t="shared" si="87"/>
        <v>1</v>
      </c>
      <c r="AC168" s="86">
        <f t="shared" si="88"/>
        <v>1.0045029442327675</v>
      </c>
      <c r="AD168" s="86">
        <f t="shared" si="88"/>
        <v>0</v>
      </c>
      <c r="AE168" s="86">
        <f t="shared" si="88"/>
        <v>0</v>
      </c>
      <c r="AF168" s="86">
        <f t="shared" si="88"/>
        <v>0</v>
      </c>
      <c r="AG168" s="86">
        <f t="shared" si="88"/>
        <v>1</v>
      </c>
      <c r="AH168" s="70">
        <f t="shared" si="83"/>
        <v>6.0045029442327671</v>
      </c>
      <c r="AI168" s="70">
        <f t="shared" si="78"/>
        <v>0.50037524535273059</v>
      </c>
      <c r="AR168" s="89">
        <f t="shared" ca="1" si="84"/>
        <v>30.338507625786914</v>
      </c>
      <c r="AS168" s="90">
        <f t="shared" ca="1" si="89"/>
        <v>182.16765836266578</v>
      </c>
      <c r="AT168" s="90">
        <f t="shared" ca="1" si="79"/>
        <v>8.2976583626657714</v>
      </c>
      <c r="AV168" s="403">
        <f t="shared" ca="1" si="85"/>
        <v>0.7065257177600035</v>
      </c>
      <c r="AW168" s="403">
        <f t="shared" ca="1" si="86"/>
        <v>182.87418408042578</v>
      </c>
    </row>
    <row r="169" spans="1:49">
      <c r="A169" s="38" t="str">
        <f t="shared" si="80"/>
        <v>Lewis County UTCRTRNTRIP3-COMM</v>
      </c>
      <c r="B169" s="38">
        <f t="shared" si="81"/>
        <v>1</v>
      </c>
      <c r="C169" s="97" t="s">
        <v>532</v>
      </c>
      <c r="D169" s="97" t="s">
        <v>533</v>
      </c>
      <c r="E169" s="69">
        <v>29</v>
      </c>
      <c r="F169" s="69">
        <v>28.87</v>
      </c>
      <c r="G169" s="69" t="s">
        <v>373</v>
      </c>
      <c r="H169" s="88">
        <v>0</v>
      </c>
      <c r="I169" s="88">
        <v>0</v>
      </c>
      <c r="J169" s="88">
        <v>0</v>
      </c>
      <c r="K169" s="88">
        <v>0</v>
      </c>
      <c r="L169" s="88">
        <v>0</v>
      </c>
      <c r="M169" s="88">
        <v>0</v>
      </c>
      <c r="N169" s="88">
        <v>0</v>
      </c>
      <c r="O169" s="88">
        <v>0</v>
      </c>
      <c r="P169" s="88">
        <v>0</v>
      </c>
      <c r="Q169" s="88">
        <v>0</v>
      </c>
      <c r="R169" s="88">
        <v>0</v>
      </c>
      <c r="S169" s="88">
        <v>0</v>
      </c>
      <c r="T169" s="88">
        <f t="shared" si="82"/>
        <v>0</v>
      </c>
      <c r="U169" s="88"/>
      <c r="V169" s="86">
        <f t="shared" si="87"/>
        <v>0</v>
      </c>
      <c r="W169" s="86">
        <f t="shared" si="87"/>
        <v>0</v>
      </c>
      <c r="X169" s="86">
        <f t="shared" si="87"/>
        <v>0</v>
      </c>
      <c r="Y169" s="86">
        <f t="shared" si="87"/>
        <v>0</v>
      </c>
      <c r="Z169" s="86">
        <f t="shared" si="87"/>
        <v>0</v>
      </c>
      <c r="AA169" s="86">
        <f t="shared" si="87"/>
        <v>0</v>
      </c>
      <c r="AB169" s="86">
        <f t="shared" si="87"/>
        <v>0</v>
      </c>
      <c r="AC169" s="86">
        <f t="shared" si="88"/>
        <v>0</v>
      </c>
      <c r="AD169" s="86">
        <f t="shared" si="88"/>
        <v>0</v>
      </c>
      <c r="AE169" s="86">
        <f t="shared" si="88"/>
        <v>0</v>
      </c>
      <c r="AF169" s="86">
        <f t="shared" si="88"/>
        <v>0</v>
      </c>
      <c r="AG169" s="86">
        <f t="shared" si="88"/>
        <v>0</v>
      </c>
      <c r="AH169" s="70">
        <f t="shared" si="83"/>
        <v>0</v>
      </c>
      <c r="AI169" s="70">
        <f t="shared" si="78"/>
        <v>0</v>
      </c>
      <c r="AR169" s="89">
        <f t="shared" ca="1" si="84"/>
        <v>30.338507625786914</v>
      </c>
      <c r="AS169" s="90">
        <f t="shared" ca="1" si="89"/>
        <v>0</v>
      </c>
      <c r="AT169" s="90">
        <f t="shared" ca="1" si="79"/>
        <v>0</v>
      </c>
      <c r="AV169" s="403">
        <f t="shared" ca="1" si="85"/>
        <v>0</v>
      </c>
      <c r="AW169" s="403">
        <f t="shared" ca="1" si="86"/>
        <v>0</v>
      </c>
    </row>
    <row r="170" spans="1:49">
      <c r="A170" s="38" t="str">
        <f t="shared" si="80"/>
        <v>Lewis County UTCRTRNTRIP4-COMM</v>
      </c>
      <c r="B170" s="38">
        <f t="shared" si="81"/>
        <v>1</v>
      </c>
      <c r="C170" s="97" t="s">
        <v>534</v>
      </c>
      <c r="D170" s="97" t="s">
        <v>535</v>
      </c>
      <c r="E170" s="69">
        <v>29</v>
      </c>
      <c r="F170" s="69">
        <v>28.87</v>
      </c>
      <c r="G170" s="69" t="s">
        <v>373</v>
      </c>
      <c r="H170" s="88">
        <v>0</v>
      </c>
      <c r="I170" s="88">
        <v>0</v>
      </c>
      <c r="J170" s="88">
        <v>0</v>
      </c>
      <c r="K170" s="88">
        <v>0</v>
      </c>
      <c r="L170" s="88">
        <v>0</v>
      </c>
      <c r="M170" s="88">
        <v>58</v>
      </c>
      <c r="N170" s="88">
        <v>0</v>
      </c>
      <c r="O170" s="88">
        <v>0</v>
      </c>
      <c r="P170" s="88">
        <v>0</v>
      </c>
      <c r="Q170" s="88">
        <v>0</v>
      </c>
      <c r="R170" s="88">
        <v>28.87</v>
      </c>
      <c r="S170" s="88">
        <v>28.87</v>
      </c>
      <c r="T170" s="88">
        <f t="shared" ref="T170:T191" si="93">SUM(H170:S170)</f>
        <v>115.74000000000001</v>
      </c>
      <c r="U170" s="88"/>
      <c r="V170" s="86">
        <f t="shared" si="87"/>
        <v>0</v>
      </c>
      <c r="W170" s="86">
        <f t="shared" si="87"/>
        <v>0</v>
      </c>
      <c r="X170" s="86">
        <f t="shared" si="87"/>
        <v>0</v>
      </c>
      <c r="Y170" s="86">
        <f t="shared" si="87"/>
        <v>0</v>
      </c>
      <c r="Z170" s="86">
        <f t="shared" si="87"/>
        <v>0</v>
      </c>
      <c r="AA170" s="86">
        <f t="shared" si="87"/>
        <v>2</v>
      </c>
      <c r="AB170" s="86">
        <f t="shared" si="87"/>
        <v>0</v>
      </c>
      <c r="AC170" s="86">
        <f t="shared" si="88"/>
        <v>0</v>
      </c>
      <c r="AD170" s="86">
        <f t="shared" si="88"/>
        <v>0</v>
      </c>
      <c r="AE170" s="86">
        <f t="shared" si="88"/>
        <v>0</v>
      </c>
      <c r="AF170" s="86">
        <f t="shared" si="88"/>
        <v>1</v>
      </c>
      <c r="AG170" s="86">
        <f t="shared" si="88"/>
        <v>1</v>
      </c>
      <c r="AH170" s="70">
        <f t="shared" ref="AH170:AH191" si="94">SUM(V170:AG170)</f>
        <v>4</v>
      </c>
      <c r="AI170" s="70">
        <f t="shared" si="78"/>
        <v>0.33333333333333331</v>
      </c>
      <c r="AR170" s="89">
        <f t="shared" ca="1" si="84"/>
        <v>30.338507625786914</v>
      </c>
      <c r="AS170" s="90">
        <f t="shared" ca="1" si="89"/>
        <v>121.35403050314764</v>
      </c>
      <c r="AT170" s="90">
        <f t="shared" ca="1" si="79"/>
        <v>5.6140305031476316</v>
      </c>
      <c r="AV170" s="403">
        <f t="shared" ca="1" si="85"/>
        <v>0.47066391627877247</v>
      </c>
      <c r="AW170" s="403">
        <f t="shared" ca="1" si="86"/>
        <v>121.82469441942641</v>
      </c>
    </row>
    <row r="171" spans="1:49" s="98" customFormat="1">
      <c r="A171" s="98" t="str">
        <f t="shared" si="80"/>
        <v>Lewis County UTCSL065.0G1W001NORECC</v>
      </c>
      <c r="B171" s="98">
        <f t="shared" si="81"/>
        <v>1</v>
      </c>
      <c r="C171" s="127" t="s">
        <v>536</v>
      </c>
      <c r="D171" s="127" t="s">
        <v>537</v>
      </c>
      <c r="E171" s="100">
        <v>26.1</v>
      </c>
      <c r="F171" s="100">
        <v>25.97</v>
      </c>
      <c r="G171" s="100" t="s">
        <v>357</v>
      </c>
      <c r="H171" s="101">
        <v>2103.65</v>
      </c>
      <c r="I171" s="101">
        <v>2127.15</v>
      </c>
      <c r="J171" s="101">
        <v>2137.58</v>
      </c>
      <c r="K171" s="101">
        <v>2153.25</v>
      </c>
      <c r="L171" s="101">
        <v>2325.5100000000002</v>
      </c>
      <c r="M171" s="101">
        <v>2349</v>
      </c>
      <c r="N171" s="101">
        <v>2294.1800000000003</v>
      </c>
      <c r="O171" s="101">
        <v>2299.4</v>
      </c>
      <c r="P171" s="101">
        <v>2274.9699999999993</v>
      </c>
      <c r="Q171" s="101">
        <v>2311.33</v>
      </c>
      <c r="R171" s="101">
        <v>2315.2299999999996</v>
      </c>
      <c r="S171" s="101">
        <v>2304.8499999999995</v>
      </c>
      <c r="T171" s="101">
        <f t="shared" si="93"/>
        <v>26996.100000000002</v>
      </c>
      <c r="U171" s="101"/>
      <c r="V171" s="102">
        <f t="shared" si="87"/>
        <v>80.599616858237553</v>
      </c>
      <c r="W171" s="102">
        <f t="shared" si="87"/>
        <v>81.5</v>
      </c>
      <c r="X171" s="102">
        <f t="shared" si="87"/>
        <v>81.899616858237536</v>
      </c>
      <c r="Y171" s="102">
        <f t="shared" si="87"/>
        <v>82.5</v>
      </c>
      <c r="Z171" s="102">
        <f t="shared" si="87"/>
        <v>89.100000000000009</v>
      </c>
      <c r="AA171" s="102">
        <f t="shared" si="87"/>
        <v>90</v>
      </c>
      <c r="AB171" s="102">
        <f t="shared" si="87"/>
        <v>87.89961685823755</v>
      </c>
      <c r="AC171" s="102">
        <f t="shared" si="88"/>
        <v>88.540623796688493</v>
      </c>
      <c r="AD171" s="102">
        <f t="shared" si="88"/>
        <v>87.599922988063128</v>
      </c>
      <c r="AE171" s="102">
        <f t="shared" si="88"/>
        <v>89</v>
      </c>
      <c r="AF171" s="102">
        <f t="shared" si="88"/>
        <v>89.150173276857899</v>
      </c>
      <c r="AG171" s="102">
        <f t="shared" si="88"/>
        <v>88.750481324605303</v>
      </c>
      <c r="AH171" s="126">
        <f t="shared" si="94"/>
        <v>1036.5400519609275</v>
      </c>
      <c r="AI171" s="103">
        <f t="shared" si="78"/>
        <v>86.378337663410619</v>
      </c>
      <c r="AJ171" s="86"/>
      <c r="AK171" s="98">
        <v>65</v>
      </c>
      <c r="AN171" s="98">
        <v>1</v>
      </c>
      <c r="AO171" s="128">
        <f t="shared" ref="AO171:AO176" si="95">+AN171*AI171</f>
        <v>86.378337663410619</v>
      </c>
      <c r="AP171" s="129">
        <f t="shared" ref="AP171:AP176" si="96">+F171/4.33</f>
        <v>5.9976905311778284</v>
      </c>
      <c r="AQ171" s="129">
        <f t="shared" ref="AQ171:AQ176" ca="1" si="97">+AR171/4.33</f>
        <v>6.3027703469777796</v>
      </c>
      <c r="AR171" s="89">
        <f t="shared" ca="1" si="84"/>
        <v>27.290995602413787</v>
      </c>
      <c r="AS171" s="90">
        <f t="shared" ca="1" si="89"/>
        <v>28288.20999979143</v>
      </c>
      <c r="AT171" s="90">
        <f t="shared" ca="1" si="79"/>
        <v>1292.109999791428</v>
      </c>
      <c r="AV171" s="403">
        <f t="shared" ca="1" si="85"/>
        <v>109.7140296685311</v>
      </c>
      <c r="AW171" s="403">
        <f t="shared" ca="1" si="86"/>
        <v>28397.924029459962</v>
      </c>
    </row>
    <row r="172" spans="1:49" s="98" customFormat="1">
      <c r="A172" s="98" t="str">
        <f t="shared" si="80"/>
        <v>Lewis County UTCSL065.0G1W002NORECC</v>
      </c>
      <c r="B172" s="98">
        <f t="shared" si="81"/>
        <v>1</v>
      </c>
      <c r="C172" s="127" t="s">
        <v>538</v>
      </c>
      <c r="D172" s="127" t="s">
        <v>539</v>
      </c>
      <c r="E172" s="100">
        <v>52.2</v>
      </c>
      <c r="F172" s="100">
        <f>6*4.33*2</f>
        <v>51.96</v>
      </c>
      <c r="G172" s="100" t="s">
        <v>357</v>
      </c>
      <c r="H172" s="101">
        <v>52.2</v>
      </c>
      <c r="I172" s="101">
        <v>52.2</v>
      </c>
      <c r="J172" s="101">
        <v>52.2</v>
      </c>
      <c r="K172" s="101">
        <v>52.2</v>
      </c>
      <c r="L172" s="101">
        <v>52.2</v>
      </c>
      <c r="M172" s="101">
        <v>52.2</v>
      </c>
      <c r="N172" s="101">
        <v>52.2</v>
      </c>
      <c r="O172" s="101">
        <v>52.2</v>
      </c>
      <c r="P172" s="101">
        <v>51.94</v>
      </c>
      <c r="Q172" s="101">
        <v>51.94</v>
      </c>
      <c r="R172" s="101">
        <v>51.94</v>
      </c>
      <c r="S172" s="101">
        <v>51.94</v>
      </c>
      <c r="T172" s="101">
        <f t="shared" si="93"/>
        <v>625.36000000000013</v>
      </c>
      <c r="U172" s="101"/>
      <c r="V172" s="102">
        <f t="shared" si="87"/>
        <v>1</v>
      </c>
      <c r="W172" s="102">
        <f t="shared" si="87"/>
        <v>1</v>
      </c>
      <c r="X172" s="102">
        <f t="shared" si="87"/>
        <v>1</v>
      </c>
      <c r="Y172" s="102">
        <f t="shared" si="87"/>
        <v>1</v>
      </c>
      <c r="Z172" s="102">
        <f t="shared" si="87"/>
        <v>1</v>
      </c>
      <c r="AA172" s="102">
        <f t="shared" si="87"/>
        <v>1</v>
      </c>
      <c r="AB172" s="102">
        <f t="shared" si="87"/>
        <v>1</v>
      </c>
      <c r="AC172" s="102">
        <f t="shared" si="88"/>
        <v>1.0046189376443417</v>
      </c>
      <c r="AD172" s="102">
        <f t="shared" si="88"/>
        <v>0.9996150885296381</v>
      </c>
      <c r="AE172" s="102">
        <f t="shared" si="88"/>
        <v>0.9996150885296381</v>
      </c>
      <c r="AF172" s="102">
        <f t="shared" si="88"/>
        <v>0.9996150885296381</v>
      </c>
      <c r="AG172" s="102">
        <f t="shared" si="88"/>
        <v>0.9996150885296381</v>
      </c>
      <c r="AH172" s="126">
        <f t="shared" si="94"/>
        <v>12.003079291762891</v>
      </c>
      <c r="AI172" s="103">
        <f t="shared" si="78"/>
        <v>1.0002566076469075</v>
      </c>
      <c r="AJ172" s="86"/>
      <c r="AK172" s="98">
        <v>65</v>
      </c>
      <c r="AN172" s="98">
        <v>2</v>
      </c>
      <c r="AO172" s="128">
        <f t="shared" si="95"/>
        <v>2.000513215293815</v>
      </c>
      <c r="AP172" s="129">
        <f t="shared" si="96"/>
        <v>12</v>
      </c>
      <c r="AQ172" s="129">
        <f t="shared" ca="1" si="97"/>
        <v>12.61039457947499</v>
      </c>
      <c r="AR172" s="89">
        <f t="shared" ca="1" si="84"/>
        <v>54.603008529126704</v>
      </c>
      <c r="AS172" s="90">
        <f t="shared" ca="1" si="89"/>
        <v>655.40424094391324</v>
      </c>
      <c r="AT172" s="90">
        <f t="shared" ca="1" si="79"/>
        <v>30.04424094391311</v>
      </c>
      <c r="AV172" s="403">
        <f t="shared" ca="1" si="85"/>
        <v>2.5419438110906194</v>
      </c>
      <c r="AW172" s="403">
        <f t="shared" ca="1" si="86"/>
        <v>657.94618475500386</v>
      </c>
    </row>
    <row r="173" spans="1:49" s="98" customFormat="1">
      <c r="A173" s="98" t="str">
        <f t="shared" si="80"/>
        <v>Lewis County UTCSL065.0GEO001NORECC</v>
      </c>
      <c r="B173" s="98">
        <f t="shared" si="81"/>
        <v>1</v>
      </c>
      <c r="C173" s="127" t="s">
        <v>540</v>
      </c>
      <c r="D173" s="127" t="s">
        <v>541</v>
      </c>
      <c r="E173" s="100">
        <v>26.1</v>
      </c>
      <c r="F173" s="100">
        <v>25.97</v>
      </c>
      <c r="G173" s="100" t="s">
        <v>357</v>
      </c>
      <c r="H173" s="101">
        <v>1409.4</v>
      </c>
      <c r="I173" s="101">
        <v>1409.4</v>
      </c>
      <c r="J173" s="101">
        <v>1435.5</v>
      </c>
      <c r="K173" s="101">
        <v>1461.6000000000001</v>
      </c>
      <c r="L173" s="101">
        <v>1357.2</v>
      </c>
      <c r="M173" s="101">
        <v>1344.15</v>
      </c>
      <c r="N173" s="101">
        <v>1305.0000000000002</v>
      </c>
      <c r="O173" s="101">
        <v>1305.0000000000002</v>
      </c>
      <c r="P173" s="101">
        <v>1272.5300000000002</v>
      </c>
      <c r="Q173" s="101">
        <v>1272.5300000000002</v>
      </c>
      <c r="R173" s="101">
        <v>1246.56</v>
      </c>
      <c r="S173" s="101">
        <v>1246.56</v>
      </c>
      <c r="T173" s="101">
        <f t="shared" si="93"/>
        <v>16065.43</v>
      </c>
      <c r="U173" s="101"/>
      <c r="V173" s="102">
        <f t="shared" si="87"/>
        <v>54</v>
      </c>
      <c r="W173" s="102">
        <f t="shared" si="87"/>
        <v>54</v>
      </c>
      <c r="X173" s="102">
        <f t="shared" si="87"/>
        <v>55</v>
      </c>
      <c r="Y173" s="102">
        <f t="shared" si="87"/>
        <v>56</v>
      </c>
      <c r="Z173" s="102">
        <f t="shared" si="87"/>
        <v>52</v>
      </c>
      <c r="AA173" s="102">
        <f t="shared" si="87"/>
        <v>51.5</v>
      </c>
      <c r="AB173" s="102">
        <f t="shared" si="87"/>
        <v>50.000000000000007</v>
      </c>
      <c r="AC173" s="102">
        <f t="shared" si="88"/>
        <v>50.2502887947632</v>
      </c>
      <c r="AD173" s="102">
        <f t="shared" si="88"/>
        <v>49.000000000000007</v>
      </c>
      <c r="AE173" s="102">
        <f t="shared" si="88"/>
        <v>49.000000000000007</v>
      </c>
      <c r="AF173" s="102">
        <f t="shared" si="88"/>
        <v>48</v>
      </c>
      <c r="AG173" s="102">
        <f t="shared" si="88"/>
        <v>48</v>
      </c>
      <c r="AH173" s="126">
        <f t="shared" si="94"/>
        <v>616.75028879476326</v>
      </c>
      <c r="AI173" s="103">
        <f t="shared" si="78"/>
        <v>51.395857399563603</v>
      </c>
      <c r="AJ173" s="86"/>
      <c r="AK173" s="98">
        <v>65</v>
      </c>
      <c r="AN173" s="98">
        <v>1</v>
      </c>
      <c r="AO173" s="128">
        <f t="shared" si="95"/>
        <v>51.395857399563603</v>
      </c>
      <c r="AP173" s="129">
        <f t="shared" si="96"/>
        <v>5.9976905311778284</v>
      </c>
      <c r="AQ173" s="129">
        <f t="shared" ca="1" si="97"/>
        <v>6.3027703469777796</v>
      </c>
      <c r="AR173" s="89">
        <f t="shared" ca="1" si="84"/>
        <v>27.290995602413787</v>
      </c>
      <c r="AS173" s="90">
        <f t="shared" ca="1" si="89"/>
        <v>16831.729419285319</v>
      </c>
      <c r="AT173" s="90">
        <f t="shared" ca="1" si="79"/>
        <v>766.29941928531844</v>
      </c>
      <c r="AV173" s="403">
        <f t="shared" ca="1" si="85"/>
        <v>65.280795811886748</v>
      </c>
      <c r="AW173" s="403">
        <f t="shared" ca="1" si="86"/>
        <v>16897.010215097205</v>
      </c>
    </row>
    <row r="174" spans="1:49" s="98" customFormat="1">
      <c r="A174" s="98" t="str">
        <f t="shared" si="80"/>
        <v>Lewis County UTCSL065.0GEO002NORECC</v>
      </c>
      <c r="B174" s="98">
        <f t="shared" si="81"/>
        <v>1</v>
      </c>
      <c r="C174" s="127" t="s">
        <v>542</v>
      </c>
      <c r="D174" s="127" t="s">
        <v>543</v>
      </c>
      <c r="E174" s="100">
        <v>26.17</v>
      </c>
      <c r="F174" s="100">
        <v>26.04</v>
      </c>
      <c r="G174" s="100" t="s">
        <v>357</v>
      </c>
      <c r="H174" s="101">
        <v>26.17</v>
      </c>
      <c r="I174" s="101">
        <v>26.17</v>
      </c>
      <c r="J174" s="101">
        <v>26.17</v>
      </c>
      <c r="K174" s="101">
        <v>26.17</v>
      </c>
      <c r="L174" s="101">
        <v>26.17</v>
      </c>
      <c r="M174" s="101">
        <v>26.17</v>
      </c>
      <c r="N174" s="101">
        <v>26.17</v>
      </c>
      <c r="O174" s="101">
        <v>26.17</v>
      </c>
      <c r="P174" s="101">
        <v>26.04</v>
      </c>
      <c r="Q174" s="101">
        <v>26.04</v>
      </c>
      <c r="R174" s="101">
        <v>26.04</v>
      </c>
      <c r="S174" s="101">
        <v>26.04</v>
      </c>
      <c r="T174" s="101">
        <f t="shared" si="93"/>
        <v>313.5200000000001</v>
      </c>
      <c r="U174" s="101"/>
      <c r="V174" s="102">
        <f t="shared" si="87"/>
        <v>1</v>
      </c>
      <c r="W174" s="102">
        <f t="shared" si="87"/>
        <v>1</v>
      </c>
      <c r="X174" s="102">
        <f t="shared" si="87"/>
        <v>1</v>
      </c>
      <c r="Y174" s="102">
        <f t="shared" si="87"/>
        <v>1</v>
      </c>
      <c r="Z174" s="102">
        <f t="shared" si="87"/>
        <v>1</v>
      </c>
      <c r="AA174" s="102">
        <f t="shared" si="87"/>
        <v>1</v>
      </c>
      <c r="AB174" s="102">
        <f t="shared" si="87"/>
        <v>1</v>
      </c>
      <c r="AC174" s="102">
        <f t="shared" si="88"/>
        <v>1.0049923195084487</v>
      </c>
      <c r="AD174" s="102">
        <f t="shared" si="88"/>
        <v>1</v>
      </c>
      <c r="AE174" s="102">
        <f t="shared" si="88"/>
        <v>1</v>
      </c>
      <c r="AF174" s="102">
        <f t="shared" si="88"/>
        <v>1</v>
      </c>
      <c r="AG174" s="102">
        <f t="shared" si="88"/>
        <v>1</v>
      </c>
      <c r="AH174" s="126">
        <f t="shared" si="94"/>
        <v>12.00499231950845</v>
      </c>
      <c r="AI174" s="103">
        <f t="shared" si="78"/>
        <v>1.0004160266257041</v>
      </c>
      <c r="AJ174" s="86"/>
      <c r="AK174" s="98">
        <v>65</v>
      </c>
      <c r="AN174" s="98">
        <v>2</v>
      </c>
      <c r="AO174" s="128">
        <f t="shared" si="95"/>
        <v>2.0008320532514081</v>
      </c>
      <c r="AP174" s="129">
        <f t="shared" si="96"/>
        <v>6.0138568129330254</v>
      </c>
      <c r="AQ174" s="129">
        <f t="shared" ca="1" si="97"/>
        <v>6.3197589462957797</v>
      </c>
      <c r="AR174" s="89">
        <f t="shared" ca="1" si="84"/>
        <v>27.364556237460725</v>
      </c>
      <c r="AS174" s="90">
        <f t="shared" ca="1" si="89"/>
        <v>328.51128745747303</v>
      </c>
      <c r="AT174" s="90">
        <f t="shared" ca="1" si="79"/>
        <v>14.991287457472936</v>
      </c>
      <c r="AV174" s="403">
        <f t="shared" ca="1" si="85"/>
        <v>1.2741102084162372</v>
      </c>
      <c r="AW174" s="403">
        <f t="shared" ca="1" si="86"/>
        <v>329.78539766588926</v>
      </c>
    </row>
    <row r="175" spans="1:49" s="98" customFormat="1">
      <c r="A175" s="98" t="str">
        <f t="shared" si="80"/>
        <v>Lewis County UTCSL095.0G1W001NORECC</v>
      </c>
      <c r="B175" s="98">
        <f t="shared" si="81"/>
        <v>1</v>
      </c>
      <c r="C175" s="127" t="s">
        <v>544</v>
      </c>
      <c r="D175" s="127" t="s">
        <v>545</v>
      </c>
      <c r="E175" s="100">
        <v>36.04</v>
      </c>
      <c r="F175" s="100">
        <v>35.909999999999997</v>
      </c>
      <c r="G175" s="100" t="s">
        <v>357</v>
      </c>
      <c r="H175" s="101">
        <v>5000.5499999999993</v>
      </c>
      <c r="I175" s="101">
        <v>5063.62</v>
      </c>
      <c r="J175" s="101">
        <v>5036.59</v>
      </c>
      <c r="K175" s="101">
        <v>5081.6399999999994</v>
      </c>
      <c r="L175" s="101">
        <v>5139.2700000000004</v>
      </c>
      <c r="M175" s="101">
        <v>5308.68</v>
      </c>
      <c r="N175" s="101">
        <v>5692.5</v>
      </c>
      <c r="O175" s="101">
        <v>5622.23</v>
      </c>
      <c r="P175" s="101">
        <v>5740.4100000000008</v>
      </c>
      <c r="Q175" s="101">
        <v>5706.2300000000005</v>
      </c>
      <c r="R175" s="101">
        <v>5855.27</v>
      </c>
      <c r="S175" s="101">
        <v>5871.44</v>
      </c>
      <c r="T175" s="101">
        <f t="shared" si="93"/>
        <v>65118.430000000008</v>
      </c>
      <c r="U175" s="101"/>
      <c r="V175" s="102">
        <f t="shared" ref="V175:AB191" si="98">IFERROR(H175/$E175,0)</f>
        <v>138.74999999999997</v>
      </c>
      <c r="W175" s="102">
        <f t="shared" si="98"/>
        <v>140.5</v>
      </c>
      <c r="X175" s="102">
        <f t="shared" si="98"/>
        <v>139.75</v>
      </c>
      <c r="Y175" s="102">
        <f t="shared" si="98"/>
        <v>141</v>
      </c>
      <c r="Z175" s="102">
        <f t="shared" si="98"/>
        <v>142.59905660377359</v>
      </c>
      <c r="AA175" s="102">
        <f t="shared" si="98"/>
        <v>147.29966703662598</v>
      </c>
      <c r="AB175" s="102">
        <f t="shared" si="98"/>
        <v>157.94950055493896</v>
      </c>
      <c r="AC175" s="102">
        <f t="shared" ref="AC175:AG191" si="99">IFERROR(O175/$F175,0)</f>
        <v>156.56446672236146</v>
      </c>
      <c r="AD175" s="102">
        <f t="shared" si="99"/>
        <v>159.85547201336678</v>
      </c>
      <c r="AE175" s="102">
        <f t="shared" si="99"/>
        <v>158.9036480089112</v>
      </c>
      <c r="AF175" s="102">
        <f t="shared" si="99"/>
        <v>163.05402394876083</v>
      </c>
      <c r="AG175" s="102">
        <f t="shared" si="99"/>
        <v>163.5043163464216</v>
      </c>
      <c r="AH175" s="126">
        <f t="shared" si="94"/>
        <v>1809.7301512351605</v>
      </c>
      <c r="AI175" s="103">
        <f t="shared" si="78"/>
        <v>150.81084593626338</v>
      </c>
      <c r="AJ175" s="86"/>
      <c r="AK175" s="98">
        <v>95</v>
      </c>
      <c r="AN175" s="98">
        <v>1</v>
      </c>
      <c r="AO175" s="128">
        <f t="shared" si="95"/>
        <v>150.81084593626338</v>
      </c>
      <c r="AP175" s="129">
        <f t="shared" si="96"/>
        <v>8.2933025404157039</v>
      </c>
      <c r="AQ175" s="129">
        <f t="shared" ca="1" si="97"/>
        <v>8.7151514501336944</v>
      </c>
      <c r="AR175" s="89">
        <f t="shared" ca="1" si="84"/>
        <v>37.7366057790789</v>
      </c>
      <c r="AS175" s="90">
        <f t="shared" ca="1" si="89"/>
        <v>68293.073283674079</v>
      </c>
      <c r="AT175" s="90">
        <f t="shared" ca="1" si="79"/>
        <v>3174.6432836740714</v>
      </c>
      <c r="AV175" s="403">
        <f t="shared" ca="1" si="85"/>
        <v>264.87035653565317</v>
      </c>
      <c r="AW175" s="403">
        <f t="shared" ca="1" si="86"/>
        <v>68557.943640209734</v>
      </c>
    </row>
    <row r="176" spans="1:49" s="98" customFormat="1">
      <c r="A176" s="98" t="str">
        <f t="shared" si="80"/>
        <v>Lewis County UTCSL095.0GEO001NORECC</v>
      </c>
      <c r="B176" s="98">
        <f t="shared" si="81"/>
        <v>1</v>
      </c>
      <c r="C176" s="127" t="s">
        <v>546</v>
      </c>
      <c r="D176" s="127" t="s">
        <v>547</v>
      </c>
      <c r="E176" s="100">
        <v>36.04</v>
      </c>
      <c r="F176" s="100">
        <v>35.909999999999997</v>
      </c>
      <c r="G176" s="100" t="s">
        <v>357</v>
      </c>
      <c r="H176" s="101">
        <v>594.66000000000008</v>
      </c>
      <c r="I176" s="101">
        <v>576.64</v>
      </c>
      <c r="J176" s="101">
        <v>612.67999999999995</v>
      </c>
      <c r="K176" s="101">
        <v>612.67999999999995</v>
      </c>
      <c r="L176" s="101">
        <v>612.67999999999995</v>
      </c>
      <c r="M176" s="101">
        <v>598.26</v>
      </c>
      <c r="N176" s="101">
        <v>612.68000000000006</v>
      </c>
      <c r="O176" s="101">
        <v>609.06999999999994</v>
      </c>
      <c r="P176" s="101">
        <v>646.37999999999988</v>
      </c>
      <c r="Q176" s="101">
        <v>574.55999999999995</v>
      </c>
      <c r="R176" s="101">
        <v>610.46999999999991</v>
      </c>
      <c r="S176" s="101">
        <v>574.55999999999995</v>
      </c>
      <c r="T176" s="101">
        <f t="shared" si="93"/>
        <v>7235.32</v>
      </c>
      <c r="U176" s="101"/>
      <c r="V176" s="102">
        <f t="shared" si="98"/>
        <v>16.500000000000004</v>
      </c>
      <c r="W176" s="102">
        <f t="shared" si="98"/>
        <v>16</v>
      </c>
      <c r="X176" s="102">
        <f t="shared" si="98"/>
        <v>17</v>
      </c>
      <c r="Y176" s="102">
        <f t="shared" si="98"/>
        <v>17</v>
      </c>
      <c r="Z176" s="102">
        <f t="shared" si="98"/>
        <v>17</v>
      </c>
      <c r="AA176" s="102">
        <f t="shared" si="98"/>
        <v>16.599889012208656</v>
      </c>
      <c r="AB176" s="102">
        <f t="shared" si="98"/>
        <v>17.000000000000004</v>
      </c>
      <c r="AC176" s="102">
        <f t="shared" si="99"/>
        <v>16.96101364522417</v>
      </c>
      <c r="AD176" s="102">
        <f t="shared" si="99"/>
        <v>18</v>
      </c>
      <c r="AE176" s="102">
        <f t="shared" si="99"/>
        <v>16</v>
      </c>
      <c r="AF176" s="102">
        <f t="shared" si="99"/>
        <v>17</v>
      </c>
      <c r="AG176" s="102">
        <f t="shared" si="99"/>
        <v>16</v>
      </c>
      <c r="AH176" s="126">
        <f t="shared" si="94"/>
        <v>201.06090265743282</v>
      </c>
      <c r="AI176" s="103">
        <f t="shared" si="78"/>
        <v>16.755075221452735</v>
      </c>
      <c r="AJ176" s="86"/>
      <c r="AK176" s="98">
        <v>95</v>
      </c>
      <c r="AN176" s="98">
        <v>1</v>
      </c>
      <c r="AO176" s="128">
        <f t="shared" si="95"/>
        <v>16.755075221452735</v>
      </c>
      <c r="AP176" s="129">
        <f t="shared" si="96"/>
        <v>8.2933025404157039</v>
      </c>
      <c r="AQ176" s="129">
        <f t="shared" ca="1" si="97"/>
        <v>8.7151514501336944</v>
      </c>
      <c r="AR176" s="89">
        <f t="shared" ca="1" si="84"/>
        <v>37.7366057790789</v>
      </c>
      <c r="AS176" s="90">
        <f t="shared" ca="1" si="89"/>
        <v>7587.3560211692984</v>
      </c>
      <c r="AT176" s="90">
        <f t="shared" ca="1" si="79"/>
        <v>352.03602116929869</v>
      </c>
      <c r="AV176" s="403">
        <f t="shared" ca="1" si="85"/>
        <v>29.427079465912268</v>
      </c>
      <c r="AW176" s="403">
        <f t="shared" ca="1" si="86"/>
        <v>7616.7831006352108</v>
      </c>
    </row>
    <row r="177" spans="1:49">
      <c r="A177" s="38" t="str">
        <f t="shared" si="80"/>
        <v>Lewis County UTCSP1.5-COMM</v>
      </c>
      <c r="B177" s="38">
        <f t="shared" si="81"/>
        <v>1</v>
      </c>
      <c r="C177" s="97" t="s">
        <v>548</v>
      </c>
      <c r="D177" s="97" t="s">
        <v>549</v>
      </c>
      <c r="E177" s="69">
        <v>45.28</v>
      </c>
      <c r="F177" s="69">
        <v>45.09</v>
      </c>
      <c r="G177" s="69" t="s">
        <v>368</v>
      </c>
      <c r="H177" s="88">
        <v>0</v>
      </c>
      <c r="I177" s="88">
        <v>226.4</v>
      </c>
      <c r="J177" s="88">
        <v>45.28</v>
      </c>
      <c r="K177" s="88">
        <v>90.56</v>
      </c>
      <c r="L177" s="88">
        <v>45.28</v>
      </c>
      <c r="M177" s="88">
        <v>45.28</v>
      </c>
      <c r="N177" s="88">
        <v>0</v>
      </c>
      <c r="O177" s="88">
        <v>181.12</v>
      </c>
      <c r="P177" s="88">
        <v>90.18</v>
      </c>
      <c r="Q177" s="88">
        <v>45.09</v>
      </c>
      <c r="R177" s="88">
        <v>90.18</v>
      </c>
      <c r="S177" s="88">
        <v>90.18</v>
      </c>
      <c r="T177" s="88">
        <f t="shared" si="93"/>
        <v>949.55</v>
      </c>
      <c r="U177" s="88"/>
      <c r="V177" s="86">
        <f t="shared" si="98"/>
        <v>0</v>
      </c>
      <c r="W177" s="86">
        <f t="shared" si="98"/>
        <v>5</v>
      </c>
      <c r="X177" s="86">
        <f t="shared" si="98"/>
        <v>1</v>
      </c>
      <c r="Y177" s="86">
        <f t="shared" si="98"/>
        <v>2</v>
      </c>
      <c r="Z177" s="86">
        <f t="shared" si="98"/>
        <v>1</v>
      </c>
      <c r="AA177" s="86">
        <f t="shared" si="98"/>
        <v>1</v>
      </c>
      <c r="AB177" s="86">
        <f t="shared" si="98"/>
        <v>0</v>
      </c>
      <c r="AC177" s="86">
        <f t="shared" si="99"/>
        <v>4.0168551785318254</v>
      </c>
      <c r="AD177" s="86">
        <f t="shared" si="99"/>
        <v>2</v>
      </c>
      <c r="AE177" s="86">
        <f t="shared" si="99"/>
        <v>1</v>
      </c>
      <c r="AF177" s="86">
        <f t="shared" si="99"/>
        <v>2</v>
      </c>
      <c r="AG177" s="86">
        <f t="shared" si="99"/>
        <v>2</v>
      </c>
      <c r="AH177" s="126">
        <f t="shared" si="94"/>
        <v>21.016855178531827</v>
      </c>
      <c r="AI177" s="70">
        <f t="shared" si="78"/>
        <v>1.7514045982109856</v>
      </c>
      <c r="AJ177" s="86"/>
      <c r="AR177" s="89">
        <f t="shared" ca="1" si="84"/>
        <v>47.383557632377276</v>
      </c>
      <c r="AS177" s="90">
        <f t="shared" ca="1" si="89"/>
        <v>995.85336860328971</v>
      </c>
      <c r="AT177" s="90">
        <f t="shared" ca="1" si="79"/>
        <v>46.303368603289755</v>
      </c>
      <c r="AV177" s="403">
        <f t="shared" ca="1" si="85"/>
        <v>3.8623541761480675</v>
      </c>
      <c r="AW177" s="403">
        <f t="shared" ca="1" si="86"/>
        <v>999.71572277943778</v>
      </c>
    </row>
    <row r="178" spans="1:49">
      <c r="A178" s="38" t="str">
        <f t="shared" si="80"/>
        <v>Lewis County UTCSP1-COMM</v>
      </c>
      <c r="B178" s="38">
        <f t="shared" si="81"/>
        <v>1</v>
      </c>
      <c r="C178" s="97" t="s">
        <v>550</v>
      </c>
      <c r="D178" s="97" t="s">
        <v>551</v>
      </c>
      <c r="E178" s="69">
        <v>36.01</v>
      </c>
      <c r="F178" s="69">
        <v>35.86</v>
      </c>
      <c r="G178" s="69" t="s">
        <v>368</v>
      </c>
      <c r="H178" s="88">
        <v>72.02</v>
      </c>
      <c r="I178" s="88">
        <v>108.03</v>
      </c>
      <c r="J178" s="88">
        <v>72.02</v>
      </c>
      <c r="K178" s="88">
        <v>108.03</v>
      </c>
      <c r="L178" s="88">
        <v>108.03</v>
      </c>
      <c r="M178" s="88">
        <v>144.04</v>
      </c>
      <c r="N178" s="88">
        <v>144.04</v>
      </c>
      <c r="O178" s="88">
        <v>144.04</v>
      </c>
      <c r="P178" s="88">
        <v>107.58</v>
      </c>
      <c r="Q178" s="88">
        <v>0</v>
      </c>
      <c r="R178" s="88">
        <v>71.72</v>
      </c>
      <c r="S178" s="88">
        <v>71.72</v>
      </c>
      <c r="T178" s="88">
        <f t="shared" si="93"/>
        <v>1151.27</v>
      </c>
      <c r="U178" s="88"/>
      <c r="V178" s="86">
        <f t="shared" si="98"/>
        <v>2</v>
      </c>
      <c r="W178" s="86">
        <f t="shared" si="98"/>
        <v>3</v>
      </c>
      <c r="X178" s="86">
        <f t="shared" si="98"/>
        <v>2</v>
      </c>
      <c r="Y178" s="86">
        <f t="shared" si="98"/>
        <v>3</v>
      </c>
      <c r="Z178" s="86">
        <f t="shared" si="98"/>
        <v>3</v>
      </c>
      <c r="AA178" s="86">
        <f t="shared" si="98"/>
        <v>4</v>
      </c>
      <c r="AB178" s="86">
        <f t="shared" si="98"/>
        <v>4</v>
      </c>
      <c r="AC178" s="86">
        <f t="shared" si="99"/>
        <v>4.0167317345231455</v>
      </c>
      <c r="AD178" s="86">
        <f t="shared" si="99"/>
        <v>3</v>
      </c>
      <c r="AE178" s="86">
        <f t="shared" si="99"/>
        <v>0</v>
      </c>
      <c r="AF178" s="86">
        <f t="shared" si="99"/>
        <v>2</v>
      </c>
      <c r="AG178" s="86">
        <f t="shared" si="99"/>
        <v>2</v>
      </c>
      <c r="AH178" s="126">
        <f t="shared" si="94"/>
        <v>32.016731734523148</v>
      </c>
      <c r="AI178" s="70">
        <f t="shared" si="78"/>
        <v>2.6680609778769289</v>
      </c>
      <c r="AJ178" s="86"/>
      <c r="AR178" s="89">
        <f t="shared" ca="1" si="84"/>
        <v>37.684062468331092</v>
      </c>
      <c r="AS178" s="90">
        <f t="shared" ca="1" si="89"/>
        <v>1206.5205187155689</v>
      </c>
      <c r="AT178" s="90">
        <f t="shared" ca="1" si="79"/>
        <v>55.250518715568887</v>
      </c>
      <c r="AV178" s="403">
        <f t="shared" ca="1" si="85"/>
        <v>4.6794133664529296</v>
      </c>
      <c r="AW178" s="403">
        <f t="shared" ca="1" si="86"/>
        <v>1211.1999320820219</v>
      </c>
    </row>
    <row r="179" spans="1:49">
      <c r="A179" s="38" t="str">
        <f t="shared" si="80"/>
        <v>Lewis County UTCSP2-COMM</v>
      </c>
      <c r="B179" s="38">
        <f t="shared" si="81"/>
        <v>1</v>
      </c>
      <c r="C179" s="97" t="s">
        <v>552</v>
      </c>
      <c r="D179" s="97" t="s">
        <v>553</v>
      </c>
      <c r="E179" s="69">
        <v>51.28</v>
      </c>
      <c r="F179" s="69">
        <v>51.06</v>
      </c>
      <c r="G179" s="69" t="s">
        <v>368</v>
      </c>
      <c r="H179" s="88">
        <v>153.84</v>
      </c>
      <c r="I179" s="88">
        <v>410.24</v>
      </c>
      <c r="J179" s="88">
        <v>153.84</v>
      </c>
      <c r="K179" s="88">
        <v>51.28</v>
      </c>
      <c r="L179" s="88">
        <v>0</v>
      </c>
      <c r="M179" s="88">
        <v>205.12</v>
      </c>
      <c r="N179" s="88">
        <v>1128.1599999999999</v>
      </c>
      <c r="O179" s="88">
        <v>153.84</v>
      </c>
      <c r="P179" s="88">
        <v>102.12</v>
      </c>
      <c r="Q179" s="88">
        <v>102.12</v>
      </c>
      <c r="R179" s="88">
        <v>153.18</v>
      </c>
      <c r="S179" s="88">
        <v>51.06</v>
      </c>
      <c r="T179" s="88">
        <f t="shared" si="93"/>
        <v>2664.7999999999997</v>
      </c>
      <c r="U179" s="88"/>
      <c r="V179" s="86">
        <f t="shared" si="98"/>
        <v>3</v>
      </c>
      <c r="W179" s="86">
        <f t="shared" si="98"/>
        <v>8</v>
      </c>
      <c r="X179" s="86">
        <f t="shared" si="98"/>
        <v>3</v>
      </c>
      <c r="Y179" s="86">
        <f t="shared" si="98"/>
        <v>1</v>
      </c>
      <c r="Z179" s="86">
        <f t="shared" si="98"/>
        <v>0</v>
      </c>
      <c r="AA179" s="86">
        <f t="shared" si="98"/>
        <v>4</v>
      </c>
      <c r="AB179" s="86">
        <f t="shared" si="98"/>
        <v>21.999999999999996</v>
      </c>
      <c r="AC179" s="86">
        <f t="shared" si="99"/>
        <v>3.0129259694477084</v>
      </c>
      <c r="AD179" s="86">
        <f t="shared" si="99"/>
        <v>2</v>
      </c>
      <c r="AE179" s="86">
        <f t="shared" si="99"/>
        <v>2</v>
      </c>
      <c r="AF179" s="86">
        <f t="shared" si="99"/>
        <v>3</v>
      </c>
      <c r="AG179" s="86">
        <f t="shared" si="99"/>
        <v>1</v>
      </c>
      <c r="AH179" s="126">
        <f t="shared" si="94"/>
        <v>52.012925969447707</v>
      </c>
      <c r="AI179" s="70">
        <f t="shared" si="78"/>
        <v>4.3344104974539759</v>
      </c>
      <c r="AJ179" s="86"/>
      <c r="AR179" s="89">
        <f t="shared" ca="1" si="84"/>
        <v>53.657228935666083</v>
      </c>
      <c r="AS179" s="90">
        <f t="shared" ca="1" si="89"/>
        <v>2790.8694763565077</v>
      </c>
      <c r="AT179" s="90">
        <f t="shared" ca="1" si="79"/>
        <v>126.06947635650795</v>
      </c>
      <c r="AV179" s="403">
        <f t="shared" ca="1" si="85"/>
        <v>10.82421038772808</v>
      </c>
      <c r="AW179" s="403">
        <f t="shared" ca="1" si="86"/>
        <v>2801.6936867442359</v>
      </c>
    </row>
    <row r="180" spans="1:49">
      <c r="A180" s="38" t="str">
        <f t="shared" si="80"/>
        <v>Lewis County UTCSP3-COMM</v>
      </c>
      <c r="B180" s="38">
        <f t="shared" si="81"/>
        <v>1</v>
      </c>
      <c r="C180" s="97" t="s">
        <v>554</v>
      </c>
      <c r="D180" s="97" t="s">
        <v>555</v>
      </c>
      <c r="E180" s="69">
        <v>58.97</v>
      </c>
      <c r="F180" s="69">
        <v>58.72</v>
      </c>
      <c r="G180" s="69" t="s">
        <v>368</v>
      </c>
      <c r="H180" s="88">
        <v>0</v>
      </c>
      <c r="I180" s="88">
        <v>0</v>
      </c>
      <c r="J180" s="88">
        <v>0</v>
      </c>
      <c r="K180" s="88">
        <v>58.97</v>
      </c>
      <c r="L180" s="88">
        <v>176.91</v>
      </c>
      <c r="M180" s="88">
        <v>58.97</v>
      </c>
      <c r="N180" s="88">
        <v>0</v>
      </c>
      <c r="O180" s="88">
        <v>176.91</v>
      </c>
      <c r="P180" s="88">
        <v>176.66</v>
      </c>
      <c r="Q180" s="88">
        <v>0</v>
      </c>
      <c r="R180" s="88">
        <v>0</v>
      </c>
      <c r="S180" s="88">
        <v>0</v>
      </c>
      <c r="T180" s="88">
        <f t="shared" si="93"/>
        <v>648.41999999999996</v>
      </c>
      <c r="U180" s="88"/>
      <c r="V180" s="86">
        <f t="shared" si="98"/>
        <v>0</v>
      </c>
      <c r="W180" s="86">
        <f t="shared" si="98"/>
        <v>0</v>
      </c>
      <c r="X180" s="86">
        <f t="shared" si="98"/>
        <v>0</v>
      </c>
      <c r="Y180" s="86">
        <f t="shared" si="98"/>
        <v>1</v>
      </c>
      <c r="Z180" s="86">
        <f t="shared" si="98"/>
        <v>3</v>
      </c>
      <c r="AA180" s="86">
        <f t="shared" si="98"/>
        <v>1</v>
      </c>
      <c r="AB180" s="86">
        <f t="shared" si="98"/>
        <v>0</v>
      </c>
      <c r="AC180" s="86">
        <f t="shared" si="99"/>
        <v>3.0127724795640325</v>
      </c>
      <c r="AD180" s="86">
        <f t="shared" si="99"/>
        <v>3.0085149863760217</v>
      </c>
      <c r="AE180" s="86">
        <f t="shared" si="99"/>
        <v>0</v>
      </c>
      <c r="AF180" s="86">
        <f t="shared" si="99"/>
        <v>0</v>
      </c>
      <c r="AG180" s="86">
        <f t="shared" si="99"/>
        <v>0</v>
      </c>
      <c r="AH180" s="126">
        <f t="shared" si="94"/>
        <v>11.021287465940055</v>
      </c>
      <c r="AI180" s="70">
        <f t="shared" si="78"/>
        <v>0.91844062216167133</v>
      </c>
      <c r="AJ180" s="86"/>
      <c r="AR180" s="89">
        <f t="shared" ca="1" si="84"/>
        <v>61.706864142230948</v>
      </c>
      <c r="AS180" s="90">
        <f t="shared" ca="1" si="89"/>
        <v>680.08908833323585</v>
      </c>
      <c r="AT180" s="90">
        <f t="shared" ca="1" si="79"/>
        <v>31.669088333235891</v>
      </c>
      <c r="AV180" s="403">
        <f t="shared" ca="1" si="85"/>
        <v>2.6376824272439663</v>
      </c>
      <c r="AW180" s="403">
        <f t="shared" ca="1" si="86"/>
        <v>682.72677076047978</v>
      </c>
    </row>
    <row r="181" spans="1:49">
      <c r="A181" s="38" t="str">
        <f t="shared" si="80"/>
        <v>Lewis County UTCSP4-COMM</v>
      </c>
      <c r="B181" s="38">
        <f t="shared" si="81"/>
        <v>1</v>
      </c>
      <c r="C181" s="97" t="s">
        <v>556</v>
      </c>
      <c r="D181" s="97" t="s">
        <v>557</v>
      </c>
      <c r="E181" s="69">
        <v>69.849999999999994</v>
      </c>
      <c r="F181" s="69">
        <v>69.56</v>
      </c>
      <c r="G181" s="69" t="s">
        <v>368</v>
      </c>
      <c r="H181" s="88">
        <v>209.54999999999998</v>
      </c>
      <c r="I181" s="88">
        <v>139.69999999999999</v>
      </c>
      <c r="J181" s="88">
        <v>139.69999999999999</v>
      </c>
      <c r="K181" s="88">
        <v>0</v>
      </c>
      <c r="L181" s="88">
        <v>69.849999999999994</v>
      </c>
      <c r="M181" s="88">
        <v>69.849999999999994</v>
      </c>
      <c r="N181" s="88">
        <v>69.849999999999994</v>
      </c>
      <c r="O181" s="88">
        <v>69.849999999999994</v>
      </c>
      <c r="P181" s="88">
        <v>69.849999999999994</v>
      </c>
      <c r="Q181" s="88">
        <v>208.68</v>
      </c>
      <c r="R181" s="88">
        <v>0</v>
      </c>
      <c r="S181" s="88">
        <v>139.12</v>
      </c>
      <c r="T181" s="88">
        <f t="shared" si="93"/>
        <v>1186</v>
      </c>
      <c r="U181" s="88"/>
      <c r="V181" s="86">
        <f t="shared" si="98"/>
        <v>3</v>
      </c>
      <c r="W181" s="86">
        <f t="shared" si="98"/>
        <v>2</v>
      </c>
      <c r="X181" s="86">
        <f t="shared" si="98"/>
        <v>2</v>
      </c>
      <c r="Y181" s="86">
        <f t="shared" si="98"/>
        <v>0</v>
      </c>
      <c r="Z181" s="86">
        <f t="shared" si="98"/>
        <v>1</v>
      </c>
      <c r="AA181" s="86">
        <f t="shared" si="98"/>
        <v>1</v>
      </c>
      <c r="AB181" s="86">
        <f t="shared" si="98"/>
        <v>1</v>
      </c>
      <c r="AC181" s="86">
        <f t="shared" si="99"/>
        <v>1.0041690626797009</v>
      </c>
      <c r="AD181" s="86">
        <f t="shared" si="99"/>
        <v>1.0041690626797009</v>
      </c>
      <c r="AE181" s="86">
        <f t="shared" si="99"/>
        <v>3</v>
      </c>
      <c r="AF181" s="86">
        <f t="shared" si="99"/>
        <v>0</v>
      </c>
      <c r="AG181" s="86">
        <f t="shared" si="99"/>
        <v>2</v>
      </c>
      <c r="AH181" s="126">
        <f t="shared" si="94"/>
        <v>17.008338125359401</v>
      </c>
      <c r="AI181" s="70">
        <f t="shared" si="78"/>
        <v>1.4173615104466168</v>
      </c>
      <c r="AJ181" s="86"/>
      <c r="AR181" s="89">
        <f t="shared" ca="1" si="84"/>
        <v>73.098253912356697</v>
      </c>
      <c r="AS181" s="90">
        <f t="shared" ca="1" si="89"/>
        <v>1243.2798189147384</v>
      </c>
      <c r="AT181" s="90">
        <f t="shared" ca="1" si="79"/>
        <v>57.279818914738371</v>
      </c>
      <c r="AV181" s="403">
        <f t="shared" ca="1" si="85"/>
        <v>4.8219819825893291</v>
      </c>
      <c r="AW181" s="403">
        <f t="shared" ca="1" si="86"/>
        <v>1248.1018008973276</v>
      </c>
    </row>
    <row r="182" spans="1:49">
      <c r="A182" s="38" t="str">
        <f t="shared" si="80"/>
        <v>Lewis County UTCSP6-COMM</v>
      </c>
      <c r="B182" s="38">
        <f t="shared" si="81"/>
        <v>1</v>
      </c>
      <c r="C182" s="97" t="s">
        <v>558</v>
      </c>
      <c r="D182" s="97" t="s">
        <v>559</v>
      </c>
      <c r="E182" s="69">
        <v>98.76</v>
      </c>
      <c r="F182" s="69">
        <v>98.35</v>
      </c>
      <c r="G182" s="69" t="s">
        <v>368</v>
      </c>
      <c r="H182" s="88">
        <v>197.52</v>
      </c>
      <c r="I182" s="88">
        <v>296.28000000000003</v>
      </c>
      <c r="J182" s="88">
        <v>0</v>
      </c>
      <c r="K182" s="88">
        <v>0</v>
      </c>
      <c r="L182" s="88">
        <v>296.28000000000003</v>
      </c>
      <c r="M182" s="88">
        <v>197.52</v>
      </c>
      <c r="N182" s="88">
        <v>0</v>
      </c>
      <c r="O182" s="88">
        <v>592.55999999999995</v>
      </c>
      <c r="P182" s="88">
        <v>590.91999999999996</v>
      </c>
      <c r="Q182" s="88">
        <v>491.75</v>
      </c>
      <c r="R182" s="88">
        <v>0</v>
      </c>
      <c r="S182" s="88">
        <v>0</v>
      </c>
      <c r="T182" s="88">
        <f t="shared" si="93"/>
        <v>2662.83</v>
      </c>
      <c r="U182" s="88"/>
      <c r="V182" s="86">
        <f t="shared" si="98"/>
        <v>2</v>
      </c>
      <c r="W182" s="86">
        <f t="shared" si="98"/>
        <v>3</v>
      </c>
      <c r="X182" s="86">
        <f t="shared" si="98"/>
        <v>0</v>
      </c>
      <c r="Y182" s="86">
        <f t="shared" si="98"/>
        <v>0</v>
      </c>
      <c r="Z182" s="86">
        <f t="shared" si="98"/>
        <v>3</v>
      </c>
      <c r="AA182" s="86">
        <f t="shared" si="98"/>
        <v>2</v>
      </c>
      <c r="AB182" s="86">
        <f t="shared" si="98"/>
        <v>0</v>
      </c>
      <c r="AC182" s="86">
        <f t="shared" si="99"/>
        <v>6.025012709710218</v>
      </c>
      <c r="AD182" s="86">
        <f t="shared" si="99"/>
        <v>6.0083375699034063</v>
      </c>
      <c r="AE182" s="86">
        <f t="shared" si="99"/>
        <v>5</v>
      </c>
      <c r="AF182" s="86">
        <f t="shared" si="99"/>
        <v>0</v>
      </c>
      <c r="AG182" s="86">
        <f t="shared" si="99"/>
        <v>0</v>
      </c>
      <c r="AH182" s="126">
        <f t="shared" si="94"/>
        <v>27.033350279613625</v>
      </c>
      <c r="AI182" s="70">
        <f t="shared" si="78"/>
        <v>2.2527791899678022</v>
      </c>
      <c r="AJ182" s="86"/>
      <c r="AR182" s="89">
        <f t="shared" ca="1" si="84"/>
        <v>103.35269224094709</v>
      </c>
      <c r="AS182" s="90">
        <f t="shared" ca="1" si="89"/>
        <v>2793.9695316906282</v>
      </c>
      <c r="AT182" s="90">
        <f t="shared" ca="1" si="79"/>
        <v>131.13953169062825</v>
      </c>
      <c r="AV182" s="403">
        <f t="shared" ca="1" si="85"/>
        <v>10.836233755869941</v>
      </c>
      <c r="AW182" s="403">
        <f t="shared" ca="1" si="86"/>
        <v>2804.8057654464983</v>
      </c>
    </row>
    <row r="183" spans="1:49">
      <c r="A183" s="38" t="str">
        <f t="shared" si="80"/>
        <v>Lewis County UTCSPCL65-COMM</v>
      </c>
      <c r="B183" s="38">
        <f t="shared" si="81"/>
        <v>1</v>
      </c>
      <c r="C183" s="38" t="s">
        <v>560</v>
      </c>
      <c r="D183" s="38" t="s">
        <v>561</v>
      </c>
      <c r="E183" s="69">
        <v>8.0299999999999994</v>
      </c>
      <c r="F183" s="69">
        <v>8</v>
      </c>
      <c r="G183" s="69" t="s">
        <v>357</v>
      </c>
      <c r="H183" s="88">
        <v>0</v>
      </c>
      <c r="I183" s="88">
        <v>0</v>
      </c>
      <c r="J183" s="88">
        <v>0</v>
      </c>
      <c r="K183" s="88">
        <v>0</v>
      </c>
      <c r="L183" s="88">
        <v>0</v>
      </c>
      <c r="M183" s="88">
        <v>0</v>
      </c>
      <c r="N183" s="88">
        <v>0</v>
      </c>
      <c r="O183" s="88">
        <v>0</v>
      </c>
      <c r="P183" s="88">
        <v>0</v>
      </c>
      <c r="Q183" s="88">
        <v>0</v>
      </c>
      <c r="R183" s="88">
        <v>0</v>
      </c>
      <c r="S183" s="88">
        <v>0</v>
      </c>
      <c r="T183" s="88">
        <f t="shared" si="93"/>
        <v>0</v>
      </c>
      <c r="U183" s="88"/>
      <c r="V183" s="86">
        <f t="shared" si="98"/>
        <v>0</v>
      </c>
      <c r="W183" s="86">
        <f t="shared" si="98"/>
        <v>0</v>
      </c>
      <c r="X183" s="86">
        <f t="shared" si="98"/>
        <v>0</v>
      </c>
      <c r="Y183" s="86">
        <f t="shared" si="98"/>
        <v>0</v>
      </c>
      <c r="Z183" s="86">
        <f t="shared" si="98"/>
        <v>0</v>
      </c>
      <c r="AA183" s="86">
        <f t="shared" si="98"/>
        <v>0</v>
      </c>
      <c r="AB183" s="86">
        <f t="shared" si="98"/>
        <v>0</v>
      </c>
      <c r="AC183" s="86">
        <f t="shared" si="99"/>
        <v>0</v>
      </c>
      <c r="AD183" s="86">
        <f t="shared" si="99"/>
        <v>0</v>
      </c>
      <c r="AE183" s="86">
        <f t="shared" si="99"/>
        <v>0</v>
      </c>
      <c r="AF183" s="86">
        <f t="shared" si="99"/>
        <v>0</v>
      </c>
      <c r="AG183" s="86">
        <f t="shared" si="99"/>
        <v>0</v>
      </c>
      <c r="AH183" s="126">
        <f t="shared" si="94"/>
        <v>0</v>
      </c>
      <c r="AI183" s="70">
        <f t="shared" si="78"/>
        <v>0</v>
      </c>
      <c r="AJ183" s="86"/>
      <c r="AR183" s="89">
        <f t="shared" ca="1" si="84"/>
        <v>8.4069297196499928</v>
      </c>
      <c r="AS183" s="90">
        <f t="shared" ca="1" si="89"/>
        <v>0</v>
      </c>
      <c r="AT183" s="90">
        <f t="shared" ca="1" si="79"/>
        <v>0</v>
      </c>
      <c r="AV183" s="403">
        <f t="shared" ca="1" si="85"/>
        <v>0</v>
      </c>
      <c r="AW183" s="403">
        <f t="shared" ca="1" si="86"/>
        <v>0</v>
      </c>
    </row>
    <row r="184" spans="1:49">
      <c r="A184" s="38" t="str">
        <f t="shared" si="80"/>
        <v>Lewis County UTCSPCL95-COMM</v>
      </c>
      <c r="B184" s="38">
        <f t="shared" si="81"/>
        <v>1</v>
      </c>
      <c r="C184" s="97" t="s">
        <v>562</v>
      </c>
      <c r="D184" s="97" t="s">
        <v>563</v>
      </c>
      <c r="E184" s="69">
        <v>10.32</v>
      </c>
      <c r="F184" s="130">
        <v>10.29</v>
      </c>
      <c r="G184" s="69" t="s">
        <v>357</v>
      </c>
      <c r="H184" s="88">
        <v>0</v>
      </c>
      <c r="I184" s="88">
        <v>0</v>
      </c>
      <c r="J184" s="88">
        <v>0</v>
      </c>
      <c r="K184" s="88">
        <v>0</v>
      </c>
      <c r="L184" s="88">
        <v>0</v>
      </c>
      <c r="M184" s="88">
        <v>0</v>
      </c>
      <c r="N184" s="88">
        <v>0</v>
      </c>
      <c r="O184" s="88">
        <v>0</v>
      </c>
      <c r="P184" s="88">
        <v>0</v>
      </c>
      <c r="Q184" s="88">
        <v>0</v>
      </c>
      <c r="R184" s="88">
        <v>0</v>
      </c>
      <c r="S184" s="88">
        <v>0</v>
      </c>
      <c r="T184" s="88">
        <f t="shared" si="93"/>
        <v>0</v>
      </c>
      <c r="U184" s="88"/>
      <c r="V184" s="86">
        <f t="shared" si="98"/>
        <v>0</v>
      </c>
      <c r="W184" s="86">
        <f t="shared" si="98"/>
        <v>0</v>
      </c>
      <c r="X184" s="86">
        <f t="shared" si="98"/>
        <v>0</v>
      </c>
      <c r="Y184" s="86">
        <f t="shared" si="98"/>
        <v>0</v>
      </c>
      <c r="Z184" s="86">
        <f t="shared" si="98"/>
        <v>0</v>
      </c>
      <c r="AA184" s="86">
        <f t="shared" si="98"/>
        <v>0</v>
      </c>
      <c r="AB184" s="86">
        <f t="shared" si="98"/>
        <v>0</v>
      </c>
      <c r="AC184" s="86">
        <f t="shared" si="99"/>
        <v>0</v>
      </c>
      <c r="AD184" s="86">
        <f t="shared" si="99"/>
        <v>0</v>
      </c>
      <c r="AE184" s="86">
        <f t="shared" si="99"/>
        <v>0</v>
      </c>
      <c r="AF184" s="86">
        <f t="shared" si="99"/>
        <v>0</v>
      </c>
      <c r="AG184" s="86">
        <f t="shared" si="99"/>
        <v>0</v>
      </c>
      <c r="AH184" s="126">
        <f t="shared" si="94"/>
        <v>0</v>
      </c>
      <c r="AI184" s="70">
        <f t="shared" si="78"/>
        <v>0</v>
      </c>
      <c r="AJ184" s="86"/>
      <c r="AR184" s="89">
        <f t="shared" ca="1" si="84"/>
        <v>10.813413351899802</v>
      </c>
      <c r="AS184" s="90">
        <f t="shared" ca="1" si="89"/>
        <v>0</v>
      </c>
      <c r="AT184" s="90">
        <f t="shared" ca="1" si="79"/>
        <v>0</v>
      </c>
      <c r="AV184" s="403">
        <f t="shared" ca="1" si="85"/>
        <v>0</v>
      </c>
      <c r="AW184" s="403">
        <f t="shared" ca="1" si="86"/>
        <v>0</v>
      </c>
    </row>
    <row r="185" spans="1:49" s="98" customFormat="1">
      <c r="A185" s="98" t="str">
        <f t="shared" si="80"/>
        <v>Lewis County UTCFL006.0Y1W003</v>
      </c>
      <c r="B185" s="98">
        <f t="shared" si="81"/>
        <v>1</v>
      </c>
      <c r="C185" s="127" t="s">
        <v>564</v>
      </c>
      <c r="D185" s="127" t="s">
        <v>565</v>
      </c>
      <c r="E185" s="100">
        <v>1122.51</v>
      </c>
      <c r="F185" s="100">
        <v>1117.79</v>
      </c>
      <c r="G185" s="100" t="s">
        <v>368</v>
      </c>
      <c r="H185" s="101">
        <v>280.62</v>
      </c>
      <c r="I185" s="101">
        <v>0</v>
      </c>
      <c r="J185" s="101">
        <v>0</v>
      </c>
      <c r="K185" s="101">
        <v>0</v>
      </c>
      <c r="L185" s="101">
        <v>1571.51</v>
      </c>
      <c r="M185" s="101">
        <v>2245.02</v>
      </c>
      <c r="N185" s="101">
        <v>2245.02</v>
      </c>
      <c r="O185" s="101">
        <v>2245.02</v>
      </c>
      <c r="P185" s="101">
        <v>1117.79</v>
      </c>
      <c r="Q185" s="101">
        <v>1117.79</v>
      </c>
      <c r="R185" s="101">
        <v>223.56</v>
      </c>
      <c r="S185" s="101">
        <v>838.34</v>
      </c>
      <c r="T185" s="101">
        <f t="shared" si="93"/>
        <v>11884.67</v>
      </c>
      <c r="U185" s="101"/>
      <c r="V185" s="102">
        <f t="shared" si="98"/>
        <v>0.24999331854504639</v>
      </c>
      <c r="W185" s="102">
        <f t="shared" si="98"/>
        <v>0</v>
      </c>
      <c r="X185" s="102">
        <f t="shared" si="98"/>
        <v>0</v>
      </c>
      <c r="Y185" s="102">
        <f t="shared" si="98"/>
        <v>0</v>
      </c>
      <c r="Z185" s="102">
        <f t="shared" si="98"/>
        <v>1.3999964365573581</v>
      </c>
      <c r="AA185" s="102">
        <f t="shared" si="98"/>
        <v>2</v>
      </c>
      <c r="AB185" s="102">
        <f t="shared" si="98"/>
        <v>2</v>
      </c>
      <c r="AC185" s="102">
        <f t="shared" si="99"/>
        <v>2.0084452356882778</v>
      </c>
      <c r="AD185" s="102">
        <f t="shared" si="99"/>
        <v>1</v>
      </c>
      <c r="AE185" s="102">
        <f t="shared" si="99"/>
        <v>1</v>
      </c>
      <c r="AF185" s="102">
        <f t="shared" si="99"/>
        <v>0.20000178924484921</v>
      </c>
      <c r="AG185" s="102">
        <f t="shared" si="99"/>
        <v>0.74999776344393854</v>
      </c>
      <c r="AH185" s="126">
        <f t="shared" si="94"/>
        <v>10.608434543479468</v>
      </c>
      <c r="AI185" s="103">
        <f t="shared" si="78"/>
        <v>0.88403621195662241</v>
      </c>
      <c r="AJ185" s="86"/>
      <c r="AN185" s="98">
        <v>3</v>
      </c>
      <c r="AO185" s="128">
        <f>+AN185*AI185</f>
        <v>2.6521086358698671</v>
      </c>
      <c r="AR185" s="89">
        <f t="shared" ca="1" si="84"/>
        <v>1174.6477464159457</v>
      </c>
      <c r="AS185" s="90">
        <f t="shared" ca="1" si="89"/>
        <v>12461.173729499231</v>
      </c>
      <c r="AT185" s="90">
        <f t="shared" ca="1" si="79"/>
        <v>576.50372949923076</v>
      </c>
      <c r="AV185" s="403">
        <f t="shared" ca="1" si="85"/>
        <v>48.329872560797554</v>
      </c>
      <c r="AW185" s="403">
        <f t="shared" ca="1" si="86"/>
        <v>12509.503602060029</v>
      </c>
    </row>
    <row r="186" spans="1:49" s="98" customFormat="1">
      <c r="A186" s="98" t="str">
        <f t="shared" si="80"/>
        <v>Lewis County UTCRL002.0Y2W003</v>
      </c>
      <c r="B186" s="98">
        <f t="shared" si="81"/>
        <v>1</v>
      </c>
      <c r="C186" s="127" t="s">
        <v>566</v>
      </c>
      <c r="D186" s="127" t="s">
        <v>567</v>
      </c>
      <c r="E186" s="100">
        <v>878.94</v>
      </c>
      <c r="F186" s="100">
        <v>875.39</v>
      </c>
      <c r="G186" s="100" t="s">
        <v>368</v>
      </c>
      <c r="H186" s="101">
        <v>878.94</v>
      </c>
      <c r="I186" s="101">
        <v>878.94</v>
      </c>
      <c r="J186" s="101">
        <v>878.94</v>
      </c>
      <c r="K186" s="101">
        <v>878.94</v>
      </c>
      <c r="L186" s="101">
        <v>878.94</v>
      </c>
      <c r="M186" s="101">
        <v>878.94</v>
      </c>
      <c r="N186" s="101">
        <v>878.94</v>
      </c>
      <c r="O186" s="101">
        <v>878.94</v>
      </c>
      <c r="P186" s="101">
        <v>875.39</v>
      </c>
      <c r="Q186" s="101">
        <v>875.39</v>
      </c>
      <c r="R186" s="101">
        <v>875.39</v>
      </c>
      <c r="S186" s="101">
        <v>875.39</v>
      </c>
      <c r="T186" s="101">
        <f t="shared" si="93"/>
        <v>10533.080000000002</v>
      </c>
      <c r="U186" s="101"/>
      <c r="V186" s="102">
        <f t="shared" si="98"/>
        <v>1</v>
      </c>
      <c r="W186" s="102">
        <f t="shared" si="98"/>
        <v>1</v>
      </c>
      <c r="X186" s="102">
        <f t="shared" si="98"/>
        <v>1</v>
      </c>
      <c r="Y186" s="102">
        <f t="shared" si="98"/>
        <v>1</v>
      </c>
      <c r="Z186" s="102">
        <f t="shared" si="98"/>
        <v>1</v>
      </c>
      <c r="AA186" s="102">
        <f t="shared" si="98"/>
        <v>1</v>
      </c>
      <c r="AB186" s="102">
        <f t="shared" si="98"/>
        <v>1</v>
      </c>
      <c r="AC186" s="102">
        <f t="shared" si="99"/>
        <v>1.0040553353362502</v>
      </c>
      <c r="AD186" s="102">
        <f t="shared" si="99"/>
        <v>1</v>
      </c>
      <c r="AE186" s="102">
        <f t="shared" si="99"/>
        <v>1</v>
      </c>
      <c r="AF186" s="102">
        <f t="shared" si="99"/>
        <v>1</v>
      </c>
      <c r="AG186" s="102">
        <f t="shared" si="99"/>
        <v>1</v>
      </c>
      <c r="AH186" s="126">
        <f t="shared" si="94"/>
        <v>12.00405533533625</v>
      </c>
      <c r="AI186" s="103">
        <f t="shared" si="78"/>
        <v>1.0003379446113543</v>
      </c>
      <c r="AJ186" s="86"/>
      <c r="AN186" s="98">
        <v>3</v>
      </c>
      <c r="AO186" s="128">
        <f>+AN186*AI186</f>
        <v>3.0010138338340626</v>
      </c>
      <c r="AR186" s="89">
        <f t="shared" ca="1" si="84"/>
        <v>919.91777591055086</v>
      </c>
      <c r="AS186" s="90">
        <f t="shared" ca="1" si="89"/>
        <v>11042.743885989707</v>
      </c>
      <c r="AT186" s="90">
        <f t="shared" ca="1" si="79"/>
        <v>509.6638859897048</v>
      </c>
      <c r="AV186" s="403">
        <f t="shared" ca="1" si="85"/>
        <v>42.828582308261915</v>
      </c>
      <c r="AW186" s="403">
        <f t="shared" ca="1" si="86"/>
        <v>11085.572468297969</v>
      </c>
    </row>
    <row r="187" spans="1:49">
      <c r="A187" s="38" t="str">
        <f t="shared" si="80"/>
        <v>Lewis County UTCTIMENP-COMM</v>
      </c>
      <c r="B187" s="38">
        <f t="shared" si="81"/>
        <v>1</v>
      </c>
      <c r="C187" s="97" t="s">
        <v>568</v>
      </c>
      <c r="D187" s="97" t="s">
        <v>569</v>
      </c>
      <c r="E187" s="69">
        <v>109.71</v>
      </c>
      <c r="F187" s="69">
        <v>109.23</v>
      </c>
      <c r="G187" s="69" t="s">
        <v>570</v>
      </c>
      <c r="H187" s="88">
        <v>0</v>
      </c>
      <c r="I187" s="88">
        <v>0</v>
      </c>
      <c r="J187" s="88">
        <v>0</v>
      </c>
      <c r="K187" s="88">
        <v>0</v>
      </c>
      <c r="L187" s="88">
        <v>0</v>
      </c>
      <c r="M187" s="88">
        <v>0</v>
      </c>
      <c r="N187" s="88">
        <v>0</v>
      </c>
      <c r="O187" s="88">
        <v>0</v>
      </c>
      <c r="P187" s="88">
        <v>0</v>
      </c>
      <c r="Q187" s="88">
        <v>0</v>
      </c>
      <c r="R187" s="88">
        <v>0</v>
      </c>
      <c r="S187" s="88">
        <v>0</v>
      </c>
      <c r="T187" s="88">
        <f t="shared" si="93"/>
        <v>0</v>
      </c>
      <c r="U187" s="88"/>
      <c r="V187" s="86">
        <f t="shared" si="98"/>
        <v>0</v>
      </c>
      <c r="W187" s="86">
        <f t="shared" si="98"/>
        <v>0</v>
      </c>
      <c r="X187" s="86">
        <f t="shared" si="98"/>
        <v>0</v>
      </c>
      <c r="Y187" s="86">
        <f t="shared" si="98"/>
        <v>0</v>
      </c>
      <c r="Z187" s="86">
        <f t="shared" si="98"/>
        <v>0</v>
      </c>
      <c r="AA187" s="86">
        <f t="shared" si="98"/>
        <v>0</v>
      </c>
      <c r="AB187" s="86">
        <f t="shared" si="98"/>
        <v>0</v>
      </c>
      <c r="AC187" s="86">
        <f t="shared" si="99"/>
        <v>0</v>
      </c>
      <c r="AD187" s="86">
        <f t="shared" si="99"/>
        <v>0</v>
      </c>
      <c r="AE187" s="86">
        <f t="shared" si="99"/>
        <v>0</v>
      </c>
      <c r="AF187" s="86">
        <f t="shared" si="99"/>
        <v>0</v>
      </c>
      <c r="AG187" s="86">
        <f t="shared" si="99"/>
        <v>0</v>
      </c>
      <c r="AH187" s="86">
        <f t="shared" si="94"/>
        <v>0</v>
      </c>
      <c r="AI187" s="70">
        <f t="shared" si="78"/>
        <v>0</v>
      </c>
      <c r="AR187" s="89">
        <f t="shared" ca="1" si="84"/>
        <v>114.78611665967109</v>
      </c>
      <c r="AS187" s="90">
        <f t="shared" ca="1" si="89"/>
        <v>0</v>
      </c>
      <c r="AT187" s="90">
        <f t="shared" ca="1" si="79"/>
        <v>0</v>
      </c>
      <c r="AV187" s="403">
        <f t="shared" ca="1" si="85"/>
        <v>0</v>
      </c>
      <c r="AW187" s="403">
        <f t="shared" ca="1" si="86"/>
        <v>0</v>
      </c>
    </row>
    <row r="188" spans="1:49">
      <c r="A188" s="38" t="str">
        <f t="shared" si="80"/>
        <v>Lewis County UTCTIRE-COMM</v>
      </c>
      <c r="B188" s="38">
        <f t="shared" si="81"/>
        <v>1</v>
      </c>
      <c r="C188" s="97" t="s">
        <v>571</v>
      </c>
      <c r="D188" s="97" t="s">
        <v>572</v>
      </c>
      <c r="E188" s="69">
        <v>3</v>
      </c>
      <c r="F188" s="69">
        <v>3</v>
      </c>
      <c r="G188" s="96" t="s">
        <v>234</v>
      </c>
      <c r="H188" s="88">
        <v>0</v>
      </c>
      <c r="I188" s="88">
        <v>0</v>
      </c>
      <c r="J188" s="88">
        <v>0</v>
      </c>
      <c r="K188" s="88">
        <v>0</v>
      </c>
      <c r="L188" s="88">
        <v>0</v>
      </c>
      <c r="M188" s="88">
        <v>0</v>
      </c>
      <c r="N188" s="88">
        <v>0</v>
      </c>
      <c r="O188" s="88">
        <v>0</v>
      </c>
      <c r="P188" s="88">
        <v>0</v>
      </c>
      <c r="Q188" s="88">
        <v>0</v>
      </c>
      <c r="R188" s="88">
        <v>0</v>
      </c>
      <c r="S188" s="88">
        <v>0</v>
      </c>
      <c r="T188" s="88">
        <f t="shared" si="93"/>
        <v>0</v>
      </c>
      <c r="U188" s="88"/>
      <c r="V188" s="86">
        <f t="shared" si="98"/>
        <v>0</v>
      </c>
      <c r="W188" s="86">
        <f t="shared" si="98"/>
        <v>0</v>
      </c>
      <c r="X188" s="86">
        <f t="shared" si="98"/>
        <v>0</v>
      </c>
      <c r="Y188" s="86">
        <f t="shared" si="98"/>
        <v>0</v>
      </c>
      <c r="Z188" s="86">
        <f t="shared" si="98"/>
        <v>0</v>
      </c>
      <c r="AA188" s="86">
        <f t="shared" si="98"/>
        <v>0</v>
      </c>
      <c r="AB188" s="86">
        <f t="shared" si="98"/>
        <v>0</v>
      </c>
      <c r="AC188" s="86">
        <f t="shared" si="99"/>
        <v>0</v>
      </c>
      <c r="AD188" s="86">
        <f t="shared" si="99"/>
        <v>0</v>
      </c>
      <c r="AE188" s="86">
        <f t="shared" si="99"/>
        <v>0</v>
      </c>
      <c r="AF188" s="86">
        <f t="shared" si="99"/>
        <v>0</v>
      </c>
      <c r="AG188" s="86">
        <f t="shared" si="99"/>
        <v>0</v>
      </c>
      <c r="AH188" s="86">
        <f t="shared" si="94"/>
        <v>0</v>
      </c>
      <c r="AI188" s="70">
        <f t="shared" si="78"/>
        <v>0</v>
      </c>
      <c r="AR188" s="89">
        <f t="shared" ca="1" si="84"/>
        <v>3.1525986448687471</v>
      </c>
      <c r="AS188" s="90">
        <f t="shared" ca="1" si="89"/>
        <v>0</v>
      </c>
      <c r="AT188" s="90">
        <f t="shared" ca="1" si="79"/>
        <v>0</v>
      </c>
      <c r="AV188" s="403">
        <f t="shared" ca="1" si="85"/>
        <v>0</v>
      </c>
      <c r="AW188" s="403">
        <f t="shared" ca="1" si="86"/>
        <v>0</v>
      </c>
    </row>
    <row r="189" spans="1:49">
      <c r="A189" s="38" t="str">
        <f t="shared" si="80"/>
        <v>Lewis County UTCUNRETURN-COMM</v>
      </c>
      <c r="B189" s="38">
        <f t="shared" si="81"/>
        <v>1</v>
      </c>
      <c r="C189" s="97" t="s">
        <v>573</v>
      </c>
      <c r="D189" s="97" t="s">
        <v>574</v>
      </c>
      <c r="E189" s="69">
        <v>94.41</v>
      </c>
      <c r="F189" s="69">
        <v>94</v>
      </c>
      <c r="G189" s="69" t="s">
        <v>240</v>
      </c>
      <c r="H189" s="88">
        <v>0</v>
      </c>
      <c r="I189" s="88">
        <v>0</v>
      </c>
      <c r="J189" s="88">
        <v>0</v>
      </c>
      <c r="K189" s="88">
        <v>0</v>
      </c>
      <c r="L189" s="88">
        <v>0</v>
      </c>
      <c r="M189" s="88">
        <v>0</v>
      </c>
      <c r="N189" s="88">
        <v>0</v>
      </c>
      <c r="O189" s="88">
        <v>0</v>
      </c>
      <c r="P189" s="88">
        <v>0</v>
      </c>
      <c r="Q189" s="88">
        <v>0</v>
      </c>
      <c r="R189" s="88">
        <v>0</v>
      </c>
      <c r="S189" s="88">
        <v>0</v>
      </c>
      <c r="T189" s="88">
        <f t="shared" si="93"/>
        <v>0</v>
      </c>
      <c r="U189" s="88"/>
      <c r="V189" s="86">
        <f t="shared" si="98"/>
        <v>0</v>
      </c>
      <c r="W189" s="86">
        <f t="shared" si="98"/>
        <v>0</v>
      </c>
      <c r="X189" s="86">
        <f t="shared" si="98"/>
        <v>0</v>
      </c>
      <c r="Y189" s="86">
        <f t="shared" si="98"/>
        <v>0</v>
      </c>
      <c r="Z189" s="86">
        <f t="shared" si="98"/>
        <v>0</v>
      </c>
      <c r="AA189" s="86">
        <f t="shared" si="98"/>
        <v>0</v>
      </c>
      <c r="AB189" s="86">
        <f t="shared" si="98"/>
        <v>0</v>
      </c>
      <c r="AC189" s="86">
        <f t="shared" si="99"/>
        <v>0</v>
      </c>
      <c r="AD189" s="86">
        <f t="shared" si="99"/>
        <v>0</v>
      </c>
      <c r="AE189" s="86">
        <f t="shared" si="99"/>
        <v>0</v>
      </c>
      <c r="AF189" s="86">
        <f t="shared" si="99"/>
        <v>0</v>
      </c>
      <c r="AG189" s="86">
        <f t="shared" si="99"/>
        <v>0</v>
      </c>
      <c r="AH189" s="86">
        <f t="shared" si="94"/>
        <v>0</v>
      </c>
      <c r="AI189" s="70">
        <f t="shared" si="78"/>
        <v>0</v>
      </c>
      <c r="AR189" s="89">
        <f t="shared" ca="1" si="84"/>
        <v>98.781424205887419</v>
      </c>
      <c r="AS189" s="90">
        <f t="shared" ca="1" si="89"/>
        <v>0</v>
      </c>
      <c r="AT189" s="90">
        <f t="shared" ca="1" si="79"/>
        <v>0</v>
      </c>
      <c r="AV189" s="403">
        <f t="shared" ca="1" si="85"/>
        <v>0</v>
      </c>
      <c r="AW189" s="403">
        <f t="shared" ca="1" si="86"/>
        <v>0</v>
      </c>
    </row>
    <row r="190" spans="1:49">
      <c r="A190" s="38" t="str">
        <f t="shared" si="80"/>
        <v>Lewis County UTCWI1-COMM</v>
      </c>
      <c r="B190" s="38">
        <f t="shared" si="81"/>
        <v>1</v>
      </c>
      <c r="C190" s="97" t="s">
        <v>575</v>
      </c>
      <c r="D190" s="97" t="s">
        <v>576</v>
      </c>
      <c r="E190" s="69">
        <v>2.17</v>
      </c>
      <c r="F190" s="69">
        <v>2.17</v>
      </c>
      <c r="G190" s="69" t="s">
        <v>237</v>
      </c>
      <c r="H190" s="88">
        <v>0</v>
      </c>
      <c r="I190" s="88">
        <v>0</v>
      </c>
      <c r="J190" s="88">
        <v>0</v>
      </c>
      <c r="K190" s="88">
        <v>0</v>
      </c>
      <c r="L190" s="88">
        <v>0</v>
      </c>
      <c r="M190" s="88">
        <v>0</v>
      </c>
      <c r="N190" s="88">
        <v>0</v>
      </c>
      <c r="O190" s="88">
        <v>0</v>
      </c>
      <c r="P190" s="88">
        <v>0</v>
      </c>
      <c r="Q190" s="88">
        <v>0</v>
      </c>
      <c r="R190" s="88">
        <v>0</v>
      </c>
      <c r="S190" s="88">
        <v>0</v>
      </c>
      <c r="T190" s="88">
        <f t="shared" si="93"/>
        <v>0</v>
      </c>
      <c r="U190" s="88"/>
      <c r="V190" s="86">
        <f t="shared" si="98"/>
        <v>0</v>
      </c>
      <c r="W190" s="86">
        <f t="shared" si="98"/>
        <v>0</v>
      </c>
      <c r="X190" s="86">
        <f t="shared" si="98"/>
        <v>0</v>
      </c>
      <c r="Y190" s="86">
        <f t="shared" si="98"/>
        <v>0</v>
      </c>
      <c r="Z190" s="86">
        <f t="shared" si="98"/>
        <v>0</v>
      </c>
      <c r="AA190" s="86">
        <f t="shared" si="98"/>
        <v>0</v>
      </c>
      <c r="AB190" s="86">
        <f t="shared" si="98"/>
        <v>0</v>
      </c>
      <c r="AC190" s="86">
        <f t="shared" si="99"/>
        <v>0</v>
      </c>
      <c r="AD190" s="86">
        <f t="shared" si="99"/>
        <v>0</v>
      </c>
      <c r="AE190" s="86">
        <f t="shared" si="99"/>
        <v>0</v>
      </c>
      <c r="AF190" s="86">
        <f t="shared" si="99"/>
        <v>0</v>
      </c>
      <c r="AG190" s="86">
        <f t="shared" si="99"/>
        <v>0</v>
      </c>
      <c r="AH190" s="86">
        <f t="shared" si="94"/>
        <v>0</v>
      </c>
      <c r="AI190" s="70">
        <f t="shared" si="78"/>
        <v>0</v>
      </c>
      <c r="AR190" s="89">
        <f t="shared" ca="1" si="84"/>
        <v>2.2803796864550603</v>
      </c>
      <c r="AS190" s="90">
        <f t="shared" ca="1" si="89"/>
        <v>0</v>
      </c>
      <c r="AT190" s="90">
        <f t="shared" ca="1" si="79"/>
        <v>0</v>
      </c>
      <c r="AV190" s="403">
        <f t="shared" ca="1" si="85"/>
        <v>0</v>
      </c>
      <c r="AW190" s="403">
        <f t="shared" ca="1" si="86"/>
        <v>0</v>
      </c>
    </row>
    <row r="191" spans="1:49">
      <c r="A191" s="38" t="str">
        <f t="shared" si="80"/>
        <v>Lewis County UTCWI2-COMM</v>
      </c>
      <c r="B191" s="38">
        <f t="shared" si="81"/>
        <v>1</v>
      </c>
      <c r="C191" s="97" t="s">
        <v>577</v>
      </c>
      <c r="D191" s="97" t="s">
        <v>578</v>
      </c>
      <c r="E191" s="69">
        <v>3.64</v>
      </c>
      <c r="F191" s="69">
        <v>3.64</v>
      </c>
      <c r="G191" s="69" t="s">
        <v>237</v>
      </c>
      <c r="H191" s="88">
        <v>0</v>
      </c>
      <c r="I191" s="88">
        <v>0</v>
      </c>
      <c r="J191" s="88">
        <v>0</v>
      </c>
      <c r="K191" s="88">
        <v>0</v>
      </c>
      <c r="L191" s="88">
        <v>0</v>
      </c>
      <c r="M191" s="88">
        <v>0</v>
      </c>
      <c r="N191" s="88">
        <v>0</v>
      </c>
      <c r="O191" s="88">
        <v>0</v>
      </c>
      <c r="P191" s="88">
        <v>0</v>
      </c>
      <c r="Q191" s="88">
        <v>0</v>
      </c>
      <c r="R191" s="88">
        <v>0</v>
      </c>
      <c r="S191" s="88">
        <v>0</v>
      </c>
      <c r="T191" s="88">
        <f t="shared" si="93"/>
        <v>0</v>
      </c>
      <c r="U191" s="88"/>
      <c r="V191" s="86">
        <f t="shared" si="98"/>
        <v>0</v>
      </c>
      <c r="W191" s="86">
        <f t="shared" si="98"/>
        <v>0</v>
      </c>
      <c r="X191" s="86">
        <f t="shared" si="98"/>
        <v>0</v>
      </c>
      <c r="Y191" s="86">
        <f t="shared" si="98"/>
        <v>0</v>
      </c>
      <c r="Z191" s="86">
        <f t="shared" si="98"/>
        <v>0</v>
      </c>
      <c r="AA191" s="86">
        <f t="shared" si="98"/>
        <v>0</v>
      </c>
      <c r="AB191" s="86">
        <f t="shared" si="98"/>
        <v>0</v>
      </c>
      <c r="AC191" s="86">
        <f t="shared" si="99"/>
        <v>0</v>
      </c>
      <c r="AD191" s="86">
        <f t="shared" si="99"/>
        <v>0</v>
      </c>
      <c r="AE191" s="86">
        <f t="shared" si="99"/>
        <v>0</v>
      </c>
      <c r="AF191" s="86">
        <f t="shared" si="99"/>
        <v>0</v>
      </c>
      <c r="AG191" s="86">
        <f t="shared" si="99"/>
        <v>0</v>
      </c>
      <c r="AH191" s="86">
        <f t="shared" si="94"/>
        <v>0</v>
      </c>
      <c r="AI191" s="70">
        <f t="shared" si="78"/>
        <v>0</v>
      </c>
      <c r="AR191" s="89">
        <f t="shared" ca="1" si="84"/>
        <v>3.8251530224407468</v>
      </c>
      <c r="AS191" s="90">
        <f t="shared" ca="1" si="89"/>
        <v>0</v>
      </c>
      <c r="AT191" s="90">
        <f t="shared" ca="1" si="79"/>
        <v>0</v>
      </c>
      <c r="AV191" s="403">
        <f t="shared" ca="1" si="85"/>
        <v>0</v>
      </c>
      <c r="AW191" s="403">
        <f t="shared" ca="1" si="86"/>
        <v>0</v>
      </c>
    </row>
    <row r="192" spans="1:49">
      <c r="C192" s="97"/>
      <c r="D192" s="97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70"/>
      <c r="AK192" s="131"/>
      <c r="AL192" s="131" t="s">
        <v>218</v>
      </c>
    </row>
    <row r="193" spans="1:49">
      <c r="C193" s="97"/>
      <c r="D193" s="97"/>
      <c r="F193" s="69">
        <f>5.77*2*4.33</f>
        <v>49.968199999999996</v>
      </c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70"/>
      <c r="AK193" s="131" t="s">
        <v>312</v>
      </c>
      <c r="AL193" s="132">
        <f>+SUM(AO171:AO176,AO77:AO78)</f>
        <v>341.93846939454636</v>
      </c>
    </row>
    <row r="194" spans="1:49"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6"/>
      <c r="AI194" s="70"/>
      <c r="AK194" s="131" t="s">
        <v>317</v>
      </c>
      <c r="AL194" s="132">
        <f>SUM(AO185:AO186,AO145:AO159,AO94:AO133,AO84)</f>
        <v>1756.8734777956379</v>
      </c>
    </row>
    <row r="195" spans="1:49">
      <c r="D195" s="114" t="s">
        <v>579</v>
      </c>
      <c r="E195" s="69">
        <f>IFERROR(VLOOKUP(A195,#REF!,8,FALSE),0)</f>
        <v>0</v>
      </c>
      <c r="H195" s="115">
        <f t="shared" ref="H195:T195" si="100">SUM(H73:H194)</f>
        <v>208243.81999999995</v>
      </c>
      <c r="I195" s="115">
        <f t="shared" si="100"/>
        <v>211127.49000000008</v>
      </c>
      <c r="J195" s="115">
        <f t="shared" si="100"/>
        <v>214921.98000000004</v>
      </c>
      <c r="K195" s="115">
        <f t="shared" si="100"/>
        <v>217360.79000000007</v>
      </c>
      <c r="L195" s="115">
        <f t="shared" si="100"/>
        <v>226692.44000000009</v>
      </c>
      <c r="M195" s="115">
        <f t="shared" si="100"/>
        <v>237590.88000000009</v>
      </c>
      <c r="N195" s="115">
        <f t="shared" si="100"/>
        <v>240742.85000000006</v>
      </c>
      <c r="O195" s="115">
        <f t="shared" si="100"/>
        <v>244379.55999999997</v>
      </c>
      <c r="P195" s="115">
        <f t="shared" si="100"/>
        <v>233088.97999999995</v>
      </c>
      <c r="Q195" s="115">
        <f t="shared" si="100"/>
        <v>231200.80000000005</v>
      </c>
      <c r="R195" s="115">
        <f t="shared" si="100"/>
        <v>221550.65999999997</v>
      </c>
      <c r="S195" s="115">
        <f t="shared" si="100"/>
        <v>220548.04000000004</v>
      </c>
      <c r="T195" s="116">
        <f t="shared" si="100"/>
        <v>2707448.29</v>
      </c>
      <c r="U195" s="82">
        <f>T195-SUM(H195:S195)</f>
        <v>0</v>
      </c>
      <c r="V195" s="117">
        <f t="shared" ref="V195:AG195" si="101">SUM(V73:V194)</f>
        <v>2636.5731549413031</v>
      </c>
      <c r="W195" s="117">
        <f t="shared" si="101"/>
        <v>2604.9437573569326</v>
      </c>
      <c r="X195" s="117">
        <f t="shared" si="101"/>
        <v>2672.9857185912965</v>
      </c>
      <c r="Y195" s="117">
        <f t="shared" si="101"/>
        <v>2890.5563951068907</v>
      </c>
      <c r="Z195" s="117">
        <f t="shared" si="101"/>
        <v>3158.5497845139826</v>
      </c>
      <c r="AA195" s="117">
        <f t="shared" si="101"/>
        <v>3515.7184255468651</v>
      </c>
      <c r="AB195" s="117">
        <f t="shared" si="101"/>
        <v>3685.0017700594349</v>
      </c>
      <c r="AC195" s="117">
        <f t="shared" si="101"/>
        <v>4101.6362446406738</v>
      </c>
      <c r="AD195" s="117">
        <f t="shared" si="101"/>
        <v>3638.7621650993665</v>
      </c>
      <c r="AE195" s="117">
        <f t="shared" si="101"/>
        <v>2969.5063877618813</v>
      </c>
      <c r="AF195" s="117">
        <f t="shared" si="101"/>
        <v>2813.3232090876095</v>
      </c>
      <c r="AG195" s="117">
        <f t="shared" si="101"/>
        <v>2583.105006186322</v>
      </c>
      <c r="AH195" s="118">
        <f>SUM(AH73:AH194)</f>
        <v>37270.662018892581</v>
      </c>
      <c r="AI195" s="119">
        <f>+SUM(AI77:AI78,AI84,AI94:AI133,AI145:AI159,AI171:AI176,AI185:AI186)</f>
        <v>2085.8306644984668</v>
      </c>
      <c r="AK195" s="131" t="s">
        <v>580</v>
      </c>
      <c r="AL195" s="132"/>
      <c r="AR195" s="116">
        <f t="shared" ref="AR195:AW195" ca="1" si="102">SUM(AR73:AR194)</f>
        <v>24672.447167985814</v>
      </c>
      <c r="AS195" s="116">
        <f t="shared" ca="1" si="102"/>
        <v>2838327.0824992629</v>
      </c>
      <c r="AT195" s="116">
        <f t="shared" ca="1" si="102"/>
        <v>130878.79249926242</v>
      </c>
      <c r="AV195" s="406">
        <f t="shared" ca="1" si="102"/>
        <v>11008.271705442492</v>
      </c>
      <c r="AW195" s="406">
        <f t="shared" ca="1" si="102"/>
        <v>2849335.354204705</v>
      </c>
    </row>
    <row r="196" spans="1:49" ht="14.4">
      <c r="A196" s="46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6"/>
      <c r="AI196" s="70"/>
    </row>
    <row r="197" spans="1:49"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6"/>
      <c r="AI197" s="70"/>
      <c r="AK197" s="123" t="s">
        <v>581</v>
      </c>
      <c r="AL197" s="95">
        <f>+SUM(AH76:AH78,AH84,AH92:AH133,AH145:AH159,AH171:AH186)</f>
        <v>25614.861451999917</v>
      </c>
    </row>
    <row r="198" spans="1:49">
      <c r="C198" s="37" t="s">
        <v>582</v>
      </c>
      <c r="D198" s="37" t="s">
        <v>583</v>
      </c>
      <c r="E198" s="69">
        <f>IFERROR(VLOOKUP(A198,#REF!,8,FALSE),0)</f>
        <v>0</v>
      </c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V198" s="86">
        <f t="shared" ref="V198:AB199" si="103">IFERROR(H198/$E198,0)</f>
        <v>0</v>
      </c>
      <c r="W198" s="86">
        <f t="shared" si="103"/>
        <v>0</v>
      </c>
      <c r="X198" s="86">
        <f t="shared" si="103"/>
        <v>0</v>
      </c>
      <c r="Y198" s="86">
        <f t="shared" si="103"/>
        <v>0</v>
      </c>
      <c r="Z198" s="86">
        <f t="shared" si="103"/>
        <v>0</v>
      </c>
      <c r="AA198" s="86">
        <f t="shared" si="103"/>
        <v>0</v>
      </c>
      <c r="AB198" s="86">
        <f t="shared" si="103"/>
        <v>0</v>
      </c>
      <c r="AC198" s="86">
        <f t="shared" ref="AC198:AG199" si="104">IFERROR(O198/$F198,0)</f>
        <v>0</v>
      </c>
      <c r="AD198" s="86">
        <f t="shared" si="104"/>
        <v>0</v>
      </c>
      <c r="AE198" s="86">
        <f t="shared" si="104"/>
        <v>0</v>
      </c>
      <c r="AF198" s="86">
        <f t="shared" si="104"/>
        <v>0</v>
      </c>
      <c r="AG198" s="86">
        <f t="shared" si="104"/>
        <v>0</v>
      </c>
      <c r="AH198" s="86">
        <f>SUM(V198:AG198)</f>
        <v>0</v>
      </c>
      <c r="AI198" s="70">
        <f>AH198/12</f>
        <v>0</v>
      </c>
    </row>
    <row r="199" spans="1:49" ht="14.4">
      <c r="A199" s="38" t="str">
        <f t="shared" ref="A199:A244" si="105">$A$1&amp;C199</f>
        <v>Lewis County UTCMFWBINS</v>
      </c>
      <c r="B199" s="38">
        <f>COUNTIF(C:C,C199)</f>
        <v>1</v>
      </c>
      <c r="C199" s="87" t="s">
        <v>584</v>
      </c>
      <c r="D199" s="97" t="s">
        <v>585</v>
      </c>
      <c r="E199" s="69">
        <v>7.91</v>
      </c>
      <c r="F199" s="69">
        <v>7.91</v>
      </c>
      <c r="G199" s="69" t="s">
        <v>586</v>
      </c>
      <c r="H199" s="88">
        <v>0</v>
      </c>
      <c r="I199" s="88">
        <v>0</v>
      </c>
      <c r="J199" s="88">
        <v>0</v>
      </c>
      <c r="K199" s="88">
        <v>0</v>
      </c>
      <c r="L199" s="88">
        <v>0</v>
      </c>
      <c r="M199" s="88">
        <v>0</v>
      </c>
      <c r="N199" s="88">
        <v>0</v>
      </c>
      <c r="O199" s="88">
        <v>0</v>
      </c>
      <c r="P199" s="88">
        <v>0</v>
      </c>
      <c r="Q199" s="88">
        <v>0</v>
      </c>
      <c r="R199" s="88">
        <v>0</v>
      </c>
      <c r="S199" s="88">
        <v>0</v>
      </c>
      <c r="T199" s="88">
        <f>SUM(H199:S199)</f>
        <v>0</v>
      </c>
      <c r="U199" s="88"/>
      <c r="V199" s="86">
        <f t="shared" si="103"/>
        <v>0</v>
      </c>
      <c r="W199" s="86">
        <f t="shared" si="103"/>
        <v>0</v>
      </c>
      <c r="X199" s="86">
        <f t="shared" si="103"/>
        <v>0</v>
      </c>
      <c r="Y199" s="86">
        <f t="shared" si="103"/>
        <v>0</v>
      </c>
      <c r="Z199" s="86">
        <f t="shared" si="103"/>
        <v>0</v>
      </c>
      <c r="AA199" s="86">
        <f t="shared" si="103"/>
        <v>0</v>
      </c>
      <c r="AB199" s="86">
        <f t="shared" si="103"/>
        <v>0</v>
      </c>
      <c r="AC199" s="86">
        <f t="shared" si="104"/>
        <v>0</v>
      </c>
      <c r="AD199" s="86">
        <f t="shared" si="104"/>
        <v>0</v>
      </c>
      <c r="AE199" s="86">
        <f t="shared" si="104"/>
        <v>0</v>
      </c>
      <c r="AF199" s="86">
        <f t="shared" si="104"/>
        <v>0</v>
      </c>
      <c r="AG199" s="86">
        <f t="shared" si="104"/>
        <v>0</v>
      </c>
      <c r="AH199" s="86">
        <f>SUM(V199:AG199)</f>
        <v>0</v>
      </c>
      <c r="AI199" s="70">
        <f>AH199/12</f>
        <v>0</v>
      </c>
      <c r="AK199">
        <v>96</v>
      </c>
      <c r="AL199"/>
      <c r="AM199"/>
      <c r="AN199">
        <v>1</v>
      </c>
      <c r="AO199" s="133">
        <f>+AN199*AI199</f>
        <v>0</v>
      </c>
      <c r="AP199" s="133"/>
      <c r="AR199" s="89">
        <f ca="1">+F199*(1+$BB$3)</f>
        <v>9.6142528960690701</v>
      </c>
      <c r="AS199" s="90">
        <f t="shared" ref="AS199" ca="1" si="106">+AR199*AI199*12</f>
        <v>0</v>
      </c>
      <c r="AT199" s="90">
        <f t="shared" ref="AT199" ca="1" si="107">+AS199-T199</f>
        <v>0</v>
      </c>
    </row>
    <row r="200" spans="1:49">
      <c r="AI200" s="70"/>
    </row>
    <row r="201" spans="1:49"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6"/>
      <c r="AI201" s="70"/>
      <c r="AJ201" s="131"/>
      <c r="AK201" s="131"/>
    </row>
    <row r="202" spans="1:49">
      <c r="D202" s="114" t="s">
        <v>587</v>
      </c>
      <c r="H202" s="115">
        <f t="shared" ref="H202:T202" si="108">SUM(H199:H201)</f>
        <v>0</v>
      </c>
      <c r="I202" s="115">
        <f t="shared" si="108"/>
        <v>0</v>
      </c>
      <c r="J202" s="115">
        <f t="shared" si="108"/>
        <v>0</v>
      </c>
      <c r="K202" s="115">
        <f t="shared" si="108"/>
        <v>0</v>
      </c>
      <c r="L202" s="115">
        <f t="shared" si="108"/>
        <v>0</v>
      </c>
      <c r="M202" s="115">
        <f t="shared" si="108"/>
        <v>0</v>
      </c>
      <c r="N202" s="115">
        <f t="shared" si="108"/>
        <v>0</v>
      </c>
      <c r="O202" s="115">
        <f t="shared" si="108"/>
        <v>0</v>
      </c>
      <c r="P202" s="115">
        <f t="shared" si="108"/>
        <v>0</v>
      </c>
      <c r="Q202" s="115">
        <f t="shared" si="108"/>
        <v>0</v>
      </c>
      <c r="R202" s="115">
        <f t="shared" si="108"/>
        <v>0</v>
      </c>
      <c r="S202" s="115">
        <f t="shared" si="108"/>
        <v>0</v>
      </c>
      <c r="T202" s="116">
        <f t="shared" si="108"/>
        <v>0</v>
      </c>
      <c r="U202" s="82">
        <f>T202-SUM(H202:S202)</f>
        <v>0</v>
      </c>
      <c r="V202" s="117">
        <f t="shared" ref="V202:AI202" si="109">SUM(V199:V201)</f>
        <v>0</v>
      </c>
      <c r="W202" s="117">
        <f t="shared" si="109"/>
        <v>0</v>
      </c>
      <c r="X202" s="117">
        <f t="shared" si="109"/>
        <v>0</v>
      </c>
      <c r="Y202" s="117">
        <f t="shared" si="109"/>
        <v>0</v>
      </c>
      <c r="Z202" s="117">
        <f t="shared" si="109"/>
        <v>0</v>
      </c>
      <c r="AA202" s="117">
        <f t="shared" si="109"/>
        <v>0</v>
      </c>
      <c r="AB202" s="117">
        <f t="shared" si="109"/>
        <v>0</v>
      </c>
      <c r="AC202" s="117">
        <f t="shared" si="109"/>
        <v>0</v>
      </c>
      <c r="AD202" s="117">
        <f t="shared" si="109"/>
        <v>0</v>
      </c>
      <c r="AE202" s="117">
        <f t="shared" si="109"/>
        <v>0</v>
      </c>
      <c r="AF202" s="117">
        <f t="shared" si="109"/>
        <v>0</v>
      </c>
      <c r="AG202" s="117">
        <f t="shared" si="109"/>
        <v>0</v>
      </c>
      <c r="AH202" s="118">
        <f t="shared" si="109"/>
        <v>0</v>
      </c>
      <c r="AI202" s="119">
        <f t="shared" si="109"/>
        <v>0</v>
      </c>
      <c r="AJ202" s="131" t="s">
        <v>312</v>
      </c>
      <c r="AK202" s="132">
        <f>+SUM(AO199:AO199)</f>
        <v>0</v>
      </c>
      <c r="AR202" s="116">
        <f t="shared" ref="AR202:AT202" ca="1" si="110">SUM(AR199:AR201)</f>
        <v>9.6142528960690701</v>
      </c>
      <c r="AS202" s="116">
        <f t="shared" ca="1" si="110"/>
        <v>0</v>
      </c>
      <c r="AT202" s="116">
        <f t="shared" ca="1" si="110"/>
        <v>0</v>
      </c>
    </row>
    <row r="203" spans="1:49">
      <c r="D203" s="114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6"/>
      <c r="AI203" s="70"/>
    </row>
    <row r="204" spans="1:49"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6"/>
      <c r="AI204" s="70"/>
    </row>
    <row r="205" spans="1:49">
      <c r="C205" s="80" t="s">
        <v>588</v>
      </c>
      <c r="D205" s="74" t="s">
        <v>588</v>
      </c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V205" s="88">
        <f t="shared" ref="V205:AG242" si="111">IFERROR(H205/$E205,0)</f>
        <v>0</v>
      </c>
      <c r="W205" s="88">
        <f t="shared" si="111"/>
        <v>0</v>
      </c>
      <c r="X205" s="88">
        <f t="shared" si="111"/>
        <v>0</v>
      </c>
      <c r="Y205" s="88">
        <f t="shared" si="111"/>
        <v>0</v>
      </c>
      <c r="Z205" s="88">
        <f t="shared" si="111"/>
        <v>0</v>
      </c>
      <c r="AA205" s="88">
        <f t="shared" si="111"/>
        <v>0</v>
      </c>
      <c r="AB205" s="88">
        <f t="shared" si="111"/>
        <v>0</v>
      </c>
      <c r="AC205" s="88">
        <f t="shared" si="111"/>
        <v>0</v>
      </c>
      <c r="AD205" s="88">
        <f t="shared" si="111"/>
        <v>0</v>
      </c>
      <c r="AE205" s="88">
        <f t="shared" si="111"/>
        <v>0</v>
      </c>
      <c r="AF205" s="88">
        <f t="shared" si="111"/>
        <v>0</v>
      </c>
      <c r="AG205" s="88">
        <f t="shared" si="111"/>
        <v>0</v>
      </c>
      <c r="AH205" s="86">
        <f t="shared" ref="AH205:AH243" si="112">SUM(V205:AG205)</f>
        <v>0</v>
      </c>
      <c r="AI205" s="70">
        <f t="shared" ref="AI205:AI244" si="113">AH205/12</f>
        <v>0</v>
      </c>
    </row>
    <row r="206" spans="1:49">
      <c r="C206" s="80"/>
      <c r="D206" s="80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V206" s="88">
        <f t="shared" si="111"/>
        <v>0</v>
      </c>
      <c r="W206" s="88">
        <f t="shared" si="111"/>
        <v>0</v>
      </c>
      <c r="X206" s="88">
        <f t="shared" si="111"/>
        <v>0</v>
      </c>
      <c r="Y206" s="88">
        <f t="shared" si="111"/>
        <v>0</v>
      </c>
      <c r="Z206" s="88">
        <f t="shared" si="111"/>
        <v>0</v>
      </c>
      <c r="AA206" s="88">
        <f t="shared" si="111"/>
        <v>0</v>
      </c>
      <c r="AB206" s="88">
        <f t="shared" si="111"/>
        <v>0</v>
      </c>
      <c r="AC206" s="88">
        <f t="shared" si="111"/>
        <v>0</v>
      </c>
      <c r="AD206" s="88">
        <f t="shared" si="111"/>
        <v>0</v>
      </c>
      <c r="AE206" s="88">
        <f t="shared" si="111"/>
        <v>0</v>
      </c>
      <c r="AF206" s="88">
        <f t="shared" si="111"/>
        <v>0</v>
      </c>
      <c r="AG206" s="88">
        <f t="shared" si="111"/>
        <v>0</v>
      </c>
      <c r="AH206" s="86">
        <f t="shared" si="112"/>
        <v>0</v>
      </c>
      <c r="AI206" s="70">
        <f t="shared" si="113"/>
        <v>0</v>
      </c>
    </row>
    <row r="207" spans="1:49">
      <c r="C207" s="37" t="s">
        <v>589</v>
      </c>
      <c r="D207" s="37" t="s">
        <v>589</v>
      </c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V207" s="86">
        <f t="shared" si="111"/>
        <v>0</v>
      </c>
      <c r="W207" s="86">
        <f t="shared" si="111"/>
        <v>0</v>
      </c>
      <c r="X207" s="86">
        <f t="shared" si="111"/>
        <v>0</v>
      </c>
      <c r="Y207" s="86">
        <f t="shared" si="111"/>
        <v>0</v>
      </c>
      <c r="Z207" s="86">
        <f t="shared" si="111"/>
        <v>0</v>
      </c>
      <c r="AA207" s="86">
        <f t="shared" si="111"/>
        <v>0</v>
      </c>
      <c r="AB207" s="86">
        <f t="shared" si="111"/>
        <v>0</v>
      </c>
      <c r="AC207" s="86">
        <f t="shared" si="111"/>
        <v>0</v>
      </c>
      <c r="AD207" s="86">
        <f t="shared" si="111"/>
        <v>0</v>
      </c>
      <c r="AE207" s="86">
        <f t="shared" si="111"/>
        <v>0</v>
      </c>
      <c r="AF207" s="86">
        <f t="shared" si="111"/>
        <v>0</v>
      </c>
      <c r="AG207" s="86">
        <f t="shared" si="111"/>
        <v>0</v>
      </c>
      <c r="AH207" s="86">
        <f t="shared" si="112"/>
        <v>0</v>
      </c>
      <c r="AI207" s="70">
        <f t="shared" si="113"/>
        <v>0</v>
      </c>
    </row>
    <row r="208" spans="1:49">
      <c r="A208" s="38" t="str">
        <f t="shared" si="105"/>
        <v>Lewis County UTCHAUL20-RO</v>
      </c>
      <c r="B208" s="38">
        <f t="shared" ref="B208:B244" si="114">COUNTIF(C:C,C208)</f>
        <v>1</v>
      </c>
      <c r="C208" s="97" t="s">
        <v>590</v>
      </c>
      <c r="D208" s="97" t="s">
        <v>591</v>
      </c>
      <c r="E208" s="69">
        <v>163.38999999999999</v>
      </c>
      <c r="F208" s="69">
        <v>162.68</v>
      </c>
      <c r="G208" s="69" t="s">
        <v>592</v>
      </c>
      <c r="H208" s="88">
        <v>5391.869999999999</v>
      </c>
      <c r="I208" s="88">
        <v>4901.7</v>
      </c>
      <c r="J208" s="88">
        <v>5391.87</v>
      </c>
      <c r="K208" s="88">
        <v>5718.65</v>
      </c>
      <c r="L208" s="88">
        <v>6698.99</v>
      </c>
      <c r="M208" s="88">
        <v>6372.21</v>
      </c>
      <c r="N208" s="88">
        <v>6372.21</v>
      </c>
      <c r="O208" s="88">
        <v>6208.82</v>
      </c>
      <c r="P208" s="88">
        <v>4554.33</v>
      </c>
      <c r="Q208" s="88">
        <v>6995.24</v>
      </c>
      <c r="R208" s="88">
        <v>5368.44</v>
      </c>
      <c r="S208" s="88">
        <v>5043.08</v>
      </c>
      <c r="T208" s="88">
        <f t="shared" ref="T208:T243" si="115">SUM(H208:S208)</f>
        <v>69017.409999999989</v>
      </c>
      <c r="U208" s="88"/>
      <c r="V208" s="86">
        <f t="shared" si="111"/>
        <v>33</v>
      </c>
      <c r="W208" s="86">
        <f t="shared" si="111"/>
        <v>30</v>
      </c>
      <c r="X208" s="86">
        <f t="shared" si="111"/>
        <v>33</v>
      </c>
      <c r="Y208" s="86">
        <f t="shared" si="111"/>
        <v>35</v>
      </c>
      <c r="Z208" s="86">
        <f t="shared" si="111"/>
        <v>41</v>
      </c>
      <c r="AA208" s="86">
        <f t="shared" si="111"/>
        <v>39</v>
      </c>
      <c r="AB208" s="86">
        <f t="shared" si="111"/>
        <v>39</v>
      </c>
      <c r="AC208" s="86">
        <f t="shared" ref="AC208:AG244" si="116">IFERROR(O208/$F208,0)</f>
        <v>38.165847061716249</v>
      </c>
      <c r="AD208" s="86">
        <f t="shared" si="116"/>
        <v>27.995635603639045</v>
      </c>
      <c r="AE208" s="86">
        <f t="shared" si="116"/>
        <v>43</v>
      </c>
      <c r="AF208" s="86">
        <f t="shared" si="116"/>
        <v>32.999999999999993</v>
      </c>
      <c r="AG208" s="86">
        <f t="shared" si="116"/>
        <v>31</v>
      </c>
      <c r="AH208" s="86">
        <f t="shared" si="112"/>
        <v>423.16148266535527</v>
      </c>
      <c r="AI208" s="70">
        <f t="shared" si="113"/>
        <v>35.263456888779608</v>
      </c>
      <c r="AR208" s="89">
        <f t="shared" ref="AR208:AR244" ca="1" si="117">+F208*(1+$BB$2)</f>
        <v>170.95491584908262</v>
      </c>
      <c r="AS208" s="90">
        <f t="shared" ref="AS208:AS244" ca="1" si="118">+AR208*AI208*12</f>
        <v>72341.535659628847</v>
      </c>
      <c r="AT208" s="90">
        <f t="shared" ref="AT208:AT244" ca="1" si="119">+AS208-T208</f>
        <v>3324.1256596288586</v>
      </c>
      <c r="AV208" s="403">
        <f t="shared" ref="AV208:AV244" ca="1" si="120">AS208*AW$2</f>
        <v>280.57206128228466</v>
      </c>
      <c r="AW208" s="403">
        <f t="shared" ref="AW208:AW244" ca="1" si="121">+AV208+AS208</f>
        <v>72622.107720911139</v>
      </c>
    </row>
    <row r="209" spans="1:49">
      <c r="A209" s="38" t="str">
        <f t="shared" si="105"/>
        <v>Lewis County UTCFINAL20-RO</v>
      </c>
      <c r="B209" s="38">
        <f t="shared" si="114"/>
        <v>1</v>
      </c>
      <c r="C209" s="97" t="s">
        <v>593</v>
      </c>
      <c r="D209" s="97" t="s">
        <v>594</v>
      </c>
      <c r="E209" s="69">
        <v>163.38999999999999</v>
      </c>
      <c r="F209" s="69">
        <v>162.68</v>
      </c>
      <c r="G209" s="69" t="s">
        <v>592</v>
      </c>
      <c r="H209" s="88">
        <v>163.38999999999999</v>
      </c>
      <c r="I209" s="88">
        <v>326.77999999999997</v>
      </c>
      <c r="J209" s="88">
        <v>163.38999999999999</v>
      </c>
      <c r="K209" s="88">
        <v>163.38999999999999</v>
      </c>
      <c r="L209" s="88">
        <v>163.38999999999999</v>
      </c>
      <c r="M209" s="88">
        <v>490.17</v>
      </c>
      <c r="N209" s="88">
        <v>0</v>
      </c>
      <c r="O209" s="88">
        <v>163.38999999999999</v>
      </c>
      <c r="P209" s="88">
        <v>0</v>
      </c>
      <c r="Q209" s="88">
        <v>162.68</v>
      </c>
      <c r="R209" s="88">
        <v>488.04</v>
      </c>
      <c r="S209" s="88">
        <v>0</v>
      </c>
      <c r="T209" s="88">
        <f t="shared" si="115"/>
        <v>2284.6200000000003</v>
      </c>
      <c r="U209" s="88"/>
      <c r="V209" s="86">
        <f t="shared" si="111"/>
        <v>1</v>
      </c>
      <c r="W209" s="86">
        <f t="shared" si="111"/>
        <v>2</v>
      </c>
      <c r="X209" s="86">
        <f t="shared" si="111"/>
        <v>1</v>
      </c>
      <c r="Y209" s="86">
        <f t="shared" si="111"/>
        <v>1</v>
      </c>
      <c r="Z209" s="86">
        <f t="shared" si="111"/>
        <v>1</v>
      </c>
      <c r="AA209" s="86">
        <f t="shared" si="111"/>
        <v>3.0000000000000004</v>
      </c>
      <c r="AB209" s="86">
        <f t="shared" si="111"/>
        <v>0</v>
      </c>
      <c r="AC209" s="86">
        <f t="shared" si="116"/>
        <v>1.0043643963609539</v>
      </c>
      <c r="AD209" s="86">
        <f t="shared" si="116"/>
        <v>0</v>
      </c>
      <c r="AE209" s="86">
        <f t="shared" si="116"/>
        <v>1</v>
      </c>
      <c r="AF209" s="86">
        <f t="shared" si="116"/>
        <v>3</v>
      </c>
      <c r="AG209" s="86">
        <f t="shared" si="116"/>
        <v>0</v>
      </c>
      <c r="AH209" s="86">
        <f t="shared" si="112"/>
        <v>14.004364396360954</v>
      </c>
      <c r="AI209" s="70">
        <f t="shared" si="113"/>
        <v>1.1670303663634127</v>
      </c>
      <c r="AR209" s="89">
        <f t="shared" ca="1" si="117"/>
        <v>170.95491584908262</v>
      </c>
      <c r="AS209" s="90">
        <f t="shared" ca="1" si="118"/>
        <v>2394.1149368997753</v>
      </c>
      <c r="AT209" s="90">
        <f t="shared" ca="1" si="119"/>
        <v>109.49493689977498</v>
      </c>
      <c r="AV209" s="403">
        <f t="shared" ca="1" si="120"/>
        <v>9.2854230514702785</v>
      </c>
      <c r="AW209" s="403">
        <f t="shared" ca="1" si="121"/>
        <v>2403.4003599512457</v>
      </c>
    </row>
    <row r="210" spans="1:49">
      <c r="A210" s="38" t="str">
        <f t="shared" si="105"/>
        <v>Lewis County UTCHAUL30-RO</v>
      </c>
      <c r="B210" s="38">
        <f t="shared" si="114"/>
        <v>1</v>
      </c>
      <c r="C210" s="97" t="s">
        <v>595</v>
      </c>
      <c r="D210" s="97" t="s">
        <v>596</v>
      </c>
      <c r="E210" s="69">
        <v>177.14</v>
      </c>
      <c r="F210" s="69">
        <v>176.37</v>
      </c>
      <c r="G210" s="69" t="s">
        <v>592</v>
      </c>
      <c r="H210" s="88">
        <v>6731.32</v>
      </c>
      <c r="I210" s="88">
        <v>6554.18</v>
      </c>
      <c r="J210" s="88">
        <v>7794.16</v>
      </c>
      <c r="K210" s="88">
        <v>6377.04</v>
      </c>
      <c r="L210" s="88">
        <v>9211.2799999999988</v>
      </c>
      <c r="M210" s="88">
        <v>8502.7199999999993</v>
      </c>
      <c r="N210" s="88">
        <v>7085.6</v>
      </c>
      <c r="O210" s="88">
        <v>8148.4400000000005</v>
      </c>
      <c r="P210" s="88">
        <v>5996.58</v>
      </c>
      <c r="Q210" s="88">
        <v>7936.65</v>
      </c>
      <c r="R210" s="88">
        <v>6172.95</v>
      </c>
      <c r="S210" s="88">
        <v>5996.58</v>
      </c>
      <c r="T210" s="88">
        <f t="shared" si="115"/>
        <v>86507.499999999985</v>
      </c>
      <c r="U210" s="88"/>
      <c r="V210" s="86">
        <f t="shared" si="111"/>
        <v>38</v>
      </c>
      <c r="W210" s="86">
        <f t="shared" si="111"/>
        <v>37.000000000000007</v>
      </c>
      <c r="X210" s="86">
        <f t="shared" si="111"/>
        <v>44</v>
      </c>
      <c r="Y210" s="86">
        <f t="shared" si="111"/>
        <v>36</v>
      </c>
      <c r="Z210" s="86">
        <f t="shared" si="111"/>
        <v>52</v>
      </c>
      <c r="AA210" s="86">
        <f t="shared" si="111"/>
        <v>48</v>
      </c>
      <c r="AB210" s="86">
        <f t="shared" si="111"/>
        <v>40.000000000000007</v>
      </c>
      <c r="AC210" s="86">
        <f t="shared" si="116"/>
        <v>46.200827805182286</v>
      </c>
      <c r="AD210" s="86">
        <f t="shared" si="116"/>
        <v>34</v>
      </c>
      <c r="AE210" s="86">
        <f t="shared" si="116"/>
        <v>45</v>
      </c>
      <c r="AF210" s="86">
        <f t="shared" si="116"/>
        <v>35</v>
      </c>
      <c r="AG210" s="86">
        <f t="shared" si="116"/>
        <v>34</v>
      </c>
      <c r="AH210" s="86">
        <f t="shared" si="112"/>
        <v>489.20082780518226</v>
      </c>
      <c r="AI210" s="70">
        <f t="shared" si="113"/>
        <v>40.766735650431855</v>
      </c>
      <c r="AR210" s="89">
        <f t="shared" ca="1" si="117"/>
        <v>185.34127433183366</v>
      </c>
      <c r="AS210" s="90">
        <f t="shared" ca="1" si="118"/>
        <v>90669.104829600401</v>
      </c>
      <c r="AT210" s="90">
        <f t="shared" ca="1" si="119"/>
        <v>4161.6048296004155</v>
      </c>
      <c r="AV210" s="403">
        <f t="shared" ca="1" si="120"/>
        <v>351.65437676570127</v>
      </c>
      <c r="AW210" s="403">
        <f t="shared" ca="1" si="121"/>
        <v>91020.7592063661</v>
      </c>
    </row>
    <row r="211" spans="1:49">
      <c r="A211" s="38" t="str">
        <f t="shared" si="105"/>
        <v>Lewis County UTCHAUL40-RO</v>
      </c>
      <c r="B211" s="38">
        <f t="shared" si="114"/>
        <v>1</v>
      </c>
      <c r="C211" s="97" t="s">
        <v>597</v>
      </c>
      <c r="D211" s="97" t="s">
        <v>598</v>
      </c>
      <c r="E211" s="69">
        <v>206.36</v>
      </c>
      <c r="F211" s="69">
        <v>205.46</v>
      </c>
      <c r="G211" s="69" t="s">
        <v>592</v>
      </c>
      <c r="H211" s="88">
        <v>6603.52</v>
      </c>
      <c r="I211" s="88">
        <v>6190.7999999999993</v>
      </c>
      <c r="J211" s="88">
        <v>9905.2799999999988</v>
      </c>
      <c r="K211" s="88">
        <v>6397.16</v>
      </c>
      <c r="L211" s="88">
        <v>7841.68</v>
      </c>
      <c r="M211" s="88">
        <v>7841.6800000000012</v>
      </c>
      <c r="N211" s="88">
        <v>8048.0400000000009</v>
      </c>
      <c r="O211" s="88">
        <v>8048.04</v>
      </c>
      <c r="P211" s="88">
        <v>6781.9800000000005</v>
      </c>
      <c r="Q211" s="88">
        <v>9862.08</v>
      </c>
      <c r="R211" s="88">
        <v>7396.56</v>
      </c>
      <c r="S211" s="88">
        <v>7807.4800000000005</v>
      </c>
      <c r="T211" s="88">
        <f t="shared" si="115"/>
        <v>92724.3</v>
      </c>
      <c r="U211" s="88"/>
      <c r="V211" s="86">
        <f t="shared" si="111"/>
        <v>32</v>
      </c>
      <c r="W211" s="86">
        <f t="shared" si="111"/>
        <v>29.999999999999993</v>
      </c>
      <c r="X211" s="86">
        <f t="shared" si="111"/>
        <v>47.999999999999993</v>
      </c>
      <c r="Y211" s="86">
        <f t="shared" si="111"/>
        <v>30.999999999999996</v>
      </c>
      <c r="Z211" s="86">
        <f t="shared" si="111"/>
        <v>38</v>
      </c>
      <c r="AA211" s="86">
        <f t="shared" si="111"/>
        <v>38</v>
      </c>
      <c r="AB211" s="86">
        <f t="shared" si="111"/>
        <v>39</v>
      </c>
      <c r="AC211" s="86">
        <f t="shared" si="116"/>
        <v>39.170836172490993</v>
      </c>
      <c r="AD211" s="86">
        <f t="shared" si="116"/>
        <v>33.008760829358515</v>
      </c>
      <c r="AE211" s="86">
        <f t="shared" si="116"/>
        <v>48</v>
      </c>
      <c r="AF211" s="86">
        <f t="shared" si="116"/>
        <v>36</v>
      </c>
      <c r="AG211" s="86">
        <f t="shared" si="116"/>
        <v>38</v>
      </c>
      <c r="AH211" s="86">
        <f t="shared" si="112"/>
        <v>450.17959700184946</v>
      </c>
      <c r="AI211" s="70">
        <f t="shared" si="113"/>
        <v>37.514966416820791</v>
      </c>
      <c r="AR211" s="89">
        <f t="shared" ca="1" si="117"/>
        <v>215.91097252491096</v>
      </c>
      <c r="AS211" s="90">
        <f t="shared" ca="1" si="118"/>
        <v>97198.714599541825</v>
      </c>
      <c r="AT211" s="90">
        <f t="shared" ca="1" si="119"/>
        <v>4474.4145995418221</v>
      </c>
      <c r="AV211" s="403">
        <f t="shared" ca="1" si="120"/>
        <v>376.97905443277762</v>
      </c>
      <c r="AW211" s="403">
        <f t="shared" ca="1" si="121"/>
        <v>97575.693653974609</v>
      </c>
    </row>
    <row r="212" spans="1:49">
      <c r="A212" s="38" t="str">
        <f t="shared" si="105"/>
        <v>Lewis County UTCFINAL40-RO</v>
      </c>
      <c r="B212" s="38">
        <f t="shared" si="114"/>
        <v>1</v>
      </c>
      <c r="C212" s="97" t="s">
        <v>599</v>
      </c>
      <c r="D212" s="97" t="s">
        <v>600</v>
      </c>
      <c r="E212" s="69">
        <v>206.36</v>
      </c>
      <c r="F212" s="69">
        <v>205.46</v>
      </c>
      <c r="G212" s="69" t="s">
        <v>592</v>
      </c>
      <c r="H212" s="88">
        <v>412.72</v>
      </c>
      <c r="I212" s="88">
        <v>206.36</v>
      </c>
      <c r="J212" s="88">
        <v>206.36</v>
      </c>
      <c r="K212" s="88">
        <v>412.72</v>
      </c>
      <c r="L212" s="88">
        <v>0</v>
      </c>
      <c r="M212" s="88">
        <v>206.36</v>
      </c>
      <c r="N212" s="88">
        <v>0</v>
      </c>
      <c r="O212" s="88">
        <v>206.36</v>
      </c>
      <c r="P212" s="88">
        <v>205.46</v>
      </c>
      <c r="Q212" s="88">
        <v>0</v>
      </c>
      <c r="R212" s="88">
        <v>0</v>
      </c>
      <c r="S212" s="88">
        <v>0</v>
      </c>
      <c r="T212" s="88">
        <f t="shared" si="115"/>
        <v>1856.3400000000001</v>
      </c>
      <c r="U212" s="88"/>
      <c r="V212" s="86">
        <f t="shared" si="111"/>
        <v>2</v>
      </c>
      <c r="W212" s="86">
        <f t="shared" si="111"/>
        <v>1</v>
      </c>
      <c r="X212" s="86">
        <f t="shared" si="111"/>
        <v>1</v>
      </c>
      <c r="Y212" s="86">
        <f t="shared" si="111"/>
        <v>2</v>
      </c>
      <c r="Z212" s="86">
        <f t="shared" si="111"/>
        <v>0</v>
      </c>
      <c r="AA212" s="86">
        <f t="shared" si="111"/>
        <v>1</v>
      </c>
      <c r="AB212" s="86">
        <f t="shared" si="111"/>
        <v>0</v>
      </c>
      <c r="AC212" s="86">
        <f t="shared" si="116"/>
        <v>1.0043804146792563</v>
      </c>
      <c r="AD212" s="86">
        <f t="shared" si="116"/>
        <v>1</v>
      </c>
      <c r="AE212" s="86">
        <f t="shared" si="116"/>
        <v>0</v>
      </c>
      <c r="AF212" s="86">
        <f t="shared" si="116"/>
        <v>0</v>
      </c>
      <c r="AG212" s="86">
        <f t="shared" si="116"/>
        <v>0</v>
      </c>
      <c r="AH212" s="86">
        <f t="shared" si="112"/>
        <v>9.0043804146792557</v>
      </c>
      <c r="AI212" s="70">
        <f t="shared" si="113"/>
        <v>0.75036503455660464</v>
      </c>
      <c r="AR212" s="89">
        <f t="shared" ca="1" si="117"/>
        <v>215.91097252491096</v>
      </c>
      <c r="AS212" s="90">
        <f t="shared" ca="1" si="118"/>
        <v>1944.144532317659</v>
      </c>
      <c r="AT212" s="90">
        <f t="shared" ca="1" si="119"/>
        <v>87.804532317658868</v>
      </c>
      <c r="AV212" s="403">
        <f t="shared" ca="1" si="120"/>
        <v>7.5402413549738503</v>
      </c>
      <c r="AW212" s="403">
        <f t="shared" ca="1" si="121"/>
        <v>1951.6847736726329</v>
      </c>
    </row>
    <row r="213" spans="1:49">
      <c r="A213" s="38" t="str">
        <f t="shared" si="105"/>
        <v>Lewis County UTCFINAL30-RO</v>
      </c>
      <c r="B213" s="38">
        <f t="shared" si="114"/>
        <v>1</v>
      </c>
      <c r="C213" s="97" t="s">
        <v>601</v>
      </c>
      <c r="D213" s="97" t="s">
        <v>602</v>
      </c>
      <c r="E213" s="69">
        <v>177.14</v>
      </c>
      <c r="F213" s="69">
        <v>176.37</v>
      </c>
      <c r="G213" s="69" t="s">
        <v>592</v>
      </c>
      <c r="H213" s="88">
        <v>0</v>
      </c>
      <c r="I213" s="88">
        <v>0</v>
      </c>
      <c r="J213" s="88">
        <v>0</v>
      </c>
      <c r="K213" s="88">
        <v>0</v>
      </c>
      <c r="L213" s="88">
        <v>0</v>
      </c>
      <c r="M213" s="88">
        <v>0</v>
      </c>
      <c r="N213" s="88">
        <v>177.14</v>
      </c>
      <c r="O213" s="88">
        <v>0</v>
      </c>
      <c r="P213" s="88">
        <v>176.37</v>
      </c>
      <c r="Q213" s="88">
        <v>546.21</v>
      </c>
      <c r="R213" s="88">
        <v>0</v>
      </c>
      <c r="S213" s="88">
        <v>0</v>
      </c>
      <c r="T213" s="88">
        <f t="shared" si="115"/>
        <v>899.72</v>
      </c>
      <c r="U213" s="88"/>
      <c r="V213" s="86">
        <f t="shared" si="111"/>
        <v>0</v>
      </c>
      <c r="W213" s="86">
        <f t="shared" si="111"/>
        <v>0</v>
      </c>
      <c r="X213" s="86">
        <f t="shared" si="111"/>
        <v>0</v>
      </c>
      <c r="Y213" s="86">
        <f t="shared" si="111"/>
        <v>0</v>
      </c>
      <c r="Z213" s="86">
        <f t="shared" si="111"/>
        <v>0</v>
      </c>
      <c r="AA213" s="86">
        <f t="shared" si="111"/>
        <v>0</v>
      </c>
      <c r="AB213" s="86">
        <f t="shared" si="111"/>
        <v>1</v>
      </c>
      <c r="AC213" s="86">
        <f t="shared" si="116"/>
        <v>0</v>
      </c>
      <c r="AD213" s="86">
        <f t="shared" si="116"/>
        <v>1</v>
      </c>
      <c r="AE213" s="86">
        <f t="shared" si="116"/>
        <v>3.0969552645007656</v>
      </c>
      <c r="AF213" s="86">
        <f t="shared" si="116"/>
        <v>0</v>
      </c>
      <c r="AG213" s="86">
        <f t="shared" si="116"/>
        <v>0</v>
      </c>
      <c r="AH213" s="86">
        <f t="shared" si="112"/>
        <v>5.0969552645007656</v>
      </c>
      <c r="AI213" s="70">
        <f t="shared" si="113"/>
        <v>0.42474627204173049</v>
      </c>
      <c r="AR213" s="89">
        <f t="shared" ca="1" si="117"/>
        <v>185.34127433183366</v>
      </c>
      <c r="AS213" s="90">
        <f t="shared" ca="1" si="118"/>
        <v>944.67618393492023</v>
      </c>
      <c r="AT213" s="90">
        <f t="shared" ca="1" si="119"/>
        <v>44.956183934920205</v>
      </c>
      <c r="AV213" s="403">
        <f t="shared" ca="1" si="120"/>
        <v>3.6638667088569674</v>
      </c>
      <c r="AW213" s="403">
        <f t="shared" ca="1" si="121"/>
        <v>948.3400506437772</v>
      </c>
    </row>
    <row r="214" spans="1:49">
      <c r="A214" s="38" t="str">
        <f t="shared" si="105"/>
        <v>Lewis County UTCHAUL20TEMP-RO</v>
      </c>
      <c r="B214" s="38">
        <f t="shared" si="114"/>
        <v>1</v>
      </c>
      <c r="C214" s="97" t="s">
        <v>603</v>
      </c>
      <c r="D214" s="97" t="s">
        <v>604</v>
      </c>
      <c r="E214" s="69">
        <v>177.15</v>
      </c>
      <c r="F214" s="69">
        <v>176.38</v>
      </c>
      <c r="G214" s="69" t="s">
        <v>592</v>
      </c>
      <c r="H214" s="88">
        <v>177.15</v>
      </c>
      <c r="I214" s="88">
        <v>531.45000000000005</v>
      </c>
      <c r="J214" s="88">
        <v>1417.2</v>
      </c>
      <c r="K214" s="88">
        <v>1062.9000000000001</v>
      </c>
      <c r="L214" s="88">
        <v>1062.9000000000001</v>
      </c>
      <c r="M214" s="88">
        <v>1594.35</v>
      </c>
      <c r="N214" s="88">
        <v>2302.9499999999998</v>
      </c>
      <c r="O214" s="88">
        <v>1771.5</v>
      </c>
      <c r="P214" s="88">
        <v>1763.8</v>
      </c>
      <c r="Q214" s="88">
        <v>1411.04</v>
      </c>
      <c r="R214" s="88">
        <v>1587.42</v>
      </c>
      <c r="S214" s="88">
        <v>1587.42</v>
      </c>
      <c r="T214" s="88">
        <f t="shared" si="115"/>
        <v>16270.080000000002</v>
      </c>
      <c r="U214" s="88"/>
      <c r="V214" s="86">
        <f t="shared" si="111"/>
        <v>1</v>
      </c>
      <c r="W214" s="86">
        <f t="shared" si="111"/>
        <v>3</v>
      </c>
      <c r="X214" s="86">
        <f t="shared" si="111"/>
        <v>8</v>
      </c>
      <c r="Y214" s="86">
        <f t="shared" si="111"/>
        <v>6</v>
      </c>
      <c r="Z214" s="86">
        <f t="shared" si="111"/>
        <v>6</v>
      </c>
      <c r="AA214" s="86">
        <f t="shared" si="111"/>
        <v>9</v>
      </c>
      <c r="AB214" s="86">
        <f t="shared" si="111"/>
        <v>12.999999999999998</v>
      </c>
      <c r="AC214" s="86">
        <f t="shared" si="116"/>
        <v>10.043655743281551</v>
      </c>
      <c r="AD214" s="86">
        <f t="shared" si="116"/>
        <v>10</v>
      </c>
      <c r="AE214" s="86">
        <f t="shared" si="116"/>
        <v>8</v>
      </c>
      <c r="AF214" s="86">
        <f t="shared" si="116"/>
        <v>9</v>
      </c>
      <c r="AG214" s="86">
        <f t="shared" si="116"/>
        <v>9</v>
      </c>
      <c r="AH214" s="86">
        <f t="shared" si="112"/>
        <v>92.043655743281548</v>
      </c>
      <c r="AI214" s="70">
        <f t="shared" si="113"/>
        <v>7.670304645273462</v>
      </c>
      <c r="AR214" s="89">
        <f t="shared" ca="1" si="117"/>
        <v>185.35178299398322</v>
      </c>
      <c r="AS214" s="90">
        <f t="shared" ca="1" si="118"/>
        <v>17060.455705301618</v>
      </c>
      <c r="AT214" s="90">
        <f t="shared" ca="1" si="119"/>
        <v>790.37570530161611</v>
      </c>
      <c r="AV214" s="403">
        <f t="shared" ca="1" si="120"/>
        <v>66.167896216265461</v>
      </c>
      <c r="AW214" s="403">
        <f t="shared" ca="1" si="121"/>
        <v>17126.623601517884</v>
      </c>
    </row>
    <row r="215" spans="1:49">
      <c r="A215" s="38" t="str">
        <f t="shared" si="105"/>
        <v>Lewis County UTCFINAL20TEMP-RO</v>
      </c>
      <c r="B215" s="38">
        <f t="shared" si="114"/>
        <v>1</v>
      </c>
      <c r="C215" s="97" t="s">
        <v>605</v>
      </c>
      <c r="D215" s="97" t="s">
        <v>606</v>
      </c>
      <c r="E215" s="69">
        <v>177.15</v>
      </c>
      <c r="F215" s="69">
        <v>176.38</v>
      </c>
      <c r="G215" s="69" t="s">
        <v>592</v>
      </c>
      <c r="H215" s="88">
        <v>1062.9000000000001</v>
      </c>
      <c r="I215" s="88">
        <v>885.75</v>
      </c>
      <c r="J215" s="88">
        <v>885.75</v>
      </c>
      <c r="K215" s="88">
        <v>885.75</v>
      </c>
      <c r="L215" s="88">
        <v>1948.65</v>
      </c>
      <c r="M215" s="88">
        <v>2834.3999999999996</v>
      </c>
      <c r="N215" s="88">
        <v>2834.4</v>
      </c>
      <c r="O215" s="88">
        <v>4251.5999999999995</v>
      </c>
      <c r="P215" s="88">
        <v>3174.84</v>
      </c>
      <c r="Q215" s="88">
        <v>2292.94</v>
      </c>
      <c r="R215" s="88">
        <v>881.9</v>
      </c>
      <c r="S215" s="88">
        <v>1058.28</v>
      </c>
      <c r="T215" s="88">
        <f t="shared" si="115"/>
        <v>22997.16</v>
      </c>
      <c r="U215" s="88"/>
      <c r="V215" s="86">
        <f t="shared" si="111"/>
        <v>6</v>
      </c>
      <c r="W215" s="86">
        <f t="shared" si="111"/>
        <v>5</v>
      </c>
      <c r="X215" s="86">
        <f t="shared" si="111"/>
        <v>5</v>
      </c>
      <c r="Y215" s="86">
        <f t="shared" si="111"/>
        <v>5</v>
      </c>
      <c r="Z215" s="86">
        <f t="shared" si="111"/>
        <v>11</v>
      </c>
      <c r="AA215" s="86">
        <f t="shared" si="111"/>
        <v>15.999999999999998</v>
      </c>
      <c r="AB215" s="86">
        <f t="shared" si="111"/>
        <v>16</v>
      </c>
      <c r="AC215" s="86">
        <f t="shared" si="116"/>
        <v>24.104773783875721</v>
      </c>
      <c r="AD215" s="86">
        <f t="shared" si="116"/>
        <v>18</v>
      </c>
      <c r="AE215" s="86">
        <f t="shared" si="116"/>
        <v>13</v>
      </c>
      <c r="AF215" s="86">
        <f t="shared" si="116"/>
        <v>5</v>
      </c>
      <c r="AG215" s="86">
        <f t="shared" si="116"/>
        <v>6</v>
      </c>
      <c r="AH215" s="86">
        <f t="shared" si="112"/>
        <v>130.10477378387571</v>
      </c>
      <c r="AI215" s="70">
        <f t="shared" si="113"/>
        <v>10.842064481989643</v>
      </c>
      <c r="AR215" s="89">
        <f t="shared" ca="1" si="117"/>
        <v>185.35178299398322</v>
      </c>
      <c r="AS215" s="90">
        <f t="shared" ca="1" si="118"/>
        <v>24115.15179687021</v>
      </c>
      <c r="AT215" s="90">
        <f t="shared" ca="1" si="119"/>
        <v>1117.9917968702102</v>
      </c>
      <c r="AV215" s="403">
        <f t="shared" ca="1" si="120"/>
        <v>93.529087903492538</v>
      </c>
      <c r="AW215" s="403">
        <f t="shared" ca="1" si="121"/>
        <v>24208.680884773701</v>
      </c>
    </row>
    <row r="216" spans="1:49">
      <c r="A216" s="38" t="str">
        <f t="shared" si="105"/>
        <v>Lewis County UTCHAUL30TEMP-RO</v>
      </c>
      <c r="B216" s="38">
        <f t="shared" si="114"/>
        <v>1</v>
      </c>
      <c r="C216" s="97" t="s">
        <v>607</v>
      </c>
      <c r="D216" s="97" t="s">
        <v>608</v>
      </c>
      <c r="E216" s="69">
        <v>194.32</v>
      </c>
      <c r="F216" s="69">
        <v>193.47</v>
      </c>
      <c r="G216" s="69" t="s">
        <v>592</v>
      </c>
      <c r="H216" s="88">
        <v>388.64</v>
      </c>
      <c r="I216" s="88">
        <v>194.32</v>
      </c>
      <c r="J216" s="88">
        <v>0</v>
      </c>
      <c r="K216" s="88">
        <v>194.32</v>
      </c>
      <c r="L216" s="88">
        <v>1554.56</v>
      </c>
      <c r="M216" s="88">
        <v>194.32</v>
      </c>
      <c r="N216" s="88">
        <v>0</v>
      </c>
      <c r="O216" s="88">
        <v>0</v>
      </c>
      <c r="P216" s="88">
        <v>1934.6999999999998</v>
      </c>
      <c r="Q216" s="88">
        <v>0</v>
      </c>
      <c r="R216" s="88">
        <v>193.47</v>
      </c>
      <c r="S216" s="88">
        <v>0</v>
      </c>
      <c r="T216" s="88">
        <f t="shared" si="115"/>
        <v>4654.3300000000008</v>
      </c>
      <c r="U216" s="88"/>
      <c r="V216" s="86">
        <f t="shared" si="111"/>
        <v>2</v>
      </c>
      <c r="W216" s="86">
        <f t="shared" si="111"/>
        <v>1</v>
      </c>
      <c r="X216" s="86">
        <f t="shared" si="111"/>
        <v>0</v>
      </c>
      <c r="Y216" s="86">
        <f t="shared" si="111"/>
        <v>1</v>
      </c>
      <c r="Z216" s="86">
        <f t="shared" si="111"/>
        <v>8</v>
      </c>
      <c r="AA216" s="86">
        <f t="shared" si="111"/>
        <v>1</v>
      </c>
      <c r="AB216" s="86">
        <f t="shared" si="111"/>
        <v>0</v>
      </c>
      <c r="AC216" s="86">
        <f t="shared" si="116"/>
        <v>0</v>
      </c>
      <c r="AD216" s="86">
        <f t="shared" si="116"/>
        <v>10</v>
      </c>
      <c r="AE216" s="86">
        <f t="shared" si="116"/>
        <v>0</v>
      </c>
      <c r="AF216" s="86">
        <f t="shared" si="116"/>
        <v>1</v>
      </c>
      <c r="AG216" s="86">
        <f t="shared" si="116"/>
        <v>0</v>
      </c>
      <c r="AH216" s="86">
        <f t="shared" si="112"/>
        <v>24</v>
      </c>
      <c r="AI216" s="70">
        <f t="shared" si="113"/>
        <v>2</v>
      </c>
      <c r="AR216" s="89">
        <f t="shared" ca="1" si="117"/>
        <v>203.31108660758551</v>
      </c>
      <c r="AS216" s="90">
        <f t="shared" ca="1" si="118"/>
        <v>4879.4660785820524</v>
      </c>
      <c r="AT216" s="90">
        <f t="shared" ca="1" si="119"/>
        <v>225.1360785820516</v>
      </c>
      <c r="AV216" s="403">
        <f t="shared" ca="1" si="120"/>
        <v>18.924699940932619</v>
      </c>
      <c r="AW216" s="403">
        <f t="shared" ca="1" si="121"/>
        <v>4898.3907785229849</v>
      </c>
    </row>
    <row r="217" spans="1:49">
      <c r="A217" s="38" t="str">
        <f t="shared" si="105"/>
        <v>Lewis County UTCFINAL30TEMP-RO</v>
      </c>
      <c r="B217" s="38">
        <f t="shared" si="114"/>
        <v>1</v>
      </c>
      <c r="C217" s="97" t="s">
        <v>609</v>
      </c>
      <c r="D217" s="97" t="s">
        <v>610</v>
      </c>
      <c r="E217" s="69">
        <v>194.32</v>
      </c>
      <c r="F217" s="69">
        <v>193.47</v>
      </c>
      <c r="G217" s="69" t="s">
        <v>592</v>
      </c>
      <c r="H217" s="88">
        <v>194.32</v>
      </c>
      <c r="I217" s="88">
        <v>582.96</v>
      </c>
      <c r="J217" s="88">
        <v>971.6</v>
      </c>
      <c r="K217" s="88">
        <v>388.64</v>
      </c>
      <c r="L217" s="88">
        <v>1165.92</v>
      </c>
      <c r="M217" s="88">
        <v>1360.24</v>
      </c>
      <c r="N217" s="88">
        <v>1165.9199999999998</v>
      </c>
      <c r="O217" s="88">
        <v>971.59999999999991</v>
      </c>
      <c r="P217" s="88">
        <v>775.58</v>
      </c>
      <c r="Q217" s="88">
        <v>967.35</v>
      </c>
      <c r="R217" s="88">
        <v>386.94</v>
      </c>
      <c r="S217" s="88">
        <v>386.94</v>
      </c>
      <c r="T217" s="88">
        <f t="shared" si="115"/>
        <v>9318.010000000002</v>
      </c>
      <c r="U217" s="88"/>
      <c r="V217" s="86">
        <f t="shared" si="111"/>
        <v>1</v>
      </c>
      <c r="W217" s="86">
        <f t="shared" si="111"/>
        <v>3.0000000000000004</v>
      </c>
      <c r="X217" s="86">
        <f t="shared" si="111"/>
        <v>5</v>
      </c>
      <c r="Y217" s="86">
        <f t="shared" si="111"/>
        <v>2</v>
      </c>
      <c r="Z217" s="86">
        <f t="shared" si="111"/>
        <v>6.0000000000000009</v>
      </c>
      <c r="AA217" s="86">
        <f t="shared" si="111"/>
        <v>7</v>
      </c>
      <c r="AB217" s="86">
        <f t="shared" si="111"/>
        <v>5.9999999999999991</v>
      </c>
      <c r="AC217" s="86">
        <f t="shared" si="116"/>
        <v>5.0219672300615077</v>
      </c>
      <c r="AD217" s="86">
        <f t="shared" si="116"/>
        <v>4.0087868920246033</v>
      </c>
      <c r="AE217" s="86">
        <f t="shared" si="116"/>
        <v>5</v>
      </c>
      <c r="AF217" s="86">
        <f t="shared" si="116"/>
        <v>2</v>
      </c>
      <c r="AG217" s="86">
        <f t="shared" si="116"/>
        <v>2</v>
      </c>
      <c r="AH217" s="86">
        <f t="shared" si="112"/>
        <v>48.030754122086108</v>
      </c>
      <c r="AI217" s="70">
        <f t="shared" si="113"/>
        <v>4.0025628435071754</v>
      </c>
      <c r="AR217" s="89">
        <f t="shared" ca="1" si="117"/>
        <v>203.31108660758551</v>
      </c>
      <c r="AS217" s="90">
        <f t="shared" ca="1" si="118"/>
        <v>9765.1848111430918</v>
      </c>
      <c r="AT217" s="90">
        <f t="shared" ca="1" si="119"/>
        <v>447.17481114308976</v>
      </c>
      <c r="AV217" s="403">
        <f t="shared" ca="1" si="120"/>
        <v>37.873650404049663</v>
      </c>
      <c r="AW217" s="403">
        <f t="shared" ca="1" si="121"/>
        <v>9803.0584615471416</v>
      </c>
    </row>
    <row r="218" spans="1:49">
      <c r="A218" s="38" t="str">
        <f t="shared" si="105"/>
        <v>Lewis County UTCHAUL40TEMP-RO</v>
      </c>
      <c r="B218" s="38">
        <f t="shared" si="114"/>
        <v>1</v>
      </c>
      <c r="C218" s="97" t="s">
        <v>611</v>
      </c>
      <c r="D218" s="97" t="s">
        <v>612</v>
      </c>
      <c r="E218" s="69">
        <v>227</v>
      </c>
      <c r="F218" s="69">
        <v>226.01</v>
      </c>
      <c r="G218" s="69" t="s">
        <v>592</v>
      </c>
      <c r="H218" s="88">
        <v>3178</v>
      </c>
      <c r="I218" s="88">
        <v>2724</v>
      </c>
      <c r="J218" s="88">
        <v>681</v>
      </c>
      <c r="K218" s="88">
        <v>0</v>
      </c>
      <c r="L218" s="88">
        <v>454</v>
      </c>
      <c r="M218" s="88">
        <v>2724</v>
      </c>
      <c r="N218" s="88">
        <v>1816</v>
      </c>
      <c r="O218" s="88">
        <v>1362</v>
      </c>
      <c r="P218" s="88">
        <v>1584.05</v>
      </c>
      <c r="Q218" s="88">
        <v>1130.05</v>
      </c>
      <c r="R218" s="88">
        <v>452.02</v>
      </c>
      <c r="S218" s="88">
        <v>0</v>
      </c>
      <c r="T218" s="88">
        <f t="shared" si="115"/>
        <v>16105.119999999999</v>
      </c>
      <c r="U218" s="88"/>
      <c r="V218" s="86">
        <f t="shared" si="111"/>
        <v>14</v>
      </c>
      <c r="W218" s="86">
        <f t="shared" si="111"/>
        <v>12</v>
      </c>
      <c r="X218" s="86">
        <f t="shared" si="111"/>
        <v>3</v>
      </c>
      <c r="Y218" s="86">
        <f t="shared" si="111"/>
        <v>0</v>
      </c>
      <c r="Z218" s="86">
        <f t="shared" si="111"/>
        <v>2</v>
      </c>
      <c r="AA218" s="86">
        <f t="shared" si="111"/>
        <v>12</v>
      </c>
      <c r="AB218" s="86">
        <f t="shared" si="111"/>
        <v>8</v>
      </c>
      <c r="AC218" s="86">
        <f t="shared" si="116"/>
        <v>6.0262820229193403</v>
      </c>
      <c r="AD218" s="86">
        <f t="shared" si="116"/>
        <v>7.0087606743064468</v>
      </c>
      <c r="AE218" s="86">
        <f t="shared" si="116"/>
        <v>5</v>
      </c>
      <c r="AF218" s="86">
        <f t="shared" si="116"/>
        <v>2</v>
      </c>
      <c r="AG218" s="86">
        <f t="shared" si="116"/>
        <v>0</v>
      </c>
      <c r="AH218" s="86">
        <f t="shared" si="112"/>
        <v>71.035042697225791</v>
      </c>
      <c r="AI218" s="70">
        <f t="shared" si="113"/>
        <v>5.9195868914354826</v>
      </c>
      <c r="AR218" s="89">
        <f t="shared" ca="1" si="117"/>
        <v>237.50627324226184</v>
      </c>
      <c r="AS218" s="90">
        <f t="shared" ca="1" si="118"/>
        <v>16871.268260623045</v>
      </c>
      <c r="AT218" s="90">
        <f t="shared" ca="1" si="119"/>
        <v>766.14826062304564</v>
      </c>
      <c r="AV218" s="403">
        <f t="shared" ca="1" si="120"/>
        <v>65.43414470217067</v>
      </c>
      <c r="AW218" s="403">
        <f t="shared" ca="1" si="121"/>
        <v>16936.702405325217</v>
      </c>
    </row>
    <row r="219" spans="1:49">
      <c r="A219" s="38" t="str">
        <f t="shared" si="105"/>
        <v>Lewis County UTCFINAL40TEMP-RO</v>
      </c>
      <c r="B219" s="38">
        <f t="shared" si="114"/>
        <v>1</v>
      </c>
      <c r="C219" s="97" t="s">
        <v>613</v>
      </c>
      <c r="D219" s="97" t="s">
        <v>614</v>
      </c>
      <c r="E219" s="69">
        <v>227</v>
      </c>
      <c r="F219" s="69">
        <v>226.01</v>
      </c>
      <c r="G219" s="69" t="s">
        <v>592</v>
      </c>
      <c r="H219" s="88">
        <v>1135</v>
      </c>
      <c r="I219" s="88">
        <v>2043</v>
      </c>
      <c r="J219" s="88">
        <v>1135</v>
      </c>
      <c r="K219" s="88">
        <v>681</v>
      </c>
      <c r="L219" s="88">
        <v>681</v>
      </c>
      <c r="M219" s="88">
        <v>2497</v>
      </c>
      <c r="N219" s="88">
        <v>1816</v>
      </c>
      <c r="O219" s="88">
        <v>1135</v>
      </c>
      <c r="P219" s="88">
        <v>1582.07</v>
      </c>
      <c r="Q219" s="88">
        <v>1582.07</v>
      </c>
      <c r="R219" s="88">
        <v>1130.05</v>
      </c>
      <c r="S219" s="88">
        <v>678.03</v>
      </c>
      <c r="T219" s="88">
        <f t="shared" si="115"/>
        <v>16095.22</v>
      </c>
      <c r="U219" s="88"/>
      <c r="V219" s="86">
        <f t="shared" si="111"/>
        <v>5</v>
      </c>
      <c r="W219" s="86">
        <f t="shared" si="111"/>
        <v>9</v>
      </c>
      <c r="X219" s="86">
        <f t="shared" si="111"/>
        <v>5</v>
      </c>
      <c r="Y219" s="86">
        <f t="shared" si="111"/>
        <v>3</v>
      </c>
      <c r="Z219" s="86">
        <f t="shared" si="111"/>
        <v>3</v>
      </c>
      <c r="AA219" s="86">
        <f t="shared" si="111"/>
        <v>11</v>
      </c>
      <c r="AB219" s="86">
        <f t="shared" si="111"/>
        <v>8</v>
      </c>
      <c r="AC219" s="86">
        <f t="shared" si="116"/>
        <v>5.0219016857661165</v>
      </c>
      <c r="AD219" s="86">
        <f t="shared" si="116"/>
        <v>7</v>
      </c>
      <c r="AE219" s="86">
        <f t="shared" si="116"/>
        <v>7</v>
      </c>
      <c r="AF219" s="86">
        <f t="shared" si="116"/>
        <v>5</v>
      </c>
      <c r="AG219" s="86">
        <f t="shared" si="116"/>
        <v>3</v>
      </c>
      <c r="AH219" s="86">
        <f t="shared" si="112"/>
        <v>71.021901685766125</v>
      </c>
      <c r="AI219" s="70">
        <f t="shared" si="113"/>
        <v>5.918491807147177</v>
      </c>
      <c r="AR219" s="89">
        <f t="shared" ca="1" si="117"/>
        <v>237.50627324226184</v>
      </c>
      <c r="AS219" s="90">
        <f t="shared" ca="1" si="118"/>
        <v>16868.147187964627</v>
      </c>
      <c r="AT219" s="90">
        <f t="shared" ca="1" si="119"/>
        <v>772.92718796462759</v>
      </c>
      <c r="AV219" s="403">
        <f t="shared" ca="1" si="120"/>
        <v>65.422039819668527</v>
      </c>
      <c r="AW219" s="403">
        <f t="shared" ca="1" si="121"/>
        <v>16933.569227784297</v>
      </c>
    </row>
    <row r="220" spans="1:49">
      <c r="A220" s="38" t="str">
        <f t="shared" si="105"/>
        <v>Lewis County UTCHAUL10-CP</v>
      </c>
      <c r="B220" s="38">
        <f t="shared" si="114"/>
        <v>1</v>
      </c>
      <c r="C220" s="97" t="s">
        <v>615</v>
      </c>
      <c r="D220" s="97" t="s">
        <v>616</v>
      </c>
      <c r="E220" s="69">
        <v>177.21</v>
      </c>
      <c r="F220" s="69">
        <v>176.44</v>
      </c>
      <c r="G220" s="69" t="s">
        <v>617</v>
      </c>
      <c r="H220" s="88">
        <v>0</v>
      </c>
      <c r="I220" s="88">
        <v>0</v>
      </c>
      <c r="J220" s="88">
        <v>0</v>
      </c>
      <c r="K220" s="88">
        <v>0</v>
      </c>
      <c r="L220" s="88">
        <v>0</v>
      </c>
      <c r="M220" s="88">
        <v>0</v>
      </c>
      <c r="N220" s="88">
        <v>0</v>
      </c>
      <c r="O220" s="88">
        <v>0</v>
      </c>
      <c r="P220" s="88">
        <v>0</v>
      </c>
      <c r="Q220" s="88">
        <v>0</v>
      </c>
      <c r="R220" s="88">
        <v>0</v>
      </c>
      <c r="S220" s="88">
        <v>0</v>
      </c>
      <c r="T220" s="88">
        <f t="shared" si="115"/>
        <v>0</v>
      </c>
      <c r="U220" s="88"/>
      <c r="V220" s="86">
        <f t="shared" si="111"/>
        <v>0</v>
      </c>
      <c r="W220" s="86">
        <f t="shared" si="111"/>
        <v>0</v>
      </c>
      <c r="X220" s="86">
        <f t="shared" si="111"/>
        <v>0</v>
      </c>
      <c r="Y220" s="86">
        <f t="shared" si="111"/>
        <v>0</v>
      </c>
      <c r="Z220" s="86">
        <f t="shared" si="111"/>
        <v>0</v>
      </c>
      <c r="AA220" s="86">
        <f t="shared" si="111"/>
        <v>0</v>
      </c>
      <c r="AB220" s="86">
        <f t="shared" si="111"/>
        <v>0</v>
      </c>
      <c r="AC220" s="86">
        <f t="shared" si="116"/>
        <v>0</v>
      </c>
      <c r="AD220" s="86">
        <f t="shared" si="116"/>
        <v>0</v>
      </c>
      <c r="AE220" s="86">
        <f t="shared" si="116"/>
        <v>0</v>
      </c>
      <c r="AF220" s="86">
        <f t="shared" si="116"/>
        <v>0</v>
      </c>
      <c r="AG220" s="86">
        <f t="shared" si="116"/>
        <v>0</v>
      </c>
      <c r="AH220" s="86">
        <f t="shared" si="112"/>
        <v>0</v>
      </c>
      <c r="AI220" s="70">
        <f t="shared" si="113"/>
        <v>0</v>
      </c>
      <c r="AR220" s="89">
        <f t="shared" ca="1" si="117"/>
        <v>185.41483496688059</v>
      </c>
      <c r="AS220" s="90">
        <f t="shared" ca="1" si="118"/>
        <v>0</v>
      </c>
      <c r="AT220" s="90">
        <f t="shared" ca="1" si="119"/>
        <v>0</v>
      </c>
      <c r="AV220" s="403">
        <f t="shared" ca="1" si="120"/>
        <v>0</v>
      </c>
      <c r="AW220" s="403">
        <f t="shared" ca="1" si="121"/>
        <v>0</v>
      </c>
    </row>
    <row r="221" spans="1:49">
      <c r="A221" s="38" t="str">
        <f t="shared" si="105"/>
        <v>Lewis County UTCHAUL15-CP</v>
      </c>
      <c r="B221" s="38">
        <f t="shared" si="114"/>
        <v>1</v>
      </c>
      <c r="C221" s="97" t="s">
        <v>618</v>
      </c>
      <c r="D221" s="97" t="s">
        <v>619</v>
      </c>
      <c r="E221" s="69">
        <v>223.55</v>
      </c>
      <c r="F221" s="69">
        <v>222.58</v>
      </c>
      <c r="G221" s="69" t="s">
        <v>617</v>
      </c>
      <c r="H221" s="88">
        <v>0</v>
      </c>
      <c r="I221" s="88">
        <v>0</v>
      </c>
      <c r="J221" s="88">
        <v>0</v>
      </c>
      <c r="K221" s="88">
        <v>0</v>
      </c>
      <c r="L221" s="88">
        <v>0</v>
      </c>
      <c r="M221" s="88">
        <v>0</v>
      </c>
      <c r="N221" s="88">
        <v>0</v>
      </c>
      <c r="O221" s="88">
        <v>0</v>
      </c>
      <c r="P221" s="88">
        <v>0</v>
      </c>
      <c r="Q221" s="88">
        <v>0</v>
      </c>
      <c r="R221" s="88">
        <v>0</v>
      </c>
      <c r="S221" s="88">
        <v>0</v>
      </c>
      <c r="T221" s="88">
        <f t="shared" si="115"/>
        <v>0</v>
      </c>
      <c r="U221" s="88"/>
      <c r="V221" s="86">
        <f t="shared" si="111"/>
        <v>0</v>
      </c>
      <c r="W221" s="86">
        <f t="shared" si="111"/>
        <v>0</v>
      </c>
      <c r="X221" s="86">
        <f t="shared" si="111"/>
        <v>0</v>
      </c>
      <c r="Y221" s="86">
        <f t="shared" si="111"/>
        <v>0</v>
      </c>
      <c r="Z221" s="86">
        <f t="shared" si="111"/>
        <v>0</v>
      </c>
      <c r="AA221" s="86">
        <f t="shared" si="111"/>
        <v>0</v>
      </c>
      <c r="AB221" s="86">
        <f t="shared" si="111"/>
        <v>0</v>
      </c>
      <c r="AC221" s="86">
        <f t="shared" si="116"/>
        <v>0</v>
      </c>
      <c r="AD221" s="86">
        <f t="shared" si="116"/>
        <v>0</v>
      </c>
      <c r="AE221" s="86">
        <f t="shared" si="116"/>
        <v>0</v>
      </c>
      <c r="AF221" s="86">
        <f t="shared" si="116"/>
        <v>0</v>
      </c>
      <c r="AG221" s="86">
        <f t="shared" si="116"/>
        <v>0</v>
      </c>
      <c r="AH221" s="86">
        <f t="shared" si="112"/>
        <v>0</v>
      </c>
      <c r="AI221" s="70">
        <f t="shared" si="113"/>
        <v>0</v>
      </c>
      <c r="AR221" s="89">
        <f t="shared" ca="1" si="117"/>
        <v>233.90180212496193</v>
      </c>
      <c r="AS221" s="90">
        <f t="shared" ca="1" si="118"/>
        <v>0</v>
      </c>
      <c r="AT221" s="90">
        <f t="shared" ca="1" si="119"/>
        <v>0</v>
      </c>
      <c r="AV221" s="403">
        <f t="shared" ca="1" si="120"/>
        <v>0</v>
      </c>
      <c r="AW221" s="403">
        <f t="shared" ca="1" si="121"/>
        <v>0</v>
      </c>
    </row>
    <row r="222" spans="1:49">
      <c r="A222" s="38" t="str">
        <f t="shared" si="105"/>
        <v>Lewis County UTCHAUL20-CP</v>
      </c>
      <c r="B222" s="38">
        <f t="shared" si="114"/>
        <v>1</v>
      </c>
      <c r="C222" s="97" t="s">
        <v>620</v>
      </c>
      <c r="D222" s="97" t="s">
        <v>621</v>
      </c>
      <c r="E222" s="69">
        <v>217.49</v>
      </c>
      <c r="F222" s="69">
        <v>216.54</v>
      </c>
      <c r="G222" s="69" t="s">
        <v>617</v>
      </c>
      <c r="H222" s="88">
        <v>217.49</v>
      </c>
      <c r="I222" s="88">
        <v>0</v>
      </c>
      <c r="J222" s="88">
        <v>217.49</v>
      </c>
      <c r="K222" s="88">
        <v>217.49</v>
      </c>
      <c r="L222" s="88">
        <v>217.49</v>
      </c>
      <c r="M222" s="88">
        <v>217.49</v>
      </c>
      <c r="N222" s="88">
        <v>0</v>
      </c>
      <c r="O222" s="88">
        <v>217.49</v>
      </c>
      <c r="P222" s="88">
        <v>216.54</v>
      </c>
      <c r="Q222" s="88">
        <v>216.54</v>
      </c>
      <c r="R222" s="88">
        <v>216.54</v>
      </c>
      <c r="S222" s="88">
        <v>0</v>
      </c>
      <c r="T222" s="88">
        <f t="shared" si="115"/>
        <v>1954.56</v>
      </c>
      <c r="U222" s="88"/>
      <c r="V222" s="86">
        <f t="shared" si="111"/>
        <v>1</v>
      </c>
      <c r="W222" s="86">
        <f t="shared" si="111"/>
        <v>0</v>
      </c>
      <c r="X222" s="86">
        <f t="shared" si="111"/>
        <v>1</v>
      </c>
      <c r="Y222" s="86">
        <f t="shared" si="111"/>
        <v>1</v>
      </c>
      <c r="Z222" s="86">
        <f t="shared" si="111"/>
        <v>1</v>
      </c>
      <c r="AA222" s="86">
        <f t="shared" si="111"/>
        <v>1</v>
      </c>
      <c r="AB222" s="86">
        <f t="shared" si="111"/>
        <v>0</v>
      </c>
      <c r="AC222" s="86">
        <f t="shared" si="116"/>
        <v>1.0043871801976541</v>
      </c>
      <c r="AD222" s="86">
        <f t="shared" si="116"/>
        <v>1</v>
      </c>
      <c r="AE222" s="86">
        <f t="shared" si="116"/>
        <v>1</v>
      </c>
      <c r="AF222" s="86">
        <f t="shared" si="116"/>
        <v>1</v>
      </c>
      <c r="AG222" s="86">
        <f t="shared" si="116"/>
        <v>0</v>
      </c>
      <c r="AH222" s="86">
        <f t="shared" si="112"/>
        <v>9.0043871801976536</v>
      </c>
      <c r="AI222" s="70">
        <f t="shared" si="113"/>
        <v>0.75036559834980443</v>
      </c>
      <c r="AR222" s="89">
        <f t="shared" ca="1" si="117"/>
        <v>227.55457018662617</v>
      </c>
      <c r="AS222" s="90">
        <f t="shared" ca="1" si="118"/>
        <v>2048.9894545838438</v>
      </c>
      <c r="AT222" s="90">
        <f t="shared" ca="1" si="119"/>
        <v>94.429454583843835</v>
      </c>
      <c r="AV222" s="403">
        <f t="shared" ca="1" si="120"/>
        <v>7.9468757412496815</v>
      </c>
      <c r="AW222" s="403">
        <f t="shared" ca="1" si="121"/>
        <v>2056.9363303250934</v>
      </c>
    </row>
    <row r="223" spans="1:49">
      <c r="A223" s="38" t="str">
        <f t="shared" si="105"/>
        <v>Lewis County UTCHAUL25-CP</v>
      </c>
      <c r="B223" s="38">
        <f t="shared" si="114"/>
        <v>1</v>
      </c>
      <c r="C223" s="97" t="s">
        <v>622</v>
      </c>
      <c r="D223" s="97" t="s">
        <v>623</v>
      </c>
      <c r="E223" s="69">
        <v>240.32</v>
      </c>
      <c r="F223" s="69">
        <v>239.27</v>
      </c>
      <c r="G223" s="69" t="s">
        <v>617</v>
      </c>
      <c r="H223" s="88">
        <v>0</v>
      </c>
      <c r="I223" s="88">
        <v>0</v>
      </c>
      <c r="J223" s="88">
        <v>240.32</v>
      </c>
      <c r="K223" s="88">
        <v>0</v>
      </c>
      <c r="L223" s="88">
        <v>0</v>
      </c>
      <c r="M223" s="88">
        <v>0</v>
      </c>
      <c r="N223" s="88">
        <v>240.32</v>
      </c>
      <c r="O223" s="88">
        <v>240.32</v>
      </c>
      <c r="P223" s="88">
        <v>0</v>
      </c>
      <c r="Q223" s="88">
        <v>0</v>
      </c>
      <c r="R223" s="88">
        <v>239.27</v>
      </c>
      <c r="S223" s="88">
        <v>0</v>
      </c>
      <c r="T223" s="88">
        <f t="shared" si="115"/>
        <v>960.23</v>
      </c>
      <c r="U223" s="88"/>
      <c r="V223" s="86">
        <f t="shared" si="111"/>
        <v>0</v>
      </c>
      <c r="W223" s="86">
        <f t="shared" si="111"/>
        <v>0</v>
      </c>
      <c r="X223" s="86">
        <f t="shared" si="111"/>
        <v>1</v>
      </c>
      <c r="Y223" s="86">
        <f t="shared" si="111"/>
        <v>0</v>
      </c>
      <c r="Z223" s="86">
        <f t="shared" si="111"/>
        <v>0</v>
      </c>
      <c r="AA223" s="86">
        <f t="shared" si="111"/>
        <v>0</v>
      </c>
      <c r="AB223" s="86">
        <f t="shared" si="111"/>
        <v>1</v>
      </c>
      <c r="AC223" s="86">
        <f t="shared" si="116"/>
        <v>1.0043883478915032</v>
      </c>
      <c r="AD223" s="86">
        <f t="shared" si="116"/>
        <v>0</v>
      </c>
      <c r="AE223" s="86">
        <f t="shared" si="116"/>
        <v>0</v>
      </c>
      <c r="AF223" s="86">
        <f t="shared" si="116"/>
        <v>1</v>
      </c>
      <c r="AG223" s="86">
        <f t="shared" si="116"/>
        <v>0</v>
      </c>
      <c r="AH223" s="86">
        <f t="shared" si="112"/>
        <v>4.0043883478915028</v>
      </c>
      <c r="AI223" s="70">
        <f t="shared" si="113"/>
        <v>0.33369902899095855</v>
      </c>
      <c r="AR223" s="89">
        <f t="shared" ca="1" si="117"/>
        <v>251.44075925258173</v>
      </c>
      <c r="AS223" s="90">
        <f t="shared" ca="1" si="118"/>
        <v>1006.8664465360307</v>
      </c>
      <c r="AT223" s="90">
        <f t="shared" ca="1" si="119"/>
        <v>46.636446536030689</v>
      </c>
      <c r="AV223" s="403">
        <f t="shared" ca="1" si="120"/>
        <v>3.9050677009367871</v>
      </c>
      <c r="AW223" s="403">
        <f t="shared" ca="1" si="121"/>
        <v>1010.7715142369675</v>
      </c>
    </row>
    <row r="224" spans="1:49">
      <c r="A224" s="38" t="str">
        <f t="shared" si="105"/>
        <v>Lewis County UTCHAUL30-CP</v>
      </c>
      <c r="B224" s="38">
        <f t="shared" si="114"/>
        <v>1</v>
      </c>
      <c r="C224" s="97" t="s">
        <v>624</v>
      </c>
      <c r="D224" s="97" t="s">
        <v>625</v>
      </c>
      <c r="E224" s="69">
        <v>249.36</v>
      </c>
      <c r="F224" s="69">
        <v>248.27</v>
      </c>
      <c r="G224" s="69" t="s">
        <v>617</v>
      </c>
      <c r="H224" s="88">
        <v>498.72</v>
      </c>
      <c r="I224" s="88">
        <v>748.08</v>
      </c>
      <c r="J224" s="88">
        <v>1246.8000000000002</v>
      </c>
      <c r="K224" s="88">
        <v>498.72</v>
      </c>
      <c r="L224" s="88">
        <v>498.72</v>
      </c>
      <c r="M224" s="88">
        <v>748.08</v>
      </c>
      <c r="N224" s="88">
        <v>997.44</v>
      </c>
      <c r="O224" s="88">
        <v>748.08</v>
      </c>
      <c r="P224" s="88">
        <v>496.54</v>
      </c>
      <c r="Q224" s="88">
        <v>496.54</v>
      </c>
      <c r="R224" s="88">
        <v>744.81000000000006</v>
      </c>
      <c r="S224" s="88">
        <v>496.54</v>
      </c>
      <c r="T224" s="88">
        <f t="shared" si="115"/>
        <v>8219.0700000000015</v>
      </c>
      <c r="U224" s="88"/>
      <c r="V224" s="86">
        <f t="shared" si="111"/>
        <v>2</v>
      </c>
      <c r="W224" s="86">
        <f t="shared" si="111"/>
        <v>3</v>
      </c>
      <c r="X224" s="86">
        <f t="shared" si="111"/>
        <v>5.0000000000000009</v>
      </c>
      <c r="Y224" s="86">
        <f t="shared" si="111"/>
        <v>2</v>
      </c>
      <c r="Z224" s="86">
        <f t="shared" si="111"/>
        <v>2</v>
      </c>
      <c r="AA224" s="86">
        <f t="shared" si="111"/>
        <v>3</v>
      </c>
      <c r="AB224" s="86">
        <f t="shared" si="111"/>
        <v>4</v>
      </c>
      <c r="AC224" s="86">
        <f t="shared" si="116"/>
        <v>3.0131711443186853</v>
      </c>
      <c r="AD224" s="86">
        <f t="shared" si="116"/>
        <v>2</v>
      </c>
      <c r="AE224" s="86">
        <f t="shared" si="116"/>
        <v>2</v>
      </c>
      <c r="AF224" s="86">
        <f t="shared" si="116"/>
        <v>3</v>
      </c>
      <c r="AG224" s="86">
        <f t="shared" si="116"/>
        <v>2</v>
      </c>
      <c r="AH224" s="86">
        <f t="shared" si="112"/>
        <v>33.01317114431869</v>
      </c>
      <c r="AI224" s="70">
        <f t="shared" si="113"/>
        <v>2.7510975953598908</v>
      </c>
      <c r="AR224" s="89">
        <f t="shared" ca="1" si="117"/>
        <v>260.89855518718798</v>
      </c>
      <c r="AS224" s="90">
        <f t="shared" ca="1" si="118"/>
        <v>8613.0886537001115</v>
      </c>
      <c r="AT224" s="90">
        <f t="shared" ca="1" si="119"/>
        <v>394.01865370011001</v>
      </c>
      <c r="AV224" s="403">
        <f t="shared" ca="1" si="120"/>
        <v>33.405318473551702</v>
      </c>
      <c r="AW224" s="403">
        <f t="shared" ca="1" si="121"/>
        <v>8646.4939721736628</v>
      </c>
    </row>
    <row r="225" spans="1:49">
      <c r="A225" s="38" t="str">
        <f t="shared" si="105"/>
        <v>Lewis County UTCHAUL40-CP</v>
      </c>
      <c r="B225" s="38">
        <f t="shared" si="114"/>
        <v>1</v>
      </c>
      <c r="C225" s="97" t="s">
        <v>626</v>
      </c>
      <c r="D225" s="97" t="s">
        <v>627</v>
      </c>
      <c r="E225" s="69">
        <v>257.92</v>
      </c>
      <c r="F225" s="69">
        <v>256.8</v>
      </c>
      <c r="G225" s="69" t="s">
        <v>617</v>
      </c>
      <c r="H225" s="88">
        <v>2063.36</v>
      </c>
      <c r="I225" s="88">
        <v>2321.2799999999997</v>
      </c>
      <c r="J225" s="88">
        <v>2321.2799999999997</v>
      </c>
      <c r="K225" s="88">
        <v>2063.36</v>
      </c>
      <c r="L225" s="88">
        <v>2579.2000000000003</v>
      </c>
      <c r="M225" s="88">
        <v>2321.2799999999997</v>
      </c>
      <c r="N225" s="88">
        <v>1805.44</v>
      </c>
      <c r="O225" s="88">
        <v>2837.12</v>
      </c>
      <c r="P225" s="88">
        <v>2054.4</v>
      </c>
      <c r="Q225" s="88">
        <v>1797.6</v>
      </c>
      <c r="R225" s="88">
        <v>2054.4</v>
      </c>
      <c r="S225" s="88">
        <v>2311.1999999999998</v>
      </c>
      <c r="T225" s="88">
        <f t="shared" si="115"/>
        <v>26529.920000000002</v>
      </c>
      <c r="U225" s="88"/>
      <c r="V225" s="86">
        <f t="shared" si="111"/>
        <v>8</v>
      </c>
      <c r="W225" s="86">
        <f t="shared" si="111"/>
        <v>8.9999999999999982</v>
      </c>
      <c r="X225" s="86">
        <f t="shared" si="111"/>
        <v>8.9999999999999982</v>
      </c>
      <c r="Y225" s="86">
        <f t="shared" si="111"/>
        <v>8</v>
      </c>
      <c r="Z225" s="86">
        <f t="shared" si="111"/>
        <v>10</v>
      </c>
      <c r="AA225" s="86">
        <f t="shared" si="111"/>
        <v>8.9999999999999982</v>
      </c>
      <c r="AB225" s="86">
        <f t="shared" si="111"/>
        <v>7</v>
      </c>
      <c r="AC225" s="86">
        <f t="shared" si="116"/>
        <v>11.047975077881619</v>
      </c>
      <c r="AD225" s="86">
        <f t="shared" si="116"/>
        <v>8</v>
      </c>
      <c r="AE225" s="86">
        <f t="shared" si="116"/>
        <v>6.9999999999999991</v>
      </c>
      <c r="AF225" s="86">
        <f t="shared" si="116"/>
        <v>8</v>
      </c>
      <c r="AG225" s="86">
        <f t="shared" si="116"/>
        <v>8.9999999999999982</v>
      </c>
      <c r="AH225" s="86">
        <f t="shared" si="112"/>
        <v>103.04797507788162</v>
      </c>
      <c r="AI225" s="70">
        <f t="shared" si="113"/>
        <v>8.5873312564901347</v>
      </c>
      <c r="AR225" s="89">
        <f t="shared" ca="1" si="117"/>
        <v>269.86244400076475</v>
      </c>
      <c r="AS225" s="90">
        <f t="shared" ca="1" si="118"/>
        <v>27808.778403847027</v>
      </c>
      <c r="AT225" s="90">
        <f t="shared" ca="1" si="119"/>
        <v>1278.8584038470253</v>
      </c>
      <c r="AV225" s="403">
        <f t="shared" ca="1" si="120"/>
        <v>107.85458460849148</v>
      </c>
      <c r="AW225" s="403">
        <f t="shared" ca="1" si="121"/>
        <v>27916.63298845552</v>
      </c>
    </row>
    <row r="226" spans="1:49" s="98" customFormat="1">
      <c r="A226" s="135" t="str">
        <f t="shared" si="105"/>
        <v>Lewis County UTCRENT20MO-RO</v>
      </c>
      <c r="B226" s="135">
        <f t="shared" si="114"/>
        <v>1</v>
      </c>
      <c r="C226" s="136" t="s">
        <v>628</v>
      </c>
      <c r="D226" s="136" t="s">
        <v>629</v>
      </c>
      <c r="E226" s="137">
        <v>94.56</v>
      </c>
      <c r="F226" s="137">
        <v>94.15</v>
      </c>
      <c r="G226" s="137" t="s">
        <v>592</v>
      </c>
      <c r="H226" s="138">
        <v>2931.36</v>
      </c>
      <c r="I226" s="138">
        <v>2931.36</v>
      </c>
      <c r="J226" s="138">
        <v>3120.48</v>
      </c>
      <c r="K226" s="138">
        <v>3025.92</v>
      </c>
      <c r="L226" s="138">
        <v>3120.48</v>
      </c>
      <c r="M226" s="138">
        <v>3025.92</v>
      </c>
      <c r="N226" s="138">
        <v>2836.8</v>
      </c>
      <c r="O226" s="138">
        <v>2931.3599999999997</v>
      </c>
      <c r="P226" s="138">
        <v>3201.1</v>
      </c>
      <c r="Q226" s="138">
        <v>3106.95</v>
      </c>
      <c r="R226" s="138">
        <v>3106.95</v>
      </c>
      <c r="S226" s="138">
        <v>3106.95</v>
      </c>
      <c r="T226" s="138">
        <f t="shared" si="115"/>
        <v>36445.629999999997</v>
      </c>
      <c r="U226" s="138"/>
      <c r="V226" s="139">
        <f t="shared" si="111"/>
        <v>31</v>
      </c>
      <c r="W226" s="139">
        <f t="shared" si="111"/>
        <v>31</v>
      </c>
      <c r="X226" s="139">
        <f t="shared" si="111"/>
        <v>33</v>
      </c>
      <c r="Y226" s="139">
        <f t="shared" si="111"/>
        <v>32</v>
      </c>
      <c r="Z226" s="139">
        <f t="shared" si="111"/>
        <v>33</v>
      </c>
      <c r="AA226" s="139">
        <f t="shared" si="111"/>
        <v>32</v>
      </c>
      <c r="AB226" s="139">
        <f t="shared" si="111"/>
        <v>30</v>
      </c>
      <c r="AC226" s="139">
        <f t="shared" si="116"/>
        <v>31.134997344662768</v>
      </c>
      <c r="AD226" s="139">
        <f t="shared" si="116"/>
        <v>34</v>
      </c>
      <c r="AE226" s="139">
        <f t="shared" si="116"/>
        <v>32.999999999999993</v>
      </c>
      <c r="AF226" s="139">
        <f t="shared" si="116"/>
        <v>32.999999999999993</v>
      </c>
      <c r="AG226" s="139">
        <f t="shared" si="116"/>
        <v>32.999999999999993</v>
      </c>
      <c r="AH226" s="139">
        <f t="shared" si="112"/>
        <v>386.13499734466279</v>
      </c>
      <c r="AI226" s="140">
        <f t="shared" si="113"/>
        <v>32.177916445388568</v>
      </c>
      <c r="AJ226" s="135"/>
      <c r="AK226" s="135"/>
      <c r="AL226" s="135"/>
      <c r="AM226" s="135">
        <v>20</v>
      </c>
      <c r="AN226" s="135">
        <v>1</v>
      </c>
      <c r="AO226" s="137">
        <f t="shared" ref="AO226:AO228" si="122">+AI226*AN226</f>
        <v>32.177916445388568</v>
      </c>
      <c r="AP226" s="137"/>
      <c r="AQ226" s="135"/>
      <c r="AR226" s="89">
        <f t="shared" ca="1" si="117"/>
        <v>98.939054138130857</v>
      </c>
      <c r="AS226" s="90">
        <f t="shared" ca="1" si="118"/>
        <v>38203.831406910605</v>
      </c>
      <c r="AT226" s="90">
        <f t="shared" ca="1" si="119"/>
        <v>1758.2014069106081</v>
      </c>
      <c r="AV226" s="403">
        <f t="shared" ca="1" si="120"/>
        <v>148.17113887588695</v>
      </c>
      <c r="AW226" s="403">
        <f t="shared" ca="1" si="121"/>
        <v>38352.00254578649</v>
      </c>
    </row>
    <row r="227" spans="1:49" s="98" customFormat="1">
      <c r="A227" s="135" t="str">
        <f t="shared" si="105"/>
        <v>Lewis County UTCRENT30MO-RO</v>
      </c>
      <c r="B227" s="135">
        <f t="shared" si="114"/>
        <v>1</v>
      </c>
      <c r="C227" s="136" t="s">
        <v>630</v>
      </c>
      <c r="D227" s="136" t="s">
        <v>631</v>
      </c>
      <c r="E227" s="137">
        <v>132.38999999999999</v>
      </c>
      <c r="F227" s="137">
        <v>131.81</v>
      </c>
      <c r="G227" s="137" t="s">
        <v>592</v>
      </c>
      <c r="H227" s="138">
        <v>2383.02</v>
      </c>
      <c r="I227" s="138">
        <v>2383.02</v>
      </c>
      <c r="J227" s="138">
        <v>2383.02</v>
      </c>
      <c r="K227" s="138">
        <v>2383.02</v>
      </c>
      <c r="L227" s="138">
        <v>2647.8</v>
      </c>
      <c r="M227" s="138">
        <v>2647.8</v>
      </c>
      <c r="N227" s="138">
        <v>2780.19</v>
      </c>
      <c r="O227" s="138">
        <v>2647.8</v>
      </c>
      <c r="P227" s="138">
        <v>2504.39</v>
      </c>
      <c r="Q227" s="138">
        <v>2240.77</v>
      </c>
      <c r="R227" s="138">
        <v>2108.96</v>
      </c>
      <c r="S227" s="138">
        <v>2108.96</v>
      </c>
      <c r="T227" s="138">
        <f t="shared" si="115"/>
        <v>29218.749999999996</v>
      </c>
      <c r="U227" s="138"/>
      <c r="V227" s="139">
        <f t="shared" si="111"/>
        <v>18</v>
      </c>
      <c r="W227" s="139">
        <f t="shared" si="111"/>
        <v>18</v>
      </c>
      <c r="X227" s="139">
        <f t="shared" si="111"/>
        <v>18</v>
      </c>
      <c r="Y227" s="139">
        <f t="shared" si="111"/>
        <v>18</v>
      </c>
      <c r="Z227" s="139">
        <f t="shared" si="111"/>
        <v>20.000000000000004</v>
      </c>
      <c r="AA227" s="139">
        <f t="shared" si="111"/>
        <v>20.000000000000004</v>
      </c>
      <c r="AB227" s="139">
        <f t="shared" si="111"/>
        <v>21.000000000000004</v>
      </c>
      <c r="AC227" s="139">
        <f t="shared" si="116"/>
        <v>20.088005462408013</v>
      </c>
      <c r="AD227" s="139">
        <f t="shared" si="116"/>
        <v>19</v>
      </c>
      <c r="AE227" s="139">
        <f t="shared" si="116"/>
        <v>17</v>
      </c>
      <c r="AF227" s="139">
        <f t="shared" si="116"/>
        <v>16</v>
      </c>
      <c r="AG227" s="139">
        <f t="shared" si="116"/>
        <v>16</v>
      </c>
      <c r="AH227" s="139">
        <f t="shared" si="112"/>
        <v>221.08800546240801</v>
      </c>
      <c r="AI227" s="140">
        <f t="shared" si="113"/>
        <v>18.424000455200666</v>
      </c>
      <c r="AJ227" s="135"/>
      <c r="AK227" s="135"/>
      <c r="AL227" s="135"/>
      <c r="AM227" s="135">
        <v>30</v>
      </c>
      <c r="AN227" s="135">
        <v>1</v>
      </c>
      <c r="AO227" s="137">
        <f t="shared" si="122"/>
        <v>18.424000455200666</v>
      </c>
      <c r="AP227" s="137"/>
      <c r="AQ227" s="135"/>
      <c r="AR227" s="89">
        <f t="shared" ca="1" si="117"/>
        <v>138.51467579338319</v>
      </c>
      <c r="AS227" s="90">
        <f t="shared" ca="1" si="118"/>
        <v>30623.933398431174</v>
      </c>
      <c r="AT227" s="90">
        <f t="shared" ca="1" si="119"/>
        <v>1405.1833984311779</v>
      </c>
      <c r="AV227" s="403">
        <f t="shared" ca="1" si="120"/>
        <v>118.77298483952751</v>
      </c>
      <c r="AW227" s="403">
        <f t="shared" ca="1" si="121"/>
        <v>30742.706383270703</v>
      </c>
    </row>
    <row r="228" spans="1:49" s="98" customFormat="1">
      <c r="A228" s="135" t="str">
        <f t="shared" si="105"/>
        <v>Lewis County UTCRENT40MO-RO</v>
      </c>
      <c r="B228" s="135">
        <f t="shared" si="114"/>
        <v>1</v>
      </c>
      <c r="C228" s="136" t="s">
        <v>632</v>
      </c>
      <c r="D228" s="136" t="s">
        <v>633</v>
      </c>
      <c r="E228" s="137">
        <v>154.74</v>
      </c>
      <c r="F228" s="137">
        <v>154.07</v>
      </c>
      <c r="G228" s="137" t="s">
        <v>592</v>
      </c>
      <c r="H228" s="138">
        <v>3249.54</v>
      </c>
      <c r="I228" s="138">
        <v>3249.54</v>
      </c>
      <c r="J228" s="138">
        <v>3404.28</v>
      </c>
      <c r="K228" s="138">
        <v>3404.28</v>
      </c>
      <c r="L228" s="138">
        <v>3559.0200000000004</v>
      </c>
      <c r="M228" s="138">
        <v>3559.0200000000004</v>
      </c>
      <c r="N228" s="138">
        <v>3404.2799999999997</v>
      </c>
      <c r="O228" s="138">
        <v>3404.2799999999997</v>
      </c>
      <c r="P228" s="138">
        <v>3235.4700000000003</v>
      </c>
      <c r="Q228" s="138">
        <v>3081.4</v>
      </c>
      <c r="R228" s="138">
        <v>3081.4</v>
      </c>
      <c r="S228" s="138">
        <v>3235.47</v>
      </c>
      <c r="T228" s="138">
        <f t="shared" si="115"/>
        <v>39867.980000000003</v>
      </c>
      <c r="U228" s="138"/>
      <c r="V228" s="139">
        <f t="shared" si="111"/>
        <v>21</v>
      </c>
      <c r="W228" s="139">
        <f t="shared" si="111"/>
        <v>21</v>
      </c>
      <c r="X228" s="139">
        <f t="shared" si="111"/>
        <v>22</v>
      </c>
      <c r="Y228" s="139">
        <f t="shared" si="111"/>
        <v>22</v>
      </c>
      <c r="Z228" s="139">
        <f t="shared" si="111"/>
        <v>23</v>
      </c>
      <c r="AA228" s="139">
        <f t="shared" si="111"/>
        <v>23</v>
      </c>
      <c r="AB228" s="139">
        <f t="shared" si="111"/>
        <v>21.999999999999996</v>
      </c>
      <c r="AC228" s="139">
        <f t="shared" si="116"/>
        <v>22.095670798987474</v>
      </c>
      <c r="AD228" s="139">
        <f t="shared" si="116"/>
        <v>21.000000000000004</v>
      </c>
      <c r="AE228" s="139">
        <f t="shared" si="116"/>
        <v>20</v>
      </c>
      <c r="AF228" s="139">
        <f t="shared" si="116"/>
        <v>20</v>
      </c>
      <c r="AG228" s="139">
        <f t="shared" si="116"/>
        <v>21</v>
      </c>
      <c r="AH228" s="139">
        <f t="shared" si="112"/>
        <v>258.0956707989875</v>
      </c>
      <c r="AI228" s="140">
        <f t="shared" si="113"/>
        <v>21.507972566582293</v>
      </c>
      <c r="AJ228" s="135"/>
      <c r="AK228" s="135"/>
      <c r="AL228" s="135"/>
      <c r="AM228" s="135">
        <v>40</v>
      </c>
      <c r="AN228" s="135">
        <v>1</v>
      </c>
      <c r="AO228" s="137">
        <f t="shared" si="122"/>
        <v>21.507972566582293</v>
      </c>
      <c r="AP228" s="137"/>
      <c r="AQ228" s="135"/>
      <c r="AR228" s="89">
        <f t="shared" ca="1" si="117"/>
        <v>161.9069577383093</v>
      </c>
      <c r="AS228" s="90">
        <f t="shared" ca="1" si="118"/>
        <v>41787.48486449226</v>
      </c>
      <c r="AT228" s="90">
        <f t="shared" ca="1" si="119"/>
        <v>1919.5048644922572</v>
      </c>
      <c r="AV228" s="403">
        <f t="shared" ca="1" si="120"/>
        <v>162.07011169070086</v>
      </c>
      <c r="AW228" s="403">
        <f t="shared" ca="1" si="121"/>
        <v>41949.554976182961</v>
      </c>
    </row>
    <row r="229" spans="1:49" s="98" customFormat="1">
      <c r="A229" s="135" t="str">
        <f t="shared" si="105"/>
        <v>Lewis County UTCRENT20TEMP-RO</v>
      </c>
      <c r="B229" s="135">
        <f t="shared" si="114"/>
        <v>1</v>
      </c>
      <c r="C229" s="136" t="s">
        <v>634</v>
      </c>
      <c r="D229" s="136" t="s">
        <v>635</v>
      </c>
      <c r="E229" s="137">
        <v>7.75</v>
      </c>
      <c r="F229" s="137">
        <v>7.72</v>
      </c>
      <c r="G229" s="137" t="s">
        <v>592</v>
      </c>
      <c r="H229" s="138">
        <v>1238.71</v>
      </c>
      <c r="I229" s="138">
        <v>1376.92</v>
      </c>
      <c r="J229" s="138">
        <v>1761.19</v>
      </c>
      <c r="K229" s="138">
        <v>1876.15</v>
      </c>
      <c r="L229" s="138">
        <v>2884.94</v>
      </c>
      <c r="M229" s="138">
        <v>2687.96</v>
      </c>
      <c r="N229" s="138">
        <v>3778.13</v>
      </c>
      <c r="O229" s="138">
        <v>4367.13</v>
      </c>
      <c r="P229" s="138">
        <v>3506.56</v>
      </c>
      <c r="Q229" s="138">
        <v>2587.2799999999997</v>
      </c>
      <c r="R229" s="138">
        <v>2634.6800000000003</v>
      </c>
      <c r="S229" s="138">
        <v>3334.81</v>
      </c>
      <c r="T229" s="138">
        <f t="shared" si="115"/>
        <v>32034.460000000003</v>
      </c>
      <c r="U229" s="138"/>
      <c r="V229" s="139">
        <f>IFERROR(H229/$E229,0)/30</f>
        <v>5.3277849462365596</v>
      </c>
      <c r="W229" s="139">
        <f t="shared" ref="W229:AC231" si="123">IFERROR(I229/$E229,0)/30</f>
        <v>5.9222365591397859</v>
      </c>
      <c r="X229" s="139">
        <f t="shared" si="123"/>
        <v>7.575010752688172</v>
      </c>
      <c r="Y229" s="139">
        <f t="shared" si="123"/>
        <v>8.0694623655913986</v>
      </c>
      <c r="Z229" s="139">
        <f t="shared" si="123"/>
        <v>12.408344086021506</v>
      </c>
      <c r="AA229" s="139">
        <f t="shared" si="123"/>
        <v>11.561118279569891</v>
      </c>
      <c r="AB229" s="139">
        <f t="shared" si="123"/>
        <v>16.250021505376345</v>
      </c>
      <c r="AC229" s="139">
        <f t="shared" si="123"/>
        <v>18.783354838709677</v>
      </c>
      <c r="AD229" s="139">
        <f>IFERROR(P229/$F229,0)/30</f>
        <v>15.140587219343697</v>
      </c>
      <c r="AE229" s="139">
        <f t="shared" ref="AE229:AG231" si="124">IFERROR(Q229/$F229,0)/30</f>
        <v>11.171329879101899</v>
      </c>
      <c r="AF229" s="139">
        <f t="shared" si="124"/>
        <v>11.375993091537135</v>
      </c>
      <c r="AG229" s="139">
        <f t="shared" si="124"/>
        <v>14.399006908462868</v>
      </c>
      <c r="AH229" s="139">
        <f t="shared" si="112"/>
        <v>137.98425043177895</v>
      </c>
      <c r="AI229" s="140">
        <f>AH229/12</f>
        <v>11.498687535981579</v>
      </c>
      <c r="AJ229" s="135"/>
      <c r="AK229" s="135"/>
      <c r="AL229" s="135"/>
      <c r="AM229" s="135">
        <v>20</v>
      </c>
      <c r="AN229" s="135">
        <v>1</v>
      </c>
      <c r="AO229" s="137">
        <f>+(AI229)*AN229</f>
        <v>11.498687535981579</v>
      </c>
      <c r="AP229" s="135" t="s">
        <v>636</v>
      </c>
      <c r="AQ229" s="135"/>
      <c r="AR229" s="89">
        <f t="shared" ca="1" si="117"/>
        <v>8.1126871794622435</v>
      </c>
      <c r="AS229" s="90">
        <f ca="1">+AR229*AI229*12*30</f>
        <v>33582.691783368013</v>
      </c>
      <c r="AT229" s="90">
        <f t="shared" ca="1" si="119"/>
        <v>1548.2317833680099</v>
      </c>
      <c r="AV229" s="403">
        <f t="shared" ca="1" si="120"/>
        <v>130.24834171892599</v>
      </c>
      <c r="AW229" s="403">
        <f t="shared" ca="1" si="121"/>
        <v>33712.940125086941</v>
      </c>
    </row>
    <row r="230" spans="1:49" s="98" customFormat="1">
      <c r="A230" s="135" t="str">
        <f t="shared" si="105"/>
        <v>Lewis County UTCRENT30TEMP-RO</v>
      </c>
      <c r="B230" s="135">
        <f t="shared" si="114"/>
        <v>1</v>
      </c>
      <c r="C230" s="136" t="s">
        <v>637</v>
      </c>
      <c r="D230" s="136" t="s">
        <v>638</v>
      </c>
      <c r="E230" s="137">
        <v>9.48</v>
      </c>
      <c r="F230" s="137">
        <v>9.44</v>
      </c>
      <c r="G230" s="137" t="s">
        <v>592</v>
      </c>
      <c r="H230" s="138">
        <v>889.54</v>
      </c>
      <c r="I230" s="138">
        <v>936.94</v>
      </c>
      <c r="J230" s="138">
        <v>1094.1500000000001</v>
      </c>
      <c r="K230" s="138">
        <v>644.64</v>
      </c>
      <c r="L230" s="138">
        <v>866.63000000000011</v>
      </c>
      <c r="M230" s="138">
        <v>1274.27</v>
      </c>
      <c r="N230" s="138">
        <v>1348.53</v>
      </c>
      <c r="O230" s="138">
        <v>189.60000000000002</v>
      </c>
      <c r="P230" s="138">
        <v>1616.16</v>
      </c>
      <c r="Q230" s="138">
        <v>807.55</v>
      </c>
      <c r="R230" s="138">
        <v>1010.94</v>
      </c>
      <c r="S230" s="138">
        <v>916.54</v>
      </c>
      <c r="T230" s="138">
        <f t="shared" si="115"/>
        <v>11595.490000000002</v>
      </c>
      <c r="U230" s="138"/>
      <c r="V230" s="139">
        <f>IFERROR(H230/$E230,0)/30</f>
        <v>3.1277777777777778</v>
      </c>
      <c r="W230" s="139">
        <f t="shared" si="123"/>
        <v>3.2944444444444443</v>
      </c>
      <c r="X230" s="139">
        <f t="shared" si="123"/>
        <v>3.8472222222222223</v>
      </c>
      <c r="Y230" s="139">
        <f t="shared" si="123"/>
        <v>2.2666666666666666</v>
      </c>
      <c r="Z230" s="139">
        <f t="shared" si="123"/>
        <v>3.0472222222222225</v>
      </c>
      <c r="AA230" s="139">
        <f t="shared" si="123"/>
        <v>4.4805555555555552</v>
      </c>
      <c r="AB230" s="139">
        <f t="shared" si="123"/>
        <v>4.7416666666666663</v>
      </c>
      <c r="AC230" s="139">
        <f t="shared" si="123"/>
        <v>0.66666666666666663</v>
      </c>
      <c r="AD230" s="139">
        <f>IFERROR(P230/$F230,0)/30</f>
        <v>5.7067796610169497</v>
      </c>
      <c r="AE230" s="139">
        <f t="shared" si="124"/>
        <v>2.8515183615819213</v>
      </c>
      <c r="AF230" s="139">
        <f t="shared" si="124"/>
        <v>3.5697033898305088</v>
      </c>
      <c r="AG230" s="139">
        <f t="shared" si="124"/>
        <v>3.2363700564971749</v>
      </c>
      <c r="AH230" s="139">
        <f t="shared" si="112"/>
        <v>40.836593691148778</v>
      </c>
      <c r="AI230" s="140">
        <f>AH230/12</f>
        <v>3.403049474262398</v>
      </c>
      <c r="AJ230" s="135"/>
      <c r="AK230" s="135"/>
      <c r="AL230" s="135"/>
      <c r="AM230" s="135">
        <v>30</v>
      </c>
      <c r="AN230" s="135">
        <v>1</v>
      </c>
      <c r="AO230" s="137">
        <f>+(AI230)*AN230</f>
        <v>3.403049474262398</v>
      </c>
      <c r="AP230" s="135" t="s">
        <v>636</v>
      </c>
      <c r="AQ230" s="135"/>
      <c r="AR230" s="89">
        <f t="shared" ca="1" si="117"/>
        <v>9.920177069186991</v>
      </c>
      <c r="AS230" s="90">
        <f t="shared" ref="AS230:AS231" ca="1" si="125">+AR230*AI230*12*30</f>
        <v>12153.187209559206</v>
      </c>
      <c r="AT230" s="90">
        <f t="shared" ca="1" si="119"/>
        <v>557.69720955920457</v>
      </c>
      <c r="AV230" s="403">
        <f t="shared" ca="1" si="120"/>
        <v>47.135366362404071</v>
      </c>
      <c r="AW230" s="403">
        <f t="shared" ca="1" si="121"/>
        <v>12200.322575921611</v>
      </c>
    </row>
    <row r="231" spans="1:49" s="98" customFormat="1">
      <c r="A231" s="135" t="str">
        <f t="shared" si="105"/>
        <v>Lewis County UTCRENT40TEMP-RO</v>
      </c>
      <c r="B231" s="135">
        <f t="shared" si="114"/>
        <v>1</v>
      </c>
      <c r="C231" s="136" t="s">
        <v>639</v>
      </c>
      <c r="D231" s="136" t="s">
        <v>640</v>
      </c>
      <c r="E231" s="137">
        <v>10.93</v>
      </c>
      <c r="F231" s="137">
        <v>10.88</v>
      </c>
      <c r="G231" s="137" t="s">
        <v>592</v>
      </c>
      <c r="H231" s="138">
        <v>2635.02</v>
      </c>
      <c r="I231" s="138">
        <v>2059.39</v>
      </c>
      <c r="J231" s="138">
        <v>524.64</v>
      </c>
      <c r="K231" s="138">
        <v>1228.71</v>
      </c>
      <c r="L231" s="138">
        <v>1991.98</v>
      </c>
      <c r="M231" s="138">
        <v>3412.88</v>
      </c>
      <c r="N231" s="138">
        <v>2440.11</v>
      </c>
      <c r="O231" s="138">
        <v>2101.2799999999997</v>
      </c>
      <c r="P231" s="138">
        <v>2188.15</v>
      </c>
      <c r="Q231" s="138">
        <v>1405.29</v>
      </c>
      <c r="R231" s="138">
        <v>1137.5700000000002</v>
      </c>
      <c r="S231" s="138">
        <v>1339.46</v>
      </c>
      <c r="T231" s="138">
        <f t="shared" si="115"/>
        <v>22464.48</v>
      </c>
      <c r="U231" s="138"/>
      <c r="V231" s="139">
        <f>IFERROR(H231/$E231,0)/30</f>
        <v>8.03604757548033</v>
      </c>
      <c r="W231" s="139">
        <f t="shared" si="123"/>
        <v>6.2805428484293992</v>
      </c>
      <c r="X231" s="139">
        <f t="shared" si="123"/>
        <v>1.6</v>
      </c>
      <c r="Y231" s="139">
        <f t="shared" si="123"/>
        <v>3.747209515096066</v>
      </c>
      <c r="Z231" s="139">
        <f t="shared" si="123"/>
        <v>6.0749618786215311</v>
      </c>
      <c r="AA231" s="139">
        <f t="shared" si="123"/>
        <v>10.408295211954863</v>
      </c>
      <c r="AB231" s="139">
        <f t="shared" si="123"/>
        <v>7.4416285452881983</v>
      </c>
      <c r="AC231" s="139">
        <f t="shared" si="123"/>
        <v>6.4082952119548642</v>
      </c>
      <c r="AD231" s="139">
        <f>IFERROR(P231/$F231,0)/30</f>
        <v>6.7038909313725492</v>
      </c>
      <c r="AE231" s="139">
        <f t="shared" si="124"/>
        <v>4.3054227941176464</v>
      </c>
      <c r="AF231" s="139">
        <f t="shared" si="124"/>
        <v>3.4852022058823531</v>
      </c>
      <c r="AG231" s="139">
        <f t="shared" si="124"/>
        <v>4.103737745098039</v>
      </c>
      <c r="AH231" s="139">
        <f t="shared" si="112"/>
        <v>68.595234463295853</v>
      </c>
      <c r="AI231" s="140">
        <f>AH231/12</f>
        <v>5.716269538607988</v>
      </c>
      <c r="AJ231" s="135"/>
      <c r="AK231" s="135"/>
      <c r="AL231" s="135"/>
      <c r="AM231" s="135">
        <v>40</v>
      </c>
      <c r="AN231" s="135">
        <v>1</v>
      </c>
      <c r="AO231" s="137">
        <f>+(AI231)*AN231</f>
        <v>5.716269538607988</v>
      </c>
      <c r="AP231" s="135" t="s">
        <v>636</v>
      </c>
      <c r="AQ231" s="135"/>
      <c r="AR231" s="89">
        <f t="shared" ca="1" si="117"/>
        <v>11.433424418723991</v>
      </c>
      <c r="AS231" s="90">
        <f t="shared" ca="1" si="125"/>
        <v>23528.35286162233</v>
      </c>
      <c r="AT231" s="90">
        <f t="shared" ca="1" si="119"/>
        <v>1063.8728616223307</v>
      </c>
      <c r="AV231" s="403">
        <f t="shared" ca="1" si="120"/>
        <v>91.253225422560618</v>
      </c>
      <c r="AW231" s="403">
        <f t="shared" ca="1" si="121"/>
        <v>23619.606087044889</v>
      </c>
    </row>
    <row r="232" spans="1:49">
      <c r="A232" s="38" t="str">
        <f t="shared" si="105"/>
        <v>Lewis County UTCRTRNTRIP-RO</v>
      </c>
      <c r="B232" s="38">
        <f t="shared" si="114"/>
        <v>1</v>
      </c>
      <c r="C232" s="97" t="s">
        <v>641</v>
      </c>
      <c r="D232" s="97" t="s">
        <v>642</v>
      </c>
      <c r="E232" s="69">
        <v>115.99</v>
      </c>
      <c r="F232" s="69">
        <v>115.48</v>
      </c>
      <c r="G232" s="69" t="s">
        <v>373</v>
      </c>
      <c r="H232" s="88">
        <v>115.99</v>
      </c>
      <c r="I232" s="88">
        <v>0</v>
      </c>
      <c r="J232" s="88">
        <v>0</v>
      </c>
      <c r="K232" s="88">
        <v>115.99</v>
      </c>
      <c r="L232" s="88">
        <v>0</v>
      </c>
      <c r="M232" s="88">
        <v>0</v>
      </c>
      <c r="N232" s="88">
        <v>0</v>
      </c>
      <c r="O232" s="88">
        <v>0</v>
      </c>
      <c r="P232" s="88">
        <v>0</v>
      </c>
      <c r="Q232" s="88">
        <v>0</v>
      </c>
      <c r="R232" s="88">
        <v>0</v>
      </c>
      <c r="S232" s="88">
        <v>0</v>
      </c>
      <c r="T232" s="88">
        <f t="shared" ref="T232" si="126">SUM(H232:S232)</f>
        <v>231.98</v>
      </c>
      <c r="U232" s="88"/>
      <c r="V232" s="86">
        <f t="shared" si="111"/>
        <v>1</v>
      </c>
      <c r="W232" s="86">
        <f t="shared" si="111"/>
        <v>0</v>
      </c>
      <c r="X232" s="86">
        <f t="shared" si="111"/>
        <v>0</v>
      </c>
      <c r="Y232" s="86">
        <f t="shared" si="111"/>
        <v>1</v>
      </c>
      <c r="Z232" s="86">
        <f t="shared" si="111"/>
        <v>0</v>
      </c>
      <c r="AA232" s="86">
        <f t="shared" si="111"/>
        <v>0</v>
      </c>
      <c r="AB232" s="86">
        <f t="shared" si="111"/>
        <v>0</v>
      </c>
      <c r="AC232" s="86">
        <f t="shared" si="116"/>
        <v>0</v>
      </c>
      <c r="AD232" s="86">
        <f t="shared" si="116"/>
        <v>0</v>
      </c>
      <c r="AE232" s="86">
        <f t="shared" si="116"/>
        <v>0</v>
      </c>
      <c r="AF232" s="86">
        <f t="shared" si="116"/>
        <v>0</v>
      </c>
      <c r="AG232" s="86">
        <f t="shared" si="116"/>
        <v>0</v>
      </c>
      <c r="AH232" s="86">
        <f t="shared" si="112"/>
        <v>2</v>
      </c>
      <c r="AI232" s="70">
        <f t="shared" si="113"/>
        <v>0.16666666666666666</v>
      </c>
      <c r="AR232" s="89">
        <f t="shared" ca="1" si="117"/>
        <v>121.35403050314765</v>
      </c>
      <c r="AS232" s="90">
        <f t="shared" ca="1" si="118"/>
        <v>242.70806100629528</v>
      </c>
      <c r="AT232" s="90">
        <f t="shared" ca="1" si="119"/>
        <v>10.728061006295292</v>
      </c>
      <c r="AV232" s="403">
        <f t="shared" ca="1" si="120"/>
        <v>0.94132783255754493</v>
      </c>
      <c r="AW232" s="403">
        <f t="shared" ca="1" si="121"/>
        <v>243.64938883885281</v>
      </c>
    </row>
    <row r="233" spans="1:49">
      <c r="A233" s="38" t="str">
        <f t="shared" si="105"/>
        <v>Lewis County UTCDEL20TEMP-RO</v>
      </c>
      <c r="B233" s="38">
        <f t="shared" si="114"/>
        <v>1</v>
      </c>
      <c r="C233" s="97" t="s">
        <v>643</v>
      </c>
      <c r="D233" s="97" t="s">
        <v>644</v>
      </c>
      <c r="E233" s="69">
        <v>137.56</v>
      </c>
      <c r="F233" s="69">
        <v>136.96</v>
      </c>
      <c r="G233" s="69" t="s">
        <v>592</v>
      </c>
      <c r="H233" s="88">
        <v>825.3599999999999</v>
      </c>
      <c r="I233" s="88">
        <v>550.24</v>
      </c>
      <c r="J233" s="88">
        <v>1513.1599999999999</v>
      </c>
      <c r="K233" s="88">
        <v>412.68</v>
      </c>
      <c r="L233" s="88">
        <v>2338.52</v>
      </c>
      <c r="M233" s="88">
        <v>2871.2</v>
      </c>
      <c r="N233" s="88">
        <v>2338.52</v>
      </c>
      <c r="O233" s="88">
        <v>2888.7599999999998</v>
      </c>
      <c r="P233" s="88">
        <v>2056.1999999999998</v>
      </c>
      <c r="Q233" s="88">
        <v>1369.6000000000001</v>
      </c>
      <c r="R233" s="88">
        <v>1232.6400000000001</v>
      </c>
      <c r="S233" s="88">
        <v>958.72</v>
      </c>
      <c r="T233" s="88">
        <f t="shared" si="115"/>
        <v>19355.599999999999</v>
      </c>
      <c r="U233" s="88"/>
      <c r="V233" s="86">
        <f t="shared" si="111"/>
        <v>5.9999999999999991</v>
      </c>
      <c r="W233" s="86">
        <f t="shared" si="111"/>
        <v>4</v>
      </c>
      <c r="X233" s="86">
        <f t="shared" si="111"/>
        <v>10.999999999999998</v>
      </c>
      <c r="Y233" s="86">
        <f t="shared" si="111"/>
        <v>3</v>
      </c>
      <c r="Z233" s="86">
        <f t="shared" si="111"/>
        <v>17</v>
      </c>
      <c r="AA233" s="86">
        <f t="shared" si="111"/>
        <v>20.872346612387322</v>
      </c>
      <c r="AB233" s="86">
        <f t="shared" si="111"/>
        <v>17</v>
      </c>
      <c r="AC233" s="86">
        <f t="shared" si="116"/>
        <v>21.0919976635514</v>
      </c>
      <c r="AD233" s="86">
        <f t="shared" si="116"/>
        <v>15.013142523364484</v>
      </c>
      <c r="AE233" s="86">
        <f t="shared" si="116"/>
        <v>10</v>
      </c>
      <c r="AF233" s="86">
        <f t="shared" si="116"/>
        <v>9</v>
      </c>
      <c r="AG233" s="86">
        <f t="shared" si="116"/>
        <v>7</v>
      </c>
      <c r="AH233" s="86">
        <f t="shared" si="112"/>
        <v>140.97748679930319</v>
      </c>
      <c r="AI233" s="70">
        <f t="shared" si="113"/>
        <v>11.748123899941932</v>
      </c>
      <c r="AO233" s="69"/>
      <c r="AP233" s="69"/>
      <c r="AR233" s="89">
        <f t="shared" ca="1" si="117"/>
        <v>143.92663680040789</v>
      </c>
      <c r="AS233" s="90">
        <f t="shared" ca="1" si="118"/>
        <v>20290.415539597609</v>
      </c>
      <c r="AT233" s="90">
        <f t="shared" ca="1" si="119"/>
        <v>934.81553959761004</v>
      </c>
      <c r="AV233" s="403">
        <f t="shared" ca="1" si="120"/>
        <v>78.69509072912885</v>
      </c>
      <c r="AW233" s="403">
        <f t="shared" ca="1" si="121"/>
        <v>20369.110630326737</v>
      </c>
    </row>
    <row r="234" spans="1:49">
      <c r="A234" s="38" t="str">
        <f t="shared" si="105"/>
        <v>Lewis County UTCDEL30TEMP-RO</v>
      </c>
      <c r="B234" s="38">
        <f t="shared" si="114"/>
        <v>1</v>
      </c>
      <c r="C234" s="97" t="s">
        <v>645</v>
      </c>
      <c r="D234" s="97" t="s">
        <v>646</v>
      </c>
      <c r="E234" s="69">
        <v>137.56</v>
      </c>
      <c r="F234" s="69">
        <v>136.96</v>
      </c>
      <c r="G234" s="69" t="s">
        <v>592</v>
      </c>
      <c r="H234" s="88">
        <v>275.12</v>
      </c>
      <c r="I234" s="88">
        <v>275.12</v>
      </c>
      <c r="J234" s="88">
        <v>275.12</v>
      </c>
      <c r="K234" s="88">
        <v>962.92000000000007</v>
      </c>
      <c r="L234" s="88">
        <v>412.68</v>
      </c>
      <c r="M234" s="88">
        <v>1513.1599999999999</v>
      </c>
      <c r="N234" s="88">
        <v>550.24</v>
      </c>
      <c r="O234" s="88">
        <v>412.68</v>
      </c>
      <c r="P234" s="88">
        <v>1099.28</v>
      </c>
      <c r="Q234" s="88">
        <v>410.88</v>
      </c>
      <c r="R234" s="88">
        <v>273.92</v>
      </c>
      <c r="S234" s="88">
        <v>273.92</v>
      </c>
      <c r="T234" s="88">
        <f t="shared" si="115"/>
        <v>6735.04</v>
      </c>
      <c r="U234" s="88"/>
      <c r="V234" s="86">
        <f t="shared" si="111"/>
        <v>2</v>
      </c>
      <c r="W234" s="86">
        <f t="shared" si="111"/>
        <v>2</v>
      </c>
      <c r="X234" s="86">
        <f t="shared" si="111"/>
        <v>2</v>
      </c>
      <c r="Y234" s="86">
        <f t="shared" si="111"/>
        <v>7</v>
      </c>
      <c r="Z234" s="86">
        <f t="shared" si="111"/>
        <v>3</v>
      </c>
      <c r="AA234" s="86">
        <f t="shared" si="111"/>
        <v>10.999999999999998</v>
      </c>
      <c r="AB234" s="86">
        <f t="shared" si="111"/>
        <v>4</v>
      </c>
      <c r="AC234" s="86">
        <f t="shared" si="116"/>
        <v>3.0131425233644857</v>
      </c>
      <c r="AD234" s="86">
        <f t="shared" si="116"/>
        <v>8.0262850467289706</v>
      </c>
      <c r="AE234" s="86">
        <f t="shared" si="116"/>
        <v>3</v>
      </c>
      <c r="AF234" s="86">
        <f t="shared" si="116"/>
        <v>2</v>
      </c>
      <c r="AG234" s="86">
        <f t="shared" si="116"/>
        <v>2</v>
      </c>
      <c r="AH234" s="86">
        <f t="shared" si="112"/>
        <v>49.039427570093459</v>
      </c>
      <c r="AI234" s="70">
        <f t="shared" si="113"/>
        <v>4.0866189641744546</v>
      </c>
      <c r="AO234" s="69"/>
      <c r="AP234" s="69"/>
      <c r="AR234" s="89">
        <f t="shared" ca="1" si="117"/>
        <v>143.92663680040789</v>
      </c>
      <c r="AS234" s="90">
        <f t="shared" ca="1" si="118"/>
        <v>7058.0798807807496</v>
      </c>
      <c r="AT234" s="90">
        <f t="shared" ca="1" si="119"/>
        <v>323.03988078074963</v>
      </c>
      <c r="AV234" s="403">
        <f t="shared" ca="1" si="120"/>
        <v>27.374315499232758</v>
      </c>
      <c r="AW234" s="403">
        <f t="shared" ca="1" si="121"/>
        <v>7085.4541962799822</v>
      </c>
    </row>
    <row r="235" spans="1:49">
      <c r="A235" s="38" t="str">
        <f t="shared" si="105"/>
        <v>Lewis County UTCDEL40TEMP-RO</v>
      </c>
      <c r="B235" s="38">
        <f t="shared" si="114"/>
        <v>1</v>
      </c>
      <c r="C235" s="97" t="s">
        <v>647</v>
      </c>
      <c r="D235" s="97" t="s">
        <v>648</v>
      </c>
      <c r="E235" s="69">
        <v>137.56</v>
      </c>
      <c r="F235" s="69">
        <v>136.96</v>
      </c>
      <c r="G235" s="69" t="s">
        <v>592</v>
      </c>
      <c r="H235" s="88">
        <v>1100.48</v>
      </c>
      <c r="I235" s="88">
        <v>962.91999999999985</v>
      </c>
      <c r="J235" s="88">
        <v>275.12</v>
      </c>
      <c r="K235" s="88">
        <v>1375.6</v>
      </c>
      <c r="L235" s="88">
        <v>550.24</v>
      </c>
      <c r="M235" s="88">
        <v>1358.04</v>
      </c>
      <c r="N235" s="88">
        <v>825.36</v>
      </c>
      <c r="O235" s="88">
        <v>825.3599999999999</v>
      </c>
      <c r="P235" s="88">
        <v>822.36</v>
      </c>
      <c r="Q235" s="88">
        <v>821.76</v>
      </c>
      <c r="R235" s="88">
        <v>410.88</v>
      </c>
      <c r="S235" s="88">
        <v>547.84</v>
      </c>
      <c r="T235" s="88">
        <f t="shared" si="115"/>
        <v>9875.9599999999973</v>
      </c>
      <c r="U235" s="88"/>
      <c r="V235" s="86">
        <f t="shared" si="111"/>
        <v>8</v>
      </c>
      <c r="W235" s="86">
        <f t="shared" si="111"/>
        <v>6.9999999999999991</v>
      </c>
      <c r="X235" s="86">
        <f t="shared" si="111"/>
        <v>2</v>
      </c>
      <c r="Y235" s="86">
        <f t="shared" si="111"/>
        <v>10</v>
      </c>
      <c r="Z235" s="86">
        <f t="shared" si="111"/>
        <v>4</v>
      </c>
      <c r="AA235" s="86">
        <f t="shared" si="111"/>
        <v>9.8723466123873216</v>
      </c>
      <c r="AB235" s="86">
        <f t="shared" si="111"/>
        <v>6</v>
      </c>
      <c r="AC235" s="86">
        <f t="shared" si="116"/>
        <v>6.0262850467289706</v>
      </c>
      <c r="AD235" s="86">
        <f t="shared" si="116"/>
        <v>6.0043808411214954</v>
      </c>
      <c r="AE235" s="86">
        <f t="shared" si="116"/>
        <v>6</v>
      </c>
      <c r="AF235" s="86">
        <f t="shared" si="116"/>
        <v>3</v>
      </c>
      <c r="AG235" s="86">
        <f t="shared" si="116"/>
        <v>4</v>
      </c>
      <c r="AH235" s="86">
        <f t="shared" si="112"/>
        <v>71.903012500237793</v>
      </c>
      <c r="AI235" s="70">
        <f t="shared" si="113"/>
        <v>5.9919177083531494</v>
      </c>
      <c r="AO235" s="69"/>
      <c r="AP235" s="69"/>
      <c r="AR235" s="89">
        <f t="shared" ca="1" si="117"/>
        <v>143.92663680040789</v>
      </c>
      <c r="AS235" s="90">
        <f t="shared" ca="1" si="118"/>
        <v>10348.758764976914</v>
      </c>
      <c r="AT235" s="90">
        <f t="shared" ca="1" si="119"/>
        <v>472.79876497691657</v>
      </c>
      <c r="AV235" s="403">
        <f t="shared" ca="1" si="120"/>
        <v>40.137004998956094</v>
      </c>
      <c r="AW235" s="403">
        <f t="shared" ca="1" si="121"/>
        <v>10388.89576997587</v>
      </c>
    </row>
    <row r="236" spans="1:49">
      <c r="A236" s="38" t="str">
        <f t="shared" si="105"/>
        <v>Lewis County UTCMILE-RO</v>
      </c>
      <c r="B236" s="38">
        <f t="shared" si="114"/>
        <v>1</v>
      </c>
      <c r="C236" s="97" t="s">
        <v>649</v>
      </c>
      <c r="D236" s="97" t="s">
        <v>650</v>
      </c>
      <c r="E236" s="69">
        <v>3.96</v>
      </c>
      <c r="F236" s="69">
        <v>3.94</v>
      </c>
      <c r="G236" s="69" t="s">
        <v>592</v>
      </c>
      <c r="H236" s="88">
        <v>3916.44</v>
      </c>
      <c r="I236" s="88">
        <v>4284.72</v>
      </c>
      <c r="J236" s="88">
        <v>5045.04</v>
      </c>
      <c r="K236" s="88">
        <v>3722.4</v>
      </c>
      <c r="L236" s="88">
        <v>5904.36</v>
      </c>
      <c r="M236" s="88">
        <v>6237</v>
      </c>
      <c r="N236" s="88">
        <v>6573.6</v>
      </c>
      <c r="O236" s="88">
        <v>6078.6</v>
      </c>
      <c r="P236" s="88">
        <v>5970.86</v>
      </c>
      <c r="Q236" s="88">
        <v>5236.26</v>
      </c>
      <c r="R236" s="88">
        <v>4290.21</v>
      </c>
      <c r="S236" s="88">
        <v>3691.78</v>
      </c>
      <c r="T236" s="88">
        <f t="shared" si="115"/>
        <v>60951.270000000004</v>
      </c>
      <c r="U236" s="88"/>
      <c r="V236" s="86">
        <f t="shared" si="111"/>
        <v>989</v>
      </c>
      <c r="W236" s="86">
        <f t="shared" si="111"/>
        <v>1082</v>
      </c>
      <c r="X236" s="86">
        <f t="shared" si="111"/>
        <v>1274</v>
      </c>
      <c r="Y236" s="86">
        <f t="shared" si="111"/>
        <v>940</v>
      </c>
      <c r="Z236" s="86">
        <f t="shared" si="111"/>
        <v>1491</v>
      </c>
      <c r="AA236" s="86">
        <f t="shared" si="111"/>
        <v>1575</v>
      </c>
      <c r="AB236" s="86">
        <f t="shared" si="111"/>
        <v>1660</v>
      </c>
      <c r="AC236" s="86">
        <f t="shared" si="116"/>
        <v>1542.7918781725889</v>
      </c>
      <c r="AD236" s="86">
        <f t="shared" si="116"/>
        <v>1515.4467005076142</v>
      </c>
      <c r="AE236" s="86">
        <f t="shared" si="116"/>
        <v>1329</v>
      </c>
      <c r="AF236" s="86">
        <f t="shared" si="116"/>
        <v>1088.8857868020305</v>
      </c>
      <c r="AG236" s="86">
        <f t="shared" si="116"/>
        <v>937.00000000000011</v>
      </c>
      <c r="AH236" s="86">
        <f t="shared" si="112"/>
        <v>15424.124365482236</v>
      </c>
      <c r="AI236" s="70">
        <f t="shared" si="113"/>
        <v>1285.3436971235196</v>
      </c>
      <c r="AR236" s="89">
        <f t="shared" ca="1" si="117"/>
        <v>4.1404128869276215</v>
      </c>
      <c r="AS236" s="90">
        <f t="shared" ca="1" si="118"/>
        <v>63862.24329241697</v>
      </c>
      <c r="AT236" s="90">
        <f t="shared" ca="1" si="119"/>
        <v>2910.9732924169657</v>
      </c>
      <c r="AV236" s="403">
        <f t="shared" ca="1" si="120"/>
        <v>247.68566322629979</v>
      </c>
      <c r="AW236" s="403">
        <f t="shared" ca="1" si="121"/>
        <v>64109.92895564327</v>
      </c>
    </row>
    <row r="237" spans="1:49">
      <c r="A237" s="38" t="str">
        <f t="shared" si="105"/>
        <v>Lewis County UTCLIDRO</v>
      </c>
      <c r="B237" s="38">
        <f t="shared" si="114"/>
        <v>1</v>
      </c>
      <c r="C237" s="97" t="s">
        <v>651</v>
      </c>
      <c r="D237" s="97" t="s">
        <v>652</v>
      </c>
      <c r="E237" s="69">
        <v>19.75</v>
      </c>
      <c r="F237" s="69">
        <v>19.66</v>
      </c>
      <c r="G237" s="69" t="s">
        <v>592</v>
      </c>
      <c r="H237" s="88">
        <v>39.5</v>
      </c>
      <c r="I237" s="88">
        <v>39.5</v>
      </c>
      <c r="J237" s="88">
        <v>59.25</v>
      </c>
      <c r="K237" s="88">
        <v>59.25</v>
      </c>
      <c r="L237" s="88">
        <v>59.25</v>
      </c>
      <c r="M237" s="88">
        <v>59.25</v>
      </c>
      <c r="N237" s="88">
        <v>59.25</v>
      </c>
      <c r="O237" s="88">
        <v>59.25</v>
      </c>
      <c r="P237" s="88">
        <v>58.980000000000004</v>
      </c>
      <c r="Q237" s="88">
        <v>78.64</v>
      </c>
      <c r="R237" s="88">
        <v>78.64</v>
      </c>
      <c r="S237" s="88">
        <v>117.96</v>
      </c>
      <c r="T237" s="88">
        <f t="shared" si="115"/>
        <v>768.72</v>
      </c>
      <c r="U237" s="88"/>
      <c r="V237" s="86">
        <f t="shared" si="111"/>
        <v>2</v>
      </c>
      <c r="W237" s="86">
        <f t="shared" si="111"/>
        <v>2</v>
      </c>
      <c r="X237" s="86">
        <f t="shared" si="111"/>
        <v>3</v>
      </c>
      <c r="Y237" s="86">
        <f t="shared" si="111"/>
        <v>3</v>
      </c>
      <c r="Z237" s="86">
        <f t="shared" si="111"/>
        <v>3</v>
      </c>
      <c r="AA237" s="86">
        <f t="shared" si="111"/>
        <v>3</v>
      </c>
      <c r="AB237" s="86">
        <f t="shared" si="111"/>
        <v>3</v>
      </c>
      <c r="AC237" s="86">
        <f t="shared" si="116"/>
        <v>3.013733468972533</v>
      </c>
      <c r="AD237" s="86">
        <f t="shared" si="116"/>
        <v>3</v>
      </c>
      <c r="AE237" s="86">
        <f t="shared" si="116"/>
        <v>4</v>
      </c>
      <c r="AF237" s="86">
        <f t="shared" si="116"/>
        <v>4</v>
      </c>
      <c r="AG237" s="86">
        <f t="shared" si="116"/>
        <v>6</v>
      </c>
      <c r="AH237" s="86">
        <f t="shared" si="112"/>
        <v>39.013733468972532</v>
      </c>
      <c r="AI237" s="70">
        <f t="shared" si="113"/>
        <v>3.2511444557477112</v>
      </c>
      <c r="AR237" s="89">
        <f t="shared" ca="1" si="117"/>
        <v>20.660029786039857</v>
      </c>
      <c r="AS237" s="90">
        <f t="shared" ca="1" si="118"/>
        <v>806.0248955335926</v>
      </c>
      <c r="AT237" s="90">
        <f t="shared" ca="1" si="119"/>
        <v>37.304895533592571</v>
      </c>
      <c r="AV237" s="403">
        <f t="shared" ca="1" si="120"/>
        <v>3.1261164740646108</v>
      </c>
      <c r="AW237" s="403">
        <f t="shared" ca="1" si="121"/>
        <v>809.15101200765719</v>
      </c>
    </row>
    <row r="238" spans="1:49">
      <c r="A238" s="38" t="str">
        <f t="shared" si="105"/>
        <v>Lewis County UTCREDEL-RO</v>
      </c>
      <c r="B238" s="38">
        <f t="shared" si="114"/>
        <v>1</v>
      </c>
      <c r="C238" s="97" t="s">
        <v>653</v>
      </c>
      <c r="D238" s="97" t="s">
        <v>654</v>
      </c>
      <c r="E238" s="69">
        <v>62.69</v>
      </c>
      <c r="F238" s="69">
        <v>62.42</v>
      </c>
      <c r="G238" s="69" t="s">
        <v>247</v>
      </c>
      <c r="H238" s="88">
        <v>0</v>
      </c>
      <c r="I238" s="88">
        <v>0</v>
      </c>
      <c r="J238" s="88">
        <v>0</v>
      </c>
      <c r="K238" s="88">
        <v>0</v>
      </c>
      <c r="L238" s="88">
        <v>0</v>
      </c>
      <c r="M238" s="88">
        <v>0</v>
      </c>
      <c r="N238" s="88">
        <v>0</v>
      </c>
      <c r="O238" s="88">
        <v>0</v>
      </c>
      <c r="P238" s="88">
        <v>0</v>
      </c>
      <c r="Q238" s="88">
        <v>0</v>
      </c>
      <c r="R238" s="88">
        <v>0</v>
      </c>
      <c r="S238" s="88">
        <v>0</v>
      </c>
      <c r="T238" s="88">
        <f t="shared" si="115"/>
        <v>0</v>
      </c>
      <c r="U238" s="88"/>
      <c r="V238" s="86">
        <f t="shared" si="111"/>
        <v>0</v>
      </c>
      <c r="W238" s="86">
        <f t="shared" si="111"/>
        <v>0</v>
      </c>
      <c r="X238" s="86">
        <f t="shared" si="111"/>
        <v>0</v>
      </c>
      <c r="Y238" s="86">
        <f t="shared" si="111"/>
        <v>0</v>
      </c>
      <c r="Z238" s="86">
        <f t="shared" si="111"/>
        <v>0</v>
      </c>
      <c r="AA238" s="86">
        <f t="shared" si="111"/>
        <v>0</v>
      </c>
      <c r="AB238" s="86">
        <f t="shared" si="111"/>
        <v>0</v>
      </c>
      <c r="AC238" s="86">
        <f t="shared" si="116"/>
        <v>0</v>
      </c>
      <c r="AD238" s="86">
        <f t="shared" si="116"/>
        <v>0</v>
      </c>
      <c r="AE238" s="86">
        <f t="shared" si="116"/>
        <v>0</v>
      </c>
      <c r="AF238" s="86">
        <f t="shared" si="116"/>
        <v>0</v>
      </c>
      <c r="AG238" s="86">
        <f t="shared" si="116"/>
        <v>0</v>
      </c>
      <c r="AH238" s="86">
        <f t="shared" si="112"/>
        <v>0</v>
      </c>
      <c r="AI238" s="70">
        <f t="shared" si="113"/>
        <v>0</v>
      </c>
      <c r="AR238" s="89">
        <f t="shared" ca="1" si="117"/>
        <v>65.59506913756907</v>
      </c>
      <c r="AS238" s="90">
        <f t="shared" ca="1" si="118"/>
        <v>0</v>
      </c>
      <c r="AT238" s="90">
        <f t="shared" ca="1" si="119"/>
        <v>0</v>
      </c>
      <c r="AV238" s="403">
        <f t="shared" ca="1" si="120"/>
        <v>0</v>
      </c>
      <c r="AW238" s="403">
        <f t="shared" ca="1" si="121"/>
        <v>0</v>
      </c>
    </row>
    <row r="239" spans="1:49" ht="13.5" customHeight="1">
      <c r="A239" s="38" t="str">
        <f t="shared" si="105"/>
        <v>Lewis County UTCTIME-RO</v>
      </c>
      <c r="B239" s="38">
        <f t="shared" si="114"/>
        <v>1</v>
      </c>
      <c r="C239" s="97" t="s">
        <v>655</v>
      </c>
      <c r="D239" s="97" t="s">
        <v>656</v>
      </c>
      <c r="E239" s="69">
        <v>125.39</v>
      </c>
      <c r="F239" s="69">
        <v>124.84</v>
      </c>
      <c r="G239" s="69" t="s">
        <v>570</v>
      </c>
      <c r="H239" s="88">
        <v>353.62</v>
      </c>
      <c r="I239" s="88">
        <v>479.01</v>
      </c>
      <c r="J239" s="88">
        <v>300.94</v>
      </c>
      <c r="K239" s="88">
        <v>416.32</v>
      </c>
      <c r="L239" s="88">
        <v>348.22</v>
      </c>
      <c r="M239" s="88">
        <v>1016.56</v>
      </c>
      <c r="N239" s="88">
        <v>541.69000000000005</v>
      </c>
      <c r="O239" s="88">
        <v>520.38</v>
      </c>
      <c r="P239" s="88">
        <v>227.5</v>
      </c>
      <c r="Q239" s="88">
        <v>352.06</v>
      </c>
      <c r="R239" s="88">
        <v>320.85000000000002</v>
      </c>
      <c r="S239" s="88">
        <v>82.4</v>
      </c>
      <c r="T239" s="88">
        <f t="shared" si="115"/>
        <v>4959.55</v>
      </c>
      <c r="U239" s="88"/>
      <c r="V239" s="86">
        <f t="shared" si="111"/>
        <v>2.8201610973761864</v>
      </c>
      <c r="W239" s="86">
        <f t="shared" si="111"/>
        <v>3.8201610973761864</v>
      </c>
      <c r="X239" s="86">
        <f t="shared" si="111"/>
        <v>2.4000319004705317</v>
      </c>
      <c r="Y239" s="86">
        <f t="shared" si="111"/>
        <v>3.3202009729643511</v>
      </c>
      <c r="Z239" s="86">
        <f t="shared" si="111"/>
        <v>2.777095462158067</v>
      </c>
      <c r="AA239" s="86">
        <f t="shared" si="111"/>
        <v>8.1071855809873199</v>
      </c>
      <c r="AB239" s="86">
        <f t="shared" si="111"/>
        <v>4.3200414706116916</v>
      </c>
      <c r="AC239" s="86">
        <f t="shared" si="116"/>
        <v>4.1683755206664532</v>
      </c>
      <c r="AD239" s="86">
        <f t="shared" si="116"/>
        <v>1.8223325857097084</v>
      </c>
      <c r="AE239" s="86">
        <f t="shared" si="116"/>
        <v>2.8200897148349888</v>
      </c>
      <c r="AF239" s="86">
        <f t="shared" si="116"/>
        <v>2.5700897148349888</v>
      </c>
      <c r="AG239" s="86">
        <f t="shared" si="116"/>
        <v>0.66004485741749441</v>
      </c>
      <c r="AH239" s="86">
        <f t="shared" si="112"/>
        <v>39.605809975407972</v>
      </c>
      <c r="AI239" s="70">
        <f t="shared" si="113"/>
        <v>3.3004841646173309</v>
      </c>
      <c r="AR239" s="89">
        <f t="shared" ca="1" si="117"/>
        <v>131.19013827513814</v>
      </c>
      <c r="AS239" s="90">
        <f t="shared" ca="1" si="118"/>
        <v>5195.8916871726169</v>
      </c>
      <c r="AT239" s="90">
        <f t="shared" ca="1" si="119"/>
        <v>236.34168717261673</v>
      </c>
      <c r="AV239" s="403">
        <f t="shared" ca="1" si="120"/>
        <v>20.15193660981496</v>
      </c>
      <c r="AW239" s="403">
        <f t="shared" ca="1" si="121"/>
        <v>5216.0436237824315</v>
      </c>
    </row>
    <row r="240" spans="1:49">
      <c r="A240" s="38" t="str">
        <f t="shared" si="105"/>
        <v>Lewis County UTCEXWGHT-RO</v>
      </c>
      <c r="B240" s="38">
        <f t="shared" si="114"/>
        <v>1</v>
      </c>
      <c r="C240" s="38" t="s">
        <v>657</v>
      </c>
      <c r="D240" s="97" t="s">
        <v>658</v>
      </c>
      <c r="E240" s="69">
        <v>0.15</v>
      </c>
      <c r="F240" s="69">
        <v>0.15</v>
      </c>
      <c r="G240" s="96" t="s">
        <v>659</v>
      </c>
      <c r="H240" s="88">
        <v>114</v>
      </c>
      <c r="I240" s="88">
        <v>0</v>
      </c>
      <c r="J240" s="88">
        <v>0</v>
      </c>
      <c r="K240" s="88">
        <v>0</v>
      </c>
      <c r="L240" s="88">
        <v>402</v>
      </c>
      <c r="M240" s="88">
        <v>1092</v>
      </c>
      <c r="N240" s="88">
        <v>0</v>
      </c>
      <c r="O240" s="88">
        <v>0</v>
      </c>
      <c r="P240" s="88">
        <v>0</v>
      </c>
      <c r="Q240" s="88">
        <v>927</v>
      </c>
      <c r="R240" s="88">
        <v>138</v>
      </c>
      <c r="S240" s="88">
        <v>96</v>
      </c>
      <c r="T240" s="88">
        <f t="shared" si="115"/>
        <v>2769</v>
      </c>
      <c r="U240" s="88"/>
      <c r="V240" s="86">
        <f t="shared" si="111"/>
        <v>760</v>
      </c>
      <c r="W240" s="86">
        <f t="shared" si="111"/>
        <v>0</v>
      </c>
      <c r="X240" s="86">
        <f t="shared" si="111"/>
        <v>0</v>
      </c>
      <c r="Y240" s="86">
        <f t="shared" si="111"/>
        <v>0</v>
      </c>
      <c r="Z240" s="86">
        <f t="shared" si="111"/>
        <v>2680</v>
      </c>
      <c r="AA240" s="86">
        <f t="shared" si="111"/>
        <v>7280</v>
      </c>
      <c r="AB240" s="86">
        <f t="shared" si="111"/>
        <v>0</v>
      </c>
      <c r="AC240" s="86">
        <f t="shared" si="116"/>
        <v>0</v>
      </c>
      <c r="AD240" s="86">
        <f t="shared" si="116"/>
        <v>0</v>
      </c>
      <c r="AE240" s="86">
        <f t="shared" si="116"/>
        <v>6180</v>
      </c>
      <c r="AF240" s="86">
        <f t="shared" si="116"/>
        <v>920</v>
      </c>
      <c r="AG240" s="86">
        <f t="shared" si="116"/>
        <v>640</v>
      </c>
      <c r="AH240" s="86">
        <f t="shared" si="112"/>
        <v>18460</v>
      </c>
      <c r="AI240" s="70">
        <f t="shared" si="113"/>
        <v>1538.3333333333333</v>
      </c>
      <c r="AR240" s="89">
        <f t="shared" ca="1" si="117"/>
        <v>0.15762993224343735</v>
      </c>
      <c r="AS240" s="90">
        <f t="shared" ca="1" si="118"/>
        <v>2909.8485492138534</v>
      </c>
      <c r="AT240" s="90">
        <f t="shared" ca="1" si="119"/>
        <v>140.8485492138534</v>
      </c>
      <c r="AV240" s="403">
        <f t="shared" ca="1" si="120"/>
        <v>11.285663181294778</v>
      </c>
      <c r="AW240" s="403">
        <f t="shared" ca="1" si="121"/>
        <v>2921.1342123951481</v>
      </c>
    </row>
    <row r="241" spans="1:49" ht="14.4">
      <c r="A241" s="38" t="str">
        <f t="shared" si="105"/>
        <v>Lewis County UTCDISCO-CP</v>
      </c>
      <c r="B241" s="38">
        <f t="shared" si="114"/>
        <v>1</v>
      </c>
      <c r="C241" s="46" t="s">
        <v>660</v>
      </c>
      <c r="D241" s="97" t="s">
        <v>661</v>
      </c>
      <c r="E241" s="69">
        <v>10.45</v>
      </c>
      <c r="F241" s="69">
        <v>10.4</v>
      </c>
      <c r="G241" s="69" t="s">
        <v>617</v>
      </c>
      <c r="H241" s="88">
        <v>83.6</v>
      </c>
      <c r="I241" s="88">
        <v>94.05</v>
      </c>
      <c r="J241" s="88">
        <v>125.4</v>
      </c>
      <c r="K241" s="88">
        <v>94.05</v>
      </c>
      <c r="L241" s="88">
        <v>104.5</v>
      </c>
      <c r="M241" s="88">
        <v>94.05</v>
      </c>
      <c r="N241" s="88">
        <v>104.5</v>
      </c>
      <c r="O241" s="88">
        <v>104.5</v>
      </c>
      <c r="P241" s="88">
        <v>93.600000000000009</v>
      </c>
      <c r="Q241" s="88">
        <v>62.4</v>
      </c>
      <c r="R241" s="88">
        <v>93.600000000000009</v>
      </c>
      <c r="S241" s="88">
        <v>83.2</v>
      </c>
      <c r="T241" s="88">
        <f>SUM(H241:S241)</f>
        <v>1137.45</v>
      </c>
      <c r="U241" s="88"/>
      <c r="V241" s="86">
        <f t="shared" si="111"/>
        <v>8</v>
      </c>
      <c r="W241" s="86">
        <f t="shared" si="111"/>
        <v>9</v>
      </c>
      <c r="X241" s="86">
        <f t="shared" si="111"/>
        <v>12.000000000000002</v>
      </c>
      <c r="Y241" s="86">
        <f t="shared" si="111"/>
        <v>9</v>
      </c>
      <c r="Z241" s="86">
        <f t="shared" si="111"/>
        <v>10</v>
      </c>
      <c r="AA241" s="86">
        <f t="shared" si="111"/>
        <v>9</v>
      </c>
      <c r="AB241" s="86">
        <f t="shared" si="111"/>
        <v>10</v>
      </c>
      <c r="AC241" s="86">
        <f t="shared" si="116"/>
        <v>10.048076923076923</v>
      </c>
      <c r="AD241" s="86">
        <f t="shared" si="116"/>
        <v>9</v>
      </c>
      <c r="AE241" s="86">
        <f t="shared" si="116"/>
        <v>6</v>
      </c>
      <c r="AF241" s="86">
        <f t="shared" si="116"/>
        <v>9</v>
      </c>
      <c r="AG241" s="86">
        <f t="shared" si="116"/>
        <v>8</v>
      </c>
      <c r="AH241" s="86">
        <f>SUM(V241:AG241)</f>
        <v>109.04807692307692</v>
      </c>
      <c r="AI241" s="70">
        <f>AH241/12</f>
        <v>9.0873397435897427</v>
      </c>
      <c r="AR241" s="89">
        <f t="shared" ca="1" si="117"/>
        <v>10.92900863554499</v>
      </c>
      <c r="AS241" s="90">
        <f t="shared" ca="1" si="118"/>
        <v>1191.787374381882</v>
      </c>
      <c r="AT241" s="90">
        <f t="shared" ca="1" si="119"/>
        <v>54.337374381882</v>
      </c>
      <c r="AV241" s="403">
        <f t="shared" ca="1" si="120"/>
        <v>4.622271799893972</v>
      </c>
      <c r="AW241" s="403">
        <f t="shared" ca="1" si="121"/>
        <v>1196.409646181776</v>
      </c>
    </row>
    <row r="242" spans="1:49" ht="14.4">
      <c r="A242" s="38" t="str">
        <f t="shared" si="105"/>
        <v>Lewis County UTCTIMENP-RES</v>
      </c>
      <c r="B242" s="38">
        <f t="shared" si="114"/>
        <v>1</v>
      </c>
      <c r="C242" s="46" t="s">
        <v>662</v>
      </c>
      <c r="D242" s="97" t="s">
        <v>663</v>
      </c>
      <c r="E242" s="69">
        <v>109.71</v>
      </c>
      <c r="F242" s="69">
        <v>109.23</v>
      </c>
      <c r="G242" s="69" t="s">
        <v>570</v>
      </c>
      <c r="H242" s="88">
        <v>0</v>
      </c>
      <c r="I242" s="88">
        <v>0</v>
      </c>
      <c r="J242" s="88">
        <v>0</v>
      </c>
      <c r="K242" s="88">
        <v>109.71</v>
      </c>
      <c r="L242" s="88">
        <v>0</v>
      </c>
      <c r="M242" s="88">
        <v>0</v>
      </c>
      <c r="N242" s="88">
        <v>109.71</v>
      </c>
      <c r="O242" s="88">
        <v>0</v>
      </c>
      <c r="P242" s="88">
        <v>0</v>
      </c>
      <c r="Q242" s="88">
        <v>0</v>
      </c>
      <c r="R242" s="88">
        <v>0</v>
      </c>
      <c r="S242" s="88">
        <v>109.23</v>
      </c>
      <c r="T242" s="88">
        <f t="shared" ref="T242" si="127">SUM(H242:S242)</f>
        <v>328.65</v>
      </c>
      <c r="U242" s="88"/>
      <c r="V242" s="86">
        <f t="shared" si="111"/>
        <v>0</v>
      </c>
      <c r="W242" s="86">
        <f t="shared" si="111"/>
        <v>0</v>
      </c>
      <c r="X242" s="86">
        <f t="shared" ref="X242:AB244" si="128">IFERROR(J242/$E242,0)</f>
        <v>0</v>
      </c>
      <c r="Y242" s="86">
        <f t="shared" si="128"/>
        <v>1</v>
      </c>
      <c r="Z242" s="86">
        <f t="shared" si="128"/>
        <v>0</v>
      </c>
      <c r="AA242" s="86">
        <f t="shared" si="128"/>
        <v>0</v>
      </c>
      <c r="AB242" s="86">
        <f t="shared" si="128"/>
        <v>1</v>
      </c>
      <c r="AC242" s="86">
        <f t="shared" si="116"/>
        <v>0</v>
      </c>
      <c r="AD242" s="86">
        <f t="shared" si="116"/>
        <v>0</v>
      </c>
      <c r="AE242" s="86">
        <f t="shared" si="116"/>
        <v>0</v>
      </c>
      <c r="AF242" s="86">
        <f t="shared" si="116"/>
        <v>0</v>
      </c>
      <c r="AG242" s="86">
        <f t="shared" si="116"/>
        <v>1</v>
      </c>
      <c r="AH242" s="86">
        <f t="shared" ref="AH242" si="129">SUM(V242:AG242)</f>
        <v>3</v>
      </c>
      <c r="AI242" s="70">
        <f t="shared" ref="AI242" si="130">AH242/12</f>
        <v>0.25</v>
      </c>
      <c r="AR242" s="89">
        <f t="shared" ca="1" si="117"/>
        <v>114.78611665967109</v>
      </c>
      <c r="AS242" s="90">
        <f t="shared" ca="1" si="118"/>
        <v>344.35834997901327</v>
      </c>
      <c r="AT242" s="90">
        <f t="shared" ca="1" si="119"/>
        <v>15.708349979013292</v>
      </c>
      <c r="AV242" s="403">
        <f t="shared" ca="1" si="120"/>
        <v>1.335572036070237</v>
      </c>
      <c r="AW242" s="403">
        <f t="shared" ca="1" si="121"/>
        <v>345.6939220150835</v>
      </c>
    </row>
    <row r="243" spans="1:49" ht="14.4">
      <c r="A243" s="38" t="str">
        <f t="shared" si="105"/>
        <v>Lewis County UTCLABOR-RO</v>
      </c>
      <c r="B243" s="38">
        <f t="shared" si="114"/>
        <v>1</v>
      </c>
      <c r="C243" s="46" t="s">
        <v>664</v>
      </c>
      <c r="D243" s="97" t="s">
        <v>665</v>
      </c>
      <c r="E243" s="69">
        <v>125.39</v>
      </c>
      <c r="F243" s="69">
        <v>124.84</v>
      </c>
      <c r="G243" s="69" t="s">
        <v>570</v>
      </c>
      <c r="H243" s="88">
        <v>0</v>
      </c>
      <c r="I243" s="88">
        <v>0</v>
      </c>
      <c r="J243" s="88">
        <v>0</v>
      </c>
      <c r="K243" s="88">
        <v>0</v>
      </c>
      <c r="L243" s="88">
        <v>0</v>
      </c>
      <c r="M243" s="88">
        <v>0</v>
      </c>
      <c r="N243" s="88">
        <v>0</v>
      </c>
      <c r="O243" s="88">
        <v>0</v>
      </c>
      <c r="P243" s="88">
        <v>0</v>
      </c>
      <c r="Q243" s="88">
        <v>0</v>
      </c>
      <c r="R243" s="88">
        <v>0</v>
      </c>
      <c r="S243" s="88">
        <v>0</v>
      </c>
      <c r="T243" s="88">
        <f t="shared" si="115"/>
        <v>0</v>
      </c>
      <c r="U243" s="88"/>
      <c r="V243" s="86">
        <f t="shared" ref="V243:W244" si="131">IFERROR(H243/$E243,0)</f>
        <v>0</v>
      </c>
      <c r="W243" s="86">
        <f t="shared" si="131"/>
        <v>0</v>
      </c>
      <c r="X243" s="86">
        <f t="shared" si="128"/>
        <v>0</v>
      </c>
      <c r="Y243" s="86">
        <f t="shared" si="128"/>
        <v>0</v>
      </c>
      <c r="Z243" s="86">
        <f t="shared" si="128"/>
        <v>0</v>
      </c>
      <c r="AA243" s="86">
        <f t="shared" si="128"/>
        <v>0</v>
      </c>
      <c r="AB243" s="86">
        <f t="shared" si="128"/>
        <v>0</v>
      </c>
      <c r="AC243" s="86">
        <f t="shared" si="116"/>
        <v>0</v>
      </c>
      <c r="AD243" s="86">
        <f t="shared" si="116"/>
        <v>0</v>
      </c>
      <c r="AE243" s="86">
        <f t="shared" si="116"/>
        <v>0</v>
      </c>
      <c r="AF243" s="86">
        <f t="shared" si="116"/>
        <v>0</v>
      </c>
      <c r="AG243" s="86">
        <f t="shared" si="116"/>
        <v>0</v>
      </c>
      <c r="AH243" s="86">
        <f t="shared" si="112"/>
        <v>0</v>
      </c>
      <c r="AI243" s="70">
        <f t="shared" si="113"/>
        <v>0</v>
      </c>
      <c r="AR243" s="89">
        <f t="shared" ca="1" si="117"/>
        <v>131.19013827513814</v>
      </c>
      <c r="AS243" s="90">
        <f t="shared" ca="1" si="118"/>
        <v>0</v>
      </c>
      <c r="AT243" s="90">
        <f t="shared" ca="1" si="119"/>
        <v>0</v>
      </c>
      <c r="AV243" s="403">
        <f t="shared" ca="1" si="120"/>
        <v>0</v>
      </c>
      <c r="AW243" s="403">
        <f t="shared" ca="1" si="121"/>
        <v>0</v>
      </c>
    </row>
    <row r="244" spans="1:49" ht="14.4">
      <c r="A244" s="38" t="str">
        <f t="shared" si="105"/>
        <v>Lewis County UTCUNRETURN-RES</v>
      </c>
      <c r="B244" s="38">
        <f t="shared" si="114"/>
        <v>1</v>
      </c>
      <c r="C244" s="46" t="s">
        <v>666</v>
      </c>
      <c r="D244" s="97" t="s">
        <v>574</v>
      </c>
      <c r="E244" s="69">
        <v>94.41</v>
      </c>
      <c r="F244" s="69">
        <v>94</v>
      </c>
      <c r="G244" s="69" t="s">
        <v>240</v>
      </c>
      <c r="H244" s="88">
        <v>0</v>
      </c>
      <c r="I244" s="88">
        <v>-94.41</v>
      </c>
      <c r="J244" s="88">
        <v>472.04999999999995</v>
      </c>
      <c r="K244" s="88">
        <v>377.64</v>
      </c>
      <c r="L244" s="88">
        <v>755.28</v>
      </c>
      <c r="M244" s="88">
        <v>377.64</v>
      </c>
      <c r="N244" s="88">
        <v>660.87</v>
      </c>
      <c r="O244" s="88">
        <v>0</v>
      </c>
      <c r="P244" s="88">
        <v>657.18000000000006</v>
      </c>
      <c r="Q244" s="88">
        <v>373.9</v>
      </c>
      <c r="R244" s="88">
        <v>658</v>
      </c>
      <c r="S244" s="88">
        <v>1034</v>
      </c>
      <c r="T244" s="88">
        <f t="shared" ref="T244" si="132">SUM(H244:S244)</f>
        <v>5272.15</v>
      </c>
      <c r="U244" s="88"/>
      <c r="V244" s="86">
        <f t="shared" si="131"/>
        <v>0</v>
      </c>
      <c r="W244" s="86">
        <f t="shared" si="131"/>
        <v>-1</v>
      </c>
      <c r="X244" s="86">
        <f t="shared" si="128"/>
        <v>5</v>
      </c>
      <c r="Y244" s="86">
        <f t="shared" si="128"/>
        <v>4</v>
      </c>
      <c r="Z244" s="86">
        <f t="shared" si="128"/>
        <v>8</v>
      </c>
      <c r="AA244" s="86">
        <f t="shared" si="128"/>
        <v>4</v>
      </c>
      <c r="AB244" s="86">
        <f t="shared" si="128"/>
        <v>7</v>
      </c>
      <c r="AC244" s="86">
        <f t="shared" si="116"/>
        <v>0</v>
      </c>
      <c r="AD244" s="86">
        <f t="shared" si="116"/>
        <v>6.9912765957446812</v>
      </c>
      <c r="AE244" s="86">
        <f t="shared" si="116"/>
        <v>3.9776595744680847</v>
      </c>
      <c r="AF244" s="86">
        <f t="shared" si="116"/>
        <v>7</v>
      </c>
      <c r="AG244" s="86">
        <f t="shared" si="116"/>
        <v>11</v>
      </c>
      <c r="AH244" s="86">
        <f t="shared" ref="AH244" si="133">SUM(V244:AG244)</f>
        <v>55.968936170212764</v>
      </c>
      <c r="AI244" s="70">
        <f t="shared" si="113"/>
        <v>4.6640780141843967</v>
      </c>
      <c r="AR244" s="89">
        <f t="shared" ca="1" si="117"/>
        <v>98.781424205887419</v>
      </c>
      <c r="AS244" s="90">
        <f t="shared" ca="1" si="118"/>
        <v>5528.6912261820225</v>
      </c>
      <c r="AT244" s="90">
        <f t="shared" ca="1" si="119"/>
        <v>256.54122618202291</v>
      </c>
      <c r="AV244" s="403">
        <f t="shared" ca="1" si="120"/>
        <v>21.442678530099794</v>
      </c>
      <c r="AW244" s="403">
        <f t="shared" ca="1" si="121"/>
        <v>5550.1339047121228</v>
      </c>
    </row>
    <row r="245" spans="1:49"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V245" s="88"/>
      <c r="W245" s="88"/>
      <c r="X245" s="88"/>
      <c r="Y245" s="88"/>
      <c r="Z245" s="88"/>
      <c r="AA245" s="88"/>
      <c r="AB245" s="88"/>
      <c r="AC245" s="88"/>
      <c r="AD245" s="88"/>
      <c r="AE245" s="88"/>
      <c r="AF245" s="88"/>
      <c r="AG245" s="88"/>
      <c r="AH245" s="86"/>
      <c r="AI245" s="70"/>
      <c r="AK245" s="112" t="s">
        <v>667</v>
      </c>
      <c r="AL245" s="141">
        <f>SUM(AO226:AO231)</f>
        <v>92.727896016023493</v>
      </c>
    </row>
    <row r="246" spans="1:49">
      <c r="D246" s="114" t="s">
        <v>668</v>
      </c>
      <c r="E246" s="69">
        <f>IFERROR(VLOOKUP(A246,#REF!,8,FALSE),0)</f>
        <v>0</v>
      </c>
      <c r="H246" s="115">
        <f t="shared" ref="H246:T246" si="134">SUM(H208:H245)</f>
        <v>48369.700000000012</v>
      </c>
      <c r="I246" s="115">
        <f t="shared" si="134"/>
        <v>47738.98</v>
      </c>
      <c r="J246" s="115">
        <f t="shared" si="134"/>
        <v>52931.340000000011</v>
      </c>
      <c r="K246" s="115">
        <f t="shared" si="134"/>
        <v>45270.420000000006</v>
      </c>
      <c r="L246" s="115">
        <f t="shared" si="134"/>
        <v>60023.680000000015</v>
      </c>
      <c r="M246" s="115">
        <f t="shared" si="134"/>
        <v>69131.049999999988</v>
      </c>
      <c r="N246" s="115">
        <f t="shared" si="134"/>
        <v>63013.240000000005</v>
      </c>
      <c r="O246" s="115">
        <f t="shared" si="134"/>
        <v>62840.74</v>
      </c>
      <c r="P246" s="115">
        <f t="shared" si="134"/>
        <v>58535.030000000006</v>
      </c>
      <c r="Q246" s="115">
        <f t="shared" si="134"/>
        <v>58258.729999999996</v>
      </c>
      <c r="R246" s="115">
        <f t="shared" si="134"/>
        <v>47890.05</v>
      </c>
      <c r="S246" s="115">
        <f t="shared" si="134"/>
        <v>46402.789999999986</v>
      </c>
      <c r="T246" s="116">
        <f t="shared" si="134"/>
        <v>660405.74999999988</v>
      </c>
      <c r="U246" s="82"/>
      <c r="V246" s="117">
        <f t="shared" ref="V246:AG246" si="135">SUM(V208:V245)</f>
        <v>2011.3117713968709</v>
      </c>
      <c r="W246" s="117">
        <f t="shared" si="135"/>
        <v>1339.3173849493899</v>
      </c>
      <c r="X246" s="117">
        <f t="shared" si="135"/>
        <v>1566.422264875381</v>
      </c>
      <c r="Y246" s="117">
        <f t="shared" si="135"/>
        <v>1200.4035395203184</v>
      </c>
      <c r="Z246" s="117">
        <f t="shared" si="135"/>
        <v>4497.3076236490233</v>
      </c>
      <c r="AA246" s="117">
        <f t="shared" si="135"/>
        <v>9220.3018478528429</v>
      </c>
      <c r="AB246" s="117">
        <f t="shared" si="135"/>
        <v>1995.7533581879429</v>
      </c>
      <c r="AC246" s="117">
        <f t="shared" si="135"/>
        <v>1881.1652377089624</v>
      </c>
      <c r="AD246" s="117">
        <f t="shared" si="135"/>
        <v>1830.8773199113452</v>
      </c>
      <c r="AE246" s="117">
        <f t="shared" si="135"/>
        <v>7821.2229755886056</v>
      </c>
      <c r="AF246" s="117">
        <f t="shared" si="135"/>
        <v>2276.8867752041151</v>
      </c>
      <c r="AG246" s="117">
        <f t="shared" si="135"/>
        <v>1842.3991595674756</v>
      </c>
      <c r="AH246" s="118">
        <f>SUM(AH208:AH245)</f>
        <v>37483.369258412269</v>
      </c>
      <c r="AI246" s="119">
        <f>+SUM(AI226:AI231)</f>
        <v>92.727896016023493</v>
      </c>
      <c r="AS246" s="118">
        <f t="shared" ref="AS246:AW246" ca="1" si="136">SUM(AS208:AS245)</f>
        <v>692187.97668670025</v>
      </c>
      <c r="AT246" s="118">
        <f t="shared" ca="1" si="136"/>
        <v>31782.226686700204</v>
      </c>
      <c r="AV246" s="404">
        <f t="shared" ca="1" si="136"/>
        <v>2684.6071989342922</v>
      </c>
      <c r="AW246" s="404">
        <f t="shared" ca="1" si="136"/>
        <v>694872.58388563478</v>
      </c>
    </row>
    <row r="247" spans="1:49"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  <c r="AH247" s="86"/>
      <c r="AI247" s="70"/>
    </row>
    <row r="248" spans="1:49">
      <c r="C248" s="37" t="s">
        <v>669</v>
      </c>
      <c r="D248" s="37" t="s">
        <v>669</v>
      </c>
      <c r="E248" s="69">
        <f>IFERROR(VLOOKUP(A248,#REF!,8,FALSE),0)</f>
        <v>0</v>
      </c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V248" s="88">
        <f>IFERROR(H248/#REF!,0)</f>
        <v>0</v>
      </c>
      <c r="W248" s="88">
        <f>IFERROR(I248/#REF!,0)</f>
        <v>0</v>
      </c>
      <c r="X248" s="88">
        <f>IFERROR(J248/#REF!,0)</f>
        <v>0</v>
      </c>
      <c r="Y248" s="88">
        <f>IFERROR(K248/#REF!,0)</f>
        <v>0</v>
      </c>
      <c r="Z248" s="88">
        <f>IFERROR(L248/#REF!,0)</f>
        <v>0</v>
      </c>
      <c r="AA248" s="88">
        <f>IFERROR(M248/#REF!,0)</f>
        <v>0</v>
      </c>
      <c r="AB248" s="88">
        <f>IFERROR(N248/#REF!,0)</f>
        <v>0</v>
      </c>
      <c r="AC248" s="88">
        <f>IFERROR(O248/#REF!,0)</f>
        <v>0</v>
      </c>
      <c r="AD248" s="88">
        <f>IFERROR(P248/#REF!,0)</f>
        <v>0</v>
      </c>
      <c r="AE248" s="88">
        <f>IFERROR(Q248/#REF!,0)</f>
        <v>0</v>
      </c>
      <c r="AF248" s="88">
        <f>IFERROR(R248/#REF!,0)</f>
        <v>0</v>
      </c>
      <c r="AG248" s="88">
        <f>IFERROR(S248/#REF!,0)</f>
        <v>0</v>
      </c>
      <c r="AH248" s="86">
        <f>SUM(V248:AG248)</f>
        <v>0</v>
      </c>
      <c r="AI248" s="70">
        <f>AH248/12</f>
        <v>0</v>
      </c>
    </row>
    <row r="249" spans="1:49">
      <c r="A249" s="38" t="str">
        <f t="shared" ref="A249" si="137">$A$1&amp;C249</f>
        <v>Lewis County UTCDISP-RO</v>
      </c>
      <c r="B249" s="38">
        <f>COUNTIF(C:C,C249)</f>
        <v>1</v>
      </c>
      <c r="C249" s="97" t="s">
        <v>670</v>
      </c>
      <c r="D249" s="97" t="s">
        <v>671</v>
      </c>
      <c r="E249" s="69">
        <v>100</v>
      </c>
      <c r="F249" s="69">
        <v>100</v>
      </c>
      <c r="G249" s="96" t="s">
        <v>234</v>
      </c>
      <c r="H249" s="88">
        <v>35120.080000000002</v>
      </c>
      <c r="I249" s="88">
        <v>42979.6</v>
      </c>
      <c r="J249" s="88">
        <v>40650.199999999997</v>
      </c>
      <c r="K249" s="88">
        <v>42090.8</v>
      </c>
      <c r="L249" s="88">
        <v>35949.599999999999</v>
      </c>
      <c r="M249" s="88">
        <v>42448.6</v>
      </c>
      <c r="N249" s="88">
        <v>53023.96</v>
      </c>
      <c r="O249" s="88">
        <v>44010.2</v>
      </c>
      <c r="P249" s="88">
        <v>44006.400000000001</v>
      </c>
      <c r="Q249" s="88">
        <v>36691.800000000003</v>
      </c>
      <c r="R249" s="88">
        <v>45308</v>
      </c>
      <c r="S249" s="88">
        <v>38650</v>
      </c>
      <c r="T249" s="88">
        <f>SUM(H249:S249)</f>
        <v>500929.24000000005</v>
      </c>
      <c r="U249" s="88"/>
      <c r="V249" s="86">
        <f t="shared" ref="V249:AB249" si="138">IFERROR(H249/$E249,0)</f>
        <v>351.20080000000002</v>
      </c>
      <c r="W249" s="86">
        <f t="shared" si="138"/>
        <v>429.79599999999999</v>
      </c>
      <c r="X249" s="86">
        <f t="shared" si="138"/>
        <v>406.50199999999995</v>
      </c>
      <c r="Y249" s="86">
        <f t="shared" si="138"/>
        <v>420.90800000000002</v>
      </c>
      <c r="Z249" s="86">
        <f t="shared" si="138"/>
        <v>359.49599999999998</v>
      </c>
      <c r="AA249" s="86">
        <f t="shared" si="138"/>
        <v>424.48599999999999</v>
      </c>
      <c r="AB249" s="86">
        <f t="shared" si="138"/>
        <v>530.2396</v>
      </c>
      <c r="AC249" s="86">
        <f t="shared" ref="AC249:AG249" si="139">IFERROR(O249/$F249,0)</f>
        <v>440.10199999999998</v>
      </c>
      <c r="AD249" s="86">
        <f t="shared" si="139"/>
        <v>440.06400000000002</v>
      </c>
      <c r="AE249" s="86">
        <f t="shared" si="139"/>
        <v>366.91800000000001</v>
      </c>
      <c r="AF249" s="86">
        <f t="shared" si="139"/>
        <v>453.08</v>
      </c>
      <c r="AG249" s="86">
        <f t="shared" si="139"/>
        <v>386.5</v>
      </c>
      <c r="AH249" s="86">
        <f>SUM(V249:AG249)</f>
        <v>5009.2923999999994</v>
      </c>
      <c r="AI249" s="70">
        <f>AH249/12</f>
        <v>417.44103333333328</v>
      </c>
      <c r="AS249" s="86">
        <f>+T249</f>
        <v>500929.24000000005</v>
      </c>
      <c r="AT249" s="90">
        <f t="shared" ref="AT249" si="140">+AS249-T249</f>
        <v>0</v>
      </c>
    </row>
    <row r="250" spans="1:49">
      <c r="E250" s="69">
        <f>IFERROR(VLOOKUP(A250,#REF!,8,FALSE),0)</f>
        <v>0</v>
      </c>
      <c r="H250" s="88">
        <v>0</v>
      </c>
      <c r="AI250" s="70"/>
    </row>
    <row r="251" spans="1:49"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V251" s="88"/>
      <c r="W251" s="88"/>
      <c r="X251" s="88"/>
      <c r="Y251" s="88"/>
      <c r="Z251" s="88"/>
      <c r="AA251" s="88"/>
      <c r="AB251" s="88"/>
      <c r="AC251" s="88"/>
      <c r="AD251" s="88"/>
      <c r="AE251" s="88"/>
      <c r="AF251" s="88"/>
      <c r="AG251" s="88"/>
      <c r="AH251" s="86"/>
      <c r="AI251" s="70"/>
    </row>
    <row r="252" spans="1:49">
      <c r="D252" s="114" t="s">
        <v>672</v>
      </c>
      <c r="H252" s="115">
        <f t="shared" ref="H252:S252" si="141">SUM(H249:H249)</f>
        <v>35120.080000000002</v>
      </c>
      <c r="I252" s="115">
        <f t="shared" si="141"/>
        <v>42979.6</v>
      </c>
      <c r="J252" s="115">
        <f t="shared" si="141"/>
        <v>40650.199999999997</v>
      </c>
      <c r="K252" s="115">
        <f t="shared" si="141"/>
        <v>42090.8</v>
      </c>
      <c r="L252" s="115">
        <f t="shared" si="141"/>
        <v>35949.599999999999</v>
      </c>
      <c r="M252" s="115">
        <f t="shared" si="141"/>
        <v>42448.6</v>
      </c>
      <c r="N252" s="115">
        <f t="shared" si="141"/>
        <v>53023.96</v>
      </c>
      <c r="O252" s="115">
        <f t="shared" si="141"/>
        <v>44010.2</v>
      </c>
      <c r="P252" s="115">
        <f t="shared" si="141"/>
        <v>44006.400000000001</v>
      </c>
      <c r="Q252" s="115">
        <f t="shared" si="141"/>
        <v>36691.800000000003</v>
      </c>
      <c r="R252" s="115">
        <f t="shared" si="141"/>
        <v>45308</v>
      </c>
      <c r="S252" s="115">
        <f t="shared" si="141"/>
        <v>38650</v>
      </c>
      <c r="T252" s="116">
        <f>SUM(T249:T251)</f>
        <v>500929.24000000005</v>
      </c>
      <c r="U252" s="82"/>
      <c r="V252" s="117">
        <f t="shared" ref="V252:AI252" si="142">SUM(V249:V249)</f>
        <v>351.20080000000002</v>
      </c>
      <c r="W252" s="117">
        <f t="shared" si="142"/>
        <v>429.79599999999999</v>
      </c>
      <c r="X252" s="117">
        <f t="shared" si="142"/>
        <v>406.50199999999995</v>
      </c>
      <c r="Y252" s="117">
        <f t="shared" si="142"/>
        <v>420.90800000000002</v>
      </c>
      <c r="Z252" s="117">
        <f t="shared" si="142"/>
        <v>359.49599999999998</v>
      </c>
      <c r="AA252" s="117">
        <f t="shared" si="142"/>
        <v>424.48599999999999</v>
      </c>
      <c r="AB252" s="117">
        <f t="shared" si="142"/>
        <v>530.2396</v>
      </c>
      <c r="AC252" s="117">
        <f t="shared" si="142"/>
        <v>440.10199999999998</v>
      </c>
      <c r="AD252" s="117">
        <f t="shared" si="142"/>
        <v>440.06400000000002</v>
      </c>
      <c r="AE252" s="117">
        <f t="shared" si="142"/>
        <v>366.91800000000001</v>
      </c>
      <c r="AF252" s="117">
        <f t="shared" si="142"/>
        <v>453.08</v>
      </c>
      <c r="AG252" s="117">
        <f t="shared" si="142"/>
        <v>386.5</v>
      </c>
      <c r="AH252" s="118">
        <f>SUM(AH249:AH249)</f>
        <v>5009.2923999999994</v>
      </c>
      <c r="AI252" s="118">
        <f t="shared" si="142"/>
        <v>417.44103333333328</v>
      </c>
      <c r="AS252" s="116">
        <f t="shared" ref="AS252:AT252" si="143">SUM(AS249:AS251)</f>
        <v>500929.24000000005</v>
      </c>
      <c r="AT252" s="116">
        <f t="shared" si="143"/>
        <v>0</v>
      </c>
    </row>
    <row r="253" spans="1:49"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6"/>
      <c r="AI253" s="70"/>
    </row>
    <row r="254" spans="1:49">
      <c r="V254" s="8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6"/>
      <c r="AI254" s="70"/>
    </row>
    <row r="255" spans="1:49">
      <c r="C255" s="80" t="s">
        <v>673</v>
      </c>
      <c r="D255" s="80" t="s">
        <v>673</v>
      </c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V255" s="86">
        <f t="shared" ref="V255:AB258" si="144">IFERROR(H255/$E255,0)</f>
        <v>0</v>
      </c>
      <c r="W255" s="86">
        <f t="shared" si="144"/>
        <v>0</v>
      </c>
      <c r="X255" s="86">
        <f t="shared" si="144"/>
        <v>0</v>
      </c>
      <c r="Y255" s="86">
        <f t="shared" si="144"/>
        <v>0</v>
      </c>
      <c r="Z255" s="86">
        <f t="shared" si="144"/>
        <v>0</v>
      </c>
      <c r="AA255" s="86">
        <f t="shared" si="144"/>
        <v>0</v>
      </c>
      <c r="AB255" s="86">
        <f t="shared" si="144"/>
        <v>0</v>
      </c>
      <c r="AC255" s="86">
        <f t="shared" ref="AC255:AG258" si="145">IFERROR(O255/$F255,0)</f>
        <v>0</v>
      </c>
      <c r="AD255" s="86">
        <f t="shared" si="145"/>
        <v>0</v>
      </c>
      <c r="AE255" s="86">
        <f t="shared" si="145"/>
        <v>0</v>
      </c>
      <c r="AF255" s="86">
        <f t="shared" si="145"/>
        <v>0</v>
      </c>
      <c r="AG255" s="86">
        <f t="shared" si="145"/>
        <v>0</v>
      </c>
      <c r="AH255" s="86">
        <f t="shared" ref="AH255:AH257" si="146">SUM(V255:AG255)</f>
        <v>0</v>
      </c>
      <c r="AI255" s="70">
        <f t="shared" ref="AI255:AI258" si="147">AH255/12</f>
        <v>0</v>
      </c>
    </row>
    <row r="256" spans="1:49">
      <c r="A256" s="38" t="str">
        <f t="shared" ref="A256:A258" si="148">$A$1&amp;C256</f>
        <v>Lewis County UTCFINCHG</v>
      </c>
      <c r="B256" s="38">
        <f>COUNTIF(C:C,C256)</f>
        <v>1</v>
      </c>
      <c r="C256" s="97" t="s">
        <v>674</v>
      </c>
      <c r="D256" s="97" t="e">
        <v>#N/A</v>
      </c>
      <c r="E256" s="69">
        <v>0</v>
      </c>
      <c r="F256" s="69">
        <v>0</v>
      </c>
      <c r="H256" s="88">
        <v>1010.0300000000001</v>
      </c>
      <c r="I256" s="88">
        <v>971.26999999999987</v>
      </c>
      <c r="J256" s="88">
        <v>1099.5700000000002</v>
      </c>
      <c r="K256" s="88">
        <v>667.16</v>
      </c>
      <c r="L256" s="88">
        <v>1035.3200000000002</v>
      </c>
      <c r="M256" s="88">
        <v>837.81999999999994</v>
      </c>
      <c r="N256" s="88">
        <v>627.1</v>
      </c>
      <c r="O256" s="88">
        <v>1054.4800000000002</v>
      </c>
      <c r="P256" s="88">
        <v>874.76999999999987</v>
      </c>
      <c r="Q256" s="88">
        <v>846.24</v>
      </c>
      <c r="R256" s="88">
        <v>982.27</v>
      </c>
      <c r="S256" s="88">
        <v>753.68</v>
      </c>
      <c r="T256" s="88">
        <f t="shared" ref="T256:T258" si="149">SUM(H256:S256)</f>
        <v>10759.710000000001</v>
      </c>
      <c r="U256" s="88"/>
      <c r="V256" s="86">
        <f t="shared" si="144"/>
        <v>0</v>
      </c>
      <c r="W256" s="86">
        <f t="shared" si="144"/>
        <v>0</v>
      </c>
      <c r="X256" s="86">
        <f t="shared" si="144"/>
        <v>0</v>
      </c>
      <c r="Y256" s="86">
        <f t="shared" si="144"/>
        <v>0</v>
      </c>
      <c r="Z256" s="86">
        <f t="shared" si="144"/>
        <v>0</v>
      </c>
      <c r="AA256" s="86">
        <f t="shared" si="144"/>
        <v>0</v>
      </c>
      <c r="AB256" s="86">
        <f t="shared" si="144"/>
        <v>0</v>
      </c>
      <c r="AC256" s="86">
        <f t="shared" si="145"/>
        <v>0</v>
      </c>
      <c r="AD256" s="86">
        <f t="shared" si="145"/>
        <v>0</v>
      </c>
      <c r="AE256" s="86">
        <f t="shared" si="145"/>
        <v>0</v>
      </c>
      <c r="AF256" s="86">
        <f t="shared" si="145"/>
        <v>0</v>
      </c>
      <c r="AG256" s="86">
        <f t="shared" si="145"/>
        <v>0</v>
      </c>
      <c r="AH256" s="86">
        <f t="shared" si="146"/>
        <v>0</v>
      </c>
      <c r="AI256" s="70">
        <f t="shared" si="147"/>
        <v>0</v>
      </c>
      <c r="AS256" s="88">
        <f>+T256</f>
        <v>10759.710000000001</v>
      </c>
      <c r="AT256" s="90">
        <f t="shared" ref="AT256:AT258" si="150">+AS256-T256</f>
        <v>0</v>
      </c>
    </row>
    <row r="257" spans="1:49">
      <c r="A257" s="38" t="str">
        <f t="shared" si="148"/>
        <v>Lewis County UTCCOLLFEE</v>
      </c>
      <c r="B257" s="38">
        <f>COUNTIF(C:C,C257)</f>
        <v>1</v>
      </c>
      <c r="C257" s="97" t="s">
        <v>675</v>
      </c>
      <c r="D257" s="97" t="e">
        <v>#N/A</v>
      </c>
      <c r="E257" s="69">
        <v>0</v>
      </c>
      <c r="F257" s="69">
        <v>0</v>
      </c>
      <c r="H257" s="88">
        <v>0</v>
      </c>
      <c r="I257" s="88">
        <v>-72.260000000000005</v>
      </c>
      <c r="J257" s="88">
        <v>0</v>
      </c>
      <c r="K257" s="88">
        <v>-221.52000000000004</v>
      </c>
      <c r="L257" s="88">
        <v>0</v>
      </c>
      <c r="M257" s="88">
        <v>0</v>
      </c>
      <c r="N257" s="88">
        <v>0</v>
      </c>
      <c r="O257" s="88">
        <v>0</v>
      </c>
      <c r="P257" s="88">
        <v>0</v>
      </c>
      <c r="Q257" s="88">
        <v>10.88</v>
      </c>
      <c r="R257" s="88">
        <v>0</v>
      </c>
      <c r="S257" s="88">
        <v>0</v>
      </c>
      <c r="T257" s="88">
        <f t="shared" si="149"/>
        <v>-282.90000000000003</v>
      </c>
      <c r="U257" s="88"/>
      <c r="V257" s="86">
        <f t="shared" si="144"/>
        <v>0</v>
      </c>
      <c r="W257" s="86">
        <f t="shared" si="144"/>
        <v>0</v>
      </c>
      <c r="X257" s="86">
        <f t="shared" si="144"/>
        <v>0</v>
      </c>
      <c r="Y257" s="86">
        <f t="shared" si="144"/>
        <v>0</v>
      </c>
      <c r="Z257" s="86">
        <f t="shared" si="144"/>
        <v>0</v>
      </c>
      <c r="AA257" s="86">
        <f t="shared" si="144"/>
        <v>0</v>
      </c>
      <c r="AB257" s="86">
        <f t="shared" si="144"/>
        <v>0</v>
      </c>
      <c r="AC257" s="86">
        <f t="shared" si="145"/>
        <v>0</v>
      </c>
      <c r="AD257" s="86">
        <f t="shared" si="145"/>
        <v>0</v>
      </c>
      <c r="AE257" s="86">
        <f t="shared" si="145"/>
        <v>0</v>
      </c>
      <c r="AF257" s="86">
        <f t="shared" si="145"/>
        <v>0</v>
      </c>
      <c r="AG257" s="86">
        <f t="shared" si="145"/>
        <v>0</v>
      </c>
      <c r="AH257" s="86">
        <f t="shared" si="146"/>
        <v>0</v>
      </c>
      <c r="AI257" s="70">
        <f t="shared" si="147"/>
        <v>0</v>
      </c>
      <c r="AS257" s="88">
        <f t="shared" ref="AS257:AS258" si="151">+T257</f>
        <v>-282.90000000000003</v>
      </c>
      <c r="AT257" s="90">
        <f t="shared" si="150"/>
        <v>0</v>
      </c>
    </row>
    <row r="258" spans="1:49" ht="14.4">
      <c r="A258" s="38" t="str">
        <f t="shared" si="148"/>
        <v>Lewis County UTCADJ-FIN</v>
      </c>
      <c r="B258" s="38">
        <f>COUNTIF(C:C,C258)</f>
        <v>1</v>
      </c>
      <c r="C258" s="46" t="s">
        <v>676</v>
      </c>
      <c r="D258" s="97" t="e">
        <v>#N/A</v>
      </c>
      <c r="E258" s="69">
        <v>0</v>
      </c>
      <c r="F258" s="69">
        <v>0</v>
      </c>
      <c r="H258" s="88">
        <v>0</v>
      </c>
      <c r="I258" s="88">
        <v>0</v>
      </c>
      <c r="J258" s="88">
        <v>0</v>
      </c>
      <c r="K258" s="88">
        <v>0</v>
      </c>
      <c r="L258" s="88">
        <v>0</v>
      </c>
      <c r="M258" s="88">
        <v>-5.54</v>
      </c>
      <c r="N258" s="88">
        <v>1</v>
      </c>
      <c r="O258" s="88">
        <v>-11.24</v>
      </c>
      <c r="P258" s="88">
        <v>0</v>
      </c>
      <c r="Q258" s="88">
        <v>0</v>
      </c>
      <c r="R258" s="88">
        <v>0</v>
      </c>
      <c r="S258" s="88">
        <v>0</v>
      </c>
      <c r="T258" s="88">
        <f t="shared" si="149"/>
        <v>-15.780000000000001</v>
      </c>
      <c r="U258" s="88"/>
      <c r="V258" s="86">
        <f t="shared" si="144"/>
        <v>0</v>
      </c>
      <c r="W258" s="86">
        <f t="shared" si="144"/>
        <v>0</v>
      </c>
      <c r="X258" s="86">
        <f t="shared" si="144"/>
        <v>0</v>
      </c>
      <c r="Y258" s="86">
        <f t="shared" si="144"/>
        <v>0</v>
      </c>
      <c r="Z258" s="86">
        <f t="shared" si="144"/>
        <v>0</v>
      </c>
      <c r="AA258" s="86">
        <f t="shared" si="144"/>
        <v>0</v>
      </c>
      <c r="AB258" s="86">
        <f t="shared" si="144"/>
        <v>0</v>
      </c>
      <c r="AC258" s="86">
        <f t="shared" si="145"/>
        <v>0</v>
      </c>
      <c r="AD258" s="86">
        <f t="shared" si="145"/>
        <v>0</v>
      </c>
      <c r="AE258" s="86">
        <f t="shared" si="145"/>
        <v>0</v>
      </c>
      <c r="AF258" s="86">
        <f t="shared" si="145"/>
        <v>0</v>
      </c>
      <c r="AG258" s="86">
        <f t="shared" si="145"/>
        <v>0</v>
      </c>
      <c r="AH258" s="86">
        <f t="shared" ref="AH258" si="152">SUM(V258:AG258)</f>
        <v>0</v>
      </c>
      <c r="AI258" s="70">
        <f t="shared" si="147"/>
        <v>0</v>
      </c>
      <c r="AS258" s="88">
        <f t="shared" si="151"/>
        <v>-15.780000000000001</v>
      </c>
      <c r="AT258" s="90">
        <f t="shared" si="150"/>
        <v>0</v>
      </c>
    </row>
    <row r="259" spans="1:49"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V259" s="88"/>
      <c r="W259" s="88"/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  <c r="AH259" s="86"/>
      <c r="AI259" s="70"/>
    </row>
    <row r="260" spans="1:49">
      <c r="D260" s="114" t="s">
        <v>677</v>
      </c>
      <c r="E260" s="142"/>
      <c r="F260" s="142"/>
      <c r="G260" s="142"/>
      <c r="H260" s="115">
        <f t="shared" ref="H260:T260" si="153">SUM(H256:H259)</f>
        <v>1010.0300000000001</v>
      </c>
      <c r="I260" s="115">
        <f t="shared" si="153"/>
        <v>899.00999999999988</v>
      </c>
      <c r="J260" s="115">
        <f t="shared" si="153"/>
        <v>1099.5700000000002</v>
      </c>
      <c r="K260" s="115">
        <f t="shared" si="153"/>
        <v>445.63999999999993</v>
      </c>
      <c r="L260" s="115">
        <f t="shared" si="153"/>
        <v>1035.3200000000002</v>
      </c>
      <c r="M260" s="115">
        <f t="shared" si="153"/>
        <v>832.28</v>
      </c>
      <c r="N260" s="115">
        <f t="shared" si="153"/>
        <v>628.1</v>
      </c>
      <c r="O260" s="115">
        <f t="shared" si="153"/>
        <v>1043.2400000000002</v>
      </c>
      <c r="P260" s="115">
        <f t="shared" si="153"/>
        <v>874.76999999999987</v>
      </c>
      <c r="Q260" s="115">
        <f t="shared" si="153"/>
        <v>857.12</v>
      </c>
      <c r="R260" s="115">
        <f t="shared" si="153"/>
        <v>982.27</v>
      </c>
      <c r="S260" s="115">
        <f t="shared" si="153"/>
        <v>753.68</v>
      </c>
      <c r="T260" s="116">
        <f t="shared" si="153"/>
        <v>10461.030000000001</v>
      </c>
      <c r="U260" s="143"/>
      <c r="V260" s="144">
        <f t="shared" ref="V260:AI260" si="154">SUM(V256:V259)</f>
        <v>0</v>
      </c>
      <c r="W260" s="144">
        <f t="shared" si="154"/>
        <v>0</v>
      </c>
      <c r="X260" s="144">
        <f t="shared" si="154"/>
        <v>0</v>
      </c>
      <c r="Y260" s="144">
        <f t="shared" si="154"/>
        <v>0</v>
      </c>
      <c r="Z260" s="144">
        <f t="shared" si="154"/>
        <v>0</v>
      </c>
      <c r="AA260" s="144">
        <f t="shared" si="154"/>
        <v>0</v>
      </c>
      <c r="AB260" s="144">
        <f t="shared" si="154"/>
        <v>0</v>
      </c>
      <c r="AC260" s="144">
        <f t="shared" si="154"/>
        <v>0</v>
      </c>
      <c r="AD260" s="144">
        <f t="shared" si="154"/>
        <v>0</v>
      </c>
      <c r="AE260" s="144">
        <f t="shared" si="154"/>
        <v>0</v>
      </c>
      <c r="AF260" s="144">
        <f t="shared" si="154"/>
        <v>0</v>
      </c>
      <c r="AG260" s="144">
        <f t="shared" si="154"/>
        <v>0</v>
      </c>
      <c r="AH260" s="144">
        <f t="shared" si="154"/>
        <v>0</v>
      </c>
      <c r="AI260" s="144">
        <f t="shared" si="154"/>
        <v>0</v>
      </c>
      <c r="AS260" s="116">
        <f t="shared" ref="AS260" si="155">SUM(AS256:AS259)</f>
        <v>10461.030000000001</v>
      </c>
    </row>
    <row r="261" spans="1:49">
      <c r="T261" s="143"/>
      <c r="U261" s="143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</row>
    <row r="262" spans="1:49" s="37" customFormat="1" ht="12.6" thickBot="1">
      <c r="B262" s="38"/>
      <c r="D262" s="114" t="s">
        <v>678</v>
      </c>
      <c r="E262" s="142"/>
      <c r="F262" s="142"/>
      <c r="G262" s="142"/>
      <c r="H262" s="146">
        <f t="shared" ref="H262:T262" si="156">H260+H252+H246+H202+H195+H68+H58+H52</f>
        <v>645688.15500000003</v>
      </c>
      <c r="I262" s="146">
        <f t="shared" si="156"/>
        <v>652715.99000000011</v>
      </c>
      <c r="J262" s="146">
        <f t="shared" si="156"/>
        <v>661781.90500000014</v>
      </c>
      <c r="K262" s="146">
        <f t="shared" si="156"/>
        <v>658603.68000000005</v>
      </c>
      <c r="L262" s="146">
        <f t="shared" si="156"/>
        <v>680631.66000000015</v>
      </c>
      <c r="M262" s="146">
        <f t="shared" si="156"/>
        <v>709568.51</v>
      </c>
      <c r="N262" s="146">
        <f t="shared" si="156"/>
        <v>720481.08500000008</v>
      </c>
      <c r="O262" s="146">
        <f t="shared" si="156"/>
        <v>717080.64500000002</v>
      </c>
      <c r="P262" s="146">
        <f t="shared" si="156"/>
        <v>700449.25</v>
      </c>
      <c r="Q262" s="146">
        <f t="shared" si="156"/>
        <v>689448.875</v>
      </c>
      <c r="R262" s="146">
        <f t="shared" si="156"/>
        <v>679493.2699999999</v>
      </c>
      <c r="S262" s="146">
        <f t="shared" si="156"/>
        <v>669856.125</v>
      </c>
      <c r="T262" s="147">
        <f t="shared" si="156"/>
        <v>8185799.1500000013</v>
      </c>
      <c r="U262" s="148"/>
      <c r="V262" s="149">
        <f t="shared" ref="V262:AH262" si="157">V260+V252+V246+V202+V195+V68+V58+V52</f>
        <v>30032.285973292437</v>
      </c>
      <c r="W262" s="149">
        <f t="shared" si="157"/>
        <v>28948.296074089332</v>
      </c>
      <c r="X262" s="149">
        <f t="shared" si="157"/>
        <v>29491.990366359976</v>
      </c>
      <c r="Y262" s="149">
        <f t="shared" si="157"/>
        <v>29344.706295202704</v>
      </c>
      <c r="Z262" s="149">
        <f t="shared" si="157"/>
        <v>33125.575349134437</v>
      </c>
      <c r="AA262" s="149">
        <f t="shared" si="157"/>
        <v>38463.89205612136</v>
      </c>
      <c r="AB262" s="149">
        <f t="shared" si="157"/>
        <v>31785.577559065609</v>
      </c>
      <c r="AC262" s="149">
        <f t="shared" si="157"/>
        <v>32068.302832904472</v>
      </c>
      <c r="AD262" s="149">
        <f t="shared" si="157"/>
        <v>31449.533216135369</v>
      </c>
      <c r="AE262" s="149">
        <f t="shared" si="157"/>
        <v>36650.352629017769</v>
      </c>
      <c r="AF262" s="149">
        <f t="shared" si="157"/>
        <v>31192.029787280699</v>
      </c>
      <c r="AG262" s="149">
        <f t="shared" si="157"/>
        <v>30393.742754496336</v>
      </c>
      <c r="AH262" s="149">
        <f t="shared" si="157"/>
        <v>382967.28381642653</v>
      </c>
      <c r="AI262" s="149">
        <f>AI260+AI246+AI202+AI195+AI68+AI58+AI52</f>
        <v>26739.815507153362</v>
      </c>
      <c r="AQ262" s="150"/>
      <c r="AV262" s="400"/>
      <c r="AW262" s="400"/>
    </row>
    <row r="263" spans="1:49" s="37" customFormat="1" ht="12.6" thickTop="1">
      <c r="E263" s="151"/>
      <c r="F263" s="151"/>
      <c r="G263" s="151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AI263" s="152"/>
      <c r="AV263" s="400"/>
      <c r="AW263" s="400"/>
    </row>
    <row r="264" spans="1:49" s="37" customFormat="1">
      <c r="E264" s="151"/>
      <c r="F264" s="151"/>
      <c r="G264" s="151"/>
      <c r="H264" s="142">
        <f t="shared" ref="H264:AH264" si="158">SUM(H8:H260)/2</f>
        <v>645688.15500000049</v>
      </c>
      <c r="I264" s="142">
        <f t="shared" si="158"/>
        <v>652715.99000000034</v>
      </c>
      <c r="J264" s="142">
        <f t="shared" si="158"/>
        <v>661781.90500000014</v>
      </c>
      <c r="K264" s="142">
        <f t="shared" si="158"/>
        <v>658603.67999999947</v>
      </c>
      <c r="L264" s="142">
        <f t="shared" si="158"/>
        <v>680631.66</v>
      </c>
      <c r="M264" s="142">
        <f t="shared" si="158"/>
        <v>709568.50999999989</v>
      </c>
      <c r="N264" s="142">
        <f t="shared" si="158"/>
        <v>720481.08500000008</v>
      </c>
      <c r="O264" s="142">
        <f t="shared" si="158"/>
        <v>717080.6449999999</v>
      </c>
      <c r="P264" s="142">
        <f t="shared" si="158"/>
        <v>700449.25000000023</v>
      </c>
      <c r="Q264" s="142">
        <f t="shared" si="158"/>
        <v>689448.87500000012</v>
      </c>
      <c r="R264" s="142">
        <f t="shared" si="158"/>
        <v>679493.2699999999</v>
      </c>
      <c r="S264" s="142">
        <f t="shared" si="158"/>
        <v>669856.12499999965</v>
      </c>
      <c r="T264" s="142">
        <f t="shared" si="158"/>
        <v>8185799.1500000004</v>
      </c>
      <c r="U264" s="142">
        <f t="shared" si="158"/>
        <v>0</v>
      </c>
      <c r="V264" s="142">
        <f t="shared" si="158"/>
        <v>30032.78597329243</v>
      </c>
      <c r="W264" s="142">
        <f t="shared" si="158"/>
        <v>28948.546127314803</v>
      </c>
      <c r="X264" s="142">
        <f t="shared" si="158"/>
        <v>29492.490366359973</v>
      </c>
      <c r="Y264" s="142">
        <f t="shared" si="158"/>
        <v>29346.206295202708</v>
      </c>
      <c r="Z264" s="142">
        <f t="shared" si="158"/>
        <v>33126.075349134437</v>
      </c>
      <c r="AA264" s="142">
        <f t="shared" si="158"/>
        <v>38464.392056121367</v>
      </c>
      <c r="AB264" s="142">
        <f t="shared" si="158"/>
        <v>31786.452538927053</v>
      </c>
      <c r="AC264" s="142">
        <f t="shared" si="158"/>
        <v>32069.18175748775</v>
      </c>
      <c r="AD264" s="142">
        <f t="shared" si="158"/>
        <v>31450.529842882668</v>
      </c>
      <c r="AE264" s="142">
        <f t="shared" si="158"/>
        <v>36651.351506263272</v>
      </c>
      <c r="AF264" s="142">
        <f t="shared" si="158"/>
        <v>31193.029787280706</v>
      </c>
      <c r="AG264" s="142">
        <f t="shared" si="158"/>
        <v>30395.742754496332</v>
      </c>
      <c r="AH264" s="142">
        <f t="shared" si="158"/>
        <v>382967.28381642624</v>
      </c>
      <c r="AI264" s="142"/>
      <c r="AV264" s="400"/>
      <c r="AW264" s="400"/>
    </row>
    <row r="265" spans="1:49"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AI265" s="70"/>
      <c r="AQ265" s="143"/>
    </row>
    <row r="266" spans="1:49">
      <c r="H266" s="70">
        <f t="shared" ref="H266:AH266" si="159">+H262-H264</f>
        <v>0</v>
      </c>
      <c r="I266" s="70">
        <f t="shared" si="159"/>
        <v>0</v>
      </c>
      <c r="J266" s="70">
        <f t="shared" si="159"/>
        <v>0</v>
      </c>
      <c r="K266" s="70">
        <f t="shared" si="159"/>
        <v>0</v>
      </c>
      <c r="L266" s="70">
        <f t="shared" si="159"/>
        <v>0</v>
      </c>
      <c r="M266" s="70">
        <f t="shared" si="159"/>
        <v>0</v>
      </c>
      <c r="N266" s="70">
        <f t="shared" si="159"/>
        <v>0</v>
      </c>
      <c r="O266" s="70">
        <f t="shared" si="159"/>
        <v>0</v>
      </c>
      <c r="P266" s="70">
        <f t="shared" si="159"/>
        <v>0</v>
      </c>
      <c r="Q266" s="70">
        <f t="shared" si="159"/>
        <v>0</v>
      </c>
      <c r="R266" s="70">
        <f t="shared" si="159"/>
        <v>0</v>
      </c>
      <c r="S266" s="70">
        <f t="shared" si="159"/>
        <v>0</v>
      </c>
      <c r="T266" s="70">
        <f>+T262-T264</f>
        <v>0</v>
      </c>
      <c r="U266" s="70">
        <f t="shared" si="159"/>
        <v>0</v>
      </c>
      <c r="V266" s="70">
        <f t="shared" si="159"/>
        <v>-0.49999999999272404</v>
      </c>
      <c r="W266" s="70">
        <f t="shared" si="159"/>
        <v>-0.25005322547076503</v>
      </c>
      <c r="X266" s="70">
        <f t="shared" si="159"/>
        <v>-0.49999999999636202</v>
      </c>
      <c r="Y266" s="70">
        <f t="shared" si="159"/>
        <v>-1.500000000003638</v>
      </c>
      <c r="Z266" s="70">
        <f t="shared" si="159"/>
        <v>-0.5</v>
      </c>
      <c r="AA266" s="70">
        <f t="shared" si="159"/>
        <v>-0.50000000000727596</v>
      </c>
      <c r="AB266" s="70">
        <f t="shared" si="159"/>
        <v>-0.8749798614444444</v>
      </c>
      <c r="AC266" s="70">
        <f t="shared" si="159"/>
        <v>-0.87892458327769418</v>
      </c>
      <c r="AD266" s="70">
        <f t="shared" si="159"/>
        <v>-0.99662674729916034</v>
      </c>
      <c r="AE266" s="70">
        <f t="shared" si="159"/>
        <v>-0.99887724550353596</v>
      </c>
      <c r="AF266" s="70">
        <f t="shared" si="159"/>
        <v>-1.000000000007276</v>
      </c>
      <c r="AG266" s="70">
        <f t="shared" si="159"/>
        <v>-1.999999999996362</v>
      </c>
      <c r="AH266" s="70">
        <f t="shared" si="159"/>
        <v>0</v>
      </c>
      <c r="AI266" s="70"/>
    </row>
    <row r="267" spans="1:49" s="37" customFormat="1">
      <c r="D267" s="38"/>
      <c r="E267" s="142"/>
      <c r="F267" s="142"/>
      <c r="G267" s="142"/>
      <c r="AI267" s="152"/>
      <c r="AV267" s="400"/>
      <c r="AW267" s="400"/>
    </row>
    <row r="268" spans="1:49" s="37" customFormat="1">
      <c r="D268" s="38"/>
      <c r="E268" s="151"/>
      <c r="F268" s="151"/>
      <c r="G268" s="151"/>
      <c r="H268" s="153">
        <f>+H264/$T$264</f>
        <v>7.8879061551369783E-2</v>
      </c>
      <c r="I268" s="153">
        <f t="shared" ref="I268:S268" si="160">+I264/$T$264</f>
        <v>7.9737601428933214E-2</v>
      </c>
      <c r="J268" s="153">
        <f t="shared" si="160"/>
        <v>8.084511882996788E-2</v>
      </c>
      <c r="K268" s="153">
        <f t="shared" si="160"/>
        <v>8.0456858021003289E-2</v>
      </c>
      <c r="L268" s="153">
        <f t="shared" si="160"/>
        <v>8.3147857347562706E-2</v>
      </c>
      <c r="M268" s="153">
        <f t="shared" si="160"/>
        <v>8.668286345628208E-2</v>
      </c>
      <c r="N268" s="153">
        <f t="shared" si="160"/>
        <v>8.8015973980988774E-2</v>
      </c>
      <c r="O268" s="153">
        <f t="shared" si="160"/>
        <v>8.7600566769342234E-2</v>
      </c>
      <c r="P268" s="153">
        <f t="shared" si="160"/>
        <v>8.556882928162246E-2</v>
      </c>
      <c r="Q268" s="153">
        <f t="shared" si="160"/>
        <v>8.4224992864624593E-2</v>
      </c>
      <c r="R268" s="153">
        <f t="shared" si="160"/>
        <v>8.3008788457752461E-2</v>
      </c>
      <c r="S268" s="153">
        <f t="shared" si="160"/>
        <v>8.1831488010550513E-2</v>
      </c>
      <c r="AI268" s="152"/>
      <c r="AV268" s="400"/>
      <c r="AW268" s="400"/>
    </row>
    <row r="269" spans="1:49" s="37" customFormat="1">
      <c r="E269" s="151"/>
      <c r="F269" s="151"/>
      <c r="G269" s="151"/>
      <c r="H269" s="114"/>
      <c r="I269" s="114"/>
      <c r="J269" s="114"/>
      <c r="K269" s="114"/>
      <c r="L269" s="114"/>
      <c r="M269" s="114"/>
      <c r="N269" s="154"/>
      <c r="O269" s="114"/>
      <c r="P269" s="114"/>
      <c r="Q269" s="114"/>
      <c r="R269" s="114"/>
      <c r="S269" s="114"/>
      <c r="AI269" s="152"/>
      <c r="AN269" s="37" t="s">
        <v>201</v>
      </c>
      <c r="AO269" s="155">
        <f>+SUM(AO8:AO268)</f>
        <v>26767.488172671394</v>
      </c>
      <c r="AP269" s="155"/>
      <c r="AV269" s="400"/>
      <c r="AW269" s="400"/>
    </row>
    <row r="270" spans="1:49">
      <c r="N270" s="82"/>
      <c r="AI270" s="70"/>
      <c r="AN270" s="38" t="s">
        <v>679</v>
      </c>
      <c r="AO270" s="86">
        <f>+AL195+AL51</f>
        <v>0</v>
      </c>
      <c r="AP270" s="86"/>
    </row>
    <row r="271" spans="1:49">
      <c r="AI271" s="70"/>
      <c r="AN271" s="38" t="s">
        <v>680</v>
      </c>
      <c r="AO271" s="86">
        <f>+AO269-AO270</f>
        <v>26767.488172671394</v>
      </c>
      <c r="AP271" s="86"/>
    </row>
    <row r="272" spans="1:49">
      <c r="AI272" s="70"/>
    </row>
    <row r="273" spans="5:35">
      <c r="E273" s="151"/>
      <c r="F273" s="151"/>
      <c r="G273" s="151"/>
      <c r="AI273" s="70"/>
    </row>
    <row r="274" spans="5:35">
      <c r="AI274" s="70"/>
    </row>
    <row r="275" spans="5:35">
      <c r="AI275" s="70"/>
    </row>
    <row r="276" spans="5:35">
      <c r="AI276" s="70"/>
    </row>
    <row r="277" spans="5:35">
      <c r="AI277" s="70"/>
    </row>
    <row r="278" spans="5:35">
      <c r="AI278" s="70"/>
    </row>
    <row r="279" spans="5:35">
      <c r="AI279" s="70"/>
    </row>
    <row r="280" spans="5:35">
      <c r="AI280" s="70"/>
    </row>
    <row r="281" spans="5:35">
      <c r="AI281" s="70"/>
    </row>
    <row r="282" spans="5:35">
      <c r="AI282" s="70"/>
    </row>
    <row r="283" spans="5:35">
      <c r="AI283" s="70"/>
    </row>
    <row r="284" spans="5:35">
      <c r="AI284" s="70"/>
    </row>
    <row r="285" spans="5:35">
      <c r="AI285" s="70"/>
    </row>
    <row r="286" spans="5:35">
      <c r="AI286" s="70"/>
    </row>
    <row r="287" spans="5:35">
      <c r="AI287" s="70"/>
    </row>
    <row r="288" spans="5:35">
      <c r="AI288" s="70"/>
    </row>
    <row r="289" spans="35:35">
      <c r="AI289" s="70"/>
    </row>
    <row r="290" spans="35:35">
      <c r="AI290" s="70"/>
    </row>
    <row r="291" spans="35:35">
      <c r="AI291" s="70"/>
    </row>
    <row r="292" spans="35:35">
      <c r="AI292" s="88"/>
    </row>
    <row r="293" spans="35:35">
      <c r="AI293" s="88"/>
    </row>
    <row r="294" spans="35:35">
      <c r="AI294" s="70"/>
    </row>
    <row r="295" spans="35:35">
      <c r="AI295" s="88"/>
    </row>
    <row r="296" spans="35:35">
      <c r="AI296" s="88"/>
    </row>
    <row r="297" spans="35:35">
      <c r="AI297" s="88"/>
    </row>
    <row r="299" spans="35:35">
      <c r="AI299" s="88"/>
    </row>
    <row r="300" spans="35:35">
      <c r="AI300" s="88"/>
    </row>
    <row r="301" spans="35:35">
      <c r="AI301" s="88"/>
    </row>
    <row r="302" spans="35:35">
      <c r="AI302" s="88"/>
    </row>
    <row r="303" spans="35:35">
      <c r="AI303" s="88"/>
    </row>
  </sheetData>
  <mergeCells count="1">
    <mergeCell ref="AK4:AO4"/>
  </mergeCells>
  <pageMargins left="0.75" right="0.75" top="1" bottom="1" header="0.5" footer="0.5"/>
  <pageSetup paperSize="5" scale="34" fitToHeight="0" orientation="landscape" r:id="rId1"/>
  <headerFooter alignWithMargins="0">
    <oddHeader>&amp;C&amp;KFF0000TEXT IN RED BOX CONFIDENTIAL PER WAC 480-07-160</oddHeader>
    <oddFooter>&amp;L&amp;D&amp;C&amp;P&amp;R&amp;T</oddFooter>
  </headerFooter>
  <rowBreaks count="1" manualBreakCount="1">
    <brk id="5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E665-173A-4702-8D76-D2BDB76C58C8}">
  <sheetPr>
    <tabColor theme="4" tint="0.39997558519241921"/>
    <pageSetUpPr fitToPage="1"/>
  </sheetPr>
  <dimension ref="A1:BF321"/>
  <sheetViews>
    <sheetView tabSelected="1" topLeftCell="A45" workbookViewId="0">
      <pane xSplit="3" topLeftCell="AX1" activePane="topRight" state="frozen"/>
      <selection activeCell="A8" sqref="A8"/>
      <selection pane="topRight" activeCell="AZ53" activeCellId="1" sqref="AZ157 AZ53"/>
    </sheetView>
  </sheetViews>
  <sheetFormatPr defaultColWidth="10.33203125" defaultRowHeight="12" outlineLevelCol="1"/>
  <cols>
    <col min="1" max="1" width="46.44140625" style="38" bestFit="1" customWidth="1"/>
    <col min="2" max="2" width="9.44140625" style="38" customWidth="1"/>
    <col min="3" max="3" width="20.33203125" style="38" customWidth="1"/>
    <col min="4" max="4" width="27.5546875" style="38" bestFit="1" customWidth="1"/>
    <col min="5" max="7" width="12.33203125" style="69" customWidth="1"/>
    <col min="8" max="19" width="15.6640625" style="38" hidden="1" customWidth="1" outlineLevel="1"/>
    <col min="20" max="20" width="15.6640625" style="38" customWidth="1" collapsed="1"/>
    <col min="21" max="21" width="15.6640625" style="38" customWidth="1"/>
    <col min="22" max="33" width="15.6640625" style="38" hidden="1" customWidth="1" outlineLevel="1"/>
    <col min="34" max="34" width="15.6640625" style="39" customWidth="1" collapsed="1"/>
    <col min="35" max="35" width="12.88671875" style="157" customWidth="1"/>
    <col min="36" max="36" width="12.88671875" style="38" hidden="1" customWidth="1" outlineLevel="1"/>
    <col min="37" max="37" width="9.88671875" style="38" hidden="1" customWidth="1" outlineLevel="1"/>
    <col min="38" max="38" width="9.6640625" style="38" hidden="1" customWidth="1" outlineLevel="1"/>
    <col min="39" max="39" width="15.33203125" style="38" hidden="1" customWidth="1" outlineLevel="1"/>
    <col min="40" max="40" width="9.44140625" style="38" hidden="1" customWidth="1" outlineLevel="1"/>
    <col min="41" max="41" width="8.88671875" style="38" hidden="1" customWidth="1" outlineLevel="1"/>
    <col min="42" max="42" width="10.33203125" style="38" hidden="1" customWidth="1" outlineLevel="1"/>
    <col min="43" max="43" width="3.44140625" style="38" customWidth="1" collapsed="1"/>
    <col min="44" max="44" width="13" style="38" hidden="1" customWidth="1"/>
    <col min="45" max="45" width="13" style="88" hidden="1" customWidth="1"/>
    <col min="46" max="46" width="13" style="38" hidden="1" customWidth="1"/>
    <col min="47" max="48" width="1.6640625" style="38" customWidth="1"/>
    <col min="49" max="49" width="10.33203125" style="38"/>
    <col min="50" max="51" width="31.5546875" style="38" bestFit="1" customWidth="1"/>
    <col min="52" max="53" width="10.33203125" style="399"/>
    <col min="54" max="54" width="10.33203125" style="38"/>
    <col min="55" max="55" width="17.6640625" style="38" bestFit="1" customWidth="1"/>
    <col min="56" max="56" width="24.109375" style="38" bestFit="1" customWidth="1"/>
    <col min="57" max="57" width="11" style="38" bestFit="1" customWidth="1"/>
    <col min="58" max="16384" width="10.33203125" style="38"/>
  </cols>
  <sheetData>
    <row r="1" spans="1:58" ht="12" customHeight="1">
      <c r="A1" s="156" t="s">
        <v>681</v>
      </c>
      <c r="B1" s="156"/>
      <c r="C1" s="37" t="str">
        <f>'Lewis Co. Regulated - Price Out'!C1</f>
        <v xml:space="preserve"> City Sanitary, Joe's Refuse, White Pass Garbage G-98 </v>
      </c>
      <c r="AZ1" s="399" t="s">
        <v>886</v>
      </c>
      <c r="BB1" s="40"/>
      <c r="BC1" s="41" t="s">
        <v>192</v>
      </c>
      <c r="BD1" s="41" t="s">
        <v>193</v>
      </c>
      <c r="BE1" s="41" t="s">
        <v>194</v>
      </c>
      <c r="BF1" s="41" t="s">
        <v>195</v>
      </c>
    </row>
    <row r="2" spans="1:58" ht="12" customHeight="1">
      <c r="C2" s="37" t="s">
        <v>682</v>
      </c>
      <c r="AZ2" s="399" t="s">
        <v>888</v>
      </c>
      <c r="BA2" s="401">
        <f ca="1">+'Rate Sheet'!F8</f>
        <v>3.8321418265416332E-3</v>
      </c>
      <c r="BB2" s="42" t="s">
        <v>683</v>
      </c>
      <c r="BC2" s="43">
        <f ca="1">+'LG Joe''s MSW'!K22</f>
        <v>1.6822977540042583E-2</v>
      </c>
      <c r="BD2" s="44">
        <v>7.8008000000000001E-3</v>
      </c>
      <c r="BE2" s="43">
        <f ca="1">BC2+BD2</f>
        <v>2.4623777540042583E-2</v>
      </c>
      <c r="BF2" s="45">
        <f ca="1">-'LG Joe''s MSW'!J20+AY47+AY153+AY198+AY203+AY208</f>
        <v>5268.063815349291</v>
      </c>
    </row>
    <row r="3" spans="1:58" ht="12" customHeight="1">
      <c r="C3" s="37" t="str">
        <f>'Lewis Co. Regulated - Price Out'!C3</f>
        <v>Calendar Year Ended December 31, 2023</v>
      </c>
      <c r="K3" s="47"/>
      <c r="AZ3" s="399" t="s">
        <v>54</v>
      </c>
      <c r="BA3" s="401">
        <f ca="1">+'Rate Sheet'!F9</f>
        <v>3.6961236294316396E-3</v>
      </c>
      <c r="BB3" s="42" t="s">
        <v>684</v>
      </c>
      <c r="BC3" s="43">
        <f ca="1">+'LG Joe''s Recycling'!K22</f>
        <v>0.61332510752860014</v>
      </c>
      <c r="BD3" s="44">
        <f>+BD2</f>
        <v>7.8008000000000001E-3</v>
      </c>
      <c r="BE3" s="43">
        <f ca="1">BC3+BD3</f>
        <v>0.6211259075286002</v>
      </c>
      <c r="BF3" s="45">
        <f ca="1">-'LG Joe''s Recycling'!J20+AY53+AY159</f>
        <v>816.65433044196288</v>
      </c>
    </row>
    <row r="4" spans="1:58" ht="12" customHeight="1">
      <c r="D4" s="48"/>
      <c r="E4" s="50" t="s">
        <v>200</v>
      </c>
      <c r="F4" s="50" t="s">
        <v>200</v>
      </c>
      <c r="G4" s="49"/>
      <c r="H4" s="51">
        <f>+'Lewis Co. Regulated - Price Out'!H4</f>
        <v>44927</v>
      </c>
      <c r="I4" s="51">
        <f>+'Lewis Co. Regulated - Price Out'!I4</f>
        <v>44958</v>
      </c>
      <c r="J4" s="51">
        <f>+'Lewis Co. Regulated - Price Out'!J4</f>
        <v>44986</v>
      </c>
      <c r="K4" s="51">
        <f>+'Lewis Co. Regulated - Price Out'!K4</f>
        <v>45017</v>
      </c>
      <c r="L4" s="51">
        <f>+'Lewis Co. Regulated - Price Out'!L4</f>
        <v>45047</v>
      </c>
      <c r="M4" s="51">
        <f>+'Lewis Co. Regulated - Price Out'!M4</f>
        <v>45078</v>
      </c>
      <c r="N4" s="51">
        <f>+'Lewis Co. Regulated - Price Out'!N4</f>
        <v>45108</v>
      </c>
      <c r="O4" s="51">
        <f>+'Lewis Co. Regulated - Price Out'!O4</f>
        <v>45139</v>
      </c>
      <c r="P4" s="51">
        <f>+'Lewis Co. Regulated - Price Out'!P4</f>
        <v>45170</v>
      </c>
      <c r="Q4" s="51">
        <f>+'Lewis Co. Regulated - Price Out'!Q4</f>
        <v>45200</v>
      </c>
      <c r="R4" s="51">
        <f>+'Lewis Co. Regulated - Price Out'!R4</f>
        <v>45231</v>
      </c>
      <c r="S4" s="51">
        <f>+'Lewis Co. Regulated - Price Out'!S4</f>
        <v>45261</v>
      </c>
      <c r="T4" s="158" t="s">
        <v>201</v>
      </c>
      <c r="V4" s="53">
        <f t="shared" ref="V4:AG4" si="0">+H4</f>
        <v>44927</v>
      </c>
      <c r="W4" s="53">
        <f t="shared" si="0"/>
        <v>44958</v>
      </c>
      <c r="X4" s="53">
        <f t="shared" si="0"/>
        <v>44986</v>
      </c>
      <c r="Y4" s="53">
        <f t="shared" si="0"/>
        <v>45017</v>
      </c>
      <c r="Z4" s="53">
        <f t="shared" si="0"/>
        <v>45047</v>
      </c>
      <c r="AA4" s="53">
        <f t="shared" si="0"/>
        <v>45078</v>
      </c>
      <c r="AB4" s="53">
        <f t="shared" si="0"/>
        <v>45108</v>
      </c>
      <c r="AC4" s="53">
        <f t="shared" si="0"/>
        <v>45139</v>
      </c>
      <c r="AD4" s="53">
        <f t="shared" si="0"/>
        <v>45170</v>
      </c>
      <c r="AE4" s="53">
        <f t="shared" si="0"/>
        <v>45200</v>
      </c>
      <c r="AF4" s="53">
        <f t="shared" si="0"/>
        <v>45231</v>
      </c>
      <c r="AG4" s="53">
        <f t="shared" si="0"/>
        <v>45261</v>
      </c>
      <c r="AH4" s="55" t="s">
        <v>202</v>
      </c>
      <c r="AI4" s="55" t="s">
        <v>203</v>
      </c>
      <c r="AK4" s="390" t="s">
        <v>204</v>
      </c>
      <c r="AL4" s="390"/>
      <c r="AM4" s="390"/>
      <c r="AN4" s="390"/>
      <c r="AO4" s="390"/>
      <c r="AR4" s="391" t="s">
        <v>685</v>
      </c>
      <c r="AS4" s="391"/>
      <c r="AT4" s="391"/>
      <c r="AW4" s="57" t="s">
        <v>205</v>
      </c>
      <c r="AX4" s="58" t="s">
        <v>206</v>
      </c>
      <c r="AY4" s="58" t="s">
        <v>207</v>
      </c>
      <c r="AZ4" s="399" t="s">
        <v>889</v>
      </c>
      <c r="BA4" s="401">
        <f ca="1">+'Rate Sheet'!F10</f>
        <v>3.7309937130427665E-3</v>
      </c>
      <c r="BB4" s="42" t="s">
        <v>686</v>
      </c>
      <c r="BC4" s="43">
        <f ca="1">+'LG Joe''s Yard Waste'!K22</f>
        <v>6.8341753555978269E-3</v>
      </c>
      <c r="BD4" s="44">
        <f>+BD3</f>
        <v>7.8008000000000001E-3</v>
      </c>
      <c r="BE4" s="43">
        <f ca="1">BC4+BD4</f>
        <v>1.4634975355597827E-2</v>
      </c>
      <c r="BF4" s="45">
        <f ca="1">-'LG Joe''s Yard Waste'!J20+AY61</f>
        <v>97.712965367784022</v>
      </c>
    </row>
    <row r="5" spans="1:58" ht="24">
      <c r="C5" s="59" t="s">
        <v>209</v>
      </c>
      <c r="D5" s="48" t="s">
        <v>210</v>
      </c>
      <c r="E5" s="159">
        <v>44621</v>
      </c>
      <c r="F5" s="159">
        <v>45170</v>
      </c>
      <c r="G5" s="160" t="s">
        <v>211</v>
      </c>
      <c r="H5" s="62" t="s">
        <v>212</v>
      </c>
      <c r="I5" s="62" t="s">
        <v>212</v>
      </c>
      <c r="J5" s="62" t="s">
        <v>212</v>
      </c>
      <c r="K5" s="62" t="s">
        <v>212</v>
      </c>
      <c r="L5" s="62" t="s">
        <v>212</v>
      </c>
      <c r="M5" s="62" t="s">
        <v>212</v>
      </c>
      <c r="N5" s="62" t="s">
        <v>212</v>
      </c>
      <c r="O5" s="62" t="s">
        <v>212</v>
      </c>
      <c r="P5" s="62" t="s">
        <v>212</v>
      </c>
      <c r="Q5" s="62" t="s">
        <v>212</v>
      </c>
      <c r="R5" s="62" t="s">
        <v>212</v>
      </c>
      <c r="S5" s="62" t="s">
        <v>212</v>
      </c>
      <c r="T5" s="161" t="s">
        <v>212</v>
      </c>
      <c r="V5" s="64" t="s">
        <v>213</v>
      </c>
      <c r="W5" s="64" t="s">
        <v>213</v>
      </c>
      <c r="X5" s="64" t="s">
        <v>213</v>
      </c>
      <c r="Y5" s="64" t="s">
        <v>213</v>
      </c>
      <c r="Z5" s="64" t="s">
        <v>213</v>
      </c>
      <c r="AA5" s="64" t="s">
        <v>213</v>
      </c>
      <c r="AB5" s="64" t="s">
        <v>213</v>
      </c>
      <c r="AC5" s="64" t="s">
        <v>213</v>
      </c>
      <c r="AD5" s="64" t="s">
        <v>213</v>
      </c>
      <c r="AE5" s="64" t="s">
        <v>213</v>
      </c>
      <c r="AF5" s="64" t="s">
        <v>213</v>
      </c>
      <c r="AG5" s="64" t="s">
        <v>213</v>
      </c>
      <c r="AH5" s="66" t="s">
        <v>213</v>
      </c>
      <c r="AI5" s="66" t="s">
        <v>213</v>
      </c>
      <c r="AK5" s="59" t="s">
        <v>214</v>
      </c>
      <c r="AL5" s="59" t="s">
        <v>215</v>
      </c>
      <c r="AM5" s="59" t="s">
        <v>216</v>
      </c>
      <c r="AN5" s="59" t="s">
        <v>217</v>
      </c>
      <c r="AO5" s="59" t="s">
        <v>218</v>
      </c>
      <c r="AR5" s="162" t="s">
        <v>687</v>
      </c>
      <c r="AS5" s="163" t="s">
        <v>688</v>
      </c>
      <c r="AT5" s="164" t="s">
        <v>221</v>
      </c>
      <c r="AZ5" s="399" t="s">
        <v>887</v>
      </c>
      <c r="BA5" s="399" t="s">
        <v>206</v>
      </c>
    </row>
    <row r="6" spans="1:58" ht="12" customHeight="1">
      <c r="BB6" s="71" t="s">
        <v>219</v>
      </c>
      <c r="BC6" s="72" t="s">
        <v>201</v>
      </c>
      <c r="BD6" s="71" t="s">
        <v>220</v>
      </c>
      <c r="BE6" s="73" t="s">
        <v>221</v>
      </c>
    </row>
    <row r="7" spans="1:58" ht="12" customHeight="1">
      <c r="C7" s="165"/>
      <c r="D7" s="165"/>
      <c r="E7" s="166"/>
      <c r="F7" s="166"/>
      <c r="G7" s="167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BB7" s="42" t="s">
        <v>683</v>
      </c>
      <c r="BC7" s="78">
        <f ca="1">+AX47+AX153+AX198+AX203+AX208</f>
        <v>2700845.2047208049</v>
      </c>
      <c r="BD7" s="78">
        <f ca="1">+'LG Joe''s MSW'!J21</f>
        <v>2697638.4004657571</v>
      </c>
      <c r="BE7" s="79">
        <f ca="1">+BD7-BC7</f>
        <v>-3206.8042550478131</v>
      </c>
    </row>
    <row r="8" spans="1:58" ht="12" customHeight="1">
      <c r="C8" s="168" t="s">
        <v>222</v>
      </c>
      <c r="D8" s="168" t="s">
        <v>222</v>
      </c>
      <c r="E8" s="169"/>
      <c r="F8" s="169"/>
      <c r="G8" s="169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AH8" s="70"/>
      <c r="AI8" s="88"/>
      <c r="BB8" s="42" t="s">
        <v>684</v>
      </c>
      <c r="BC8" s="82">
        <f ca="1">+AX53+AX159</f>
        <v>673259.49877206865</v>
      </c>
      <c r="BD8" s="83">
        <f ca="1">+'LG Joe''s Recycling'!J21</f>
        <v>673352.10417852434</v>
      </c>
      <c r="BE8" s="79">
        <f t="shared" ref="BE8:BE10" ca="1" si="1">+BD8-BC8</f>
        <v>92.605406455695629</v>
      </c>
    </row>
    <row r="9" spans="1:58" ht="12" customHeight="1">
      <c r="C9" s="168"/>
      <c r="D9" s="170"/>
      <c r="E9" s="171"/>
      <c r="F9" s="171"/>
      <c r="G9" s="171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90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70"/>
      <c r="AI9" s="88"/>
      <c r="BB9" s="42" t="s">
        <v>686</v>
      </c>
      <c r="BC9" s="86">
        <f ca="1">+AX61</f>
        <v>20876.032597746318</v>
      </c>
      <c r="BD9" s="83">
        <f ca="1">+'LG Joe''s Yard Waste'!J21</f>
        <v>20823.376483194876</v>
      </c>
      <c r="BE9" s="79">
        <f t="shared" ca="1" si="1"/>
        <v>-52.656114551442442</v>
      </c>
    </row>
    <row r="10" spans="1:58" ht="12" customHeight="1" thickBot="1">
      <c r="A10" s="37" t="s">
        <v>223</v>
      </c>
      <c r="B10" s="37" t="s">
        <v>224</v>
      </c>
      <c r="C10" s="172" t="s">
        <v>225</v>
      </c>
      <c r="D10" s="172" t="s">
        <v>225</v>
      </c>
      <c r="E10" s="173"/>
      <c r="F10" s="173"/>
      <c r="G10" s="173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90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70"/>
      <c r="AI10" s="88"/>
      <c r="AW10" s="89">
        <f ca="1">+F10*(1+$BE$2)</f>
        <v>0</v>
      </c>
      <c r="AX10" s="90">
        <f ca="1">+AW10*AM10*12</f>
        <v>0</v>
      </c>
      <c r="AY10" s="90">
        <f ca="1">+AX10-X10</f>
        <v>0</v>
      </c>
      <c r="BB10" s="91" t="s">
        <v>201</v>
      </c>
      <c r="BC10" s="92">
        <f ca="1">SUM(BC7:BC9)</f>
        <v>3394980.7360906196</v>
      </c>
      <c r="BD10" s="93">
        <f>+'[24]LG Joe''s'!J21</f>
        <v>3394980.7567437352</v>
      </c>
      <c r="BE10" s="94">
        <f t="shared" ca="1" si="1"/>
        <v>2.0653115585446358E-2</v>
      </c>
    </row>
    <row r="11" spans="1:58" ht="12" customHeight="1">
      <c r="A11" s="38" t="str">
        <f>$A$1&amp;C11</f>
        <v>Joes TC Refuse UTCBULKY-RES</v>
      </c>
      <c r="B11" s="38">
        <f t="shared" ref="B11:B47" si="2">COUNTIF(C:C,C11)</f>
        <v>1</v>
      </c>
      <c r="C11" s="87" t="s">
        <v>229</v>
      </c>
      <c r="D11" s="87" t="s">
        <v>230</v>
      </c>
      <c r="E11" s="174">
        <v>16.75</v>
      </c>
      <c r="F11" s="69">
        <v>16.68</v>
      </c>
      <c r="G11" s="69" t="s">
        <v>689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f t="shared" ref="T11:T45" si="3">SUM(H11:S11)</f>
        <v>0</v>
      </c>
      <c r="U11" s="88"/>
      <c r="V11" s="88">
        <f t="shared" ref="V11:AC42" si="4">IFERROR(H11/$E11,0)</f>
        <v>0</v>
      </c>
      <c r="W11" s="88">
        <f t="shared" si="4"/>
        <v>0</v>
      </c>
      <c r="X11" s="88">
        <f t="shared" si="4"/>
        <v>0</v>
      </c>
      <c r="Y11" s="88">
        <f t="shared" si="4"/>
        <v>0</v>
      </c>
      <c r="Z11" s="88">
        <f t="shared" si="4"/>
        <v>0</v>
      </c>
      <c r="AA11" s="88">
        <f t="shared" si="4"/>
        <v>0</v>
      </c>
      <c r="AB11" s="88">
        <f t="shared" si="4"/>
        <v>0</v>
      </c>
      <c r="AC11" s="88">
        <f t="shared" si="4"/>
        <v>0</v>
      </c>
      <c r="AD11" s="88">
        <f>IFERROR(P11/$F11,0)</f>
        <v>0</v>
      </c>
      <c r="AE11" s="88">
        <f t="shared" ref="AE11:AG26" si="5">IFERROR(Q11/$F11,0)</f>
        <v>0</v>
      </c>
      <c r="AF11" s="88">
        <f t="shared" si="5"/>
        <v>0</v>
      </c>
      <c r="AG11" s="88">
        <f t="shared" si="5"/>
        <v>0</v>
      </c>
      <c r="AH11" s="175">
        <f t="shared" ref="AH11:AH46" si="6">SUM(V11:AG11)</f>
        <v>0</v>
      </c>
      <c r="AI11" s="88">
        <f t="shared" ref="AI11:AI46" si="7">AH11/12</f>
        <v>0</v>
      </c>
      <c r="AR11" s="69">
        <v>19.63</v>
      </c>
      <c r="AS11" s="88">
        <f t="shared" ref="AS11:AS46" si="8">+IFERROR(AH11*AR11,0)</f>
        <v>0</v>
      </c>
      <c r="AT11" s="90">
        <f t="shared" ref="AT11:AT46" si="9">+AS11-T11</f>
        <v>0</v>
      </c>
      <c r="AW11" s="89">
        <f ca="1">+F11*(1+$BE$2)</f>
        <v>17.090724609367911</v>
      </c>
      <c r="AX11" s="90">
        <f ca="1">+AW11*AI11*12</f>
        <v>0</v>
      </c>
      <c r="AY11" s="86">
        <f t="shared" ref="AY11:AY46" ca="1" si="10">+AX11-T11</f>
        <v>0</v>
      </c>
    </row>
    <row r="12" spans="1:58" ht="12" customHeight="1">
      <c r="A12" s="38" t="str">
        <f t="shared" ref="A12:A46" si="11">$A$1&amp;C12</f>
        <v>Joes TC Refuse UTCACCESS-RES</v>
      </c>
      <c r="B12" s="38">
        <f t="shared" si="2"/>
        <v>1</v>
      </c>
      <c r="C12" s="87" t="s">
        <v>226</v>
      </c>
      <c r="D12" s="87" t="s">
        <v>227</v>
      </c>
      <c r="E12" s="174">
        <v>1.64</v>
      </c>
      <c r="F12" s="69">
        <v>1.63</v>
      </c>
      <c r="G12" s="69" t="s">
        <v>228</v>
      </c>
      <c r="H12" s="88">
        <v>4.92</v>
      </c>
      <c r="I12" s="88">
        <v>4.92</v>
      </c>
      <c r="J12" s="88">
        <v>4.92</v>
      </c>
      <c r="K12" s="88">
        <v>3.28</v>
      </c>
      <c r="L12" s="88">
        <v>0</v>
      </c>
      <c r="M12" s="88">
        <v>1.64</v>
      </c>
      <c r="N12" s="88">
        <v>1.64</v>
      </c>
      <c r="O12" s="88">
        <v>1.64</v>
      </c>
      <c r="P12" s="88">
        <v>1.635</v>
      </c>
      <c r="Q12" s="88">
        <v>1.625</v>
      </c>
      <c r="R12" s="88">
        <v>1.63</v>
      </c>
      <c r="S12" s="88">
        <v>1.63</v>
      </c>
      <c r="T12" s="88">
        <f t="shared" si="3"/>
        <v>29.48</v>
      </c>
      <c r="U12" s="88"/>
      <c r="V12" s="88">
        <f t="shared" si="4"/>
        <v>3</v>
      </c>
      <c r="W12" s="88">
        <f t="shared" si="4"/>
        <v>3</v>
      </c>
      <c r="X12" s="88">
        <f t="shared" si="4"/>
        <v>3</v>
      </c>
      <c r="Y12" s="88">
        <f t="shared" si="4"/>
        <v>2</v>
      </c>
      <c r="Z12" s="88">
        <f t="shared" si="4"/>
        <v>0</v>
      </c>
      <c r="AA12" s="88">
        <f t="shared" si="4"/>
        <v>1</v>
      </c>
      <c r="AB12" s="88">
        <f t="shared" si="4"/>
        <v>1</v>
      </c>
      <c r="AC12" s="88">
        <f t="shared" si="4"/>
        <v>1</v>
      </c>
      <c r="AD12" s="88">
        <f t="shared" ref="AD12:AG45" si="12">IFERROR(P12/$F12,0)</f>
        <v>1.0030674846625767</v>
      </c>
      <c r="AE12" s="88">
        <f t="shared" si="5"/>
        <v>0.99693251533742333</v>
      </c>
      <c r="AF12" s="88">
        <f t="shared" si="5"/>
        <v>1</v>
      </c>
      <c r="AG12" s="88">
        <f t="shared" si="5"/>
        <v>1</v>
      </c>
      <c r="AH12" s="70">
        <f t="shared" si="6"/>
        <v>18</v>
      </c>
      <c r="AI12" s="88">
        <f t="shared" si="7"/>
        <v>1.5</v>
      </c>
      <c r="AR12" s="69">
        <v>3.17</v>
      </c>
      <c r="AS12" s="88">
        <f t="shared" si="8"/>
        <v>57.06</v>
      </c>
      <c r="AT12" s="90">
        <f t="shared" si="9"/>
        <v>27.580000000000002</v>
      </c>
      <c r="AW12" s="89">
        <f ca="1">+F12*(1+$BE$2)</f>
        <v>1.6701367573902695</v>
      </c>
      <c r="AX12" s="90">
        <f ca="1">+AW12*AI12*12</f>
        <v>30.062461633024853</v>
      </c>
      <c r="AY12" s="86">
        <f t="shared" ca="1" si="10"/>
        <v>0.58246163302485243</v>
      </c>
      <c r="AZ12" s="402">
        <f ca="1">AX12*BA$2</f>
        <v>0.11520361663271762</v>
      </c>
      <c r="BA12" s="402">
        <f ca="1">+AX12+AZ12</f>
        <v>30.177665249657572</v>
      </c>
    </row>
    <row r="13" spans="1:58" ht="12" customHeight="1">
      <c r="A13" s="38" t="str">
        <f t="shared" si="11"/>
        <v>Joes TC Refuse UTCDRIVEIN1-RES</v>
      </c>
      <c r="B13" s="38">
        <f t="shared" si="2"/>
        <v>1</v>
      </c>
      <c r="C13" s="87" t="s">
        <v>235</v>
      </c>
      <c r="D13" s="87" t="s">
        <v>236</v>
      </c>
      <c r="E13" s="174">
        <v>7.31</v>
      </c>
      <c r="F13" s="69">
        <v>7.28</v>
      </c>
      <c r="G13" s="69" t="s">
        <v>311</v>
      </c>
      <c r="H13" s="88">
        <v>98.69</v>
      </c>
      <c r="I13" s="88">
        <v>102.34</v>
      </c>
      <c r="J13" s="88">
        <v>102.34</v>
      </c>
      <c r="K13" s="88">
        <v>102.34</v>
      </c>
      <c r="L13" s="88">
        <v>102.34</v>
      </c>
      <c r="M13" s="88">
        <v>102.34</v>
      </c>
      <c r="N13" s="88">
        <v>102.34</v>
      </c>
      <c r="O13" s="88">
        <v>102.34</v>
      </c>
      <c r="P13" s="88">
        <v>102.02499999999999</v>
      </c>
      <c r="Q13" s="88">
        <v>101.815</v>
      </c>
      <c r="R13" s="88">
        <v>94.64</v>
      </c>
      <c r="S13" s="88">
        <v>87.36</v>
      </c>
      <c r="T13" s="88">
        <f t="shared" si="3"/>
        <v>1200.9100000000001</v>
      </c>
      <c r="U13" s="88"/>
      <c r="V13" s="88">
        <f t="shared" si="4"/>
        <v>13.500683994528044</v>
      </c>
      <c r="W13" s="88">
        <f t="shared" si="4"/>
        <v>14.000000000000002</v>
      </c>
      <c r="X13" s="88">
        <f t="shared" si="4"/>
        <v>14.000000000000002</v>
      </c>
      <c r="Y13" s="88">
        <f t="shared" si="4"/>
        <v>14.000000000000002</v>
      </c>
      <c r="Z13" s="88">
        <f t="shared" si="4"/>
        <v>14.000000000000002</v>
      </c>
      <c r="AA13" s="88">
        <f t="shared" si="4"/>
        <v>14.000000000000002</v>
      </c>
      <c r="AB13" s="88">
        <f t="shared" si="4"/>
        <v>14.000000000000002</v>
      </c>
      <c r="AC13" s="88">
        <f t="shared" si="4"/>
        <v>14.000000000000002</v>
      </c>
      <c r="AD13" s="88">
        <f t="shared" si="12"/>
        <v>14.014423076923075</v>
      </c>
      <c r="AE13" s="88">
        <f t="shared" si="5"/>
        <v>13.985576923076922</v>
      </c>
      <c r="AF13" s="88">
        <f t="shared" si="5"/>
        <v>13</v>
      </c>
      <c r="AG13" s="88">
        <f t="shared" si="5"/>
        <v>12</v>
      </c>
      <c r="AH13" s="70">
        <f t="shared" si="6"/>
        <v>164.50068399452806</v>
      </c>
      <c r="AI13" s="88">
        <f t="shared" si="7"/>
        <v>13.708390332877338</v>
      </c>
      <c r="AR13" s="69" t="e">
        <f>+VLOOKUP(C13,#REF!,3,FALSE)</f>
        <v>#REF!</v>
      </c>
      <c r="AS13" s="88">
        <f t="shared" si="8"/>
        <v>0</v>
      </c>
      <c r="AT13" s="90">
        <f t="shared" si="9"/>
        <v>-1200.9100000000001</v>
      </c>
      <c r="AW13" s="89">
        <f t="shared" ref="AW13:AW45" ca="1" si="13">+F13*(1+$BE$2)</f>
        <v>7.4592611004915108</v>
      </c>
      <c r="AX13" s="90">
        <f t="shared" ref="AX13:AX46" ca="1" si="14">+AW13*AI13*12</f>
        <v>1227.0535531246296</v>
      </c>
      <c r="AY13" s="86">
        <f ca="1">+AX13-T13</f>
        <v>26.143553124629534</v>
      </c>
      <c r="AZ13" s="402">
        <f t="shared" ref="AZ13:AZ46" ca="1" si="15">AX13*BA$2</f>
        <v>4.7022432443354187</v>
      </c>
      <c r="BA13" s="402">
        <f t="shared" ref="BA13:BA46" ca="1" si="16">+AX13+AZ13</f>
        <v>1231.7557963689651</v>
      </c>
    </row>
    <row r="14" spans="1:58" ht="12" customHeight="1">
      <c r="A14" s="38" t="str">
        <f t="shared" si="11"/>
        <v>Joes TC Refuse UTCEXTRA-RES</v>
      </c>
      <c r="B14" s="38">
        <f t="shared" si="2"/>
        <v>1</v>
      </c>
      <c r="C14" s="87" t="s">
        <v>238</v>
      </c>
      <c r="D14" s="87" t="s">
        <v>239</v>
      </c>
      <c r="E14" s="174">
        <v>5.23</v>
      </c>
      <c r="F14" s="69">
        <v>5.21</v>
      </c>
      <c r="G14" s="69" t="s">
        <v>690</v>
      </c>
      <c r="H14" s="88">
        <v>1129.6799999999998</v>
      </c>
      <c r="I14" s="88">
        <v>606.68000000000006</v>
      </c>
      <c r="J14" s="88">
        <v>794.96</v>
      </c>
      <c r="K14" s="88">
        <v>747.8900000000001</v>
      </c>
      <c r="L14" s="88">
        <v>972.78</v>
      </c>
      <c r="M14" s="88">
        <v>810.65</v>
      </c>
      <c r="N14" s="88">
        <v>998.93000000000006</v>
      </c>
      <c r="O14" s="88">
        <v>596.22</v>
      </c>
      <c r="P14" s="88">
        <v>797.13</v>
      </c>
      <c r="Q14" s="88">
        <v>567.89</v>
      </c>
      <c r="R14" s="88">
        <v>849.23</v>
      </c>
      <c r="S14" s="88">
        <v>1766.19</v>
      </c>
      <c r="T14" s="88">
        <f t="shared" si="3"/>
        <v>10638.230000000001</v>
      </c>
      <c r="U14" s="88"/>
      <c r="V14" s="88">
        <f t="shared" si="4"/>
        <v>215.99999999999994</v>
      </c>
      <c r="W14" s="88">
        <f t="shared" si="4"/>
        <v>116</v>
      </c>
      <c r="X14" s="88">
        <f t="shared" si="4"/>
        <v>152</v>
      </c>
      <c r="Y14" s="88">
        <f t="shared" si="4"/>
        <v>143</v>
      </c>
      <c r="Z14" s="88">
        <f t="shared" si="4"/>
        <v>185.99999999999997</v>
      </c>
      <c r="AA14" s="88">
        <f t="shared" si="4"/>
        <v>154.99999999999997</v>
      </c>
      <c r="AB14" s="88">
        <f t="shared" si="4"/>
        <v>191</v>
      </c>
      <c r="AC14" s="88">
        <f t="shared" si="4"/>
        <v>114</v>
      </c>
      <c r="AD14" s="88">
        <f t="shared" si="12"/>
        <v>153</v>
      </c>
      <c r="AE14" s="88">
        <f t="shared" si="5"/>
        <v>109</v>
      </c>
      <c r="AF14" s="88">
        <f t="shared" si="5"/>
        <v>163</v>
      </c>
      <c r="AG14" s="88">
        <f t="shared" si="5"/>
        <v>339</v>
      </c>
      <c r="AH14" s="175">
        <f t="shared" si="6"/>
        <v>2037</v>
      </c>
      <c r="AI14" s="88">
        <f t="shared" si="7"/>
        <v>169.75</v>
      </c>
      <c r="AR14" s="69" t="e">
        <f>+VLOOKUP(C14,#REF!,3,FALSE)</f>
        <v>#REF!</v>
      </c>
      <c r="AS14" s="88">
        <f t="shared" si="8"/>
        <v>0</v>
      </c>
      <c r="AT14" s="90">
        <f t="shared" si="9"/>
        <v>-10638.230000000001</v>
      </c>
      <c r="AW14" s="89">
        <f t="shared" ca="1" si="13"/>
        <v>5.3382898809836217</v>
      </c>
      <c r="AX14" s="90">
        <f ca="1">+AW14*AI14*12</f>
        <v>10874.096487563638</v>
      </c>
      <c r="AY14" s="86">
        <f t="shared" ca="1" si="10"/>
        <v>235.86648756363684</v>
      </c>
      <c r="AZ14" s="402">
        <f t="shared" ca="1" si="15"/>
        <v>41.671079975842076</v>
      </c>
      <c r="BA14" s="402">
        <f t="shared" ca="1" si="16"/>
        <v>10915.76756753948</v>
      </c>
    </row>
    <row r="15" spans="1:58" ht="12" customHeight="1">
      <c r="A15" s="38" t="str">
        <f t="shared" si="11"/>
        <v>Joes TC Refuse UTCROLL1EOWRES</v>
      </c>
      <c r="B15" s="38">
        <f t="shared" si="2"/>
        <v>1</v>
      </c>
      <c r="C15" s="87" t="s">
        <v>313</v>
      </c>
      <c r="D15" s="87" t="s">
        <v>314</v>
      </c>
      <c r="E15" s="174">
        <f>0.9*4.33</f>
        <v>3.8970000000000002</v>
      </c>
      <c r="F15" s="69">
        <f>0.9*4.33</f>
        <v>3.8970000000000002</v>
      </c>
      <c r="G15" s="69" t="s">
        <v>690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0.49</v>
      </c>
      <c r="O15" s="88">
        <v>2.4500000000000002</v>
      </c>
      <c r="P15" s="88">
        <v>1.96</v>
      </c>
      <c r="Q15" s="88">
        <v>1.9550000000000001</v>
      </c>
      <c r="R15" s="88">
        <v>1.9550000000000001</v>
      </c>
      <c r="S15" s="88">
        <v>1.9550000000000001</v>
      </c>
      <c r="T15" s="88">
        <f t="shared" si="3"/>
        <v>10.765000000000001</v>
      </c>
      <c r="V15" s="88">
        <f t="shared" si="4"/>
        <v>0</v>
      </c>
      <c r="W15" s="88">
        <f t="shared" si="4"/>
        <v>0</v>
      </c>
      <c r="X15" s="88">
        <f t="shared" si="4"/>
        <v>0</v>
      </c>
      <c r="Y15" s="88">
        <f t="shared" si="4"/>
        <v>0</v>
      </c>
      <c r="Z15" s="88">
        <f t="shared" si="4"/>
        <v>0</v>
      </c>
      <c r="AA15" s="88">
        <f t="shared" si="4"/>
        <v>0</v>
      </c>
      <c r="AB15" s="88">
        <f t="shared" si="4"/>
        <v>0.12573774698486015</v>
      </c>
      <c r="AC15" s="88">
        <f t="shared" si="4"/>
        <v>0.62868873492430077</v>
      </c>
      <c r="AD15" s="88">
        <f t="shared" si="12"/>
        <v>0.5029509879394406</v>
      </c>
      <c r="AE15" s="88">
        <f t="shared" si="5"/>
        <v>0.50166794970490114</v>
      </c>
      <c r="AF15" s="88">
        <f t="shared" si="5"/>
        <v>0.50166794970490114</v>
      </c>
      <c r="AG15" s="88">
        <f t="shared" si="5"/>
        <v>0.50166794970490114</v>
      </c>
      <c r="AH15" s="70">
        <f t="shared" si="6"/>
        <v>2.7623813189633051</v>
      </c>
      <c r="AI15" s="88">
        <f t="shared" si="7"/>
        <v>0.23019844324694208</v>
      </c>
      <c r="AR15" s="69">
        <f>+IFERROR((VLOOKUP(C15,#REF!,3,FALSE)),0)</f>
        <v>0</v>
      </c>
      <c r="AS15" s="88">
        <f t="shared" si="8"/>
        <v>0</v>
      </c>
      <c r="AT15" s="90">
        <f t="shared" si="9"/>
        <v>-10.765000000000001</v>
      </c>
      <c r="AW15" s="89">
        <f t="shared" ca="1" si="13"/>
        <v>3.9929588610735465</v>
      </c>
      <c r="AX15" s="90">
        <f t="shared" ca="1" si="14"/>
        <v>11.03007496521856</v>
      </c>
      <c r="AY15" s="86">
        <f t="shared" ca="1" si="10"/>
        <v>0.26507496521855956</v>
      </c>
      <c r="AZ15" s="402">
        <f t="shared" ca="1" si="15"/>
        <v>4.2268811624103793E-2</v>
      </c>
      <c r="BA15" s="402">
        <f t="shared" ca="1" si="16"/>
        <v>11.072343776842663</v>
      </c>
    </row>
    <row r="16" spans="1:58" ht="12" customHeight="1">
      <c r="A16" s="98" t="str">
        <f t="shared" si="11"/>
        <v>Joes TC Refuse UTCSL65R-OC</v>
      </c>
      <c r="B16" s="98">
        <f t="shared" si="2"/>
        <v>1</v>
      </c>
      <c r="C16" s="99" t="s">
        <v>318</v>
      </c>
      <c r="D16" s="99" t="s">
        <v>319</v>
      </c>
      <c r="E16" s="176">
        <v>8.01</v>
      </c>
      <c r="F16" s="100">
        <v>7.98</v>
      </c>
      <c r="G16" s="100" t="s">
        <v>690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7.97</v>
      </c>
      <c r="Q16" s="101">
        <v>7.98</v>
      </c>
      <c r="R16" s="101">
        <v>0</v>
      </c>
      <c r="S16" s="101">
        <v>7.98</v>
      </c>
      <c r="T16" s="101">
        <f t="shared" si="3"/>
        <v>23.93</v>
      </c>
      <c r="U16" s="98"/>
      <c r="V16" s="88">
        <f t="shared" si="4"/>
        <v>0</v>
      </c>
      <c r="W16" s="88">
        <f t="shared" si="4"/>
        <v>0</v>
      </c>
      <c r="X16" s="88">
        <f t="shared" si="4"/>
        <v>0</v>
      </c>
      <c r="Y16" s="88">
        <f t="shared" si="4"/>
        <v>0</v>
      </c>
      <c r="Z16" s="88">
        <f t="shared" si="4"/>
        <v>0</v>
      </c>
      <c r="AA16" s="88">
        <f t="shared" si="4"/>
        <v>0</v>
      </c>
      <c r="AB16" s="88">
        <f t="shared" si="4"/>
        <v>0</v>
      </c>
      <c r="AC16" s="88">
        <f t="shared" si="4"/>
        <v>0</v>
      </c>
      <c r="AD16" s="88">
        <f t="shared" si="12"/>
        <v>0.99874686716791972</v>
      </c>
      <c r="AE16" s="88">
        <f t="shared" si="5"/>
        <v>1</v>
      </c>
      <c r="AF16" s="88">
        <f t="shared" si="5"/>
        <v>0</v>
      </c>
      <c r="AG16" s="88">
        <f t="shared" si="5"/>
        <v>1</v>
      </c>
      <c r="AH16" s="175">
        <f t="shared" si="6"/>
        <v>2.9987468671679198</v>
      </c>
      <c r="AI16" s="101">
        <f t="shared" si="7"/>
        <v>0.24989557226399331</v>
      </c>
      <c r="AR16" s="69">
        <f>+IFERROR((VLOOKUP(C16,#REF!,3,FALSE)),0)</f>
        <v>0</v>
      </c>
      <c r="AS16" s="88">
        <f t="shared" si="8"/>
        <v>0</v>
      </c>
      <c r="AT16" s="90">
        <f t="shared" si="9"/>
        <v>-23.93</v>
      </c>
      <c r="AW16" s="89">
        <f t="shared" ca="1" si="13"/>
        <v>8.1764977447695415</v>
      </c>
      <c r="AX16" s="90">
        <f t="shared" ca="1" si="14"/>
        <v>24.519246996533219</v>
      </c>
      <c r="AY16" s="86">
        <f t="shared" ca="1" si="10"/>
        <v>0.58924699653321966</v>
      </c>
      <c r="AZ16" s="402">
        <f t="shared" ca="1" si="15"/>
        <v>9.396123197072026E-2</v>
      </c>
      <c r="BA16" s="402">
        <f t="shared" ca="1" si="16"/>
        <v>24.61320822850394</v>
      </c>
    </row>
    <row r="17" spans="1:53" ht="12" customHeight="1">
      <c r="A17" s="98" t="str">
        <f t="shared" si="11"/>
        <v>Joes TC Refuse UTCOC-RES</v>
      </c>
      <c r="B17" s="98">
        <f t="shared" si="2"/>
        <v>1</v>
      </c>
      <c r="C17" s="99" t="s">
        <v>691</v>
      </c>
      <c r="D17" s="99" t="s">
        <v>692</v>
      </c>
      <c r="E17" s="176">
        <v>7.76</v>
      </c>
      <c r="F17" s="100">
        <v>7.73</v>
      </c>
      <c r="G17" s="100" t="s">
        <v>690</v>
      </c>
      <c r="H17" s="101">
        <v>0</v>
      </c>
      <c r="I17" s="101">
        <v>7.76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f t="shared" si="3"/>
        <v>7.76</v>
      </c>
      <c r="U17" s="101"/>
      <c r="V17" s="88">
        <f t="shared" si="4"/>
        <v>0</v>
      </c>
      <c r="W17" s="88">
        <f t="shared" si="4"/>
        <v>1</v>
      </c>
      <c r="X17" s="88">
        <f t="shared" si="4"/>
        <v>0</v>
      </c>
      <c r="Y17" s="88">
        <f t="shared" si="4"/>
        <v>0</v>
      </c>
      <c r="Z17" s="88">
        <f t="shared" si="4"/>
        <v>0</v>
      </c>
      <c r="AA17" s="88">
        <f t="shared" si="4"/>
        <v>0</v>
      </c>
      <c r="AB17" s="88">
        <f t="shared" si="4"/>
        <v>0</v>
      </c>
      <c r="AC17" s="88">
        <f t="shared" si="4"/>
        <v>0</v>
      </c>
      <c r="AD17" s="88">
        <f t="shared" si="12"/>
        <v>0</v>
      </c>
      <c r="AE17" s="88">
        <f t="shared" si="5"/>
        <v>0</v>
      </c>
      <c r="AF17" s="88">
        <f t="shared" si="5"/>
        <v>0</v>
      </c>
      <c r="AG17" s="88">
        <f t="shared" si="5"/>
        <v>0</v>
      </c>
      <c r="AH17" s="175">
        <f t="shared" si="6"/>
        <v>1</v>
      </c>
      <c r="AI17" s="101">
        <f t="shared" si="7"/>
        <v>8.3333333333333329E-2</v>
      </c>
      <c r="AR17" s="69" t="e">
        <f>+VLOOKUP(C17,#REF!,3,FALSE)</f>
        <v>#REF!</v>
      </c>
      <c r="AS17" s="88">
        <f t="shared" si="8"/>
        <v>0</v>
      </c>
      <c r="AT17" s="90">
        <f t="shared" si="9"/>
        <v>-7.76</v>
      </c>
      <c r="AW17" s="89">
        <f t="shared" ca="1" si="13"/>
        <v>7.9203418003845298</v>
      </c>
      <c r="AX17" s="90">
        <f t="shared" ca="1" si="14"/>
        <v>7.920341800384529</v>
      </c>
      <c r="AY17" s="86">
        <f t="shared" ca="1" si="10"/>
        <v>0.16034180038452917</v>
      </c>
      <c r="AZ17" s="402">
        <f t="shared" ca="1" si="15"/>
        <v>3.0351873093759616E-2</v>
      </c>
      <c r="BA17" s="402">
        <f t="shared" ca="1" si="16"/>
        <v>7.9506936734782885</v>
      </c>
    </row>
    <row r="18" spans="1:53" ht="12" customHeight="1">
      <c r="A18" s="38" t="str">
        <f t="shared" si="11"/>
        <v>Joes TC Refuse UTCPDBAG-RES</v>
      </c>
      <c r="B18" s="38">
        <f t="shared" si="2"/>
        <v>1</v>
      </c>
      <c r="C18" s="87" t="s">
        <v>241</v>
      </c>
      <c r="D18" s="87" t="s">
        <v>242</v>
      </c>
      <c r="E18" s="174">
        <v>27.45</v>
      </c>
      <c r="F18" s="69">
        <v>27.35</v>
      </c>
      <c r="G18" s="69" t="s">
        <v>690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f t="shared" si="3"/>
        <v>0</v>
      </c>
      <c r="U18" s="88"/>
      <c r="V18" s="88">
        <f t="shared" si="4"/>
        <v>0</v>
      </c>
      <c r="W18" s="88">
        <f t="shared" si="4"/>
        <v>0</v>
      </c>
      <c r="X18" s="88">
        <f t="shared" si="4"/>
        <v>0</v>
      </c>
      <c r="Y18" s="88">
        <f t="shared" si="4"/>
        <v>0</v>
      </c>
      <c r="Z18" s="88">
        <f t="shared" si="4"/>
        <v>0</v>
      </c>
      <c r="AA18" s="88">
        <f t="shared" si="4"/>
        <v>0</v>
      </c>
      <c r="AB18" s="88">
        <f t="shared" si="4"/>
        <v>0</v>
      </c>
      <c r="AC18" s="88">
        <f t="shared" si="4"/>
        <v>0</v>
      </c>
      <c r="AD18" s="88">
        <f t="shared" si="12"/>
        <v>0</v>
      </c>
      <c r="AE18" s="88">
        <f t="shared" si="5"/>
        <v>0</v>
      </c>
      <c r="AF18" s="88">
        <f t="shared" si="5"/>
        <v>0</v>
      </c>
      <c r="AG18" s="88">
        <f t="shared" si="5"/>
        <v>0</v>
      </c>
      <c r="AH18" s="175">
        <f t="shared" si="6"/>
        <v>0</v>
      </c>
      <c r="AI18" s="88">
        <f t="shared" si="7"/>
        <v>0</v>
      </c>
      <c r="AR18" s="69" t="e">
        <f>+VLOOKUP(C18,#REF!,3,FALSE)</f>
        <v>#REF!</v>
      </c>
      <c r="AS18" s="88">
        <f t="shared" si="8"/>
        <v>0</v>
      </c>
      <c r="AT18" s="90">
        <f t="shared" si="9"/>
        <v>0</v>
      </c>
      <c r="AW18" s="89">
        <f t="shared" ca="1" si="13"/>
        <v>28.023460315720168</v>
      </c>
      <c r="AX18" s="90">
        <f t="shared" ca="1" si="14"/>
        <v>0</v>
      </c>
      <c r="AY18" s="86">
        <f t="shared" ca="1" si="10"/>
        <v>0</v>
      </c>
      <c r="AZ18" s="402">
        <f t="shared" ca="1" si="15"/>
        <v>0</v>
      </c>
      <c r="BA18" s="402">
        <f t="shared" ca="1" si="16"/>
        <v>0</v>
      </c>
    </row>
    <row r="19" spans="1:53" ht="12" customHeight="1">
      <c r="A19" s="38" t="str">
        <f t="shared" si="11"/>
        <v>Joes TC Refuse UTCREDEL-RES</v>
      </c>
      <c r="B19" s="38">
        <f t="shared" si="2"/>
        <v>1</v>
      </c>
      <c r="C19" s="87" t="s">
        <v>245</v>
      </c>
      <c r="D19" s="87" t="s">
        <v>246</v>
      </c>
      <c r="E19" s="174">
        <v>22.33</v>
      </c>
      <c r="F19" s="69">
        <v>22.23</v>
      </c>
      <c r="G19" s="69" t="s">
        <v>693</v>
      </c>
      <c r="H19" s="88">
        <v>44.66</v>
      </c>
      <c r="I19" s="88">
        <v>44.66</v>
      </c>
      <c r="J19" s="88">
        <v>66.989999999999995</v>
      </c>
      <c r="K19" s="88">
        <v>44.66</v>
      </c>
      <c r="L19" s="88">
        <v>44.66</v>
      </c>
      <c r="M19" s="88">
        <v>22.33</v>
      </c>
      <c r="N19" s="88">
        <v>22.33</v>
      </c>
      <c r="O19" s="88">
        <v>111.64999999999999</v>
      </c>
      <c r="P19" s="88">
        <v>22.23</v>
      </c>
      <c r="Q19" s="88">
        <v>88.92</v>
      </c>
      <c r="R19" s="88">
        <v>66.69</v>
      </c>
      <c r="S19" s="88">
        <v>44.46</v>
      </c>
      <c r="T19" s="88">
        <f t="shared" si="3"/>
        <v>624.24</v>
      </c>
      <c r="U19" s="88"/>
      <c r="V19" s="88">
        <f t="shared" si="4"/>
        <v>2</v>
      </c>
      <c r="W19" s="88">
        <f t="shared" si="4"/>
        <v>2</v>
      </c>
      <c r="X19" s="88">
        <f t="shared" si="4"/>
        <v>3</v>
      </c>
      <c r="Y19" s="88">
        <f t="shared" si="4"/>
        <v>2</v>
      </c>
      <c r="Z19" s="88">
        <f t="shared" si="4"/>
        <v>2</v>
      </c>
      <c r="AA19" s="88">
        <f t="shared" si="4"/>
        <v>1</v>
      </c>
      <c r="AB19" s="88">
        <f t="shared" si="4"/>
        <v>1</v>
      </c>
      <c r="AC19" s="88">
        <f t="shared" si="4"/>
        <v>5</v>
      </c>
      <c r="AD19" s="88">
        <f t="shared" si="12"/>
        <v>1</v>
      </c>
      <c r="AE19" s="88">
        <f t="shared" si="5"/>
        <v>4</v>
      </c>
      <c r="AF19" s="88">
        <f t="shared" si="5"/>
        <v>3</v>
      </c>
      <c r="AG19" s="88">
        <f t="shared" si="5"/>
        <v>2</v>
      </c>
      <c r="AH19" s="70">
        <f t="shared" si="6"/>
        <v>28</v>
      </c>
      <c r="AI19" s="88">
        <f t="shared" si="7"/>
        <v>2.3333333333333335</v>
      </c>
      <c r="AR19" s="69" t="e">
        <f>+VLOOKUP(C19,#REF!,3,FALSE)</f>
        <v>#REF!</v>
      </c>
      <c r="AS19" s="88">
        <f t="shared" si="8"/>
        <v>0</v>
      </c>
      <c r="AT19" s="90">
        <f t="shared" si="9"/>
        <v>-624.24</v>
      </c>
      <c r="AW19" s="89">
        <f t="shared" ca="1" si="13"/>
        <v>22.777386574715148</v>
      </c>
      <c r="AX19" s="90">
        <f t="shared" ca="1" si="14"/>
        <v>637.76682409202419</v>
      </c>
      <c r="AY19" s="86">
        <f t="shared" ca="1" si="10"/>
        <v>13.526824092024185</v>
      </c>
      <c r="AZ19" s="402">
        <f t="shared" ca="1" si="15"/>
        <v>2.4440129221836662</v>
      </c>
      <c r="BA19" s="402">
        <f t="shared" ca="1" si="16"/>
        <v>640.21083701420787</v>
      </c>
    </row>
    <row r="20" spans="1:53" ht="12" customHeight="1">
      <c r="A20" s="38" t="str">
        <f t="shared" si="11"/>
        <v>Joes TC Refuse UTCREINSTATE-RES</v>
      </c>
      <c r="B20" s="38">
        <f t="shared" si="2"/>
        <v>1</v>
      </c>
      <c r="C20" s="87" t="s">
        <v>248</v>
      </c>
      <c r="D20" s="87" t="s">
        <v>249</v>
      </c>
      <c r="E20" s="174">
        <v>15.67</v>
      </c>
      <c r="F20" s="69">
        <v>15.6</v>
      </c>
      <c r="G20" s="69" t="s">
        <v>693</v>
      </c>
      <c r="H20" s="88">
        <v>517.11</v>
      </c>
      <c r="I20" s="88">
        <v>423.09</v>
      </c>
      <c r="J20" s="88">
        <v>438.76</v>
      </c>
      <c r="K20" s="88">
        <v>282.06</v>
      </c>
      <c r="L20" s="88">
        <v>376.08</v>
      </c>
      <c r="M20" s="88">
        <v>235.04999999999998</v>
      </c>
      <c r="N20" s="88">
        <v>235.05</v>
      </c>
      <c r="O20" s="88">
        <v>376.08</v>
      </c>
      <c r="P20" s="88">
        <v>296.39999999999998</v>
      </c>
      <c r="Q20" s="88">
        <v>374.4</v>
      </c>
      <c r="R20" s="88">
        <v>312</v>
      </c>
      <c r="S20" s="88">
        <v>358.8</v>
      </c>
      <c r="T20" s="88">
        <f t="shared" si="3"/>
        <v>4224.88</v>
      </c>
      <c r="U20" s="88"/>
      <c r="V20" s="88">
        <f t="shared" si="4"/>
        <v>33</v>
      </c>
      <c r="W20" s="88">
        <f t="shared" si="4"/>
        <v>27</v>
      </c>
      <c r="X20" s="88">
        <f t="shared" si="4"/>
        <v>28</v>
      </c>
      <c r="Y20" s="88">
        <f t="shared" si="4"/>
        <v>18</v>
      </c>
      <c r="Z20" s="88">
        <f t="shared" si="4"/>
        <v>24</v>
      </c>
      <c r="AA20" s="88">
        <f t="shared" si="4"/>
        <v>14.999999999999998</v>
      </c>
      <c r="AB20" s="88">
        <f t="shared" si="4"/>
        <v>15</v>
      </c>
      <c r="AC20" s="88">
        <f t="shared" si="4"/>
        <v>24</v>
      </c>
      <c r="AD20" s="88">
        <f t="shared" si="12"/>
        <v>19</v>
      </c>
      <c r="AE20" s="88">
        <f t="shared" si="5"/>
        <v>24</v>
      </c>
      <c r="AF20" s="88">
        <f t="shared" si="5"/>
        <v>20</v>
      </c>
      <c r="AG20" s="88">
        <f t="shared" si="5"/>
        <v>23</v>
      </c>
      <c r="AH20" s="70">
        <f t="shared" si="6"/>
        <v>270</v>
      </c>
      <c r="AI20" s="88">
        <f t="shared" si="7"/>
        <v>22.5</v>
      </c>
      <c r="AR20" s="69" t="e">
        <f>+VLOOKUP(C20,#REF!,3,FALSE)</f>
        <v>#REF!</v>
      </c>
      <c r="AS20" s="88">
        <f t="shared" si="8"/>
        <v>0</v>
      </c>
      <c r="AT20" s="90">
        <f t="shared" si="9"/>
        <v>-4224.88</v>
      </c>
      <c r="AW20" s="89">
        <f t="shared" ca="1" si="13"/>
        <v>15.984130929624664</v>
      </c>
      <c r="AX20" s="90">
        <f t="shared" ca="1" si="14"/>
        <v>4315.7153509986592</v>
      </c>
      <c r="AY20" s="86">
        <f t="shared" ca="1" si="10"/>
        <v>90.835350998659123</v>
      </c>
      <c r="AZ20" s="402">
        <f t="shared" ca="1" si="15"/>
        <v>16.538433308009768</v>
      </c>
      <c r="BA20" s="402">
        <f t="shared" ca="1" si="16"/>
        <v>4332.2537843066693</v>
      </c>
    </row>
    <row r="21" spans="1:53" ht="12" customHeight="1">
      <c r="A21" s="38" t="str">
        <f t="shared" si="11"/>
        <v>Joes TC Refuse UTCROLL1RES</v>
      </c>
      <c r="B21" s="38">
        <f t="shared" si="2"/>
        <v>1</v>
      </c>
      <c r="C21" s="87" t="s">
        <v>250</v>
      </c>
      <c r="D21" s="87" t="s">
        <v>251</v>
      </c>
      <c r="E21" s="174">
        <v>3.89</v>
      </c>
      <c r="F21" s="69">
        <v>3.895</v>
      </c>
      <c r="G21" s="69" t="s">
        <v>690</v>
      </c>
      <c r="H21" s="88">
        <v>19.45</v>
      </c>
      <c r="I21" s="88">
        <v>19.45</v>
      </c>
      <c r="J21" s="88">
        <v>19.45</v>
      </c>
      <c r="K21" s="88">
        <v>19.45</v>
      </c>
      <c r="L21" s="88">
        <v>19.45</v>
      </c>
      <c r="M21" s="88">
        <v>19.45</v>
      </c>
      <c r="N21" s="88">
        <v>19.45</v>
      </c>
      <c r="O21" s="88">
        <v>19.45</v>
      </c>
      <c r="P21" s="88">
        <v>23.355</v>
      </c>
      <c r="Q21" s="88">
        <v>23.375</v>
      </c>
      <c r="R21" s="88">
        <v>27.265000000000001</v>
      </c>
      <c r="S21" s="88">
        <v>27.265000000000001</v>
      </c>
      <c r="T21" s="88">
        <f t="shared" si="3"/>
        <v>256.85999999999996</v>
      </c>
      <c r="U21" s="88"/>
      <c r="V21" s="88">
        <f t="shared" si="4"/>
        <v>5</v>
      </c>
      <c r="W21" s="88">
        <f t="shared" si="4"/>
        <v>5</v>
      </c>
      <c r="X21" s="88">
        <f t="shared" si="4"/>
        <v>5</v>
      </c>
      <c r="Y21" s="88">
        <f t="shared" si="4"/>
        <v>5</v>
      </c>
      <c r="Z21" s="88">
        <f t="shared" si="4"/>
        <v>5</v>
      </c>
      <c r="AA21" s="88">
        <f t="shared" si="4"/>
        <v>5</v>
      </c>
      <c r="AB21" s="88">
        <f t="shared" si="4"/>
        <v>5</v>
      </c>
      <c r="AC21" s="88">
        <f t="shared" si="4"/>
        <v>5</v>
      </c>
      <c r="AD21" s="88">
        <f t="shared" si="12"/>
        <v>5.99614890885751</v>
      </c>
      <c r="AE21" s="88">
        <f t="shared" si="5"/>
        <v>6.001283697047497</v>
      </c>
      <c r="AF21" s="88">
        <f t="shared" si="5"/>
        <v>7</v>
      </c>
      <c r="AG21" s="88">
        <f t="shared" si="5"/>
        <v>7</v>
      </c>
      <c r="AH21" s="70">
        <f t="shared" si="6"/>
        <v>65.997432605905004</v>
      </c>
      <c r="AI21" s="88">
        <f t="shared" si="7"/>
        <v>5.4997860504920837</v>
      </c>
      <c r="AR21" s="69" t="e">
        <f>+VLOOKUP(C21,#REF!,3,FALSE)</f>
        <v>#REF!</v>
      </c>
      <c r="AS21" s="88">
        <f t="shared" si="8"/>
        <v>0</v>
      </c>
      <c r="AT21" s="90">
        <f t="shared" si="9"/>
        <v>-256.85999999999996</v>
      </c>
      <c r="AW21" s="89">
        <f t="shared" ca="1" si="13"/>
        <v>3.9909096135184661</v>
      </c>
      <c r="AX21" s="90">
        <f t="shared" ca="1" si="14"/>
        <v>263.38978825444337</v>
      </c>
      <c r="AY21" s="86">
        <f t="shared" ca="1" si="10"/>
        <v>6.5297882544434174</v>
      </c>
      <c r="AZ21" s="402">
        <f t="shared" ca="1" si="15"/>
        <v>1.0093470242537965</v>
      </c>
      <c r="BA21" s="402">
        <f t="shared" ca="1" si="16"/>
        <v>264.39913527869714</v>
      </c>
    </row>
    <row r="22" spans="1:53" ht="12" customHeight="1">
      <c r="A22" s="38" t="str">
        <f t="shared" si="11"/>
        <v>Joes TC Refuse UTCRTRNCART65-RES</v>
      </c>
      <c r="B22" s="38">
        <f t="shared" si="2"/>
        <v>1</v>
      </c>
      <c r="C22" s="87" t="s">
        <v>253</v>
      </c>
      <c r="D22" s="87" t="s">
        <v>254</v>
      </c>
      <c r="E22" s="174">
        <v>23.3</v>
      </c>
      <c r="F22" s="69">
        <v>23.2</v>
      </c>
      <c r="G22" s="69" t="s">
        <v>255</v>
      </c>
      <c r="H22" s="88">
        <v>0</v>
      </c>
      <c r="I22" s="88">
        <v>0</v>
      </c>
      <c r="J22" s="88">
        <v>0</v>
      </c>
      <c r="K22" s="88">
        <v>23.3</v>
      </c>
      <c r="L22" s="88">
        <v>0</v>
      </c>
      <c r="M22" s="88">
        <v>23.3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92.8</v>
      </c>
      <c r="T22" s="88">
        <f t="shared" si="3"/>
        <v>139.4</v>
      </c>
      <c r="U22" s="88"/>
      <c r="V22" s="88">
        <f t="shared" si="4"/>
        <v>0</v>
      </c>
      <c r="W22" s="88">
        <f t="shared" si="4"/>
        <v>0</v>
      </c>
      <c r="X22" s="88">
        <f t="shared" si="4"/>
        <v>0</v>
      </c>
      <c r="Y22" s="88">
        <f t="shared" si="4"/>
        <v>1</v>
      </c>
      <c r="Z22" s="88">
        <f t="shared" si="4"/>
        <v>0</v>
      </c>
      <c r="AA22" s="88">
        <f t="shared" si="4"/>
        <v>1</v>
      </c>
      <c r="AB22" s="88">
        <f t="shared" si="4"/>
        <v>0</v>
      </c>
      <c r="AC22" s="88">
        <f t="shared" si="4"/>
        <v>0</v>
      </c>
      <c r="AD22" s="88">
        <f t="shared" si="12"/>
        <v>0</v>
      </c>
      <c r="AE22" s="88">
        <f t="shared" si="5"/>
        <v>0</v>
      </c>
      <c r="AF22" s="88">
        <f t="shared" si="5"/>
        <v>0</v>
      </c>
      <c r="AG22" s="88">
        <f t="shared" si="5"/>
        <v>4</v>
      </c>
      <c r="AH22" s="70">
        <f t="shared" si="6"/>
        <v>6</v>
      </c>
      <c r="AI22" s="88">
        <f t="shared" si="7"/>
        <v>0.5</v>
      </c>
      <c r="AR22" s="69" t="e">
        <f>+VLOOKUP(C22,#REF!,3,FALSE)</f>
        <v>#REF!</v>
      </c>
      <c r="AS22" s="88">
        <f t="shared" si="8"/>
        <v>0</v>
      </c>
      <c r="AT22" s="90">
        <f t="shared" si="9"/>
        <v>-139.4</v>
      </c>
      <c r="AW22" s="89">
        <f t="shared" ca="1" si="13"/>
        <v>23.771271638928987</v>
      </c>
      <c r="AX22" s="90">
        <f t="shared" ca="1" si="14"/>
        <v>142.62762983357391</v>
      </c>
      <c r="AY22" s="86">
        <f t="shared" ca="1" si="10"/>
        <v>3.2276298335739</v>
      </c>
      <c r="AZ22" s="402">
        <f t="shared" ca="1" si="15"/>
        <v>0.54656930590573582</v>
      </c>
      <c r="BA22" s="402">
        <f t="shared" ca="1" si="16"/>
        <v>143.17419913947964</v>
      </c>
    </row>
    <row r="23" spans="1:53" ht="12" customHeight="1">
      <c r="A23" s="38" t="str">
        <f t="shared" si="11"/>
        <v>Joes TC Refuse UTCRTRNCART95-RES</v>
      </c>
      <c r="B23" s="38">
        <f t="shared" si="2"/>
        <v>1</v>
      </c>
      <c r="C23" s="87" t="s">
        <v>256</v>
      </c>
      <c r="D23" s="87" t="s">
        <v>257</v>
      </c>
      <c r="E23" s="174">
        <v>23.3</v>
      </c>
      <c r="F23" s="69">
        <v>23.2</v>
      </c>
      <c r="G23" s="69" t="s">
        <v>255</v>
      </c>
      <c r="H23" s="88">
        <v>46.6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23.3</v>
      </c>
      <c r="O23" s="88">
        <v>23.3</v>
      </c>
      <c r="P23" s="88">
        <v>0</v>
      </c>
      <c r="Q23" s="88">
        <v>23.2</v>
      </c>
      <c r="R23" s="88">
        <v>0</v>
      </c>
      <c r="S23" s="88">
        <v>0</v>
      </c>
      <c r="T23" s="88">
        <f t="shared" si="3"/>
        <v>116.4</v>
      </c>
      <c r="U23" s="88"/>
      <c r="V23" s="88">
        <f t="shared" si="4"/>
        <v>2</v>
      </c>
      <c r="W23" s="88">
        <f t="shared" si="4"/>
        <v>0</v>
      </c>
      <c r="X23" s="88">
        <f t="shared" si="4"/>
        <v>0</v>
      </c>
      <c r="Y23" s="88">
        <f t="shared" si="4"/>
        <v>0</v>
      </c>
      <c r="Z23" s="88">
        <f t="shared" si="4"/>
        <v>0</v>
      </c>
      <c r="AA23" s="88">
        <f t="shared" si="4"/>
        <v>0</v>
      </c>
      <c r="AB23" s="88">
        <f t="shared" si="4"/>
        <v>1</v>
      </c>
      <c r="AC23" s="88">
        <f t="shared" si="4"/>
        <v>1</v>
      </c>
      <c r="AD23" s="88">
        <f t="shared" si="12"/>
        <v>0</v>
      </c>
      <c r="AE23" s="88">
        <f t="shared" si="5"/>
        <v>1</v>
      </c>
      <c r="AF23" s="88">
        <f t="shared" si="5"/>
        <v>0</v>
      </c>
      <c r="AG23" s="88">
        <f t="shared" si="5"/>
        <v>0</v>
      </c>
      <c r="AH23" s="70">
        <f t="shared" si="6"/>
        <v>5</v>
      </c>
      <c r="AI23" s="88">
        <f t="shared" si="7"/>
        <v>0.41666666666666669</v>
      </c>
      <c r="AR23" s="69" t="e">
        <f>+VLOOKUP(C23,#REF!,3,FALSE)</f>
        <v>#REF!</v>
      </c>
      <c r="AS23" s="88">
        <f t="shared" si="8"/>
        <v>0</v>
      </c>
      <c r="AT23" s="90">
        <f t="shared" si="9"/>
        <v>-116.4</v>
      </c>
      <c r="AW23" s="89">
        <f t="shared" ca="1" si="13"/>
        <v>23.771271638928987</v>
      </c>
      <c r="AX23" s="90">
        <f t="shared" ca="1" si="14"/>
        <v>118.85635819464494</v>
      </c>
      <c r="AY23" s="86">
        <f t="shared" ca="1" si="10"/>
        <v>2.4563581946449347</v>
      </c>
      <c r="AZ23" s="402">
        <f t="shared" ca="1" si="15"/>
        <v>0.45547442158811324</v>
      </c>
      <c r="BA23" s="402">
        <f t="shared" ca="1" si="16"/>
        <v>119.31183261623305</v>
      </c>
    </row>
    <row r="24" spans="1:53" ht="12" customHeight="1">
      <c r="A24" s="38" t="str">
        <f t="shared" si="11"/>
        <v>Joes TC Refuse UTCRTRNCART-RES</v>
      </c>
      <c r="B24" s="38">
        <f t="shared" si="2"/>
        <v>1</v>
      </c>
      <c r="C24" s="87" t="s">
        <v>258</v>
      </c>
      <c r="D24" s="87" t="s">
        <v>259</v>
      </c>
      <c r="E24" s="174">
        <v>23.3</v>
      </c>
      <c r="F24" s="69">
        <v>23.2</v>
      </c>
      <c r="G24" s="69" t="s">
        <v>255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f t="shared" si="3"/>
        <v>0</v>
      </c>
      <c r="U24" s="88"/>
      <c r="V24" s="88">
        <f t="shared" si="4"/>
        <v>0</v>
      </c>
      <c r="W24" s="88">
        <f t="shared" si="4"/>
        <v>0</v>
      </c>
      <c r="X24" s="88">
        <f t="shared" si="4"/>
        <v>0</v>
      </c>
      <c r="Y24" s="88">
        <f t="shared" si="4"/>
        <v>0</v>
      </c>
      <c r="Z24" s="88">
        <f t="shared" si="4"/>
        <v>0</v>
      </c>
      <c r="AA24" s="88">
        <f t="shared" si="4"/>
        <v>0</v>
      </c>
      <c r="AB24" s="88">
        <f t="shared" si="4"/>
        <v>0</v>
      </c>
      <c r="AC24" s="88">
        <f t="shared" si="4"/>
        <v>0</v>
      </c>
      <c r="AD24" s="88">
        <f t="shared" si="12"/>
        <v>0</v>
      </c>
      <c r="AE24" s="88">
        <f t="shared" si="5"/>
        <v>0</v>
      </c>
      <c r="AF24" s="88">
        <f t="shared" si="5"/>
        <v>0</v>
      </c>
      <c r="AG24" s="88">
        <f t="shared" si="5"/>
        <v>0</v>
      </c>
      <c r="AH24" s="70">
        <f t="shared" si="6"/>
        <v>0</v>
      </c>
      <c r="AI24" s="88">
        <f t="shared" si="7"/>
        <v>0</v>
      </c>
      <c r="AR24" s="69" t="e">
        <f>+VLOOKUP(C24,#REF!,3,FALSE)</f>
        <v>#REF!</v>
      </c>
      <c r="AS24" s="88">
        <f t="shared" si="8"/>
        <v>0</v>
      </c>
      <c r="AT24" s="90">
        <f t="shared" si="9"/>
        <v>0</v>
      </c>
      <c r="AW24" s="89">
        <f t="shared" ca="1" si="13"/>
        <v>23.771271638928987</v>
      </c>
      <c r="AX24" s="90">
        <f t="shared" ca="1" si="14"/>
        <v>0</v>
      </c>
      <c r="AY24" s="86">
        <f t="shared" ca="1" si="10"/>
        <v>0</v>
      </c>
      <c r="AZ24" s="402">
        <f t="shared" ca="1" si="15"/>
        <v>0</v>
      </c>
      <c r="BA24" s="402">
        <f t="shared" ca="1" si="16"/>
        <v>0</v>
      </c>
    </row>
    <row r="25" spans="1:53" s="98" customFormat="1" ht="12" customHeight="1">
      <c r="A25" s="98" t="str">
        <f t="shared" si="11"/>
        <v>Joes TC Refuse UTCSL065.0G1M001NOREC</v>
      </c>
      <c r="B25" s="98">
        <f t="shared" si="2"/>
        <v>1</v>
      </c>
      <c r="C25" s="99" t="s">
        <v>265</v>
      </c>
      <c r="D25" s="99" t="s">
        <v>266</v>
      </c>
      <c r="E25" s="176">
        <v>6.01</v>
      </c>
      <c r="F25" s="176">
        <v>5.98</v>
      </c>
      <c r="G25" s="176" t="s">
        <v>694</v>
      </c>
      <c r="H25" s="101">
        <v>30.05</v>
      </c>
      <c r="I25" s="101">
        <v>30.05</v>
      </c>
      <c r="J25" s="101">
        <v>30.05</v>
      </c>
      <c r="K25" s="101">
        <v>30.05</v>
      </c>
      <c r="L25" s="101">
        <v>30.05</v>
      </c>
      <c r="M25" s="101">
        <v>30.05</v>
      </c>
      <c r="N25" s="101">
        <v>30.05</v>
      </c>
      <c r="O25" s="101">
        <v>30.05</v>
      </c>
      <c r="P25" s="101">
        <v>29.975000000000001</v>
      </c>
      <c r="Q25" s="101">
        <v>29.824999999999999</v>
      </c>
      <c r="R25" s="101">
        <v>29.9</v>
      </c>
      <c r="S25" s="101">
        <v>29.9</v>
      </c>
      <c r="T25" s="101">
        <f t="shared" si="3"/>
        <v>360</v>
      </c>
      <c r="U25" s="101"/>
      <c r="V25" s="101">
        <f t="shared" si="4"/>
        <v>5</v>
      </c>
      <c r="W25" s="101">
        <f t="shared" si="4"/>
        <v>5</v>
      </c>
      <c r="X25" s="101">
        <f t="shared" si="4"/>
        <v>5</v>
      </c>
      <c r="Y25" s="101">
        <f t="shared" si="4"/>
        <v>5</v>
      </c>
      <c r="Z25" s="101">
        <f t="shared" si="4"/>
        <v>5</v>
      </c>
      <c r="AA25" s="101">
        <f t="shared" si="4"/>
        <v>5</v>
      </c>
      <c r="AB25" s="101">
        <f t="shared" si="4"/>
        <v>5</v>
      </c>
      <c r="AC25" s="101">
        <f t="shared" si="4"/>
        <v>5</v>
      </c>
      <c r="AD25" s="101">
        <f t="shared" si="12"/>
        <v>5.0125418060200664</v>
      </c>
      <c r="AE25" s="101">
        <f t="shared" si="5"/>
        <v>4.9874581939799327</v>
      </c>
      <c r="AF25" s="101">
        <f t="shared" si="5"/>
        <v>4.9999999999999991</v>
      </c>
      <c r="AG25" s="101">
        <f t="shared" si="5"/>
        <v>4.9999999999999991</v>
      </c>
      <c r="AH25" s="175">
        <f t="shared" si="6"/>
        <v>60</v>
      </c>
      <c r="AI25" s="101">
        <f t="shared" si="7"/>
        <v>5</v>
      </c>
      <c r="AK25" s="98">
        <v>65</v>
      </c>
      <c r="AN25" s="98">
        <v>1</v>
      </c>
      <c r="AO25" s="100">
        <f>+AI25*AN25</f>
        <v>5</v>
      </c>
      <c r="AR25" s="100">
        <v>7.93</v>
      </c>
      <c r="AS25" s="101">
        <f t="shared" si="8"/>
        <v>475.79999999999995</v>
      </c>
      <c r="AT25" s="128">
        <f t="shared" si="9"/>
        <v>115.79999999999995</v>
      </c>
      <c r="AW25" s="89">
        <f t="shared" ca="1" si="13"/>
        <v>6.1272501896894553</v>
      </c>
      <c r="AX25" s="90">
        <f t="shared" ca="1" si="14"/>
        <v>367.63501138136735</v>
      </c>
      <c r="AY25" s="86">
        <f t="shared" ca="1" si="10"/>
        <v>7.6350113813673488</v>
      </c>
      <c r="AZ25" s="402">
        <f t="shared" ca="1" si="15"/>
        <v>1.4088295040156471</v>
      </c>
      <c r="BA25" s="402">
        <f t="shared" ca="1" si="16"/>
        <v>369.04384088538302</v>
      </c>
    </row>
    <row r="26" spans="1:53" s="104" customFormat="1" ht="12" customHeight="1">
      <c r="A26" s="104" t="str">
        <f t="shared" si="11"/>
        <v>Joes TC Refuse UTCSL065.0G1M001WREC</v>
      </c>
      <c r="B26" s="104">
        <f t="shared" si="2"/>
        <v>1</v>
      </c>
      <c r="C26" s="106" t="s">
        <v>267</v>
      </c>
      <c r="D26" s="106" t="s">
        <v>268</v>
      </c>
      <c r="E26" s="177">
        <v>6.01</v>
      </c>
      <c r="F26" s="177">
        <v>5.98</v>
      </c>
      <c r="G26" s="176" t="s">
        <v>694</v>
      </c>
      <c r="H26" s="108">
        <v>2029.5749999999998</v>
      </c>
      <c r="I26" s="108">
        <v>1995.3200000000002</v>
      </c>
      <c r="J26" s="108">
        <v>1995.32</v>
      </c>
      <c r="K26" s="108">
        <v>1989.31</v>
      </c>
      <c r="L26" s="108">
        <v>2001.3300000000002</v>
      </c>
      <c r="M26" s="108">
        <v>2016.355</v>
      </c>
      <c r="N26" s="108">
        <v>1977.29</v>
      </c>
      <c r="O26" s="108">
        <v>1935.2199999999998</v>
      </c>
      <c r="P26" s="108">
        <v>1919.9499999999998</v>
      </c>
      <c r="Q26" s="108">
        <v>1898.895</v>
      </c>
      <c r="R26" s="108">
        <v>1901.67</v>
      </c>
      <c r="S26" s="108">
        <v>1931.54</v>
      </c>
      <c r="T26" s="108">
        <f t="shared" si="3"/>
        <v>23591.775000000001</v>
      </c>
      <c r="U26" s="108"/>
      <c r="V26" s="108">
        <f t="shared" si="4"/>
        <v>337.69966722129783</v>
      </c>
      <c r="W26" s="108">
        <f t="shared" si="4"/>
        <v>332.00000000000006</v>
      </c>
      <c r="X26" s="108">
        <f t="shared" si="4"/>
        <v>332</v>
      </c>
      <c r="Y26" s="108">
        <f t="shared" si="4"/>
        <v>331</v>
      </c>
      <c r="Z26" s="108">
        <f t="shared" si="4"/>
        <v>333.00000000000006</v>
      </c>
      <c r="AA26" s="108">
        <f t="shared" si="4"/>
        <v>335.5</v>
      </c>
      <c r="AB26" s="108">
        <f t="shared" si="4"/>
        <v>329</v>
      </c>
      <c r="AC26" s="108">
        <f t="shared" si="4"/>
        <v>322</v>
      </c>
      <c r="AD26" s="108">
        <f t="shared" si="12"/>
        <v>321.06187290969893</v>
      </c>
      <c r="AE26" s="108">
        <f t="shared" si="5"/>
        <v>317.54096989966553</v>
      </c>
      <c r="AF26" s="108">
        <f t="shared" si="5"/>
        <v>318.00501672240802</v>
      </c>
      <c r="AG26" s="108">
        <f t="shared" si="5"/>
        <v>322.99999999999994</v>
      </c>
      <c r="AH26" s="178">
        <f t="shared" si="6"/>
        <v>3931.8075267530708</v>
      </c>
      <c r="AI26" s="108">
        <f t="shared" si="7"/>
        <v>327.65062722942258</v>
      </c>
      <c r="AK26" s="104">
        <v>65</v>
      </c>
      <c r="AN26" s="104">
        <v>1</v>
      </c>
      <c r="AO26" s="107">
        <f t="shared" ref="AO26:AO41" si="17">+AI26*AN26</f>
        <v>327.65062722942258</v>
      </c>
      <c r="AR26" s="107">
        <v>7.93</v>
      </c>
      <c r="AS26" s="108">
        <f t="shared" si="8"/>
        <v>31179.233687151849</v>
      </c>
      <c r="AT26" s="179">
        <f t="shared" si="9"/>
        <v>7587.4586871518477</v>
      </c>
      <c r="AW26" s="89">
        <f t="shared" ca="1" si="13"/>
        <v>6.1272501896894553</v>
      </c>
      <c r="AX26" s="90">
        <f t="shared" ca="1" si="14"/>
        <v>24091.168414120184</v>
      </c>
      <c r="AY26" s="86">
        <f t="shared" ca="1" si="10"/>
        <v>499.39341412018257</v>
      </c>
      <c r="AZ26" s="402">
        <f t="shared" ca="1" si="15"/>
        <v>92.320774130008616</v>
      </c>
      <c r="BA26" s="402">
        <f t="shared" ca="1" si="16"/>
        <v>24183.489188250194</v>
      </c>
    </row>
    <row r="27" spans="1:53" s="104" customFormat="1" ht="12" customHeight="1">
      <c r="A27" s="104" t="str">
        <f t="shared" si="11"/>
        <v>Joes TC Refuse UTCSL065.0G1M002WREC</v>
      </c>
      <c r="B27" s="104">
        <f t="shared" si="2"/>
        <v>1</v>
      </c>
      <c r="C27" s="106" t="s">
        <v>269</v>
      </c>
      <c r="D27" s="106" t="s">
        <v>270</v>
      </c>
      <c r="E27" s="177">
        <v>12.02</v>
      </c>
      <c r="F27" s="177">
        <v>11.96</v>
      </c>
      <c r="G27" s="176" t="s">
        <v>694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f t="shared" si="3"/>
        <v>0</v>
      </c>
      <c r="U27" s="108"/>
      <c r="V27" s="108">
        <f t="shared" si="4"/>
        <v>0</v>
      </c>
      <c r="W27" s="108">
        <f t="shared" si="4"/>
        <v>0</v>
      </c>
      <c r="X27" s="108">
        <f t="shared" si="4"/>
        <v>0</v>
      </c>
      <c r="Y27" s="108">
        <f t="shared" si="4"/>
        <v>0</v>
      </c>
      <c r="Z27" s="108">
        <f t="shared" si="4"/>
        <v>0</v>
      </c>
      <c r="AA27" s="108">
        <f t="shared" si="4"/>
        <v>0</v>
      </c>
      <c r="AB27" s="108">
        <f t="shared" si="4"/>
        <v>0</v>
      </c>
      <c r="AC27" s="108">
        <f t="shared" si="4"/>
        <v>0</v>
      </c>
      <c r="AD27" s="108">
        <f t="shared" si="12"/>
        <v>0</v>
      </c>
      <c r="AE27" s="108">
        <f t="shared" si="12"/>
        <v>0</v>
      </c>
      <c r="AF27" s="108">
        <f t="shared" si="12"/>
        <v>0</v>
      </c>
      <c r="AG27" s="108">
        <f t="shared" si="12"/>
        <v>0</v>
      </c>
      <c r="AH27" s="178">
        <f t="shared" si="6"/>
        <v>0</v>
      </c>
      <c r="AI27" s="108">
        <f t="shared" si="7"/>
        <v>0</v>
      </c>
      <c r="AK27" s="104">
        <v>65</v>
      </c>
      <c r="AN27" s="104">
        <v>2</v>
      </c>
      <c r="AO27" s="107">
        <f t="shared" si="17"/>
        <v>0</v>
      </c>
      <c r="AR27" s="107">
        <f>+IFERROR((VLOOKUP(C27,#REF!,3,FALSE)),0)</f>
        <v>0</v>
      </c>
      <c r="AS27" s="108">
        <f t="shared" si="8"/>
        <v>0</v>
      </c>
      <c r="AT27" s="179">
        <f t="shared" si="9"/>
        <v>0</v>
      </c>
      <c r="AW27" s="89">
        <f t="shared" ca="1" si="13"/>
        <v>12.254500379378911</v>
      </c>
      <c r="AX27" s="90">
        <f t="shared" ca="1" si="14"/>
        <v>0</v>
      </c>
      <c r="AY27" s="86">
        <f t="shared" ca="1" si="10"/>
        <v>0</v>
      </c>
      <c r="AZ27" s="402">
        <f t="shared" ca="1" si="15"/>
        <v>0</v>
      </c>
      <c r="BA27" s="402">
        <f t="shared" ca="1" si="16"/>
        <v>0</v>
      </c>
    </row>
    <row r="28" spans="1:53" s="98" customFormat="1" ht="12" customHeight="1">
      <c r="A28" s="98" t="str">
        <f t="shared" si="11"/>
        <v>Joes TC Refuse UTCSL065.0G1W001NOREC</v>
      </c>
      <c r="B28" s="98">
        <f t="shared" si="2"/>
        <v>1</v>
      </c>
      <c r="C28" s="99" t="s">
        <v>273</v>
      </c>
      <c r="D28" s="99" t="s">
        <v>274</v>
      </c>
      <c r="E28" s="176">
        <v>23.1</v>
      </c>
      <c r="F28" s="176">
        <v>23</v>
      </c>
      <c r="G28" s="176" t="s">
        <v>694</v>
      </c>
      <c r="H28" s="101">
        <v>617.92500000000007</v>
      </c>
      <c r="I28" s="101">
        <v>594.82499999999993</v>
      </c>
      <c r="J28" s="101">
        <v>600.6</v>
      </c>
      <c r="K28" s="101">
        <v>612.15000000000009</v>
      </c>
      <c r="L28" s="101">
        <v>612.15000000000009</v>
      </c>
      <c r="M28" s="101">
        <v>623.70000000000005</v>
      </c>
      <c r="N28" s="101">
        <v>623.70000000000005</v>
      </c>
      <c r="O28" s="101">
        <v>616</v>
      </c>
      <c r="P28" s="101">
        <v>614.54999999999995</v>
      </c>
      <c r="Q28" s="101">
        <v>619.75</v>
      </c>
      <c r="R28" s="101">
        <v>638.25</v>
      </c>
      <c r="S28" s="101">
        <v>638.25</v>
      </c>
      <c r="T28" s="101">
        <f t="shared" si="3"/>
        <v>7411.85</v>
      </c>
      <c r="U28" s="101"/>
      <c r="V28" s="101">
        <f t="shared" si="4"/>
        <v>26.75</v>
      </c>
      <c r="W28" s="101">
        <f t="shared" si="4"/>
        <v>25.749999999999996</v>
      </c>
      <c r="X28" s="101">
        <f t="shared" si="4"/>
        <v>26</v>
      </c>
      <c r="Y28" s="101">
        <f t="shared" si="4"/>
        <v>26.500000000000004</v>
      </c>
      <c r="Z28" s="101">
        <f t="shared" si="4"/>
        <v>26.500000000000004</v>
      </c>
      <c r="AA28" s="101">
        <f t="shared" si="4"/>
        <v>27</v>
      </c>
      <c r="AB28" s="101">
        <f t="shared" si="4"/>
        <v>27</v>
      </c>
      <c r="AC28" s="101">
        <f t="shared" si="4"/>
        <v>26.666666666666664</v>
      </c>
      <c r="AD28" s="101">
        <f t="shared" si="12"/>
        <v>26.719565217391303</v>
      </c>
      <c r="AE28" s="101">
        <f t="shared" si="12"/>
        <v>26.945652173913043</v>
      </c>
      <c r="AF28" s="101">
        <f t="shared" si="12"/>
        <v>27.75</v>
      </c>
      <c r="AG28" s="101">
        <f t="shared" si="12"/>
        <v>27.75</v>
      </c>
      <c r="AH28" s="175">
        <f t="shared" si="6"/>
        <v>321.33188405797102</v>
      </c>
      <c r="AI28" s="101">
        <f t="shared" si="7"/>
        <v>26.777657004830917</v>
      </c>
      <c r="AK28" s="98">
        <v>65</v>
      </c>
      <c r="AN28" s="98">
        <v>1</v>
      </c>
      <c r="AO28" s="100">
        <f t="shared" si="17"/>
        <v>26.777657004830917</v>
      </c>
      <c r="AR28" s="100">
        <v>20.399999999999999</v>
      </c>
      <c r="AS28" s="101">
        <f t="shared" si="8"/>
        <v>6555.170434782608</v>
      </c>
      <c r="AT28" s="128">
        <f t="shared" si="9"/>
        <v>-856.67956521739234</v>
      </c>
      <c r="AW28" s="89">
        <f t="shared" ca="1" si="13"/>
        <v>23.56634688342098</v>
      </c>
      <c r="AX28" s="90">
        <f t="shared" ca="1" si="14"/>
        <v>7572.6186444133573</v>
      </c>
      <c r="AY28" s="86">
        <f t="shared" ca="1" si="10"/>
        <v>160.76864441335692</v>
      </c>
      <c r="AZ28" s="402">
        <f t="shared" ca="1" si="15"/>
        <v>29.019348643705428</v>
      </c>
      <c r="BA28" s="402">
        <f t="shared" ca="1" si="16"/>
        <v>7601.6379930570629</v>
      </c>
    </row>
    <row r="29" spans="1:53" s="104" customFormat="1" ht="12" customHeight="1">
      <c r="A29" s="104" t="str">
        <f t="shared" si="11"/>
        <v>Joes TC Refuse UTCSL065.0G1W001WREC</v>
      </c>
      <c r="B29" s="104">
        <f t="shared" si="2"/>
        <v>1</v>
      </c>
      <c r="C29" s="106" t="s">
        <v>275</v>
      </c>
      <c r="D29" s="106" t="s">
        <v>276</v>
      </c>
      <c r="E29" s="177">
        <v>23.1</v>
      </c>
      <c r="F29" s="177">
        <v>23</v>
      </c>
      <c r="G29" s="176" t="s">
        <v>694</v>
      </c>
      <c r="H29" s="108">
        <v>40157.315000000002</v>
      </c>
      <c r="I29" s="108">
        <v>40336.050000000003</v>
      </c>
      <c r="J29" s="108">
        <v>40335.629999999997</v>
      </c>
      <c r="K29" s="108">
        <v>40146.145000000004</v>
      </c>
      <c r="L29" s="108">
        <v>40427.635000000002</v>
      </c>
      <c r="M29" s="108">
        <v>40397.965000000004</v>
      </c>
      <c r="N29" s="108">
        <v>40373.14</v>
      </c>
      <c r="O29" s="108">
        <v>40371.114999999998</v>
      </c>
      <c r="P29" s="108">
        <v>40414.42</v>
      </c>
      <c r="Q29" s="108">
        <v>40678.934999999998</v>
      </c>
      <c r="R29" s="108">
        <v>40957.33</v>
      </c>
      <c r="S29" s="108">
        <v>41009.894999999997</v>
      </c>
      <c r="T29" s="108">
        <f t="shared" si="3"/>
        <v>485605.57500000001</v>
      </c>
      <c r="U29" s="108"/>
      <c r="V29" s="108">
        <f t="shared" si="4"/>
        <v>1738.4119047619047</v>
      </c>
      <c r="W29" s="108">
        <f t="shared" si="4"/>
        <v>1746.1493506493507</v>
      </c>
      <c r="X29" s="108">
        <f t="shared" si="4"/>
        <v>1746.1311688311687</v>
      </c>
      <c r="Y29" s="108">
        <f t="shared" si="4"/>
        <v>1737.9283549783549</v>
      </c>
      <c r="Z29" s="108">
        <f t="shared" si="4"/>
        <v>1750.1140692640693</v>
      </c>
      <c r="AA29" s="108">
        <f t="shared" si="4"/>
        <v>1748.8296536796538</v>
      </c>
      <c r="AB29" s="108">
        <f t="shared" si="4"/>
        <v>1747.7549783549782</v>
      </c>
      <c r="AC29" s="108">
        <f t="shared" si="4"/>
        <v>1747.6673160173159</v>
      </c>
      <c r="AD29" s="108">
        <f t="shared" si="12"/>
        <v>1757.1486956521737</v>
      </c>
      <c r="AE29" s="108">
        <f t="shared" si="12"/>
        <v>1768.6493478260868</v>
      </c>
      <c r="AF29" s="108">
        <f t="shared" si="12"/>
        <v>1780.7534782608695</v>
      </c>
      <c r="AG29" s="108">
        <f t="shared" si="12"/>
        <v>1783.038913043478</v>
      </c>
      <c r="AH29" s="178">
        <f t="shared" si="6"/>
        <v>21052.577231319403</v>
      </c>
      <c r="AI29" s="108">
        <f t="shared" si="7"/>
        <v>1754.3814359432836</v>
      </c>
      <c r="AK29" s="104">
        <v>65</v>
      </c>
      <c r="AN29" s="104">
        <v>1</v>
      </c>
      <c r="AO29" s="107">
        <f t="shared" si="17"/>
        <v>1754.3814359432836</v>
      </c>
      <c r="AR29" s="107">
        <v>20.399999999999999</v>
      </c>
      <c r="AS29" s="108">
        <f t="shared" si="8"/>
        <v>429472.57551891578</v>
      </c>
      <c r="AT29" s="179">
        <f t="shared" si="9"/>
        <v>-56132.999481084233</v>
      </c>
      <c r="AW29" s="89">
        <f t="shared" ca="1" si="13"/>
        <v>23.56634688342098</v>
      </c>
      <c r="AX29" s="90">
        <f t="shared" ca="1" si="14"/>
        <v>496132.33782328351</v>
      </c>
      <c r="AY29" s="86">
        <f t="shared" ca="1" si="10"/>
        <v>10526.762823283498</v>
      </c>
      <c r="AZ29" s="402">
        <f t="shared" ca="1" si="15"/>
        <v>1901.2494832724883</v>
      </c>
      <c r="BA29" s="402">
        <f t="shared" ca="1" si="16"/>
        <v>498033.587306556</v>
      </c>
    </row>
    <row r="30" spans="1:53" s="104" customFormat="1" ht="12" customHeight="1">
      <c r="A30" s="104" t="str">
        <f t="shared" si="11"/>
        <v>Joes TC Refuse UTCSL065.0G1W002WREC</v>
      </c>
      <c r="B30" s="104">
        <f t="shared" si="2"/>
        <v>1</v>
      </c>
      <c r="C30" s="106" t="s">
        <v>277</v>
      </c>
      <c r="D30" s="106" t="s">
        <v>278</v>
      </c>
      <c r="E30" s="177">
        <v>46.2</v>
      </c>
      <c r="F30" s="177">
        <v>46</v>
      </c>
      <c r="G30" s="176" t="s">
        <v>694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f t="shared" si="3"/>
        <v>0</v>
      </c>
      <c r="U30" s="108"/>
      <c r="V30" s="108">
        <f t="shared" si="4"/>
        <v>0</v>
      </c>
      <c r="W30" s="108">
        <f t="shared" si="4"/>
        <v>0</v>
      </c>
      <c r="X30" s="108">
        <f t="shared" si="4"/>
        <v>0</v>
      </c>
      <c r="Y30" s="108">
        <f t="shared" si="4"/>
        <v>0</v>
      </c>
      <c r="Z30" s="108">
        <f t="shared" si="4"/>
        <v>0</v>
      </c>
      <c r="AA30" s="108">
        <f t="shared" si="4"/>
        <v>0</v>
      </c>
      <c r="AB30" s="108">
        <f t="shared" si="4"/>
        <v>0</v>
      </c>
      <c r="AC30" s="108">
        <f t="shared" si="4"/>
        <v>0</v>
      </c>
      <c r="AD30" s="108">
        <f t="shared" si="12"/>
        <v>0</v>
      </c>
      <c r="AE30" s="108">
        <f t="shared" si="12"/>
        <v>0</v>
      </c>
      <c r="AF30" s="108">
        <f t="shared" si="12"/>
        <v>0</v>
      </c>
      <c r="AG30" s="108">
        <f t="shared" si="12"/>
        <v>0</v>
      </c>
      <c r="AH30" s="178">
        <f t="shared" si="6"/>
        <v>0</v>
      </c>
      <c r="AI30" s="108">
        <f t="shared" si="7"/>
        <v>0</v>
      </c>
      <c r="AK30" s="104">
        <v>65</v>
      </c>
      <c r="AN30" s="104">
        <v>2</v>
      </c>
      <c r="AO30" s="107">
        <f t="shared" si="17"/>
        <v>0</v>
      </c>
      <c r="AR30" s="107">
        <f>+IFERROR((VLOOKUP(C30,#REF!,3,FALSE)),0)</f>
        <v>0</v>
      </c>
      <c r="AS30" s="108">
        <f t="shared" si="8"/>
        <v>0</v>
      </c>
      <c r="AT30" s="179">
        <f t="shared" si="9"/>
        <v>0</v>
      </c>
      <c r="AW30" s="89">
        <f t="shared" ca="1" si="13"/>
        <v>47.13269376684196</v>
      </c>
      <c r="AX30" s="90">
        <f t="shared" ca="1" si="14"/>
        <v>0</v>
      </c>
      <c r="AY30" s="86">
        <f t="shared" ca="1" si="10"/>
        <v>0</v>
      </c>
      <c r="AZ30" s="402">
        <f t="shared" ca="1" si="15"/>
        <v>0</v>
      </c>
      <c r="BA30" s="402">
        <f t="shared" ca="1" si="16"/>
        <v>0</v>
      </c>
    </row>
    <row r="31" spans="1:53" s="98" customFormat="1" ht="12" customHeight="1">
      <c r="A31" s="98" t="str">
        <f t="shared" si="11"/>
        <v>Joes TC Refuse UTCSL065.0GEO001NOREC</v>
      </c>
      <c r="B31" s="98">
        <f t="shared" si="2"/>
        <v>1</v>
      </c>
      <c r="C31" s="99" t="s">
        <v>279</v>
      </c>
      <c r="D31" s="99" t="s">
        <v>280</v>
      </c>
      <c r="E31" s="176">
        <v>15.31</v>
      </c>
      <c r="F31" s="176">
        <v>15.24</v>
      </c>
      <c r="G31" s="176" t="s">
        <v>694</v>
      </c>
      <c r="H31" s="101">
        <v>742.53500000000008</v>
      </c>
      <c r="I31" s="101">
        <v>715.74</v>
      </c>
      <c r="J31" s="101">
        <v>723.39499999999998</v>
      </c>
      <c r="K31" s="101">
        <v>719.57</v>
      </c>
      <c r="L31" s="101">
        <v>719.57</v>
      </c>
      <c r="M31" s="101">
        <v>711.91499999999996</v>
      </c>
      <c r="N31" s="101">
        <v>711.91499999999996</v>
      </c>
      <c r="O31" s="101">
        <v>704.26</v>
      </c>
      <c r="P31" s="101">
        <v>695.03</v>
      </c>
      <c r="Q31" s="101">
        <v>691.81</v>
      </c>
      <c r="R31" s="101">
        <v>693.42</v>
      </c>
      <c r="S31" s="101">
        <v>685.8</v>
      </c>
      <c r="T31" s="101">
        <f t="shared" si="3"/>
        <v>8514.9599999999991</v>
      </c>
      <c r="U31" s="101"/>
      <c r="V31" s="101">
        <f t="shared" si="4"/>
        <v>48.500000000000007</v>
      </c>
      <c r="W31" s="101">
        <f t="shared" si="4"/>
        <v>46.749836708033961</v>
      </c>
      <c r="X31" s="101">
        <f t="shared" si="4"/>
        <v>47.249836708033961</v>
      </c>
      <c r="Y31" s="101">
        <f t="shared" si="4"/>
        <v>47</v>
      </c>
      <c r="Z31" s="101">
        <f t="shared" si="4"/>
        <v>47</v>
      </c>
      <c r="AA31" s="101">
        <f t="shared" si="4"/>
        <v>46.499999999999993</v>
      </c>
      <c r="AB31" s="101">
        <f t="shared" si="4"/>
        <v>46.499999999999993</v>
      </c>
      <c r="AC31" s="101">
        <f t="shared" si="4"/>
        <v>46</v>
      </c>
      <c r="AD31" s="101">
        <f t="shared" si="12"/>
        <v>45.60564304461942</v>
      </c>
      <c r="AE31" s="101">
        <f t="shared" si="12"/>
        <v>45.394356955380573</v>
      </c>
      <c r="AF31" s="101">
        <f t="shared" si="12"/>
        <v>45.5</v>
      </c>
      <c r="AG31" s="101">
        <f t="shared" si="12"/>
        <v>44.999999999999993</v>
      </c>
      <c r="AH31" s="175">
        <f t="shared" si="6"/>
        <v>556.99967341606794</v>
      </c>
      <c r="AI31" s="101">
        <f t="shared" si="7"/>
        <v>46.416639451338995</v>
      </c>
      <c r="AK31" s="98">
        <v>65</v>
      </c>
      <c r="AN31" s="98">
        <v>1</v>
      </c>
      <c r="AO31" s="100">
        <f t="shared" si="17"/>
        <v>46.416639451338995</v>
      </c>
      <c r="AR31" s="100">
        <v>0</v>
      </c>
      <c r="AS31" s="101">
        <f t="shared" si="8"/>
        <v>0</v>
      </c>
      <c r="AT31" s="128">
        <f t="shared" si="9"/>
        <v>-8514.9599999999991</v>
      </c>
      <c r="AW31" s="89">
        <f t="shared" ca="1" si="13"/>
        <v>15.61526636971025</v>
      </c>
      <c r="AX31" s="90">
        <f t="shared" ca="1" si="14"/>
        <v>8697.6982682335183</v>
      </c>
      <c r="AY31" s="86">
        <f t="shared" ca="1" si="10"/>
        <v>182.73826823351919</v>
      </c>
      <c r="AZ31" s="402">
        <f t="shared" ca="1" si="15"/>
        <v>33.330813328336397</v>
      </c>
      <c r="BA31" s="402">
        <f t="shared" ca="1" si="16"/>
        <v>8731.0290815618555</v>
      </c>
    </row>
    <row r="32" spans="1:53" s="104" customFormat="1" ht="12" customHeight="1">
      <c r="A32" s="104" t="str">
        <f t="shared" si="11"/>
        <v>Joes TC Refuse UTCSL065.0GEO003WREC</v>
      </c>
      <c r="B32" s="104">
        <f t="shared" si="2"/>
        <v>1</v>
      </c>
      <c r="C32" s="106" t="s">
        <v>285</v>
      </c>
      <c r="D32" s="106" t="s">
        <v>286</v>
      </c>
      <c r="E32" s="177">
        <v>45.93</v>
      </c>
      <c r="F32" s="177">
        <v>45.72</v>
      </c>
      <c r="G32" s="176" t="s">
        <v>694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45.93</v>
      </c>
      <c r="O32" s="108">
        <v>45.93</v>
      </c>
      <c r="P32" s="108">
        <v>45.72</v>
      </c>
      <c r="Q32" s="108">
        <v>45.72</v>
      </c>
      <c r="R32" s="108">
        <v>45.72</v>
      </c>
      <c r="S32" s="108">
        <v>45.72</v>
      </c>
      <c r="T32" s="108">
        <f t="shared" ref="T32" si="18">SUM(H32:S32)</f>
        <v>274.74</v>
      </c>
      <c r="U32" s="108"/>
      <c r="V32" s="108">
        <f t="shared" si="4"/>
        <v>0</v>
      </c>
      <c r="W32" s="108">
        <f t="shared" si="4"/>
        <v>0</v>
      </c>
      <c r="X32" s="108">
        <f t="shared" si="4"/>
        <v>0</v>
      </c>
      <c r="Y32" s="108">
        <f t="shared" si="4"/>
        <v>0</v>
      </c>
      <c r="Z32" s="108">
        <f t="shared" si="4"/>
        <v>0</v>
      </c>
      <c r="AA32" s="108">
        <f t="shared" si="4"/>
        <v>0</v>
      </c>
      <c r="AB32" s="108">
        <f t="shared" si="4"/>
        <v>1</v>
      </c>
      <c r="AC32" s="108">
        <f t="shared" si="4"/>
        <v>1</v>
      </c>
      <c r="AD32" s="108">
        <f t="shared" si="12"/>
        <v>1</v>
      </c>
      <c r="AE32" s="108">
        <f t="shared" si="12"/>
        <v>1</v>
      </c>
      <c r="AF32" s="108">
        <f t="shared" si="12"/>
        <v>1</v>
      </c>
      <c r="AG32" s="108">
        <f t="shared" si="12"/>
        <v>1</v>
      </c>
      <c r="AH32" s="178">
        <f t="shared" si="6"/>
        <v>6</v>
      </c>
      <c r="AI32" s="108">
        <f t="shared" si="7"/>
        <v>0.5</v>
      </c>
      <c r="AK32" s="104">
        <v>65</v>
      </c>
      <c r="AN32" s="104">
        <v>1</v>
      </c>
      <c r="AO32" s="107">
        <f t="shared" si="17"/>
        <v>0.5</v>
      </c>
      <c r="AR32" s="107">
        <v>0</v>
      </c>
      <c r="AS32" s="108">
        <f t="shared" si="8"/>
        <v>0</v>
      </c>
      <c r="AT32" s="179">
        <f t="shared" si="9"/>
        <v>-274.74</v>
      </c>
      <c r="AW32" s="89">
        <f t="shared" ca="1" si="13"/>
        <v>46.845799109130745</v>
      </c>
      <c r="AX32" s="90">
        <f t="shared" ca="1" si="14"/>
        <v>281.07479465478445</v>
      </c>
      <c r="AY32" s="86">
        <f t="shared" ca="1" si="10"/>
        <v>6.3347946547844458</v>
      </c>
      <c r="AZ32" s="402">
        <f t="shared" ca="1" si="15"/>
        <v>1.0771184769832001</v>
      </c>
      <c r="BA32" s="402">
        <f t="shared" ca="1" si="16"/>
        <v>282.15191313176763</v>
      </c>
    </row>
    <row r="33" spans="1:53" s="104" customFormat="1" ht="12" customHeight="1">
      <c r="A33" s="104" t="str">
        <f t="shared" si="11"/>
        <v>Joes TC Refuse UTCSL065.0GEO001WREC</v>
      </c>
      <c r="B33" s="104">
        <f t="shared" si="2"/>
        <v>1</v>
      </c>
      <c r="C33" s="106" t="s">
        <v>281</v>
      </c>
      <c r="D33" s="106" t="s">
        <v>282</v>
      </c>
      <c r="E33" s="177">
        <v>15.31</v>
      </c>
      <c r="F33" s="177">
        <v>15.24</v>
      </c>
      <c r="G33" s="176" t="s">
        <v>694</v>
      </c>
      <c r="H33" s="108">
        <v>25180.355000000003</v>
      </c>
      <c r="I33" s="108">
        <v>25224</v>
      </c>
      <c r="J33" s="108">
        <v>25444.775000000001</v>
      </c>
      <c r="K33" s="108">
        <v>25415.675000000003</v>
      </c>
      <c r="L33" s="108">
        <v>25473.834999999999</v>
      </c>
      <c r="M33" s="108">
        <v>25536.334999999999</v>
      </c>
      <c r="N33" s="108">
        <v>25669.855000000003</v>
      </c>
      <c r="O33" s="108">
        <v>25747.550000000003</v>
      </c>
      <c r="P33" s="108">
        <v>25679.32</v>
      </c>
      <c r="Q33" s="108">
        <v>25468.505000000001</v>
      </c>
      <c r="R33" s="108">
        <v>25432.945000000003</v>
      </c>
      <c r="S33" s="108">
        <v>25271.34</v>
      </c>
      <c r="T33" s="108">
        <f t="shared" si="3"/>
        <v>305544.49000000005</v>
      </c>
      <c r="U33" s="108"/>
      <c r="V33" s="108">
        <f t="shared" si="4"/>
        <v>1644.6998693664273</v>
      </c>
      <c r="W33" s="108">
        <f t="shared" si="4"/>
        <v>1647.5506205094709</v>
      </c>
      <c r="X33" s="108">
        <f t="shared" si="4"/>
        <v>1661.9709340300458</v>
      </c>
      <c r="Y33" s="108">
        <f t="shared" si="4"/>
        <v>1660.0702155453953</v>
      </c>
      <c r="Z33" s="108">
        <f t="shared" si="4"/>
        <v>1663.8690398432395</v>
      </c>
      <c r="AA33" s="108">
        <f t="shared" si="4"/>
        <v>1667.9513389941214</v>
      </c>
      <c r="AB33" s="108">
        <f t="shared" si="4"/>
        <v>1676.6724363161334</v>
      </c>
      <c r="AC33" s="108">
        <f t="shared" si="4"/>
        <v>1681.7472240365776</v>
      </c>
      <c r="AD33" s="108">
        <f t="shared" si="12"/>
        <v>1684.994750656168</v>
      </c>
      <c r="AE33" s="108">
        <f t="shared" si="12"/>
        <v>1671.1617454068241</v>
      </c>
      <c r="AF33" s="108">
        <f t="shared" si="12"/>
        <v>1668.8284120734911</v>
      </c>
      <c r="AG33" s="108">
        <f t="shared" si="12"/>
        <v>1658.224409448819</v>
      </c>
      <c r="AH33" s="178">
        <f t="shared" si="6"/>
        <v>19987.740996226712</v>
      </c>
      <c r="AI33" s="108">
        <f t="shared" si="7"/>
        <v>1665.6450830188926</v>
      </c>
      <c r="AK33" s="104">
        <v>65</v>
      </c>
      <c r="AN33" s="104">
        <v>1</v>
      </c>
      <c r="AO33" s="107">
        <f t="shared" si="17"/>
        <v>1665.6450830188926</v>
      </c>
      <c r="AR33" s="107">
        <v>0</v>
      </c>
      <c r="AS33" s="108">
        <f t="shared" si="8"/>
        <v>0</v>
      </c>
      <c r="AT33" s="179">
        <f t="shared" si="9"/>
        <v>-305544.49000000005</v>
      </c>
      <c r="AW33" s="89">
        <f t="shared" ca="1" si="13"/>
        <v>15.61526636971025</v>
      </c>
      <c r="AX33" s="90">
        <f t="shared" ca="1" si="14"/>
        <v>312113.89978485781</v>
      </c>
      <c r="AY33" s="86">
        <f t="shared" ca="1" si="10"/>
        <v>6569.4097848577658</v>
      </c>
      <c r="AZ33" s="402">
        <f t="shared" ca="1" si="15"/>
        <v>1196.0647300105773</v>
      </c>
      <c r="BA33" s="402">
        <f t="shared" ca="1" si="16"/>
        <v>313309.96451486839</v>
      </c>
    </row>
    <row r="34" spans="1:53" s="104" customFormat="1" ht="12" customHeight="1">
      <c r="A34" s="104" t="str">
        <f t="shared" si="11"/>
        <v>Joes TC Refuse UTCSL065.0GEO002WREC</v>
      </c>
      <c r="B34" s="104">
        <f t="shared" si="2"/>
        <v>1</v>
      </c>
      <c r="C34" s="106" t="s">
        <v>283</v>
      </c>
      <c r="D34" s="106" t="s">
        <v>284</v>
      </c>
      <c r="E34" s="177">
        <v>30.62</v>
      </c>
      <c r="F34" s="177">
        <v>30.48</v>
      </c>
      <c r="G34" s="176" t="s">
        <v>694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f t="shared" si="3"/>
        <v>0</v>
      </c>
      <c r="U34" s="108"/>
      <c r="V34" s="108">
        <f t="shared" si="4"/>
        <v>0</v>
      </c>
      <c r="W34" s="108">
        <f t="shared" si="4"/>
        <v>0</v>
      </c>
      <c r="X34" s="108">
        <f t="shared" si="4"/>
        <v>0</v>
      </c>
      <c r="Y34" s="108">
        <f t="shared" si="4"/>
        <v>0</v>
      </c>
      <c r="Z34" s="108">
        <f t="shared" si="4"/>
        <v>0</v>
      </c>
      <c r="AA34" s="108">
        <f t="shared" si="4"/>
        <v>0</v>
      </c>
      <c r="AB34" s="108">
        <f t="shared" si="4"/>
        <v>0</v>
      </c>
      <c r="AC34" s="108">
        <f t="shared" si="4"/>
        <v>0</v>
      </c>
      <c r="AD34" s="108">
        <f t="shared" si="12"/>
        <v>0</v>
      </c>
      <c r="AE34" s="108">
        <f t="shared" si="12"/>
        <v>0</v>
      </c>
      <c r="AF34" s="108">
        <f t="shared" si="12"/>
        <v>0</v>
      </c>
      <c r="AG34" s="108">
        <f t="shared" si="12"/>
        <v>0</v>
      </c>
      <c r="AH34" s="178">
        <f t="shared" si="6"/>
        <v>0</v>
      </c>
      <c r="AI34" s="108">
        <f t="shared" si="7"/>
        <v>0</v>
      </c>
      <c r="AK34" s="104">
        <v>65</v>
      </c>
      <c r="AN34" s="104">
        <v>2</v>
      </c>
      <c r="AO34" s="107">
        <f t="shared" si="17"/>
        <v>0</v>
      </c>
      <c r="AR34" s="107">
        <f>+IFERROR((VLOOKUP(C34,#REF!,3,FALSE)),0)</f>
        <v>0</v>
      </c>
      <c r="AS34" s="108">
        <f t="shared" si="8"/>
        <v>0</v>
      </c>
      <c r="AT34" s="179">
        <f t="shared" si="9"/>
        <v>0</v>
      </c>
      <c r="AW34" s="89">
        <f t="shared" ca="1" si="13"/>
        <v>31.2305327394205</v>
      </c>
      <c r="AX34" s="90">
        <f t="shared" ca="1" si="14"/>
        <v>0</v>
      </c>
      <c r="AY34" s="86">
        <f t="shared" ca="1" si="10"/>
        <v>0</v>
      </c>
      <c r="AZ34" s="402">
        <f t="shared" ca="1" si="15"/>
        <v>0</v>
      </c>
      <c r="BA34" s="402">
        <f t="shared" ca="1" si="16"/>
        <v>0</v>
      </c>
    </row>
    <row r="35" spans="1:53" s="104" customFormat="1" ht="12" customHeight="1">
      <c r="A35" s="104" t="str">
        <f t="shared" si="11"/>
        <v>Joes TC Refuse UTCSL095.0G1M001WREC</v>
      </c>
      <c r="B35" s="104">
        <f t="shared" si="2"/>
        <v>1</v>
      </c>
      <c r="C35" s="106" t="s">
        <v>289</v>
      </c>
      <c r="D35" s="106" t="s">
        <v>290</v>
      </c>
      <c r="E35" s="177">
        <v>9.3800000000000008</v>
      </c>
      <c r="F35" s="177">
        <v>9.34</v>
      </c>
      <c r="G35" s="176" t="s">
        <v>694</v>
      </c>
      <c r="H35" s="108">
        <v>558.11</v>
      </c>
      <c r="I35" s="108">
        <v>581.55999999999995</v>
      </c>
      <c r="J35" s="108">
        <v>576.87</v>
      </c>
      <c r="K35" s="108">
        <v>586.25</v>
      </c>
      <c r="L35" s="108">
        <v>581.55999999999995</v>
      </c>
      <c r="M35" s="108">
        <v>581.55999999999995</v>
      </c>
      <c r="N35" s="108">
        <v>581.55999999999995</v>
      </c>
      <c r="O35" s="108">
        <v>576.87</v>
      </c>
      <c r="P35" s="108">
        <v>575.36999999999989</v>
      </c>
      <c r="Q35" s="108">
        <v>536.11</v>
      </c>
      <c r="R35" s="108">
        <v>565.06999999999994</v>
      </c>
      <c r="S35" s="108">
        <v>555.73</v>
      </c>
      <c r="T35" s="108">
        <f t="shared" si="3"/>
        <v>6856.619999999999</v>
      </c>
      <c r="U35" s="108"/>
      <c r="V35" s="108">
        <f t="shared" si="4"/>
        <v>59.5</v>
      </c>
      <c r="W35" s="108">
        <f t="shared" si="4"/>
        <v>61.999999999999986</v>
      </c>
      <c r="X35" s="108">
        <f t="shared" si="4"/>
        <v>61.499999999999993</v>
      </c>
      <c r="Y35" s="108">
        <f t="shared" si="4"/>
        <v>62.499999999999993</v>
      </c>
      <c r="Z35" s="108">
        <f t="shared" si="4"/>
        <v>61.999999999999986</v>
      </c>
      <c r="AA35" s="108">
        <f t="shared" si="4"/>
        <v>61.999999999999986</v>
      </c>
      <c r="AB35" s="108">
        <f t="shared" si="4"/>
        <v>61.999999999999986</v>
      </c>
      <c r="AC35" s="108">
        <f t="shared" si="4"/>
        <v>61.499999999999993</v>
      </c>
      <c r="AD35" s="108">
        <f t="shared" si="12"/>
        <v>61.602783725910051</v>
      </c>
      <c r="AE35" s="108">
        <f t="shared" si="12"/>
        <v>57.399357601713064</v>
      </c>
      <c r="AF35" s="108">
        <f t="shared" si="12"/>
        <v>60.499999999999993</v>
      </c>
      <c r="AG35" s="108">
        <f t="shared" si="12"/>
        <v>59.5</v>
      </c>
      <c r="AH35" s="178">
        <f t="shared" si="6"/>
        <v>732.00214132762301</v>
      </c>
      <c r="AI35" s="108">
        <f t="shared" si="7"/>
        <v>61.000178443968586</v>
      </c>
      <c r="AK35" s="104">
        <v>95</v>
      </c>
      <c r="AN35" s="104">
        <v>1</v>
      </c>
      <c r="AO35" s="107">
        <f t="shared" si="17"/>
        <v>61.000178443968586</v>
      </c>
      <c r="AR35" s="107">
        <v>10.02</v>
      </c>
      <c r="AS35" s="108">
        <f t="shared" si="8"/>
        <v>7334.6614561027818</v>
      </c>
      <c r="AT35" s="179">
        <f t="shared" si="9"/>
        <v>478.04145610278283</v>
      </c>
      <c r="AW35" s="89">
        <f t="shared" ca="1" si="13"/>
        <v>9.5699860822239984</v>
      </c>
      <c r="AX35" s="90">
        <f t="shared" ca="1" si="14"/>
        <v>7005.2503046635165</v>
      </c>
      <c r="AY35" s="86">
        <f t="shared" ca="1" si="10"/>
        <v>148.63030466351756</v>
      </c>
      <c r="AZ35" s="402">
        <f t="shared" ca="1" si="15"/>
        <v>26.845112697894582</v>
      </c>
      <c r="BA35" s="402">
        <f t="shared" ca="1" si="16"/>
        <v>7032.0954173614109</v>
      </c>
    </row>
    <row r="36" spans="1:53" s="98" customFormat="1" ht="12" customHeight="1">
      <c r="A36" s="98" t="str">
        <f t="shared" si="11"/>
        <v>Joes TC Refuse UTCSL095.0G1W001NOREC</v>
      </c>
      <c r="B36" s="98">
        <f t="shared" si="2"/>
        <v>1</v>
      </c>
      <c r="C36" s="99" t="s">
        <v>291</v>
      </c>
      <c r="D36" s="99" t="s">
        <v>292</v>
      </c>
      <c r="E36" s="176">
        <v>32.69</v>
      </c>
      <c r="F36" s="176">
        <v>32.549999999999997</v>
      </c>
      <c r="G36" s="176" t="s">
        <v>694</v>
      </c>
      <c r="H36" s="101">
        <v>130.76</v>
      </c>
      <c r="I36" s="101">
        <v>130.76</v>
      </c>
      <c r="J36" s="101">
        <v>130.76</v>
      </c>
      <c r="K36" s="101">
        <v>130.76</v>
      </c>
      <c r="L36" s="101">
        <v>141.655</v>
      </c>
      <c r="M36" s="101">
        <v>174.345</v>
      </c>
      <c r="N36" s="101">
        <v>147.10499999999999</v>
      </c>
      <c r="O36" s="101">
        <v>114.41499999999999</v>
      </c>
      <c r="P36" s="101">
        <v>110.13499999999999</v>
      </c>
      <c r="Q36" s="101">
        <v>44.474999999999994</v>
      </c>
      <c r="R36" s="101">
        <v>65.099999999999994</v>
      </c>
      <c r="S36" s="101">
        <v>65.099999999999994</v>
      </c>
      <c r="T36" s="101">
        <f t="shared" si="3"/>
        <v>1385.3699999999997</v>
      </c>
      <c r="U36" s="101"/>
      <c r="V36" s="101">
        <f t="shared" si="4"/>
        <v>4</v>
      </c>
      <c r="W36" s="101">
        <f t="shared" si="4"/>
        <v>4</v>
      </c>
      <c r="X36" s="101">
        <f t="shared" si="4"/>
        <v>4</v>
      </c>
      <c r="Y36" s="101">
        <f t="shared" si="4"/>
        <v>4</v>
      </c>
      <c r="Z36" s="101">
        <f t="shared" si="4"/>
        <v>4.3332823493423067</v>
      </c>
      <c r="AA36" s="101">
        <f t="shared" si="4"/>
        <v>5.3332823493423067</v>
      </c>
      <c r="AB36" s="101">
        <f t="shared" si="4"/>
        <v>4.5</v>
      </c>
      <c r="AC36" s="101">
        <f t="shared" si="4"/>
        <v>3.5</v>
      </c>
      <c r="AD36" s="101">
        <f t="shared" si="12"/>
        <v>3.3835637480798773</v>
      </c>
      <c r="AE36" s="101">
        <f t="shared" si="12"/>
        <v>1.3663594470046083</v>
      </c>
      <c r="AF36" s="101">
        <f t="shared" si="12"/>
        <v>2</v>
      </c>
      <c r="AG36" s="101">
        <f t="shared" si="12"/>
        <v>2</v>
      </c>
      <c r="AH36" s="175">
        <f t="shared" si="6"/>
        <v>42.416487893769094</v>
      </c>
      <c r="AI36" s="101">
        <f t="shared" si="7"/>
        <v>3.5347073244807579</v>
      </c>
      <c r="AK36" s="98">
        <v>95</v>
      </c>
      <c r="AN36" s="98">
        <v>1</v>
      </c>
      <c r="AO36" s="100">
        <f t="shared" si="17"/>
        <v>3.5347073244807579</v>
      </c>
      <c r="AR36" s="100">
        <v>28.53</v>
      </c>
      <c r="AS36" s="101">
        <f t="shared" si="8"/>
        <v>1210.1423996092324</v>
      </c>
      <c r="AT36" s="128">
        <f t="shared" si="9"/>
        <v>-175.22760039076729</v>
      </c>
      <c r="AW36" s="89">
        <f t="shared" ca="1" si="13"/>
        <v>33.351503958928383</v>
      </c>
      <c r="AX36" s="90">
        <f t="shared" ca="1" si="14"/>
        <v>1414.6536639128778</v>
      </c>
      <c r="AY36" s="86">
        <f t="shared" ca="1" si="10"/>
        <v>29.283663912878183</v>
      </c>
      <c r="AZ36" s="402">
        <f t="shared" ca="1" si="15"/>
        <v>5.4211534755509092</v>
      </c>
      <c r="BA36" s="402">
        <f t="shared" ca="1" si="16"/>
        <v>1420.0748173884288</v>
      </c>
    </row>
    <row r="37" spans="1:53" s="104" customFormat="1" ht="12" customHeight="1">
      <c r="A37" s="104" t="str">
        <f t="shared" si="11"/>
        <v>Joes TC Refuse UTCSL095.0G1W001WREC</v>
      </c>
      <c r="B37" s="104">
        <f t="shared" si="2"/>
        <v>1</v>
      </c>
      <c r="C37" s="106" t="s">
        <v>293</v>
      </c>
      <c r="D37" s="106" t="s">
        <v>294</v>
      </c>
      <c r="E37" s="177">
        <v>32.69</v>
      </c>
      <c r="F37" s="177">
        <v>32.549999999999997</v>
      </c>
      <c r="G37" s="176" t="s">
        <v>694</v>
      </c>
      <c r="H37" s="108">
        <v>18866.580000000002</v>
      </c>
      <c r="I37" s="108">
        <v>18959.235000000001</v>
      </c>
      <c r="J37" s="108">
        <v>19304.305</v>
      </c>
      <c r="K37" s="108">
        <v>19012.39</v>
      </c>
      <c r="L37" s="108">
        <v>19219.87</v>
      </c>
      <c r="M37" s="108">
        <v>19204.424999999999</v>
      </c>
      <c r="N37" s="108">
        <v>19188.46</v>
      </c>
      <c r="O37" s="108">
        <v>18978.404999999999</v>
      </c>
      <c r="P37" s="108">
        <v>19145.045000000002</v>
      </c>
      <c r="Q37" s="108">
        <v>19131.794999999998</v>
      </c>
      <c r="R37" s="108">
        <v>19251.07</v>
      </c>
      <c r="S37" s="108">
        <v>19449.075000000001</v>
      </c>
      <c r="T37" s="108">
        <f t="shared" si="3"/>
        <v>229710.65500000003</v>
      </c>
      <c r="U37" s="108"/>
      <c r="V37" s="108">
        <f t="shared" si="4"/>
        <v>577.13612725604173</v>
      </c>
      <c r="W37" s="108">
        <f t="shared" si="4"/>
        <v>579.97048026919549</v>
      </c>
      <c r="X37" s="108">
        <f t="shared" si="4"/>
        <v>590.52630773936994</v>
      </c>
      <c r="Y37" s="108">
        <f t="shared" si="4"/>
        <v>581.59651269501376</v>
      </c>
      <c r="Z37" s="108">
        <f t="shared" si="4"/>
        <v>587.94340776996023</v>
      </c>
      <c r="AA37" s="108">
        <f t="shared" si="4"/>
        <v>587.47093912511468</v>
      </c>
      <c r="AB37" s="108">
        <f t="shared" si="4"/>
        <v>586.98256347506879</v>
      </c>
      <c r="AC37" s="108">
        <f t="shared" si="4"/>
        <v>580.5568981339859</v>
      </c>
      <c r="AD37" s="108">
        <f t="shared" si="12"/>
        <v>588.17342549923205</v>
      </c>
      <c r="AE37" s="108">
        <f t="shared" si="12"/>
        <v>587.76635944700456</v>
      </c>
      <c r="AF37" s="108">
        <f t="shared" si="12"/>
        <v>591.43072196620585</v>
      </c>
      <c r="AG37" s="108">
        <f t="shared" si="12"/>
        <v>597.51382488479271</v>
      </c>
      <c r="AH37" s="178">
        <f t="shared" si="6"/>
        <v>7037.0675682609854</v>
      </c>
      <c r="AI37" s="108">
        <f t="shared" si="7"/>
        <v>586.42229735508215</v>
      </c>
      <c r="AK37" s="104">
        <v>95</v>
      </c>
      <c r="AN37" s="104">
        <v>1</v>
      </c>
      <c r="AO37" s="107">
        <f t="shared" si="17"/>
        <v>586.42229735508215</v>
      </c>
      <c r="AR37" s="107">
        <v>28.53</v>
      </c>
      <c r="AS37" s="108">
        <f t="shared" si="8"/>
        <v>200767.53772248593</v>
      </c>
      <c r="AT37" s="179">
        <f t="shared" si="9"/>
        <v>-28943.117277514102</v>
      </c>
      <c r="AW37" s="89">
        <f t="shared" ca="1" si="13"/>
        <v>33.351503958928383</v>
      </c>
      <c r="AX37" s="90">
        <f t="shared" ca="1" si="14"/>
        <v>234696.7868621028</v>
      </c>
      <c r="AY37" s="86">
        <f t="shared" ca="1" si="10"/>
        <v>4986.1318621027749</v>
      </c>
      <c r="AZ37" s="402">
        <f t="shared" ca="1" si="15"/>
        <v>899.39137348919098</v>
      </c>
      <c r="BA37" s="402">
        <f t="shared" ca="1" si="16"/>
        <v>235596.178235592</v>
      </c>
    </row>
    <row r="38" spans="1:53" s="98" customFormat="1" ht="12" customHeight="1">
      <c r="A38" s="98" t="str">
        <f t="shared" si="11"/>
        <v>Joes TC Refuse UTCSL095.0G1W002NOREC</v>
      </c>
      <c r="B38" s="98">
        <f t="shared" si="2"/>
        <v>1</v>
      </c>
      <c r="C38" s="99" t="s">
        <v>695</v>
      </c>
      <c r="D38" s="99" t="s">
        <v>696</v>
      </c>
      <c r="E38" s="176">
        <v>65.38</v>
      </c>
      <c r="F38" s="176">
        <v>65.099999999999994</v>
      </c>
      <c r="G38" s="176" t="s">
        <v>694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f t="shared" si="3"/>
        <v>0</v>
      </c>
      <c r="U38" s="101"/>
      <c r="V38" s="101">
        <f t="shared" si="4"/>
        <v>0</v>
      </c>
      <c r="W38" s="101">
        <f t="shared" si="4"/>
        <v>0</v>
      </c>
      <c r="X38" s="101">
        <f t="shared" si="4"/>
        <v>0</v>
      </c>
      <c r="Y38" s="101">
        <f t="shared" si="4"/>
        <v>0</v>
      </c>
      <c r="Z38" s="101">
        <f t="shared" si="4"/>
        <v>0</v>
      </c>
      <c r="AA38" s="101">
        <f t="shared" si="4"/>
        <v>0</v>
      </c>
      <c r="AB38" s="101">
        <f t="shared" si="4"/>
        <v>0</v>
      </c>
      <c r="AC38" s="101">
        <f t="shared" si="4"/>
        <v>0</v>
      </c>
      <c r="AD38" s="101">
        <f t="shared" si="12"/>
        <v>0</v>
      </c>
      <c r="AE38" s="101">
        <f t="shared" si="12"/>
        <v>0</v>
      </c>
      <c r="AF38" s="101">
        <f t="shared" si="12"/>
        <v>0</v>
      </c>
      <c r="AG38" s="101">
        <f t="shared" si="12"/>
        <v>0</v>
      </c>
      <c r="AH38" s="175">
        <f t="shared" si="6"/>
        <v>0</v>
      </c>
      <c r="AI38" s="101">
        <f t="shared" si="7"/>
        <v>0</v>
      </c>
      <c r="AK38" s="98">
        <v>95</v>
      </c>
      <c r="AN38" s="98">
        <v>2</v>
      </c>
      <c r="AO38" s="100">
        <f t="shared" si="17"/>
        <v>0</v>
      </c>
      <c r="AR38" s="100">
        <f>+IFERROR((VLOOKUP(C38,#REF!,3,FALSE)),0)</f>
        <v>0</v>
      </c>
      <c r="AS38" s="101">
        <f t="shared" si="8"/>
        <v>0</v>
      </c>
      <c r="AT38" s="128">
        <f t="shared" si="9"/>
        <v>0</v>
      </c>
      <c r="AW38" s="89">
        <f t="shared" ca="1" si="13"/>
        <v>66.703007917856766</v>
      </c>
      <c r="AX38" s="90">
        <f t="shared" ca="1" si="14"/>
        <v>0</v>
      </c>
      <c r="AY38" s="86">
        <f t="shared" ca="1" si="10"/>
        <v>0</v>
      </c>
      <c r="AZ38" s="402">
        <f t="shared" ca="1" si="15"/>
        <v>0</v>
      </c>
      <c r="BA38" s="402">
        <f t="shared" ca="1" si="16"/>
        <v>0</v>
      </c>
    </row>
    <row r="39" spans="1:53" s="104" customFormat="1" ht="12" customHeight="1">
      <c r="A39" s="104" t="str">
        <f t="shared" si="11"/>
        <v>Joes TC Refuse UTCSL095.0G1W002WREC</v>
      </c>
      <c r="B39" s="104">
        <f t="shared" si="2"/>
        <v>1</v>
      </c>
      <c r="C39" s="106" t="s">
        <v>295</v>
      </c>
      <c r="D39" s="106" t="s">
        <v>296</v>
      </c>
      <c r="E39" s="177">
        <v>65.38</v>
      </c>
      <c r="F39" s="177">
        <v>65.099999999999994</v>
      </c>
      <c r="G39" s="176" t="s">
        <v>694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08">
        <f t="shared" si="3"/>
        <v>0</v>
      </c>
      <c r="U39" s="108"/>
      <c r="V39" s="108">
        <f t="shared" si="4"/>
        <v>0</v>
      </c>
      <c r="W39" s="108">
        <f t="shared" si="4"/>
        <v>0</v>
      </c>
      <c r="X39" s="108">
        <f t="shared" si="4"/>
        <v>0</v>
      </c>
      <c r="Y39" s="108">
        <f t="shared" si="4"/>
        <v>0</v>
      </c>
      <c r="Z39" s="108">
        <f t="shared" si="4"/>
        <v>0</v>
      </c>
      <c r="AA39" s="108">
        <f t="shared" si="4"/>
        <v>0</v>
      </c>
      <c r="AB39" s="108">
        <f t="shared" si="4"/>
        <v>0</v>
      </c>
      <c r="AC39" s="108">
        <f t="shared" si="4"/>
        <v>0</v>
      </c>
      <c r="AD39" s="108">
        <f t="shared" si="12"/>
        <v>0</v>
      </c>
      <c r="AE39" s="108">
        <f t="shared" si="12"/>
        <v>0</v>
      </c>
      <c r="AF39" s="108">
        <f t="shared" si="12"/>
        <v>0</v>
      </c>
      <c r="AG39" s="108">
        <f t="shared" si="12"/>
        <v>0</v>
      </c>
      <c r="AH39" s="178">
        <f t="shared" si="6"/>
        <v>0</v>
      </c>
      <c r="AI39" s="108">
        <f t="shared" si="7"/>
        <v>0</v>
      </c>
      <c r="AK39" s="104">
        <v>95</v>
      </c>
      <c r="AN39" s="104">
        <v>2</v>
      </c>
      <c r="AO39" s="107">
        <f t="shared" si="17"/>
        <v>0</v>
      </c>
      <c r="AR39" s="107">
        <f>+IFERROR((VLOOKUP(C39,#REF!,3,FALSE)),0)</f>
        <v>0</v>
      </c>
      <c r="AS39" s="108">
        <f t="shared" si="8"/>
        <v>0</v>
      </c>
      <c r="AT39" s="179">
        <f t="shared" si="9"/>
        <v>0</v>
      </c>
      <c r="AW39" s="89">
        <f t="shared" ca="1" si="13"/>
        <v>66.703007917856766</v>
      </c>
      <c r="AX39" s="90">
        <f t="shared" ca="1" si="14"/>
        <v>0</v>
      </c>
      <c r="AY39" s="86">
        <f t="shared" ca="1" si="10"/>
        <v>0</v>
      </c>
      <c r="AZ39" s="402">
        <f t="shared" ca="1" si="15"/>
        <v>0</v>
      </c>
      <c r="BA39" s="402">
        <f t="shared" ca="1" si="16"/>
        <v>0</v>
      </c>
    </row>
    <row r="40" spans="1:53" s="98" customFormat="1" ht="12" customHeight="1">
      <c r="A40" s="98" t="str">
        <f t="shared" si="11"/>
        <v>Joes TC Refuse UTCSL095.0GEO001NOREC</v>
      </c>
      <c r="B40" s="98">
        <f t="shared" si="2"/>
        <v>1</v>
      </c>
      <c r="C40" s="99" t="s">
        <v>297</v>
      </c>
      <c r="D40" s="99" t="s">
        <v>298</v>
      </c>
      <c r="E40" s="176">
        <v>22.41</v>
      </c>
      <c r="F40" s="176">
        <v>22.31</v>
      </c>
      <c r="G40" s="176" t="s">
        <v>694</v>
      </c>
      <c r="H40" s="101">
        <v>67.23</v>
      </c>
      <c r="I40" s="101">
        <v>67.23</v>
      </c>
      <c r="J40" s="101">
        <v>67.23</v>
      </c>
      <c r="K40" s="101">
        <v>67.23</v>
      </c>
      <c r="L40" s="101">
        <v>67.23</v>
      </c>
      <c r="M40" s="101">
        <v>67.23</v>
      </c>
      <c r="N40" s="101">
        <v>67.23</v>
      </c>
      <c r="O40" s="101">
        <v>67.23</v>
      </c>
      <c r="P40" s="101">
        <v>66.97999999999999</v>
      </c>
      <c r="Q40" s="101">
        <v>66.88</v>
      </c>
      <c r="R40" s="101">
        <v>66.929999999999993</v>
      </c>
      <c r="S40" s="101">
        <v>66.929999999999993</v>
      </c>
      <c r="T40" s="101">
        <f t="shared" si="3"/>
        <v>805.56</v>
      </c>
      <c r="U40" s="101"/>
      <c r="V40" s="101">
        <f t="shared" si="4"/>
        <v>3</v>
      </c>
      <c r="W40" s="101">
        <f t="shared" si="4"/>
        <v>3</v>
      </c>
      <c r="X40" s="101">
        <f t="shared" si="4"/>
        <v>3</v>
      </c>
      <c r="Y40" s="101">
        <f t="shared" si="4"/>
        <v>3</v>
      </c>
      <c r="Z40" s="101">
        <f t="shared" si="4"/>
        <v>3</v>
      </c>
      <c r="AA40" s="101">
        <f t="shared" si="4"/>
        <v>3</v>
      </c>
      <c r="AB40" s="101">
        <f t="shared" si="4"/>
        <v>3</v>
      </c>
      <c r="AC40" s="101">
        <f t="shared" si="4"/>
        <v>3</v>
      </c>
      <c r="AD40" s="101">
        <f t="shared" si="12"/>
        <v>3.0022411474675033</v>
      </c>
      <c r="AE40" s="101">
        <f t="shared" si="12"/>
        <v>2.9977588525324967</v>
      </c>
      <c r="AF40" s="101">
        <f t="shared" si="12"/>
        <v>3</v>
      </c>
      <c r="AG40" s="101">
        <f t="shared" si="12"/>
        <v>3</v>
      </c>
      <c r="AH40" s="175">
        <f t="shared" si="6"/>
        <v>36</v>
      </c>
      <c r="AI40" s="101">
        <f t="shared" si="7"/>
        <v>3</v>
      </c>
      <c r="AK40" s="98">
        <v>95</v>
      </c>
      <c r="AN40" s="98">
        <v>1</v>
      </c>
      <c r="AO40" s="100">
        <f t="shared" si="17"/>
        <v>3</v>
      </c>
      <c r="AR40" s="100">
        <v>0</v>
      </c>
      <c r="AS40" s="101">
        <f t="shared" si="8"/>
        <v>0</v>
      </c>
      <c r="AT40" s="128">
        <f t="shared" si="9"/>
        <v>-805.56</v>
      </c>
      <c r="AW40" s="89">
        <f t="shared" ca="1" si="13"/>
        <v>22.85935647691835</v>
      </c>
      <c r="AX40" s="90">
        <f t="shared" ca="1" si="14"/>
        <v>822.93683316906061</v>
      </c>
      <c r="AY40" s="86">
        <f t="shared" ca="1" si="10"/>
        <v>17.37683316906066</v>
      </c>
      <c r="AZ40" s="402">
        <f t="shared" ca="1" si="15"/>
        <v>3.1536106589888711</v>
      </c>
      <c r="BA40" s="402">
        <f t="shared" ca="1" si="16"/>
        <v>826.0904438280495</v>
      </c>
    </row>
    <row r="41" spans="1:53" s="104" customFormat="1" ht="12" customHeight="1">
      <c r="A41" s="104" t="str">
        <f t="shared" si="11"/>
        <v>Joes TC Refuse UTCSL095.0GEO001WREC</v>
      </c>
      <c r="B41" s="104">
        <f t="shared" si="2"/>
        <v>1</v>
      </c>
      <c r="C41" s="106" t="s">
        <v>299</v>
      </c>
      <c r="D41" s="106" t="s">
        <v>300</v>
      </c>
      <c r="E41" s="177">
        <v>22.41</v>
      </c>
      <c r="F41" s="177">
        <v>22.31</v>
      </c>
      <c r="G41" s="176" t="s">
        <v>694</v>
      </c>
      <c r="H41" s="108">
        <v>3591.2049999999999</v>
      </c>
      <c r="I41" s="108">
        <v>3473.54</v>
      </c>
      <c r="J41" s="108">
        <v>3563.1699999999996</v>
      </c>
      <c r="K41" s="108">
        <v>3616.9650000000001</v>
      </c>
      <c r="L41" s="108">
        <v>3680.84</v>
      </c>
      <c r="M41" s="108">
        <v>3694.29</v>
      </c>
      <c r="N41" s="108">
        <v>3666.27</v>
      </c>
      <c r="O41" s="108">
        <v>3632.6549999999997</v>
      </c>
      <c r="P41" s="108">
        <v>3599.3249999999998</v>
      </c>
      <c r="Q41" s="108">
        <v>3577.585</v>
      </c>
      <c r="R41" s="108">
        <v>3520.5200000000004</v>
      </c>
      <c r="S41" s="108">
        <v>3538.37</v>
      </c>
      <c r="T41" s="108">
        <f t="shared" si="3"/>
        <v>43154.735000000008</v>
      </c>
      <c r="U41" s="108"/>
      <c r="V41" s="108">
        <f t="shared" si="4"/>
        <v>160.25011155734046</v>
      </c>
      <c r="W41" s="108">
        <f t="shared" si="4"/>
        <v>154.9995537706381</v>
      </c>
      <c r="X41" s="108">
        <f t="shared" si="4"/>
        <v>158.9991075412762</v>
      </c>
      <c r="Y41" s="108">
        <f t="shared" si="4"/>
        <v>161.39959839357431</v>
      </c>
      <c r="Z41" s="108">
        <f t="shared" si="4"/>
        <v>164.24988844265954</v>
      </c>
      <c r="AA41" s="108">
        <f t="shared" si="4"/>
        <v>164.85006693440428</v>
      </c>
      <c r="AB41" s="108">
        <f t="shared" si="4"/>
        <v>163.59973226238287</v>
      </c>
      <c r="AC41" s="108">
        <f t="shared" si="4"/>
        <v>162.09973226238284</v>
      </c>
      <c r="AD41" s="108">
        <f t="shared" si="12"/>
        <v>161.33236216943075</v>
      </c>
      <c r="AE41" s="108">
        <f t="shared" si="12"/>
        <v>160.35791125056031</v>
      </c>
      <c r="AF41" s="108">
        <f t="shared" si="12"/>
        <v>157.80008964589874</v>
      </c>
      <c r="AG41" s="108">
        <f t="shared" si="12"/>
        <v>158.60017929179742</v>
      </c>
      <c r="AH41" s="178">
        <f t="shared" si="6"/>
        <v>1928.5383335223455</v>
      </c>
      <c r="AI41" s="108">
        <f t="shared" si="7"/>
        <v>160.7115277935288</v>
      </c>
      <c r="AK41" s="104">
        <v>95</v>
      </c>
      <c r="AN41" s="104">
        <v>1</v>
      </c>
      <c r="AO41" s="107">
        <f t="shared" si="17"/>
        <v>160.7115277935288</v>
      </c>
      <c r="AR41" s="107">
        <v>0</v>
      </c>
      <c r="AS41" s="108">
        <f t="shared" si="8"/>
        <v>0</v>
      </c>
      <c r="AT41" s="179">
        <f t="shared" si="9"/>
        <v>-43154.735000000008</v>
      </c>
      <c r="AW41" s="89">
        <f t="shared" ca="1" si="13"/>
        <v>22.85935647691835</v>
      </c>
      <c r="AX41" s="90">
        <f t="shared" ca="1" si="14"/>
        <v>44085.145245389351</v>
      </c>
      <c r="AY41" s="86">
        <f t="shared" ca="1" si="10"/>
        <v>930.41024538934289</v>
      </c>
      <c r="AZ41" s="402">
        <f t="shared" ca="1" si="15"/>
        <v>168.94052902401955</v>
      </c>
      <c r="BA41" s="402">
        <f t="shared" ca="1" si="16"/>
        <v>44254.085774413368</v>
      </c>
    </row>
    <row r="42" spans="1:53" ht="12" customHeight="1">
      <c r="A42" s="38" t="str">
        <f t="shared" si="11"/>
        <v>Joes TC Refuse UTCSP65-RES</v>
      </c>
      <c r="B42" s="38">
        <f t="shared" si="2"/>
        <v>1</v>
      </c>
      <c r="C42" s="87" t="s">
        <v>301</v>
      </c>
      <c r="D42" s="87" t="s">
        <v>302</v>
      </c>
      <c r="E42" s="174">
        <v>11.01</v>
      </c>
      <c r="F42" s="69">
        <v>10.98</v>
      </c>
      <c r="G42" s="69" t="s">
        <v>690</v>
      </c>
      <c r="H42" s="88">
        <v>198.18</v>
      </c>
      <c r="I42" s="88">
        <v>253.23</v>
      </c>
      <c r="J42" s="88">
        <v>264.24</v>
      </c>
      <c r="K42" s="88">
        <v>275.25</v>
      </c>
      <c r="L42" s="88">
        <v>286.26</v>
      </c>
      <c r="M42" s="88">
        <v>143.13</v>
      </c>
      <c r="N42" s="88">
        <v>154.13999999999999</v>
      </c>
      <c r="O42" s="88">
        <v>275.25</v>
      </c>
      <c r="P42" s="88">
        <v>285.51</v>
      </c>
      <c r="Q42" s="88">
        <v>395.28</v>
      </c>
      <c r="R42" s="88">
        <v>230.57999999999998</v>
      </c>
      <c r="S42" s="88">
        <v>87.84</v>
      </c>
      <c r="T42" s="88">
        <f t="shared" si="3"/>
        <v>2848.8899999999994</v>
      </c>
      <c r="U42" s="88"/>
      <c r="V42" s="88">
        <f t="shared" si="4"/>
        <v>18</v>
      </c>
      <c r="W42" s="88">
        <f t="shared" si="4"/>
        <v>23</v>
      </c>
      <c r="X42" s="88">
        <f t="shared" si="4"/>
        <v>24</v>
      </c>
      <c r="Y42" s="88">
        <f t="shared" si="4"/>
        <v>25</v>
      </c>
      <c r="Z42" s="88">
        <f t="shared" si="4"/>
        <v>26</v>
      </c>
      <c r="AA42" s="88">
        <f t="shared" si="4"/>
        <v>13</v>
      </c>
      <c r="AB42" s="88">
        <f t="shared" si="4"/>
        <v>13.999999999999998</v>
      </c>
      <c r="AC42" s="88">
        <f t="shared" ref="AC42:AC46" si="19">IFERROR(O42/$E42,0)</f>
        <v>25</v>
      </c>
      <c r="AD42" s="88">
        <f t="shared" si="12"/>
        <v>26.002732240437158</v>
      </c>
      <c r="AE42" s="88">
        <f t="shared" si="12"/>
        <v>35.999999999999993</v>
      </c>
      <c r="AF42" s="88">
        <f t="shared" si="12"/>
        <v>20.999999999999996</v>
      </c>
      <c r="AG42" s="88">
        <f t="shared" si="12"/>
        <v>8</v>
      </c>
      <c r="AH42" s="175">
        <f t="shared" si="6"/>
        <v>259.00273224043713</v>
      </c>
      <c r="AI42" s="88">
        <f t="shared" si="7"/>
        <v>21.583561020036427</v>
      </c>
      <c r="AR42" s="69" t="e">
        <f>+VLOOKUP(C42,#REF!,3,FALSE)</f>
        <v>#REF!</v>
      </c>
      <c r="AS42" s="88">
        <f t="shared" si="8"/>
        <v>0</v>
      </c>
      <c r="AT42" s="90">
        <f t="shared" si="9"/>
        <v>-2848.8899999999994</v>
      </c>
      <c r="AW42" s="89">
        <f t="shared" ca="1" si="13"/>
        <v>11.250369077389669</v>
      </c>
      <c r="AX42" s="90">
        <f t="shared" ca="1" si="14"/>
        <v>2913.87632975725</v>
      </c>
      <c r="AY42" s="86">
        <f t="shared" ca="1" si="10"/>
        <v>64.986329757250587</v>
      </c>
      <c r="AZ42" s="402">
        <f t="shared" ca="1" si="15"/>
        <v>11.166387360632378</v>
      </c>
      <c r="BA42" s="402">
        <f t="shared" ca="1" si="16"/>
        <v>2925.0427171178826</v>
      </c>
    </row>
    <row r="43" spans="1:53" ht="12" customHeight="1">
      <c r="A43" s="38" t="str">
        <f t="shared" si="11"/>
        <v>Joes TC Refuse UTCTIMENP-RES</v>
      </c>
      <c r="B43" s="38">
        <f t="shared" si="2"/>
        <v>1</v>
      </c>
      <c r="C43" s="87" t="s">
        <v>662</v>
      </c>
      <c r="D43" s="87" t="s">
        <v>663</v>
      </c>
      <c r="E43" s="174">
        <v>109.71</v>
      </c>
      <c r="F43" s="69">
        <v>109.23</v>
      </c>
      <c r="G43" s="69" t="s">
        <v>697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f t="shared" si="3"/>
        <v>0</v>
      </c>
      <c r="U43" s="88"/>
      <c r="V43" s="88">
        <f t="shared" ref="V43:AB46" si="20">IFERROR(H43/$E43,0)</f>
        <v>0</v>
      </c>
      <c r="W43" s="88">
        <f t="shared" si="20"/>
        <v>0</v>
      </c>
      <c r="X43" s="88">
        <f t="shared" si="20"/>
        <v>0</v>
      </c>
      <c r="Y43" s="88">
        <f t="shared" si="20"/>
        <v>0</v>
      </c>
      <c r="Z43" s="88">
        <f t="shared" si="20"/>
        <v>0</v>
      </c>
      <c r="AA43" s="88">
        <f t="shared" si="20"/>
        <v>0</v>
      </c>
      <c r="AB43" s="88">
        <f t="shared" si="20"/>
        <v>0</v>
      </c>
      <c r="AC43" s="88">
        <f t="shared" si="19"/>
        <v>0</v>
      </c>
      <c r="AD43" s="88">
        <f t="shared" si="12"/>
        <v>0</v>
      </c>
      <c r="AE43" s="88">
        <f t="shared" si="12"/>
        <v>0</v>
      </c>
      <c r="AF43" s="88">
        <f t="shared" si="12"/>
        <v>0</v>
      </c>
      <c r="AG43" s="88">
        <f t="shared" si="12"/>
        <v>0</v>
      </c>
      <c r="AH43" s="70">
        <f t="shared" si="6"/>
        <v>0</v>
      </c>
      <c r="AI43" s="88">
        <f t="shared" si="7"/>
        <v>0</v>
      </c>
      <c r="AR43" s="69">
        <v>73.66</v>
      </c>
      <c r="AS43" s="88">
        <f t="shared" si="8"/>
        <v>0</v>
      </c>
      <c r="AT43" s="90">
        <f t="shared" si="9"/>
        <v>0</v>
      </c>
      <c r="AW43" s="89">
        <f t="shared" ca="1" si="13"/>
        <v>111.91965522069886</v>
      </c>
      <c r="AX43" s="90">
        <f t="shared" ca="1" si="14"/>
        <v>0</v>
      </c>
      <c r="AY43" s="86">
        <f t="shared" ca="1" si="10"/>
        <v>0</v>
      </c>
      <c r="AZ43" s="402">
        <f t="shared" ca="1" si="15"/>
        <v>0</v>
      </c>
      <c r="BA43" s="402">
        <f t="shared" ca="1" si="16"/>
        <v>0</v>
      </c>
    </row>
    <row r="44" spans="1:53" ht="12" customHeight="1">
      <c r="A44" s="38" t="str">
        <f t="shared" si="11"/>
        <v>Joes TC Refuse UTCSP95-RES</v>
      </c>
      <c r="B44" s="38">
        <f t="shared" si="2"/>
        <v>1</v>
      </c>
      <c r="C44" s="87" t="s">
        <v>303</v>
      </c>
      <c r="D44" s="87" t="s">
        <v>304</v>
      </c>
      <c r="E44" s="174">
        <v>14.38</v>
      </c>
      <c r="F44" s="69">
        <v>14.34</v>
      </c>
      <c r="G44" s="69" t="s">
        <v>690</v>
      </c>
      <c r="H44" s="88">
        <v>71.900000000000006</v>
      </c>
      <c r="I44" s="88">
        <v>115.04</v>
      </c>
      <c r="J44" s="88">
        <v>115.04</v>
      </c>
      <c r="K44" s="88">
        <v>71.900000000000006</v>
      </c>
      <c r="L44" s="88">
        <v>57.52</v>
      </c>
      <c r="M44" s="88">
        <v>115.04</v>
      </c>
      <c r="N44" s="88">
        <v>129.42000000000002</v>
      </c>
      <c r="O44" s="88">
        <v>86.28</v>
      </c>
      <c r="P44" s="88">
        <v>28.68</v>
      </c>
      <c r="Q44" s="88">
        <v>114.72</v>
      </c>
      <c r="R44" s="88">
        <v>71.7</v>
      </c>
      <c r="S44" s="88">
        <v>43.019999999999996</v>
      </c>
      <c r="T44" s="88">
        <f t="shared" si="3"/>
        <v>1020.2599999999999</v>
      </c>
      <c r="U44" s="88"/>
      <c r="V44" s="88">
        <f t="shared" si="20"/>
        <v>5</v>
      </c>
      <c r="W44" s="88">
        <f t="shared" si="20"/>
        <v>8</v>
      </c>
      <c r="X44" s="88">
        <f t="shared" si="20"/>
        <v>8</v>
      </c>
      <c r="Y44" s="88">
        <f t="shared" si="20"/>
        <v>5</v>
      </c>
      <c r="Z44" s="88">
        <f t="shared" si="20"/>
        <v>4</v>
      </c>
      <c r="AA44" s="88">
        <f t="shared" si="20"/>
        <v>8</v>
      </c>
      <c r="AB44" s="88">
        <f t="shared" si="20"/>
        <v>9</v>
      </c>
      <c r="AC44" s="88">
        <f t="shared" si="19"/>
        <v>6</v>
      </c>
      <c r="AD44" s="88">
        <f t="shared" si="12"/>
        <v>2</v>
      </c>
      <c r="AE44" s="88">
        <f t="shared" si="12"/>
        <v>8</v>
      </c>
      <c r="AF44" s="88">
        <f t="shared" si="12"/>
        <v>5</v>
      </c>
      <c r="AG44" s="88">
        <f t="shared" si="12"/>
        <v>2.9999999999999996</v>
      </c>
      <c r="AH44" s="175">
        <f t="shared" si="6"/>
        <v>71</v>
      </c>
      <c r="AI44" s="88">
        <f t="shared" si="7"/>
        <v>5.916666666666667</v>
      </c>
      <c r="AR44" s="69" t="e">
        <f>+VLOOKUP(C44,#REF!,3,FALSE)</f>
        <v>#REF!</v>
      </c>
      <c r="AS44" s="88">
        <f t="shared" si="8"/>
        <v>0</v>
      </c>
      <c r="AT44" s="90">
        <f t="shared" si="9"/>
        <v>-1020.2599999999999</v>
      </c>
      <c r="AW44" s="89">
        <f t="shared" ca="1" si="13"/>
        <v>14.693104969924212</v>
      </c>
      <c r="AX44" s="90">
        <f t="shared" ca="1" si="14"/>
        <v>1043.2104528646191</v>
      </c>
      <c r="AY44" s="86">
        <f t="shared" ca="1" si="10"/>
        <v>22.950452864619251</v>
      </c>
      <c r="AZ44" s="402">
        <f t="shared" ca="1" si="15"/>
        <v>3.9977304103079461</v>
      </c>
      <c r="BA44" s="402">
        <f t="shared" ca="1" si="16"/>
        <v>1047.208183274927</v>
      </c>
    </row>
    <row r="45" spans="1:53" ht="12" customHeight="1">
      <c r="A45" s="38" t="str">
        <f t="shared" si="11"/>
        <v>Joes TC Refuse UTCSPCL65-RES</v>
      </c>
      <c r="B45" s="38">
        <f t="shared" si="2"/>
        <v>1</v>
      </c>
      <c r="C45" s="87" t="s">
        <v>305</v>
      </c>
      <c r="D45" s="87" t="s">
        <v>306</v>
      </c>
      <c r="E45" s="174">
        <v>11.01</v>
      </c>
      <c r="F45" s="69">
        <v>10.98</v>
      </c>
      <c r="G45" s="69" t="s">
        <v>690</v>
      </c>
      <c r="H45" s="88">
        <v>0</v>
      </c>
      <c r="I45" s="88">
        <v>0</v>
      </c>
      <c r="J45" s="88">
        <v>0</v>
      </c>
      <c r="K45" s="88">
        <v>0</v>
      </c>
      <c r="L45" s="88">
        <v>11.01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10.98</v>
      </c>
      <c r="S45" s="88">
        <v>0</v>
      </c>
      <c r="T45" s="88">
        <f t="shared" si="3"/>
        <v>21.990000000000002</v>
      </c>
      <c r="U45" s="88"/>
      <c r="V45" s="88">
        <f t="shared" si="20"/>
        <v>0</v>
      </c>
      <c r="W45" s="88">
        <f t="shared" si="20"/>
        <v>0</v>
      </c>
      <c r="X45" s="88">
        <f t="shared" si="20"/>
        <v>0</v>
      </c>
      <c r="Y45" s="88">
        <f t="shared" si="20"/>
        <v>0</v>
      </c>
      <c r="Z45" s="88">
        <f t="shared" si="20"/>
        <v>1</v>
      </c>
      <c r="AA45" s="88">
        <f t="shared" si="20"/>
        <v>0</v>
      </c>
      <c r="AB45" s="88">
        <f t="shared" si="20"/>
        <v>0</v>
      </c>
      <c r="AC45" s="88">
        <f t="shared" si="19"/>
        <v>0</v>
      </c>
      <c r="AD45" s="88">
        <f t="shared" si="12"/>
        <v>0</v>
      </c>
      <c r="AE45" s="88">
        <f t="shared" si="12"/>
        <v>0</v>
      </c>
      <c r="AF45" s="88">
        <f t="shared" si="12"/>
        <v>1</v>
      </c>
      <c r="AG45" s="88">
        <f t="shared" si="12"/>
        <v>0</v>
      </c>
      <c r="AH45" s="175">
        <f t="shared" si="6"/>
        <v>2</v>
      </c>
      <c r="AI45" s="88">
        <f t="shared" si="7"/>
        <v>0.16666666666666666</v>
      </c>
      <c r="AR45" s="69" t="s">
        <v>698</v>
      </c>
      <c r="AS45" s="88">
        <f t="shared" si="8"/>
        <v>0</v>
      </c>
      <c r="AT45" s="90">
        <f t="shared" si="9"/>
        <v>-21.990000000000002</v>
      </c>
      <c r="AW45" s="89">
        <f t="shared" ca="1" si="13"/>
        <v>11.250369077389669</v>
      </c>
      <c r="AX45" s="90">
        <f t="shared" ca="1" si="14"/>
        <v>22.500738154779338</v>
      </c>
      <c r="AY45" s="86">
        <f t="shared" ca="1" si="10"/>
        <v>0.51073815477933593</v>
      </c>
      <c r="AZ45" s="402">
        <f t="shared" ca="1" si="15"/>
        <v>8.6226019810991109E-2</v>
      </c>
      <c r="BA45" s="402">
        <f t="shared" ca="1" si="16"/>
        <v>22.586964174590328</v>
      </c>
    </row>
    <row r="46" spans="1:53" ht="12" customHeight="1">
      <c r="A46" s="38" t="str">
        <f t="shared" si="11"/>
        <v>Joes TC Refuse UTCUNRETURN-RES</v>
      </c>
      <c r="B46" s="38">
        <f t="shared" si="2"/>
        <v>1</v>
      </c>
      <c r="C46" s="87" t="s">
        <v>666</v>
      </c>
      <c r="D46" s="87" t="s">
        <v>574</v>
      </c>
      <c r="E46" s="174">
        <v>94.41</v>
      </c>
      <c r="F46" s="69">
        <v>94</v>
      </c>
      <c r="G46" s="69" t="s">
        <v>690</v>
      </c>
      <c r="H46" s="88">
        <v>377.64</v>
      </c>
      <c r="I46" s="88">
        <v>0</v>
      </c>
      <c r="J46" s="88">
        <v>0</v>
      </c>
      <c r="K46" s="88">
        <v>188.82</v>
      </c>
      <c r="L46" s="88">
        <v>566.46</v>
      </c>
      <c r="M46" s="88">
        <v>0</v>
      </c>
      <c r="N46" s="88">
        <v>0</v>
      </c>
      <c r="O46" s="88">
        <v>566.46</v>
      </c>
      <c r="P46" s="88">
        <v>188</v>
      </c>
      <c r="Q46" s="88">
        <v>752</v>
      </c>
      <c r="R46" s="88">
        <v>0</v>
      </c>
      <c r="S46" s="88">
        <v>0</v>
      </c>
      <c r="T46" s="88">
        <f t="shared" ref="T46" si="21">SUM(H46:S46)</f>
        <v>2639.38</v>
      </c>
      <c r="U46" s="88"/>
      <c r="V46" s="88">
        <f t="shared" si="20"/>
        <v>4</v>
      </c>
      <c r="W46" s="88">
        <f t="shared" si="20"/>
        <v>0</v>
      </c>
      <c r="X46" s="88">
        <f t="shared" si="20"/>
        <v>0</v>
      </c>
      <c r="Y46" s="88">
        <f t="shared" si="20"/>
        <v>2</v>
      </c>
      <c r="Z46" s="88">
        <f t="shared" si="20"/>
        <v>6.0000000000000009</v>
      </c>
      <c r="AA46" s="88">
        <f t="shared" si="20"/>
        <v>0</v>
      </c>
      <c r="AB46" s="88">
        <f t="shared" si="20"/>
        <v>0</v>
      </c>
      <c r="AC46" s="88">
        <f t="shared" si="19"/>
        <v>6.0000000000000009</v>
      </c>
      <c r="AD46" s="88">
        <f t="shared" ref="AD46:AG46" si="22">IFERROR(P46/$F46,0)</f>
        <v>2</v>
      </c>
      <c r="AE46" s="88">
        <f t="shared" si="22"/>
        <v>8</v>
      </c>
      <c r="AF46" s="88">
        <f t="shared" si="22"/>
        <v>0</v>
      </c>
      <c r="AG46" s="88">
        <f t="shared" si="22"/>
        <v>0</v>
      </c>
      <c r="AH46" s="70">
        <f t="shared" si="6"/>
        <v>28</v>
      </c>
      <c r="AI46" s="88">
        <f t="shared" si="7"/>
        <v>2.3333333333333335</v>
      </c>
      <c r="AK46" s="180"/>
      <c r="AL46" s="181" t="s">
        <v>218</v>
      </c>
      <c r="AR46" s="69" t="e">
        <f>+VLOOKUP(C46,#REF!,3,FALSE)</f>
        <v>#REF!</v>
      </c>
      <c r="AS46" s="88">
        <f t="shared" si="8"/>
        <v>0</v>
      </c>
      <c r="AT46" s="90">
        <f t="shared" si="9"/>
        <v>-2639.38</v>
      </c>
      <c r="AW46" s="89">
        <f ca="1">+F46*(1+$BE$2)</f>
        <v>96.314635088764007</v>
      </c>
      <c r="AX46" s="90">
        <f t="shared" ca="1" si="14"/>
        <v>2696.8097824853921</v>
      </c>
      <c r="AY46" s="86">
        <f t="shared" ca="1" si="10"/>
        <v>57.429782485392025</v>
      </c>
      <c r="AZ46" s="402">
        <f t="shared" ca="1" si="15"/>
        <v>10.334557565688915</v>
      </c>
      <c r="BA46" s="402">
        <f t="shared" ca="1" si="16"/>
        <v>2707.1443400510811</v>
      </c>
    </row>
    <row r="47" spans="1:53" ht="12" customHeight="1">
      <c r="B47" s="38">
        <f t="shared" si="2"/>
        <v>0</v>
      </c>
      <c r="C47" s="165"/>
      <c r="D47" s="182" t="s">
        <v>323</v>
      </c>
      <c r="E47" s="174"/>
      <c r="F47" s="174"/>
      <c r="G47" s="174"/>
      <c r="H47" s="115">
        <f t="shared" ref="H47:S47" si="23">SUM(H11:H46)</f>
        <v>94480.47</v>
      </c>
      <c r="I47" s="115">
        <f t="shared" si="23"/>
        <v>93685.479999999981</v>
      </c>
      <c r="J47" s="115">
        <f t="shared" si="23"/>
        <v>94578.804999999993</v>
      </c>
      <c r="K47" s="115">
        <f t="shared" si="23"/>
        <v>94085.444999999992</v>
      </c>
      <c r="L47" s="115">
        <f t="shared" si="23"/>
        <v>95392.284999999989</v>
      </c>
      <c r="M47" s="115">
        <f t="shared" si="23"/>
        <v>94511.099999999991</v>
      </c>
      <c r="N47" s="115">
        <f t="shared" si="23"/>
        <v>94769.595000000001</v>
      </c>
      <c r="O47" s="115">
        <f t="shared" si="23"/>
        <v>94980.819999999992</v>
      </c>
      <c r="P47" s="115">
        <f t="shared" si="23"/>
        <v>94650.714999999967</v>
      </c>
      <c r="Q47" s="115">
        <f t="shared" si="23"/>
        <v>95243.445000000007</v>
      </c>
      <c r="R47" s="115">
        <f t="shared" si="23"/>
        <v>94834.595000000001</v>
      </c>
      <c r="S47" s="115">
        <f t="shared" si="23"/>
        <v>95806.949999999983</v>
      </c>
      <c r="T47" s="116">
        <f>SUM(T11:T46)</f>
        <v>1137019.7050000001</v>
      </c>
      <c r="U47" s="143"/>
      <c r="V47" s="118">
        <f t="shared" ref="V47:AG47" si="24">+SUM(V25:V41)</f>
        <v>4604.9476801630117</v>
      </c>
      <c r="W47" s="118">
        <f t="shared" si="24"/>
        <v>4607.1698419066897</v>
      </c>
      <c r="X47" s="118">
        <f t="shared" si="24"/>
        <v>4636.3773548498948</v>
      </c>
      <c r="Y47" s="118">
        <f t="shared" si="24"/>
        <v>4619.9946816123393</v>
      </c>
      <c r="Z47" s="118">
        <f t="shared" si="24"/>
        <v>4647.0096876692705</v>
      </c>
      <c r="AA47" s="118">
        <f t="shared" si="24"/>
        <v>4653.4352810826367</v>
      </c>
      <c r="AB47" s="118">
        <f t="shared" si="24"/>
        <v>4653.0097104085635</v>
      </c>
      <c r="AC47" s="118">
        <f t="shared" si="24"/>
        <v>4640.7378371169279</v>
      </c>
      <c r="AD47" s="118">
        <f t="shared" si="24"/>
        <v>4659.0374455761912</v>
      </c>
      <c r="AE47" s="118">
        <f t="shared" si="24"/>
        <v>4645.5672770546653</v>
      </c>
      <c r="AF47" s="118">
        <f t="shared" si="24"/>
        <v>4661.5677186688736</v>
      </c>
      <c r="AG47" s="118">
        <f t="shared" si="24"/>
        <v>4663.6273266688868</v>
      </c>
      <c r="AH47" s="118">
        <f>+SUM(AH25:AH41,AH17)</f>
        <v>55693.481842777946</v>
      </c>
      <c r="AI47" s="118">
        <f>+SUM(AI25:AI41,AI16:AP17)</f>
        <v>4641.3733824704268</v>
      </c>
      <c r="AJ47" s="143"/>
      <c r="AK47" s="181" t="s">
        <v>699</v>
      </c>
      <c r="AL47" s="180">
        <f>SUM(AO25:AO41)</f>
        <v>4641.0401535648298</v>
      </c>
      <c r="AM47" s="143"/>
      <c r="AN47" s="143"/>
      <c r="AO47" s="143"/>
      <c r="AP47" s="143"/>
      <c r="AQ47" s="143"/>
      <c r="AR47" s="145"/>
      <c r="AS47" s="118">
        <f>SUM(AS11:AS46)</f>
        <v>677052.18121904822</v>
      </c>
      <c r="AT47" s="116">
        <f>SUM(AT11:AT46)</f>
        <v>-459967.52378095192</v>
      </c>
      <c r="AU47" s="143"/>
      <c r="AV47" s="143"/>
      <c r="AX47" s="116">
        <f t="shared" ref="AX47:BA47" ca="1" si="25">SUM(AX11:AX46)</f>
        <v>1161610.6410709014</v>
      </c>
      <c r="AY47" s="116">
        <f t="shared" ca="1" si="25"/>
        <v>24590.936070900858</v>
      </c>
      <c r="AZ47" s="406">
        <f t="shared" ca="1" si="25"/>
        <v>4451.4567238036389</v>
      </c>
      <c r="BA47" s="406">
        <f t="shared" ca="1" si="25"/>
        <v>1166062.0977947046</v>
      </c>
    </row>
    <row r="48" spans="1:53" ht="12" customHeight="1">
      <c r="C48" s="165"/>
      <c r="D48" s="165"/>
      <c r="E48" s="174"/>
      <c r="F48" s="174"/>
      <c r="G48" s="174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90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183" t="s">
        <v>700</v>
      </c>
      <c r="AI48" s="184">
        <f>+SUM(AH11,AH14,AH16:AH18,AH25:AH42,AH44:AH45)</f>
        <v>58065.483321885557</v>
      </c>
      <c r="AR48" s="69"/>
    </row>
    <row r="49" spans="1:53" ht="12" customHeight="1">
      <c r="B49" s="38">
        <f>COUNTIF(C:C,C49)</f>
        <v>1</v>
      </c>
      <c r="C49" s="185" t="s">
        <v>325</v>
      </c>
      <c r="D49" s="185" t="s">
        <v>325</v>
      </c>
      <c r="E49" s="174"/>
      <c r="F49" s="174"/>
      <c r="G49" s="174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V49" s="88">
        <f>IFERROR(H49/$E49,0)</f>
        <v>0</v>
      </c>
      <c r="W49" s="88">
        <f t="shared" ref="W49:AG51" si="26">IFERROR(I49/$E49,0)</f>
        <v>0</v>
      </c>
      <c r="X49" s="88">
        <f t="shared" si="26"/>
        <v>0</v>
      </c>
      <c r="Y49" s="88">
        <f t="shared" si="26"/>
        <v>0</v>
      </c>
      <c r="Z49" s="88">
        <f t="shared" si="26"/>
        <v>0</v>
      </c>
      <c r="AA49" s="88">
        <f t="shared" si="26"/>
        <v>0</v>
      </c>
      <c r="AB49" s="88">
        <f t="shared" si="26"/>
        <v>0</v>
      </c>
      <c r="AC49" s="88">
        <f t="shared" si="26"/>
        <v>0</v>
      </c>
      <c r="AD49" s="88">
        <f t="shared" si="26"/>
        <v>0</v>
      </c>
      <c r="AE49" s="88">
        <f t="shared" si="26"/>
        <v>0</v>
      </c>
      <c r="AF49" s="88">
        <f t="shared" si="26"/>
        <v>0</v>
      </c>
      <c r="AG49" s="88">
        <f t="shared" si="26"/>
        <v>0</v>
      </c>
      <c r="AH49" s="70">
        <f>SUM(V49:AG49)</f>
        <v>0</v>
      </c>
      <c r="AI49" s="88">
        <f>AH49/12</f>
        <v>0</v>
      </c>
      <c r="AR49" s="69"/>
    </row>
    <row r="50" spans="1:53" ht="11.25" customHeight="1">
      <c r="A50" s="38" t="str">
        <f t="shared" ref="A50:A51" si="27">$A$1&amp;C50</f>
        <v>Joes TC Refuse UTCRECPROGADJ-RES</v>
      </c>
      <c r="B50" s="38">
        <f>COUNTIF(C:C,C50)</f>
        <v>1</v>
      </c>
      <c r="C50" s="87" t="s">
        <v>327</v>
      </c>
      <c r="D50" s="87" t="s">
        <v>328</v>
      </c>
      <c r="E50" s="174">
        <v>7.2</v>
      </c>
      <c r="F50" s="69">
        <v>7.17</v>
      </c>
      <c r="G50" s="174" t="s">
        <v>694</v>
      </c>
      <c r="H50" s="88">
        <v>32913.9</v>
      </c>
      <c r="I50" s="88">
        <v>32908.079999999994</v>
      </c>
      <c r="J50" s="88">
        <v>33119.685000000012</v>
      </c>
      <c r="K50" s="88">
        <v>32992.625</v>
      </c>
      <c r="L50" s="88">
        <v>33199.794999999998</v>
      </c>
      <c r="M50" s="88">
        <v>33246.354999999996</v>
      </c>
      <c r="N50" s="88">
        <v>33094.445</v>
      </c>
      <c r="O50" s="88">
        <v>33134.660000000003</v>
      </c>
      <c r="P50" s="88">
        <v>33112.675000000003</v>
      </c>
      <c r="Q50" s="88">
        <v>33010.120000000003</v>
      </c>
      <c r="R50" s="88">
        <v>33095.434999999998</v>
      </c>
      <c r="S50" s="88">
        <v>33121.564999999995</v>
      </c>
      <c r="T50" s="88">
        <f>SUM(H50:S50)</f>
        <v>396949.34</v>
      </c>
      <c r="U50" s="88"/>
      <c r="V50" s="88">
        <f>IFERROR(H50/$E50,0)</f>
        <v>4571.375</v>
      </c>
      <c r="W50" s="88">
        <f t="shared" si="26"/>
        <v>4570.5666666666657</v>
      </c>
      <c r="X50" s="88">
        <f t="shared" si="26"/>
        <v>4599.956250000002</v>
      </c>
      <c r="Y50" s="88">
        <f t="shared" si="26"/>
        <v>4582.3090277777774</v>
      </c>
      <c r="Z50" s="88">
        <f t="shared" si="26"/>
        <v>4611.0826388888881</v>
      </c>
      <c r="AA50" s="88">
        <f t="shared" si="26"/>
        <v>4617.5493055555553</v>
      </c>
      <c r="AB50" s="88">
        <f t="shared" si="26"/>
        <v>4596.4506944444447</v>
      </c>
      <c r="AC50" s="88">
        <f t="shared" si="26"/>
        <v>4602.0361111111115</v>
      </c>
      <c r="AD50" s="88">
        <f t="shared" ref="AD50:AG51" si="28">IFERROR(P50/$F50,0)</f>
        <v>4618.2252440725251</v>
      </c>
      <c r="AE50" s="88">
        <f t="shared" si="28"/>
        <v>4603.9218967921897</v>
      </c>
      <c r="AF50" s="88">
        <f t="shared" si="28"/>
        <v>4615.8207810320782</v>
      </c>
      <c r="AG50" s="88">
        <f t="shared" si="28"/>
        <v>4619.4651324965125</v>
      </c>
      <c r="AH50" s="70">
        <f>SUM(V50:AG50)</f>
        <v>55208.758748837747</v>
      </c>
      <c r="AI50" s="88">
        <f>AH50/12</f>
        <v>4600.7298957364792</v>
      </c>
      <c r="AK50" s="38">
        <v>96</v>
      </c>
      <c r="AN50" s="38">
        <v>1</v>
      </c>
      <c r="AO50" s="69">
        <f t="shared" ref="AO50:AO51" si="29">+AI50*AN50</f>
        <v>4600.7298957364792</v>
      </c>
      <c r="AR50" s="69" t="e">
        <f>+VLOOKUP(C50,#REF!,3,FALSE)</f>
        <v>#REF!</v>
      </c>
      <c r="AS50" s="88">
        <f>+IFERROR(AH50*AR50,0)</f>
        <v>0</v>
      </c>
      <c r="AT50" s="90">
        <f>+AS50-T50</f>
        <v>-396949.34</v>
      </c>
      <c r="AW50" s="89">
        <f ca="1">+F50*(1+$BE$3)</f>
        <v>11.623472756980064</v>
      </c>
      <c r="AX50" s="90">
        <f ca="1">+AW50*AI50*12</f>
        <v>641717.50326380029</v>
      </c>
      <c r="AY50" s="86">
        <f t="shared" ref="AY50:AY51" ca="1" si="30">+AX50-T50</f>
        <v>244768.16326380026</v>
      </c>
      <c r="AZ50" s="402">
        <f ca="1">AX50*BA$3</f>
        <v>2371.8672272332074</v>
      </c>
      <c r="BA50" s="402">
        <f t="shared" ref="BA50" ca="1" si="31">+AX50+AZ50</f>
        <v>644089.37049103354</v>
      </c>
    </row>
    <row r="51" spans="1:53" ht="12" customHeight="1">
      <c r="A51" s="38" t="str">
        <f t="shared" si="27"/>
        <v>Joes TC Refuse UTCRECBINONLYR</v>
      </c>
      <c r="B51" s="38">
        <f>COUNTIF(C:C,C51)</f>
        <v>1</v>
      </c>
      <c r="C51" s="87" t="s">
        <v>330</v>
      </c>
      <c r="D51" s="87" t="s">
        <v>331</v>
      </c>
      <c r="E51" s="174">
        <v>8.1999999999999993</v>
      </c>
      <c r="F51" s="69">
        <v>8.17</v>
      </c>
      <c r="G51" s="174" t="s">
        <v>694</v>
      </c>
      <c r="H51" s="88">
        <v>270.59999999999997</v>
      </c>
      <c r="I51" s="88">
        <v>262.40000000000003</v>
      </c>
      <c r="J51" s="88">
        <v>266.5</v>
      </c>
      <c r="K51" s="88">
        <v>258.3</v>
      </c>
      <c r="L51" s="88">
        <v>254.2</v>
      </c>
      <c r="M51" s="88">
        <v>270.60000000000002</v>
      </c>
      <c r="N51" s="88">
        <v>264.45</v>
      </c>
      <c r="O51" s="88">
        <v>276.75</v>
      </c>
      <c r="P51" s="88">
        <v>286.31</v>
      </c>
      <c r="Q51" s="88">
        <v>289.67500000000001</v>
      </c>
      <c r="R51" s="88">
        <v>294.12000000000006</v>
      </c>
      <c r="S51" s="88">
        <v>283.91000000000003</v>
      </c>
      <c r="T51" s="88">
        <f>SUM(H51:S51)</f>
        <v>3277.8150000000001</v>
      </c>
      <c r="U51" s="88"/>
      <c r="V51" s="88">
        <f>IFERROR(H51/$E51,0)</f>
        <v>33</v>
      </c>
      <c r="W51" s="88">
        <f t="shared" si="26"/>
        <v>32.000000000000007</v>
      </c>
      <c r="X51" s="88">
        <f t="shared" si="26"/>
        <v>32.5</v>
      </c>
      <c r="Y51" s="88">
        <f t="shared" si="26"/>
        <v>31.500000000000004</v>
      </c>
      <c r="Z51" s="88">
        <f t="shared" si="26"/>
        <v>31</v>
      </c>
      <c r="AA51" s="88">
        <f t="shared" si="26"/>
        <v>33.000000000000007</v>
      </c>
      <c r="AB51" s="88">
        <f t="shared" si="26"/>
        <v>32.25</v>
      </c>
      <c r="AC51" s="88">
        <f t="shared" si="26"/>
        <v>33.75</v>
      </c>
      <c r="AD51" s="88">
        <f t="shared" si="28"/>
        <v>35.044063647490823</v>
      </c>
      <c r="AE51" s="88">
        <f t="shared" si="28"/>
        <v>35.455936352509184</v>
      </c>
      <c r="AF51" s="88">
        <f t="shared" si="28"/>
        <v>36.000000000000007</v>
      </c>
      <c r="AG51" s="88">
        <f t="shared" si="28"/>
        <v>34.750305997552026</v>
      </c>
      <c r="AH51" s="70">
        <f>SUM(V51:AG51)</f>
        <v>400.250305997552</v>
      </c>
      <c r="AI51" s="88">
        <f>AH51/12</f>
        <v>33.354192166462667</v>
      </c>
      <c r="AK51" s="38">
        <v>96</v>
      </c>
      <c r="AN51" s="38">
        <v>1</v>
      </c>
      <c r="AO51" s="69">
        <f t="shared" si="29"/>
        <v>33.354192166462667</v>
      </c>
      <c r="AR51" s="69" t="e">
        <f>+VLOOKUP(C51,#REF!,3,FALSE)</f>
        <v>#REF!</v>
      </c>
      <c r="AS51" s="88">
        <f>+IFERROR(AH51*AR51,0)</f>
        <v>0</v>
      </c>
      <c r="AT51" s="90">
        <f>+AS51-T51</f>
        <v>-3277.8150000000001</v>
      </c>
      <c r="AW51" s="89">
        <f ca="1">+F51*(1+$BE$3)</f>
        <v>13.244598664508663</v>
      </c>
      <c r="AX51" s="90">
        <f t="shared" ref="AX51" ca="1" si="32">+AW51*AI51*12</f>
        <v>5301.1546682843609</v>
      </c>
      <c r="AY51" s="86">
        <f t="shared" ca="1" si="30"/>
        <v>2023.3396682843609</v>
      </c>
      <c r="AZ51" s="402">
        <f ca="1">AX51*BA$3</f>
        <v>19.593723032717673</v>
      </c>
      <c r="BA51" s="402">
        <f t="shared" ref="BA51" ca="1" si="33">+AX51+AZ51</f>
        <v>5320.748391317079</v>
      </c>
    </row>
    <row r="52" spans="1:53" ht="12" customHeight="1">
      <c r="C52" s="165"/>
      <c r="D52" s="165"/>
      <c r="E52" s="174"/>
      <c r="F52" s="174"/>
      <c r="G52" s="174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90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70"/>
      <c r="AI52" s="88"/>
      <c r="AJ52" s="180"/>
      <c r="AK52" s="181"/>
      <c r="AR52" s="69"/>
    </row>
    <row r="53" spans="1:53" ht="12" customHeight="1">
      <c r="B53" s="38">
        <f>COUNTIF(C:C,C53)</f>
        <v>0</v>
      </c>
      <c r="C53" s="165"/>
      <c r="D53" s="182" t="s">
        <v>332</v>
      </c>
      <c r="E53" s="174"/>
      <c r="F53" s="174"/>
      <c r="G53" s="174"/>
      <c r="H53" s="115">
        <f t="shared" ref="H53:S53" si="34">SUM(H50:H52)</f>
        <v>33184.5</v>
      </c>
      <c r="I53" s="115">
        <f t="shared" si="34"/>
        <v>33170.479999999996</v>
      </c>
      <c r="J53" s="115">
        <f t="shared" si="34"/>
        <v>33386.185000000012</v>
      </c>
      <c r="K53" s="115">
        <f t="shared" si="34"/>
        <v>33250.925000000003</v>
      </c>
      <c r="L53" s="115">
        <f t="shared" si="34"/>
        <v>33453.994999999995</v>
      </c>
      <c r="M53" s="115">
        <f t="shared" si="34"/>
        <v>33516.954999999994</v>
      </c>
      <c r="N53" s="115">
        <f t="shared" si="34"/>
        <v>33358.894999999997</v>
      </c>
      <c r="O53" s="115">
        <f t="shared" si="34"/>
        <v>33411.410000000003</v>
      </c>
      <c r="P53" s="115">
        <f t="shared" si="34"/>
        <v>33398.985000000001</v>
      </c>
      <c r="Q53" s="115">
        <f t="shared" si="34"/>
        <v>33299.795000000006</v>
      </c>
      <c r="R53" s="115">
        <f t="shared" si="34"/>
        <v>33389.555</v>
      </c>
      <c r="S53" s="115">
        <f t="shared" si="34"/>
        <v>33405.474999999999</v>
      </c>
      <c r="T53" s="116">
        <f>SUM(T50:T52)</f>
        <v>400227.15500000003</v>
      </c>
      <c r="U53" s="143"/>
      <c r="V53" s="144">
        <f t="shared" ref="V53:AI53" si="35">SUM(V50:V52)</f>
        <v>4604.375</v>
      </c>
      <c r="W53" s="144">
        <f t="shared" si="35"/>
        <v>4602.5666666666657</v>
      </c>
      <c r="X53" s="144">
        <f t="shared" si="35"/>
        <v>4632.456250000002</v>
      </c>
      <c r="Y53" s="144">
        <f t="shared" si="35"/>
        <v>4613.8090277777774</v>
      </c>
      <c r="Z53" s="144">
        <f t="shared" si="35"/>
        <v>4642.0826388888881</v>
      </c>
      <c r="AA53" s="144">
        <f t="shared" si="35"/>
        <v>4650.5493055555553</v>
      </c>
      <c r="AB53" s="144">
        <f t="shared" si="35"/>
        <v>4628.7006944444447</v>
      </c>
      <c r="AC53" s="144">
        <f t="shared" si="35"/>
        <v>4635.7861111111115</v>
      </c>
      <c r="AD53" s="144">
        <f t="shared" si="35"/>
        <v>4653.2693077200156</v>
      </c>
      <c r="AE53" s="144">
        <f t="shared" si="35"/>
        <v>4639.3778331446993</v>
      </c>
      <c r="AF53" s="144">
        <f t="shared" si="35"/>
        <v>4651.8207810320782</v>
      </c>
      <c r="AG53" s="144">
        <f t="shared" si="35"/>
        <v>4654.215438494065</v>
      </c>
      <c r="AH53" s="118">
        <f t="shared" si="35"/>
        <v>55609.009054835296</v>
      </c>
      <c r="AI53" s="118">
        <f t="shared" si="35"/>
        <v>4634.084087902942</v>
      </c>
      <c r="AJ53" s="181" t="s">
        <v>699</v>
      </c>
      <c r="AK53" s="180">
        <f>+SUM(AO50:AO51)</f>
        <v>4634.084087902942</v>
      </c>
      <c r="AL53" s="143"/>
      <c r="AM53" s="143"/>
      <c r="AN53" s="143"/>
      <c r="AO53" s="143"/>
      <c r="AP53" s="143"/>
      <c r="AQ53" s="143"/>
      <c r="AR53" s="145"/>
      <c r="AS53" s="118">
        <f>SUM(AS50:AS52)</f>
        <v>0</v>
      </c>
      <c r="AT53" s="116">
        <f>SUM(AT50:AT52)</f>
        <v>-400227.15500000003</v>
      </c>
      <c r="AU53" s="143"/>
      <c r="AV53" s="143"/>
      <c r="AX53" s="116">
        <f t="shared" ref="AX53:BA53" ca="1" si="36">SUM(AX50:AX52)</f>
        <v>647018.65793208464</v>
      </c>
      <c r="AY53" s="116">
        <f t="shared" ca="1" si="36"/>
        <v>246791.50293208464</v>
      </c>
      <c r="AZ53" s="406">
        <f t="shared" ca="1" si="36"/>
        <v>2391.460950265925</v>
      </c>
      <c r="BA53" s="406">
        <f t="shared" ca="1" si="36"/>
        <v>649410.11888235062</v>
      </c>
    </row>
    <row r="54" spans="1:53" ht="12" customHeight="1">
      <c r="C54" s="165"/>
      <c r="D54" s="182"/>
      <c r="E54" s="174"/>
      <c r="F54" s="174"/>
      <c r="G54" s="174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90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70"/>
      <c r="AI54" s="88"/>
      <c r="AR54" s="69"/>
    </row>
    <row r="55" spans="1:53" ht="12" customHeight="1">
      <c r="B55" s="38">
        <f t="shared" ref="B55:B61" si="37">COUNTIF(C:C,C55)</f>
        <v>1</v>
      </c>
      <c r="C55" s="185" t="s">
        <v>333</v>
      </c>
      <c r="D55" s="185" t="s">
        <v>333</v>
      </c>
      <c r="E55" s="174"/>
      <c r="F55" s="174"/>
      <c r="G55" s="174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90"/>
      <c r="V55" s="88">
        <f>IFERROR(H55/#REF!,0)</f>
        <v>0</v>
      </c>
      <c r="W55" s="88">
        <f>IFERROR(I55/#REF!,0)</f>
        <v>0</v>
      </c>
      <c r="X55" s="88">
        <f>IFERROR(J55/#REF!,0)</f>
        <v>0</v>
      </c>
      <c r="Y55" s="88">
        <f>IFERROR(K55/#REF!,0)</f>
        <v>0</v>
      </c>
      <c r="Z55" s="88">
        <f>IFERROR(L55/#REF!,0)</f>
        <v>0</v>
      </c>
      <c r="AA55" s="88">
        <f>IFERROR(M55/#REF!,0)</f>
        <v>0</v>
      </c>
      <c r="AB55" s="88">
        <f>IFERROR(N55/#REF!,0)</f>
        <v>0</v>
      </c>
      <c r="AC55" s="88">
        <f>IFERROR(O55/#REF!,0)</f>
        <v>0</v>
      </c>
      <c r="AD55" s="88">
        <f>IFERROR(P55/#REF!,0)</f>
        <v>0</v>
      </c>
      <c r="AE55" s="88">
        <f>IFERROR(Q55/#REF!,0)</f>
        <v>0</v>
      </c>
      <c r="AF55" s="88">
        <f>IFERROR(R55/#REF!,0)</f>
        <v>0</v>
      </c>
      <c r="AG55" s="88">
        <f>IFERROR(S55/#REF!,0)</f>
        <v>0</v>
      </c>
      <c r="AH55" s="70">
        <f t="shared" ref="AH55:AH60" si="38">SUM(V55:AG55)</f>
        <v>0</v>
      </c>
      <c r="AI55" s="88">
        <f t="shared" ref="AI55:AI60" si="39">AH55/12</f>
        <v>0</v>
      </c>
      <c r="AR55" s="69"/>
    </row>
    <row r="56" spans="1:53" ht="12" customHeight="1">
      <c r="A56" s="38" t="str">
        <f t="shared" ref="A56:A60" si="40">$A$1&amp;C56</f>
        <v>Joes TC Refuse UTCGWRES</v>
      </c>
      <c r="B56" s="38">
        <f t="shared" si="37"/>
        <v>1</v>
      </c>
      <c r="C56" s="87" t="s">
        <v>334</v>
      </c>
      <c r="D56" s="87" t="s">
        <v>335</v>
      </c>
      <c r="E56" s="174">
        <v>10.93</v>
      </c>
      <c r="F56" s="69">
        <v>10.88</v>
      </c>
      <c r="G56" s="69" t="s">
        <v>336</v>
      </c>
      <c r="H56" s="88">
        <v>1007.1950000000001</v>
      </c>
      <c r="I56" s="88">
        <v>1016.49</v>
      </c>
      <c r="J56" s="88">
        <v>1005.58</v>
      </c>
      <c r="K56" s="88">
        <v>983.68999999999994</v>
      </c>
      <c r="L56" s="88">
        <v>1031.2249999999999</v>
      </c>
      <c r="M56" s="88">
        <v>1067.8499999999999</v>
      </c>
      <c r="N56" s="88">
        <v>1103.92</v>
      </c>
      <c r="O56" s="88">
        <v>1103.93</v>
      </c>
      <c r="P56" s="88">
        <v>1137.1949999999999</v>
      </c>
      <c r="Q56" s="88">
        <v>1094.46</v>
      </c>
      <c r="R56" s="88">
        <v>1082.56</v>
      </c>
      <c r="S56" s="88">
        <v>1063.52</v>
      </c>
      <c r="T56" s="88">
        <f>SUM(H56:S56)</f>
        <v>12697.615</v>
      </c>
      <c r="U56" s="88"/>
      <c r="V56" s="88">
        <f>IFERROR(H56/$E56,0)</f>
        <v>92.149588289112543</v>
      </c>
      <c r="W56" s="88">
        <f t="shared" ref="W56:AC60" si="41">IFERROR(I56/$E56,0)</f>
        <v>93</v>
      </c>
      <c r="X56" s="88">
        <f t="shared" si="41"/>
        <v>92.001829826166514</v>
      </c>
      <c r="Y56" s="88">
        <f t="shared" si="41"/>
        <v>89.999085086916736</v>
      </c>
      <c r="Z56" s="88">
        <f t="shared" si="41"/>
        <v>94.348124428179318</v>
      </c>
      <c r="AA56" s="88">
        <f t="shared" si="41"/>
        <v>97.698993595608414</v>
      </c>
      <c r="AB56" s="88">
        <f t="shared" si="41"/>
        <v>100.99908508691675</v>
      </c>
      <c r="AC56" s="88">
        <f t="shared" si="41"/>
        <v>101.00000000000001</v>
      </c>
      <c r="AD56" s="88">
        <f t="shared" ref="AD56:AG60" si="42">IFERROR(P56/$F56,0)</f>
        <v>104.52159926470587</v>
      </c>
      <c r="AE56" s="88">
        <f t="shared" si="42"/>
        <v>100.59375</v>
      </c>
      <c r="AF56" s="88">
        <f t="shared" si="42"/>
        <v>99.499999999999986</v>
      </c>
      <c r="AG56" s="88">
        <f t="shared" si="42"/>
        <v>97.749999999999986</v>
      </c>
      <c r="AH56" s="70">
        <f t="shared" si="38"/>
        <v>1163.5620555776061</v>
      </c>
      <c r="AI56" s="88">
        <f t="shared" si="39"/>
        <v>96.963504631467174</v>
      </c>
      <c r="AK56" s="38">
        <v>96</v>
      </c>
      <c r="AN56" s="38">
        <v>1</v>
      </c>
      <c r="AO56" s="69">
        <f t="shared" ref="AO56:AO59" si="43">+AI56*AN56</f>
        <v>96.963504631467174</v>
      </c>
      <c r="AR56" s="69" t="e">
        <f>+VLOOKUP(C56,#REF!,3,FALSE)</f>
        <v>#REF!</v>
      </c>
      <c r="AS56" s="88">
        <f>+IFERROR(AH56*AR56,0)</f>
        <v>0</v>
      </c>
      <c r="AT56" s="90">
        <f>+AS56-T56</f>
        <v>-12697.615</v>
      </c>
      <c r="AW56" s="89">
        <f ca="1">+F56*(1+$BE$4)</f>
        <v>11.039228531868906</v>
      </c>
      <c r="AX56" s="90">
        <f t="shared" ref="AX56:AX60" ca="1" si="44">+AW56*AI56*12</f>
        <v>12844.827442532342</v>
      </c>
      <c r="AY56" s="86">
        <f ca="1">+AX56-T56</f>
        <v>147.21244253234181</v>
      </c>
      <c r="AZ56" s="402">
        <f ca="1">AX56*BA$4</f>
        <v>47.923970433207366</v>
      </c>
      <c r="BA56" s="402">
        <f t="shared" ref="BA56" ca="1" si="45">+AX56+AZ56</f>
        <v>12892.751412965548</v>
      </c>
    </row>
    <row r="57" spans="1:53" ht="12" customHeight="1">
      <c r="A57" s="38" t="str">
        <f t="shared" si="40"/>
        <v>Joes TC Refuse UTCGW2RES</v>
      </c>
      <c r="B57" s="38">
        <f t="shared" si="37"/>
        <v>1</v>
      </c>
      <c r="C57" s="87" t="s">
        <v>337</v>
      </c>
      <c r="D57" s="87" t="s">
        <v>338</v>
      </c>
      <c r="E57" s="174">
        <v>21.86</v>
      </c>
      <c r="F57" s="69">
        <v>21.76</v>
      </c>
      <c r="G57" s="69" t="s">
        <v>336</v>
      </c>
      <c r="H57" s="88">
        <v>347.57499999999999</v>
      </c>
      <c r="I57" s="88">
        <v>283.09000000000003</v>
      </c>
      <c r="J57" s="88">
        <v>311.505</v>
      </c>
      <c r="K57" s="88">
        <v>360.69</v>
      </c>
      <c r="L57" s="88">
        <v>385.82499999999999</v>
      </c>
      <c r="M57" s="88">
        <v>396.755</v>
      </c>
      <c r="N57" s="88">
        <v>415.34000000000003</v>
      </c>
      <c r="O57" s="88">
        <v>404.40999999999997</v>
      </c>
      <c r="P57" s="88">
        <v>403.01</v>
      </c>
      <c r="Q57" s="88">
        <v>380.4</v>
      </c>
      <c r="R57" s="88">
        <v>341.63</v>
      </c>
      <c r="S57" s="88">
        <v>352.51</v>
      </c>
      <c r="T57" s="88">
        <f>SUM(H57:S57)</f>
        <v>4382.74</v>
      </c>
      <c r="U57" s="88"/>
      <c r="V57" s="88">
        <f>IFERROR(H57/$E57,0)</f>
        <v>15.900045745654163</v>
      </c>
      <c r="W57" s="88">
        <f t="shared" si="41"/>
        <v>12.95013723696249</v>
      </c>
      <c r="X57" s="88">
        <f t="shared" si="41"/>
        <v>14.25</v>
      </c>
      <c r="Y57" s="88">
        <f t="shared" si="41"/>
        <v>16.5</v>
      </c>
      <c r="Z57" s="88">
        <f t="shared" si="41"/>
        <v>17.649817017383349</v>
      </c>
      <c r="AA57" s="88">
        <f t="shared" si="41"/>
        <v>18.149817017383349</v>
      </c>
      <c r="AB57" s="88">
        <f t="shared" si="41"/>
        <v>19.000000000000004</v>
      </c>
      <c r="AC57" s="88">
        <f t="shared" si="41"/>
        <v>18.5</v>
      </c>
      <c r="AD57" s="88">
        <f t="shared" si="42"/>
        <v>18.520680147058822</v>
      </c>
      <c r="AE57" s="88">
        <f t="shared" si="42"/>
        <v>17.481617647058822</v>
      </c>
      <c r="AF57" s="88">
        <f t="shared" si="42"/>
        <v>15.699908088235293</v>
      </c>
      <c r="AG57" s="88">
        <f t="shared" si="42"/>
        <v>16.199908088235293</v>
      </c>
      <c r="AH57" s="70">
        <f t="shared" si="38"/>
        <v>200.80193098797159</v>
      </c>
      <c r="AI57" s="88">
        <f t="shared" si="39"/>
        <v>16.733494248997633</v>
      </c>
      <c r="AK57" s="38">
        <v>96</v>
      </c>
      <c r="AN57" s="38">
        <v>2</v>
      </c>
      <c r="AO57" s="69">
        <f t="shared" si="43"/>
        <v>33.466988497995267</v>
      </c>
      <c r="AR57" s="69" t="e">
        <f>+AR56+2.25</f>
        <v>#REF!</v>
      </c>
      <c r="AS57" s="88">
        <f>+IFERROR(AH57*AR57,0)</f>
        <v>0</v>
      </c>
      <c r="AT57" s="90">
        <f>+AS57-T57</f>
        <v>-4382.74</v>
      </c>
      <c r="AW57" s="89">
        <f ca="1">+F57*(1+$BE$4)</f>
        <v>22.078457063737812</v>
      </c>
      <c r="AX57" s="90">
        <f t="shared" ca="1" si="44"/>
        <v>4433.3968116335736</v>
      </c>
      <c r="AY57" s="86">
        <f t="shared" ref="AY57:AY60" ca="1" si="46">+AX57-T57</f>
        <v>50.656811633573852</v>
      </c>
      <c r="AZ57" s="402">
        <f t="shared" ref="AZ57:AZ60" ca="1" si="47">AX57*BA$4</f>
        <v>16.540975631628708</v>
      </c>
      <c r="BA57" s="402">
        <f t="shared" ref="BA57:BA60" ca="1" si="48">+AX57+AZ57</f>
        <v>4449.9377872652021</v>
      </c>
    </row>
    <row r="58" spans="1:53" ht="12" customHeight="1">
      <c r="A58" s="38" t="str">
        <f t="shared" si="40"/>
        <v>Joes TC Refuse UTCGW3RES</v>
      </c>
      <c r="B58" s="38">
        <f t="shared" si="37"/>
        <v>1</v>
      </c>
      <c r="C58" s="87" t="s">
        <v>339</v>
      </c>
      <c r="D58" s="87" t="s">
        <v>340</v>
      </c>
      <c r="E58" s="174">
        <v>32.79</v>
      </c>
      <c r="F58" s="69">
        <v>32.64</v>
      </c>
      <c r="G58" s="69" t="s">
        <v>336</v>
      </c>
      <c r="H58" s="88">
        <v>160.35500000000002</v>
      </c>
      <c r="I58" s="88">
        <v>172.14500000000001</v>
      </c>
      <c r="J58" s="88">
        <v>163.95</v>
      </c>
      <c r="K58" s="88">
        <v>188.54000000000002</v>
      </c>
      <c r="L58" s="88">
        <v>221.33</v>
      </c>
      <c r="M58" s="88">
        <v>229.53</v>
      </c>
      <c r="N58" s="88">
        <v>229.53</v>
      </c>
      <c r="O58" s="88">
        <v>229.53</v>
      </c>
      <c r="P58" s="88">
        <v>228.77999999999997</v>
      </c>
      <c r="Q58" s="88">
        <v>228.18</v>
      </c>
      <c r="R58" s="88">
        <v>241.535</v>
      </c>
      <c r="S58" s="88">
        <v>208.89499999999998</v>
      </c>
      <c r="T58" s="88">
        <f>SUM(H58:S58)</f>
        <v>2502.2999999999997</v>
      </c>
      <c r="U58" s="88"/>
      <c r="V58" s="88">
        <f>IFERROR(H58/$E58,0)</f>
        <v>4.8903629155230259</v>
      </c>
      <c r="W58" s="88">
        <f t="shared" si="41"/>
        <v>5.2499237572430619</v>
      </c>
      <c r="X58" s="88">
        <f t="shared" si="41"/>
        <v>5</v>
      </c>
      <c r="Y58" s="88">
        <f t="shared" si="41"/>
        <v>5.7499237572430628</v>
      </c>
      <c r="Z58" s="88">
        <f t="shared" si="41"/>
        <v>6.7499237572430628</v>
      </c>
      <c r="AA58" s="88">
        <f t="shared" si="41"/>
        <v>7</v>
      </c>
      <c r="AB58" s="88">
        <f t="shared" si="41"/>
        <v>7</v>
      </c>
      <c r="AC58" s="88">
        <f t="shared" si="41"/>
        <v>7</v>
      </c>
      <c r="AD58" s="88">
        <f t="shared" si="42"/>
        <v>7.009191176470587</v>
      </c>
      <c r="AE58" s="88">
        <f t="shared" si="42"/>
        <v>6.9908088235294121</v>
      </c>
      <c r="AF58" s="88">
        <f t="shared" si="42"/>
        <v>7.3999693627450975</v>
      </c>
      <c r="AG58" s="88">
        <f t="shared" si="42"/>
        <v>6.3999693627450975</v>
      </c>
      <c r="AH58" s="70">
        <f t="shared" si="38"/>
        <v>76.440072912742409</v>
      </c>
      <c r="AI58" s="88">
        <f t="shared" si="39"/>
        <v>6.3700060760618671</v>
      </c>
      <c r="AK58" s="38">
        <v>96</v>
      </c>
      <c r="AN58" s="38">
        <v>3</v>
      </c>
      <c r="AO58" s="69">
        <f t="shared" si="43"/>
        <v>19.110018228185602</v>
      </c>
      <c r="AR58" s="69" t="e">
        <f>+AR57+2.25</f>
        <v>#REF!</v>
      </c>
      <c r="AS58" s="88">
        <f>+IFERROR(AH58*AR58,0)</f>
        <v>0</v>
      </c>
      <c r="AT58" s="90">
        <f>+AS58-T58</f>
        <v>-2502.2999999999997</v>
      </c>
      <c r="AW58" s="89">
        <f t="shared" ref="AW58:AW60" ca="1" si="49">+F58*(1+$BE$4)</f>
        <v>33.117685595606716</v>
      </c>
      <c r="AX58" s="90">
        <f t="shared" ca="1" si="44"/>
        <v>2531.5183016294559</v>
      </c>
      <c r="AY58" s="86">
        <f t="shared" ca="1" si="46"/>
        <v>29.218301629456164</v>
      </c>
      <c r="AZ58" s="402">
        <f t="shared" ca="1" si="47"/>
        <v>9.4450788678322013</v>
      </c>
      <c r="BA58" s="402">
        <f t="shared" ca="1" si="48"/>
        <v>2540.9633804972882</v>
      </c>
    </row>
    <row r="59" spans="1:53" ht="12" customHeight="1">
      <c r="A59" s="38" t="str">
        <f t="shared" si="40"/>
        <v>Joes TC Refuse UTCGW4RES</v>
      </c>
      <c r="B59" s="38">
        <f t="shared" si="37"/>
        <v>1</v>
      </c>
      <c r="C59" s="87" t="s">
        <v>341</v>
      </c>
      <c r="D59" s="87" t="s">
        <v>342</v>
      </c>
      <c r="E59" s="174">
        <v>43.72</v>
      </c>
      <c r="F59" s="69">
        <v>43.52</v>
      </c>
      <c r="G59" s="69" t="s">
        <v>336</v>
      </c>
      <c r="H59" s="88">
        <v>87.44</v>
      </c>
      <c r="I59" s="88">
        <v>87.44</v>
      </c>
      <c r="J59" s="88">
        <v>87.44</v>
      </c>
      <c r="K59" s="88">
        <v>87.44</v>
      </c>
      <c r="L59" s="88">
        <v>87.44</v>
      </c>
      <c r="M59" s="88">
        <v>87.44</v>
      </c>
      <c r="N59" s="88">
        <v>87.44</v>
      </c>
      <c r="O59" s="88">
        <v>87.44</v>
      </c>
      <c r="P59" s="88">
        <v>87.24</v>
      </c>
      <c r="Q59" s="88">
        <v>86.84</v>
      </c>
      <c r="R59" s="88">
        <v>87.04</v>
      </c>
      <c r="S59" s="88">
        <v>43.52</v>
      </c>
      <c r="T59" s="88">
        <f>SUM(H59:S59)</f>
        <v>1004.16</v>
      </c>
      <c r="U59" s="88"/>
      <c r="V59" s="88">
        <f>IFERROR(H59/$E59,0)</f>
        <v>2</v>
      </c>
      <c r="W59" s="88">
        <f t="shared" si="41"/>
        <v>2</v>
      </c>
      <c r="X59" s="88">
        <f t="shared" si="41"/>
        <v>2</v>
      </c>
      <c r="Y59" s="88">
        <f t="shared" si="41"/>
        <v>2</v>
      </c>
      <c r="Z59" s="88">
        <f t="shared" si="41"/>
        <v>2</v>
      </c>
      <c r="AA59" s="88">
        <f t="shared" si="41"/>
        <v>2</v>
      </c>
      <c r="AB59" s="88">
        <f t="shared" si="41"/>
        <v>2</v>
      </c>
      <c r="AC59" s="88">
        <f t="shared" si="41"/>
        <v>2</v>
      </c>
      <c r="AD59" s="88">
        <f t="shared" si="42"/>
        <v>2.0045955882352939</v>
      </c>
      <c r="AE59" s="88">
        <f t="shared" si="42"/>
        <v>1.9954044117647058</v>
      </c>
      <c r="AF59" s="88">
        <f t="shared" si="42"/>
        <v>2</v>
      </c>
      <c r="AG59" s="88">
        <f t="shared" si="42"/>
        <v>1</v>
      </c>
      <c r="AH59" s="70">
        <f t="shared" si="38"/>
        <v>23</v>
      </c>
      <c r="AI59" s="88">
        <f t="shared" si="39"/>
        <v>1.9166666666666667</v>
      </c>
      <c r="AK59" s="38">
        <v>96</v>
      </c>
      <c r="AN59" s="38">
        <v>4</v>
      </c>
      <c r="AO59" s="69">
        <f t="shared" si="43"/>
        <v>7.666666666666667</v>
      </c>
      <c r="AR59" s="69" t="e">
        <f>+AR58+2.25</f>
        <v>#REF!</v>
      </c>
      <c r="AS59" s="88">
        <f>+IFERROR(AH59*AR59,0)</f>
        <v>0</v>
      </c>
      <c r="AT59" s="90">
        <f>+AS59-T59</f>
        <v>-1004.16</v>
      </c>
      <c r="AW59" s="89">
        <f t="shared" ca="1" si="49"/>
        <v>44.156914127475623</v>
      </c>
      <c r="AX59" s="90">
        <f t="shared" ca="1" si="44"/>
        <v>1015.6090249319393</v>
      </c>
      <c r="AY59" s="86">
        <f t="shared" ca="1" si="46"/>
        <v>11.449024931939334</v>
      </c>
      <c r="AZ59" s="402">
        <f t="shared" ca="1" si="47"/>
        <v>3.78923088693056</v>
      </c>
      <c r="BA59" s="402">
        <f t="shared" ca="1" si="48"/>
        <v>1019.3982558188699</v>
      </c>
    </row>
    <row r="60" spans="1:53" ht="12" customHeight="1">
      <c r="A60" s="38" t="str">
        <f t="shared" si="40"/>
        <v>Joes TC Refuse UTCREDELGW-RES</v>
      </c>
      <c r="B60" s="38">
        <f t="shared" si="37"/>
        <v>1</v>
      </c>
      <c r="C60" s="87" t="s">
        <v>343</v>
      </c>
      <c r="D60" s="87" t="s">
        <v>344</v>
      </c>
      <c r="E60" s="174">
        <v>16.72</v>
      </c>
      <c r="F60" s="69">
        <v>16.649999999999999</v>
      </c>
      <c r="G60" s="69" t="s">
        <v>693</v>
      </c>
      <c r="H60" s="88">
        <v>0</v>
      </c>
      <c r="I60" s="88">
        <v>0</v>
      </c>
      <c r="J60" s="88">
        <v>0</v>
      </c>
      <c r="K60" s="88">
        <v>50.16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0</v>
      </c>
      <c r="R60" s="88">
        <v>0</v>
      </c>
      <c r="S60" s="88">
        <v>0</v>
      </c>
      <c r="T60" s="88">
        <f>SUM(H60:S60)</f>
        <v>50.16</v>
      </c>
      <c r="U60" s="88"/>
      <c r="V60" s="88">
        <f>IFERROR(H60/$E60,0)</f>
        <v>0</v>
      </c>
      <c r="W60" s="88">
        <f t="shared" si="41"/>
        <v>0</v>
      </c>
      <c r="X60" s="88">
        <f t="shared" si="41"/>
        <v>0</v>
      </c>
      <c r="Y60" s="88">
        <f t="shared" si="41"/>
        <v>3</v>
      </c>
      <c r="Z60" s="88">
        <f t="shared" si="41"/>
        <v>0</v>
      </c>
      <c r="AA60" s="88">
        <f t="shared" si="41"/>
        <v>0</v>
      </c>
      <c r="AB60" s="88">
        <f t="shared" si="41"/>
        <v>0</v>
      </c>
      <c r="AC60" s="88">
        <f t="shared" si="41"/>
        <v>0</v>
      </c>
      <c r="AD60" s="88">
        <f t="shared" si="42"/>
        <v>0</v>
      </c>
      <c r="AE60" s="88">
        <f t="shared" si="42"/>
        <v>0</v>
      </c>
      <c r="AF60" s="88">
        <f t="shared" si="42"/>
        <v>0</v>
      </c>
      <c r="AG60" s="88">
        <f t="shared" si="42"/>
        <v>0</v>
      </c>
      <c r="AH60" s="70">
        <f t="shared" si="38"/>
        <v>3</v>
      </c>
      <c r="AI60" s="88">
        <f t="shared" si="39"/>
        <v>0.25</v>
      </c>
      <c r="AK60" s="38">
        <v>96</v>
      </c>
      <c r="AO60" s="69"/>
      <c r="AR60" s="69" t="e">
        <f>+AR59+2.25</f>
        <v>#REF!</v>
      </c>
      <c r="AS60" s="88">
        <f>+IFERROR(AH60*AR60,0)</f>
        <v>0</v>
      </c>
      <c r="AT60" s="90">
        <f>+AS60-T60</f>
        <v>-50.16</v>
      </c>
      <c r="AW60" s="89">
        <f t="shared" ca="1" si="49"/>
        <v>16.893672339670704</v>
      </c>
      <c r="AX60" s="90">
        <f t="shared" ca="1" si="44"/>
        <v>50.681017019012117</v>
      </c>
      <c r="AY60" s="86">
        <f t="shared" ca="1" si="46"/>
        <v>0.52101701901212039</v>
      </c>
      <c r="AZ60" s="402">
        <f t="shared" ca="1" si="47"/>
        <v>0.18909055586854767</v>
      </c>
      <c r="BA60" s="402">
        <f t="shared" ca="1" si="48"/>
        <v>50.870107574880663</v>
      </c>
    </row>
    <row r="61" spans="1:53" ht="12" customHeight="1">
      <c r="B61" s="38">
        <f t="shared" si="37"/>
        <v>0</v>
      </c>
      <c r="C61" s="165"/>
      <c r="D61" s="182" t="s">
        <v>345</v>
      </c>
      <c r="E61" s="174"/>
      <c r="F61" s="174"/>
      <c r="G61" s="174"/>
      <c r="H61" s="115">
        <f t="shared" ref="H61:S61" si="50">SUM(H56:H59)</f>
        <v>1602.5650000000001</v>
      </c>
      <c r="I61" s="115">
        <f t="shared" si="50"/>
        <v>1559.165</v>
      </c>
      <c r="J61" s="115">
        <f t="shared" si="50"/>
        <v>1568.4750000000001</v>
      </c>
      <c r="K61" s="115">
        <f t="shared" si="50"/>
        <v>1620.36</v>
      </c>
      <c r="L61" s="115">
        <f t="shared" si="50"/>
        <v>1725.82</v>
      </c>
      <c r="M61" s="115">
        <f t="shared" si="50"/>
        <v>1781.575</v>
      </c>
      <c r="N61" s="115">
        <f t="shared" si="50"/>
        <v>1836.2300000000002</v>
      </c>
      <c r="O61" s="115">
        <f t="shared" si="50"/>
        <v>1825.3100000000002</v>
      </c>
      <c r="P61" s="115">
        <f t="shared" si="50"/>
        <v>1856.2249999999999</v>
      </c>
      <c r="Q61" s="115">
        <f t="shared" si="50"/>
        <v>1789.88</v>
      </c>
      <c r="R61" s="115">
        <f t="shared" si="50"/>
        <v>1752.7650000000001</v>
      </c>
      <c r="S61" s="115">
        <f t="shared" si="50"/>
        <v>1668.4449999999999</v>
      </c>
      <c r="T61" s="116">
        <f>SUM(T56:T60)</f>
        <v>20636.974999999999</v>
      </c>
      <c r="U61" s="143"/>
      <c r="V61" s="118">
        <f t="shared" ref="V61:AI61" si="51">SUM(V56:V59)</f>
        <v>114.93999695028974</v>
      </c>
      <c r="W61" s="118">
        <f t="shared" si="51"/>
        <v>113.20006099420556</v>
      </c>
      <c r="X61" s="118">
        <f t="shared" si="51"/>
        <v>113.25182982616651</v>
      </c>
      <c r="Y61" s="118">
        <f t="shared" si="51"/>
        <v>114.2490088441598</v>
      </c>
      <c r="Z61" s="118">
        <f t="shared" si="51"/>
        <v>120.74786520280574</v>
      </c>
      <c r="AA61" s="118">
        <f t="shared" si="51"/>
        <v>124.84881061299177</v>
      </c>
      <c r="AB61" s="118">
        <f t="shared" si="51"/>
        <v>128.99908508691675</v>
      </c>
      <c r="AC61" s="118">
        <f t="shared" si="51"/>
        <v>128.5</v>
      </c>
      <c r="AD61" s="118">
        <f t="shared" si="51"/>
        <v>132.05606617647058</v>
      </c>
      <c r="AE61" s="118">
        <f t="shared" si="51"/>
        <v>127.06158088235294</v>
      </c>
      <c r="AF61" s="118">
        <f t="shared" si="51"/>
        <v>124.59987745098037</v>
      </c>
      <c r="AG61" s="118">
        <f t="shared" si="51"/>
        <v>121.34987745098037</v>
      </c>
      <c r="AH61" s="118">
        <f t="shared" si="51"/>
        <v>1463.8040594783201</v>
      </c>
      <c r="AI61" s="118">
        <f t="shared" si="51"/>
        <v>121.98367162319335</v>
      </c>
      <c r="AJ61" s="181" t="s">
        <v>699</v>
      </c>
      <c r="AK61" s="180">
        <f>+SUM(AO56:AO59)</f>
        <v>157.20717802431469</v>
      </c>
      <c r="AL61" s="143"/>
      <c r="AM61" s="143"/>
      <c r="AN61" s="143"/>
      <c r="AO61" s="143"/>
      <c r="AP61" s="143"/>
      <c r="AQ61" s="143"/>
      <c r="AR61" s="145"/>
      <c r="AS61" s="118">
        <f>SUM(AS56:AS59)</f>
        <v>0</v>
      </c>
      <c r="AT61" s="116">
        <f>SUM(AT56:AT59)</f>
        <v>-20586.814999999999</v>
      </c>
      <c r="AU61" s="143"/>
      <c r="AV61" s="143"/>
      <c r="AX61" s="116">
        <f t="shared" ref="AX61:BA61" ca="1" si="52">SUM(AX56:AX60)</f>
        <v>20876.032597746318</v>
      </c>
      <c r="AY61" s="116">
        <f t="shared" ca="1" si="52"/>
        <v>239.05759774632327</v>
      </c>
      <c r="AZ61" s="406">
        <f t="shared" ca="1" si="52"/>
        <v>77.888346375467378</v>
      </c>
      <c r="BA61" s="406">
        <f t="shared" ca="1" si="52"/>
        <v>20953.920944121786</v>
      </c>
    </row>
    <row r="62" spans="1:53" ht="12" customHeight="1">
      <c r="C62" s="165"/>
      <c r="D62" s="165"/>
      <c r="E62" s="174"/>
      <c r="F62" s="174"/>
      <c r="G62" s="174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90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70"/>
      <c r="AI62" s="88"/>
      <c r="AR62" s="69"/>
    </row>
    <row r="63" spans="1:53" ht="12" customHeight="1">
      <c r="B63" s="38">
        <f>COUNTIF(C:C,C63)</f>
        <v>1</v>
      </c>
      <c r="C63" s="168" t="s">
        <v>346</v>
      </c>
      <c r="D63" s="168" t="s">
        <v>346</v>
      </c>
      <c r="E63" s="174"/>
      <c r="F63" s="174"/>
      <c r="G63" s="174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90"/>
      <c r="V63" s="88">
        <f>IFERROR(H63/#REF!,0)</f>
        <v>0</v>
      </c>
      <c r="W63" s="88">
        <f>IFERROR(I63/#REF!,0)</f>
        <v>0</v>
      </c>
      <c r="X63" s="88">
        <f>IFERROR(J63/#REF!,0)</f>
        <v>0</v>
      </c>
      <c r="Y63" s="88">
        <f>IFERROR(K63/#REF!,0)</f>
        <v>0</v>
      </c>
      <c r="Z63" s="88">
        <f>IFERROR(L63/#REF!,0)</f>
        <v>0</v>
      </c>
      <c r="AA63" s="88">
        <f>IFERROR(M63/#REF!,0)</f>
        <v>0</v>
      </c>
      <c r="AB63" s="88">
        <f>IFERROR(N63/#REF!,0)</f>
        <v>0</v>
      </c>
      <c r="AC63" s="88">
        <f>IFERROR(O63/#REF!,0)</f>
        <v>0</v>
      </c>
      <c r="AD63" s="88">
        <f>IFERROR(P63/#REF!,0)</f>
        <v>0</v>
      </c>
      <c r="AE63" s="88">
        <f>IFERROR(Q63/#REF!,0)</f>
        <v>0</v>
      </c>
      <c r="AF63" s="88">
        <f>IFERROR(R63/#REF!,0)</f>
        <v>0</v>
      </c>
      <c r="AG63" s="88">
        <f>IFERROR(S63/#REF!,0)</f>
        <v>0</v>
      </c>
      <c r="AH63" s="70">
        <f t="shared" ref="AH63:AH92" si="53">SUM(V63:AG63)</f>
        <v>0</v>
      </c>
      <c r="AI63" s="88">
        <f t="shared" ref="AI63:AI126" si="54">AH63/12</f>
        <v>0</v>
      </c>
      <c r="AR63" s="69"/>
    </row>
    <row r="64" spans="1:53" ht="12" customHeight="1">
      <c r="C64" s="168"/>
      <c r="D64" s="168"/>
      <c r="E64" s="174"/>
      <c r="F64" s="174"/>
      <c r="G64" s="174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90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70"/>
      <c r="AI64" s="88"/>
      <c r="AR64" s="69"/>
    </row>
    <row r="65" spans="1:56" ht="12" customHeight="1">
      <c r="B65" s="38">
        <f t="shared" ref="B65:B128" si="55">COUNTIF(C:C,C65)</f>
        <v>1</v>
      </c>
      <c r="C65" s="172" t="s">
        <v>347</v>
      </c>
      <c r="D65" s="172" t="s">
        <v>347</v>
      </c>
      <c r="E65" s="174"/>
      <c r="F65" s="174"/>
      <c r="G65" s="174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90"/>
      <c r="V65" s="88">
        <f t="shared" ref="V65:AG97" si="56">IFERROR(H65/$E65,0)</f>
        <v>0</v>
      </c>
      <c r="W65" s="88">
        <f t="shared" si="56"/>
        <v>0</v>
      </c>
      <c r="X65" s="88">
        <f t="shared" si="56"/>
        <v>0</v>
      </c>
      <c r="Y65" s="88">
        <f t="shared" si="56"/>
        <v>0</v>
      </c>
      <c r="Z65" s="88">
        <f t="shared" si="56"/>
        <v>0</v>
      </c>
      <c r="AA65" s="88">
        <f t="shared" si="56"/>
        <v>0</v>
      </c>
      <c r="AB65" s="88">
        <f t="shared" si="56"/>
        <v>0</v>
      </c>
      <c r="AC65" s="88">
        <f t="shared" si="56"/>
        <v>0</v>
      </c>
      <c r="AD65" s="88">
        <f t="shared" si="56"/>
        <v>0</v>
      </c>
      <c r="AE65" s="88">
        <f t="shared" si="56"/>
        <v>0</v>
      </c>
      <c r="AF65" s="88">
        <f t="shared" si="56"/>
        <v>0</v>
      </c>
      <c r="AG65" s="88">
        <f t="shared" si="56"/>
        <v>0</v>
      </c>
      <c r="AH65" s="70">
        <f t="shared" si="53"/>
        <v>0</v>
      </c>
      <c r="AI65" s="88">
        <f t="shared" si="54"/>
        <v>0</v>
      </c>
      <c r="AR65" s="69"/>
    </row>
    <row r="66" spans="1:56" ht="12" customHeight="1">
      <c r="A66" s="38" t="str">
        <f t="shared" ref="A66:A129" si="57">$A$1&amp;C66</f>
        <v>Joes TC Refuse UTCACCESS-COMM</v>
      </c>
      <c r="B66" s="38">
        <f t="shared" si="55"/>
        <v>1</v>
      </c>
      <c r="C66" s="87" t="s">
        <v>348</v>
      </c>
      <c r="D66" s="87" t="s">
        <v>349</v>
      </c>
      <c r="E66" s="174">
        <v>1.64</v>
      </c>
      <c r="F66" s="69">
        <v>1.63</v>
      </c>
      <c r="G66" s="174" t="s">
        <v>228</v>
      </c>
      <c r="H66" s="88">
        <v>5.7750000000000004</v>
      </c>
      <c r="I66" s="88">
        <v>5.7750000000000004</v>
      </c>
      <c r="J66" s="88">
        <v>7.0550000000000006</v>
      </c>
      <c r="K66" s="88">
        <v>7.4249999999999998</v>
      </c>
      <c r="L66" s="88">
        <v>7.4249999999999998</v>
      </c>
      <c r="M66" s="88">
        <v>7.4249999999999998</v>
      </c>
      <c r="N66" s="88">
        <v>7.4249999999999998</v>
      </c>
      <c r="O66" s="88">
        <v>7.4249999999999998</v>
      </c>
      <c r="P66" s="88">
        <v>7.4249999999999998</v>
      </c>
      <c r="Q66" s="88">
        <v>7.4249999999999998</v>
      </c>
      <c r="R66" s="88">
        <v>7.4249999999999998</v>
      </c>
      <c r="S66" s="88">
        <v>7.4249999999999998</v>
      </c>
      <c r="T66" s="88">
        <f t="shared" ref="T66:T96" si="58">SUM(H66:S66)</f>
        <v>85.429999999999978</v>
      </c>
      <c r="V66" s="88">
        <f t="shared" si="56"/>
        <v>3.5213414634146347</v>
      </c>
      <c r="W66" s="88">
        <f t="shared" si="56"/>
        <v>3.5213414634146347</v>
      </c>
      <c r="X66" s="88">
        <f t="shared" si="56"/>
        <v>4.3018292682926838</v>
      </c>
      <c r="Y66" s="88">
        <f t="shared" si="56"/>
        <v>4.5274390243902438</v>
      </c>
      <c r="Z66" s="88">
        <f t="shared" si="56"/>
        <v>4.5274390243902438</v>
      </c>
      <c r="AA66" s="88">
        <f t="shared" si="56"/>
        <v>4.5274390243902438</v>
      </c>
      <c r="AB66" s="88">
        <f t="shared" si="56"/>
        <v>4.5274390243902438</v>
      </c>
      <c r="AC66" s="88">
        <f t="shared" si="56"/>
        <v>4.5274390243902438</v>
      </c>
      <c r="AD66" s="88">
        <f t="shared" ref="AD66:AG127" si="59">IFERROR(P66/$F66,0)</f>
        <v>4.5552147239263805</v>
      </c>
      <c r="AE66" s="88">
        <f t="shared" si="59"/>
        <v>4.5552147239263805</v>
      </c>
      <c r="AF66" s="88">
        <f t="shared" si="59"/>
        <v>4.5552147239263805</v>
      </c>
      <c r="AG66" s="88">
        <f t="shared" si="59"/>
        <v>4.5552147239263805</v>
      </c>
      <c r="AH66" s="70">
        <f t="shared" si="53"/>
        <v>52.202566212778706</v>
      </c>
      <c r="AI66" s="88">
        <f t="shared" si="54"/>
        <v>4.3502138510648924</v>
      </c>
      <c r="AR66" s="69" t="e">
        <f>+VLOOKUP(C66,#REF!,3,FALSE)</f>
        <v>#REF!</v>
      </c>
      <c r="AS66" s="88">
        <f t="shared" ref="AS66:AS129" si="60">+IFERROR(AH66*AR66,0)</f>
        <v>0</v>
      </c>
      <c r="AT66" s="90">
        <f t="shared" ref="AT66:AT129" si="61">+AS66-T66</f>
        <v>-85.429999999999978</v>
      </c>
      <c r="AW66" s="89">
        <f t="shared" ref="AW66:AW129" ca="1" si="62">+F66*(1+$BE$2)</f>
        <v>1.6701367573902695</v>
      </c>
      <c r="AX66" s="90">
        <f t="shared" ref="AX66:AX129" ca="1" si="63">+AW66*AI66*12</f>
        <v>87.185424662061067</v>
      </c>
      <c r="AY66" s="86">
        <f t="shared" ref="AY66:AY129" ca="1" si="64">+AX66-T66</f>
        <v>1.7554246620610883</v>
      </c>
      <c r="AZ66" s="402">
        <f t="shared" ref="AZ66:AZ129" ca="1" si="65">AX66*BA$2</f>
        <v>0.33410691251227864</v>
      </c>
      <c r="BA66" s="402">
        <f t="shared" ref="BA66:BA129" ca="1" si="66">+AX66+AZ66</f>
        <v>87.51953157457335</v>
      </c>
    </row>
    <row r="67" spans="1:56" s="98" customFormat="1" ht="12" customHeight="1">
      <c r="A67" s="98" t="str">
        <f t="shared" si="57"/>
        <v>Joes TC Refuse UTCCANCOUNT65-COMM</v>
      </c>
      <c r="B67" s="98">
        <f t="shared" si="55"/>
        <v>1</v>
      </c>
      <c r="C67" s="99" t="s">
        <v>355</v>
      </c>
      <c r="D67" s="99" t="s">
        <v>356</v>
      </c>
      <c r="E67" s="176">
        <v>6.18</v>
      </c>
      <c r="F67" s="176">
        <v>6.15</v>
      </c>
      <c r="G67" s="176" t="s">
        <v>701</v>
      </c>
      <c r="H67" s="101">
        <v>3670.9199999999996</v>
      </c>
      <c r="I67" s="101">
        <v>3281.58</v>
      </c>
      <c r="J67" s="101">
        <v>3602.94</v>
      </c>
      <c r="K67" s="101">
        <v>3275.3999999999996</v>
      </c>
      <c r="L67" s="101">
        <v>4350.72</v>
      </c>
      <c r="M67" s="101">
        <v>3436.08</v>
      </c>
      <c r="N67" s="101">
        <v>3658.56</v>
      </c>
      <c r="O67" s="101">
        <v>3491.7000000000003</v>
      </c>
      <c r="P67" s="101">
        <v>3444.54</v>
      </c>
      <c r="Q67" s="101">
        <v>4065.15</v>
      </c>
      <c r="R67" s="101">
        <v>3075</v>
      </c>
      <c r="S67" s="101">
        <v>3173.4</v>
      </c>
      <c r="T67" s="101">
        <f t="shared" si="58"/>
        <v>42525.990000000005</v>
      </c>
      <c r="U67" s="101"/>
      <c r="V67" s="101">
        <f>IFERROR(H67/$E67,0)/4.33</f>
        <v>137.18244803695151</v>
      </c>
      <c r="W67" s="101">
        <f t="shared" ref="W67:AH67" si="67">IFERROR(I67/$E67,0)/4.33</f>
        <v>122.63279445727483</v>
      </c>
      <c r="X67" s="101">
        <f t="shared" si="67"/>
        <v>134.6420323325635</v>
      </c>
      <c r="Y67" s="101">
        <f t="shared" si="67"/>
        <v>122.40184757505773</v>
      </c>
      <c r="Z67" s="101">
        <f t="shared" si="67"/>
        <v>162.58660508083142</v>
      </c>
      <c r="AA67" s="101">
        <f t="shared" si="67"/>
        <v>128.40646651270208</v>
      </c>
      <c r="AB67" s="101">
        <f t="shared" si="67"/>
        <v>136.72055427251732</v>
      </c>
      <c r="AC67" s="101">
        <f t="shared" si="67"/>
        <v>130.48498845265593</v>
      </c>
      <c r="AD67" s="101">
        <f>IFERROR(P67/$F67,0)/4.33</f>
        <v>129.35053230439922</v>
      </c>
      <c r="AE67" s="101">
        <f t="shared" ref="AE67:AG67" si="68">IFERROR(Q67/$F67,0)/4.33</f>
        <v>152.65588914549653</v>
      </c>
      <c r="AF67" s="101">
        <f t="shared" si="68"/>
        <v>115.47344110854502</v>
      </c>
      <c r="AG67" s="101">
        <f t="shared" si="68"/>
        <v>119.16859122401847</v>
      </c>
      <c r="AH67" s="186">
        <f t="shared" si="67"/>
        <v>1589.1981883001863</v>
      </c>
      <c r="AI67" s="101">
        <f t="shared" si="54"/>
        <v>132.43318235834886</v>
      </c>
      <c r="AK67" s="98">
        <v>65</v>
      </c>
      <c r="AN67" s="98">
        <v>1</v>
      </c>
      <c r="AO67" s="128">
        <f>+(AN67)*AI67</f>
        <v>132.43318235834886</v>
      </c>
      <c r="AP67" s="104" t="s">
        <v>702</v>
      </c>
      <c r="AR67" s="100" t="e">
        <f>+VLOOKUP(C67,#REF!,3,FALSE)</f>
        <v>#REF!</v>
      </c>
      <c r="AS67" s="101">
        <f t="shared" si="60"/>
        <v>0</v>
      </c>
      <c r="AT67" s="128">
        <f t="shared" si="61"/>
        <v>-42525.990000000005</v>
      </c>
      <c r="AW67" s="89">
        <f t="shared" ca="1" si="62"/>
        <v>6.3014362318712624</v>
      </c>
      <c r="AX67" s="90">
        <f ca="1">+AW67*AI67*12*4.33</f>
        <v>43361.62041783092</v>
      </c>
      <c r="AY67" s="86">
        <f t="shared" ca="1" si="64"/>
        <v>835.63041783091467</v>
      </c>
      <c r="AZ67" s="402">
        <f t="shared" ca="1" si="65"/>
        <v>166.16787926979157</v>
      </c>
      <c r="BA67" s="402">
        <f t="shared" ca="1" si="66"/>
        <v>43527.788297100713</v>
      </c>
    </row>
    <row r="68" spans="1:56" s="98" customFormat="1" ht="12" customHeight="1">
      <c r="A68" s="98" t="str">
        <f t="shared" si="57"/>
        <v>Joes TC Refuse UTCCANCOUNT95-COMM</v>
      </c>
      <c r="B68" s="98">
        <f t="shared" si="55"/>
        <v>1</v>
      </c>
      <c r="C68" s="99" t="s">
        <v>359</v>
      </c>
      <c r="D68" s="99" t="s">
        <v>360</v>
      </c>
      <c r="E68" s="176">
        <v>8.73</v>
      </c>
      <c r="F68" s="176">
        <v>8.69</v>
      </c>
      <c r="G68" s="176" t="s">
        <v>701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1">
        <v>0</v>
      </c>
      <c r="R68" s="101">
        <v>86.9</v>
      </c>
      <c r="S68" s="101">
        <v>0</v>
      </c>
      <c r="T68" s="101">
        <f t="shared" si="58"/>
        <v>86.9</v>
      </c>
      <c r="U68" s="101"/>
      <c r="V68" s="101">
        <f t="shared" si="56"/>
        <v>0</v>
      </c>
      <c r="W68" s="101">
        <f t="shared" si="56"/>
        <v>0</v>
      </c>
      <c r="X68" s="101">
        <f t="shared" si="56"/>
        <v>0</v>
      </c>
      <c r="Y68" s="101">
        <f t="shared" si="56"/>
        <v>0</v>
      </c>
      <c r="Z68" s="101">
        <f t="shared" si="56"/>
        <v>0</v>
      </c>
      <c r="AA68" s="101">
        <f t="shared" si="56"/>
        <v>0</v>
      </c>
      <c r="AB68" s="101">
        <f t="shared" si="56"/>
        <v>0</v>
      </c>
      <c r="AC68" s="101">
        <f t="shared" si="56"/>
        <v>0</v>
      </c>
      <c r="AD68" s="101">
        <f t="shared" si="59"/>
        <v>0</v>
      </c>
      <c r="AE68" s="101">
        <f t="shared" si="59"/>
        <v>0</v>
      </c>
      <c r="AF68" s="101">
        <f t="shared" si="59"/>
        <v>10.000000000000002</v>
      </c>
      <c r="AG68" s="101">
        <f t="shared" si="59"/>
        <v>0</v>
      </c>
      <c r="AH68" s="175">
        <f t="shared" si="53"/>
        <v>10.000000000000002</v>
      </c>
      <c r="AI68" s="101">
        <f t="shared" si="54"/>
        <v>0.83333333333333348</v>
      </c>
      <c r="AK68" s="98">
        <v>95</v>
      </c>
      <c r="AN68" s="98">
        <v>1</v>
      </c>
      <c r="AO68" s="128">
        <f>+(AN68)*AI68</f>
        <v>0.83333333333333348</v>
      </c>
      <c r="AP68" s="104" t="s">
        <v>702</v>
      </c>
      <c r="AR68" s="100" t="e">
        <f>+VLOOKUP(C68,#REF!,3,FALSE)</f>
        <v>#REF!</v>
      </c>
      <c r="AS68" s="101">
        <f t="shared" si="60"/>
        <v>0</v>
      </c>
      <c r="AT68" s="128">
        <f t="shared" si="61"/>
        <v>-86.9</v>
      </c>
      <c r="AW68" s="89">
        <f t="shared" ca="1" si="62"/>
        <v>8.9039806268229693</v>
      </c>
      <c r="AX68" s="90">
        <f t="shared" ca="1" si="63"/>
        <v>89.039806268229711</v>
      </c>
      <c r="AY68" s="86">
        <f t="shared" ca="1" si="64"/>
        <v>2.1398062682297052</v>
      </c>
      <c r="AZ68" s="402">
        <f t="shared" ca="1" si="65"/>
        <v>0.34121316582764694</v>
      </c>
      <c r="BA68" s="402">
        <f t="shared" ca="1" si="66"/>
        <v>89.381019434057364</v>
      </c>
    </row>
    <row r="69" spans="1:56" ht="12" customHeight="1">
      <c r="A69" s="38" t="str">
        <f t="shared" si="57"/>
        <v>Joes TC Refuse UTCDEL1.5TEMP-COMM</v>
      </c>
      <c r="B69" s="38">
        <f t="shared" si="55"/>
        <v>1</v>
      </c>
      <c r="C69" s="87" t="s">
        <v>366</v>
      </c>
      <c r="D69" s="87" t="s">
        <v>367</v>
      </c>
      <c r="E69" s="174">
        <v>26.84</v>
      </c>
      <c r="F69" s="174">
        <v>26.72</v>
      </c>
      <c r="G69" s="174" t="s">
        <v>703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f t="shared" si="58"/>
        <v>0</v>
      </c>
      <c r="U69" s="88"/>
      <c r="V69" s="88">
        <f t="shared" si="56"/>
        <v>0</v>
      </c>
      <c r="W69" s="88">
        <f t="shared" si="56"/>
        <v>0</v>
      </c>
      <c r="X69" s="88">
        <f t="shared" si="56"/>
        <v>0</v>
      </c>
      <c r="Y69" s="88">
        <f t="shared" si="56"/>
        <v>0</v>
      </c>
      <c r="Z69" s="88">
        <f t="shared" si="56"/>
        <v>0</v>
      </c>
      <c r="AA69" s="88">
        <f t="shared" si="56"/>
        <v>0</v>
      </c>
      <c r="AB69" s="88">
        <f t="shared" si="56"/>
        <v>0</v>
      </c>
      <c r="AC69" s="88">
        <f t="shared" si="56"/>
        <v>0</v>
      </c>
      <c r="AD69" s="88">
        <f t="shared" si="59"/>
        <v>0</v>
      </c>
      <c r="AE69" s="88">
        <f t="shared" si="59"/>
        <v>0</v>
      </c>
      <c r="AF69" s="88">
        <f t="shared" si="59"/>
        <v>0</v>
      </c>
      <c r="AG69" s="88">
        <f t="shared" si="59"/>
        <v>0</v>
      </c>
      <c r="AH69" s="70">
        <f t="shared" si="53"/>
        <v>0</v>
      </c>
      <c r="AI69" s="88">
        <f t="shared" si="54"/>
        <v>0</v>
      </c>
      <c r="AR69" s="69" t="e">
        <f>+VLOOKUP(C69,#REF!,3,FALSE)</f>
        <v>#REF!</v>
      </c>
      <c r="AS69" s="88">
        <f t="shared" si="60"/>
        <v>0</v>
      </c>
      <c r="AT69" s="90">
        <f t="shared" si="61"/>
        <v>0</v>
      </c>
      <c r="AW69" s="89">
        <f t="shared" ca="1" si="62"/>
        <v>27.377947335869937</v>
      </c>
      <c r="AX69" s="90">
        <f t="shared" ca="1" si="63"/>
        <v>0</v>
      </c>
      <c r="AY69" s="86">
        <f t="shared" ca="1" si="64"/>
        <v>0</v>
      </c>
      <c r="AZ69" s="402">
        <f t="shared" ca="1" si="65"/>
        <v>0</v>
      </c>
      <c r="BA69" s="402">
        <f t="shared" ca="1" si="66"/>
        <v>0</v>
      </c>
    </row>
    <row r="70" spans="1:56" ht="12" customHeight="1">
      <c r="A70" s="38" t="str">
        <f t="shared" si="57"/>
        <v>Joes TC Refuse UTCDEL1TEMP-COMM</v>
      </c>
      <c r="B70" s="38">
        <f t="shared" si="55"/>
        <v>1</v>
      </c>
      <c r="C70" s="87" t="s">
        <v>369</v>
      </c>
      <c r="D70" s="87" t="s">
        <v>370</v>
      </c>
      <c r="E70" s="174">
        <v>26.84</v>
      </c>
      <c r="F70" s="174">
        <v>26.72</v>
      </c>
      <c r="G70" s="174" t="s">
        <v>703</v>
      </c>
      <c r="H70" s="88">
        <v>0</v>
      </c>
      <c r="I70" s="88">
        <v>0</v>
      </c>
      <c r="J70" s="88">
        <v>26.84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  <c r="P70" s="88">
        <v>0</v>
      </c>
      <c r="Q70" s="88">
        <v>26.72</v>
      </c>
      <c r="R70" s="88">
        <v>0</v>
      </c>
      <c r="S70" s="88">
        <v>0</v>
      </c>
      <c r="T70" s="88">
        <f t="shared" si="58"/>
        <v>53.56</v>
      </c>
      <c r="U70" s="88"/>
      <c r="V70" s="88">
        <f t="shared" si="56"/>
        <v>0</v>
      </c>
      <c r="W70" s="88">
        <f t="shared" si="56"/>
        <v>0</v>
      </c>
      <c r="X70" s="88">
        <f t="shared" si="56"/>
        <v>1</v>
      </c>
      <c r="Y70" s="88">
        <f t="shared" si="56"/>
        <v>0</v>
      </c>
      <c r="Z70" s="88">
        <f t="shared" si="56"/>
        <v>0</v>
      </c>
      <c r="AA70" s="88">
        <f t="shared" si="56"/>
        <v>0</v>
      </c>
      <c r="AB70" s="88">
        <f t="shared" si="56"/>
        <v>0</v>
      </c>
      <c r="AC70" s="88">
        <f t="shared" si="56"/>
        <v>0</v>
      </c>
      <c r="AD70" s="88">
        <f t="shared" si="59"/>
        <v>0</v>
      </c>
      <c r="AE70" s="88">
        <f t="shared" si="59"/>
        <v>1</v>
      </c>
      <c r="AF70" s="88">
        <f t="shared" si="59"/>
        <v>0</v>
      </c>
      <c r="AG70" s="88">
        <f t="shared" si="59"/>
        <v>0</v>
      </c>
      <c r="AH70" s="70">
        <f t="shared" si="53"/>
        <v>2</v>
      </c>
      <c r="AI70" s="88">
        <f t="shared" si="54"/>
        <v>0.16666666666666666</v>
      </c>
      <c r="AR70" s="69" t="e">
        <f>+VLOOKUP(C70,#REF!,3,FALSE)</f>
        <v>#REF!</v>
      </c>
      <c r="AS70" s="88">
        <f t="shared" si="60"/>
        <v>0</v>
      </c>
      <c r="AT70" s="90">
        <f t="shared" si="61"/>
        <v>-53.56</v>
      </c>
      <c r="AW70" s="89">
        <f t="shared" ca="1" si="62"/>
        <v>27.377947335869937</v>
      </c>
      <c r="AX70" s="90">
        <f t="shared" ca="1" si="63"/>
        <v>54.755894671739867</v>
      </c>
      <c r="AY70" s="86">
        <f t="shared" ca="1" si="64"/>
        <v>1.1958946717398646</v>
      </c>
      <c r="AZ70" s="402">
        <f t="shared" ca="1" si="65"/>
        <v>0.20983235422128249</v>
      </c>
      <c r="BA70" s="402">
        <f t="shared" ca="1" si="66"/>
        <v>54.965727025961151</v>
      </c>
    </row>
    <row r="71" spans="1:56" ht="12" customHeight="1">
      <c r="A71" s="38" t="str">
        <f t="shared" si="57"/>
        <v>Joes TC Refuse UTCDEL2TEMP-COMM</v>
      </c>
      <c r="B71" s="38">
        <f t="shared" si="55"/>
        <v>1</v>
      </c>
      <c r="C71" s="87" t="s">
        <v>376</v>
      </c>
      <c r="D71" s="87" t="s">
        <v>377</v>
      </c>
      <c r="E71" s="174">
        <v>26.84</v>
      </c>
      <c r="F71" s="174">
        <v>26.72</v>
      </c>
      <c r="G71" s="174" t="s">
        <v>703</v>
      </c>
      <c r="H71" s="88">
        <v>80.52</v>
      </c>
      <c r="I71" s="88">
        <v>53.68</v>
      </c>
      <c r="J71" s="88">
        <v>0</v>
      </c>
      <c r="K71" s="88">
        <v>53.68</v>
      </c>
      <c r="L71" s="88">
        <v>53.68</v>
      </c>
      <c r="M71" s="88">
        <v>26.84</v>
      </c>
      <c r="N71" s="88">
        <v>134.19999999999999</v>
      </c>
      <c r="O71" s="88">
        <v>80.52</v>
      </c>
      <c r="P71" s="88">
        <v>0</v>
      </c>
      <c r="Q71" s="88">
        <v>80.28</v>
      </c>
      <c r="R71" s="88">
        <v>26.72</v>
      </c>
      <c r="S71" s="88">
        <v>0</v>
      </c>
      <c r="T71" s="88">
        <f t="shared" si="58"/>
        <v>590.12</v>
      </c>
      <c r="U71" s="88"/>
      <c r="V71" s="88">
        <f t="shared" si="56"/>
        <v>3</v>
      </c>
      <c r="W71" s="88">
        <f t="shared" si="56"/>
        <v>2</v>
      </c>
      <c r="X71" s="88">
        <f t="shared" si="56"/>
        <v>0</v>
      </c>
      <c r="Y71" s="88">
        <f t="shared" si="56"/>
        <v>2</v>
      </c>
      <c r="Z71" s="88">
        <f t="shared" si="56"/>
        <v>2</v>
      </c>
      <c r="AA71" s="88">
        <f t="shared" si="56"/>
        <v>1</v>
      </c>
      <c r="AB71" s="88">
        <f t="shared" si="56"/>
        <v>5</v>
      </c>
      <c r="AC71" s="88">
        <f t="shared" si="56"/>
        <v>3</v>
      </c>
      <c r="AD71" s="88">
        <f t="shared" si="59"/>
        <v>0</v>
      </c>
      <c r="AE71" s="88">
        <f t="shared" si="59"/>
        <v>3.0044910179640718</v>
      </c>
      <c r="AF71" s="88">
        <f t="shared" si="59"/>
        <v>1</v>
      </c>
      <c r="AG71" s="88">
        <f t="shared" si="59"/>
        <v>0</v>
      </c>
      <c r="AH71" s="70">
        <f t="shared" si="53"/>
        <v>22.004491017964071</v>
      </c>
      <c r="AI71" s="88">
        <f t="shared" si="54"/>
        <v>1.8337075848303392</v>
      </c>
      <c r="AR71" s="69" t="e">
        <f>+VLOOKUP(C71,#REF!,3,FALSE)</f>
        <v>#REF!</v>
      </c>
      <c r="AS71" s="88">
        <f t="shared" si="60"/>
        <v>0</v>
      </c>
      <c r="AT71" s="90">
        <f t="shared" si="61"/>
        <v>-590.12</v>
      </c>
      <c r="AW71" s="89">
        <f t="shared" ca="1" si="62"/>
        <v>27.377947335869937</v>
      </c>
      <c r="AX71" s="90">
        <f t="shared" ca="1" si="63"/>
        <v>602.43779624244337</v>
      </c>
      <c r="AY71" s="86">
        <f t="shared" ca="1" si="64"/>
        <v>12.317796242443364</v>
      </c>
      <c r="AZ71" s="402">
        <f t="shared" ca="1" si="65"/>
        <v>2.3086270768702333</v>
      </c>
      <c r="BA71" s="402">
        <f t="shared" ca="1" si="66"/>
        <v>604.74642331931364</v>
      </c>
    </row>
    <row r="72" spans="1:56" ht="12" customHeight="1">
      <c r="A72" s="38" t="str">
        <f t="shared" si="57"/>
        <v>Joes TC Refuse UTCDEL3TEMP-COMM</v>
      </c>
      <c r="B72" s="38">
        <f t="shared" si="55"/>
        <v>1</v>
      </c>
      <c r="C72" s="87" t="s">
        <v>378</v>
      </c>
      <c r="D72" s="87" t="s">
        <v>379</v>
      </c>
      <c r="E72" s="174">
        <v>26.84</v>
      </c>
      <c r="F72" s="174">
        <v>26.72</v>
      </c>
      <c r="G72" s="174" t="s">
        <v>703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53.68</v>
      </c>
      <c r="P72" s="88">
        <v>0</v>
      </c>
      <c r="Q72" s="88">
        <v>0</v>
      </c>
      <c r="R72" s="88">
        <v>0</v>
      </c>
      <c r="S72" s="88">
        <v>0</v>
      </c>
      <c r="T72" s="88">
        <f t="shared" si="58"/>
        <v>53.68</v>
      </c>
      <c r="U72" s="88"/>
      <c r="V72" s="88">
        <f t="shared" si="56"/>
        <v>0</v>
      </c>
      <c r="W72" s="88">
        <f t="shared" si="56"/>
        <v>0</v>
      </c>
      <c r="X72" s="88">
        <f t="shared" si="56"/>
        <v>0</v>
      </c>
      <c r="Y72" s="88">
        <f t="shared" si="56"/>
        <v>0</v>
      </c>
      <c r="Z72" s="88">
        <f t="shared" si="56"/>
        <v>0</v>
      </c>
      <c r="AA72" s="88">
        <f t="shared" si="56"/>
        <v>0</v>
      </c>
      <c r="AB72" s="88">
        <f t="shared" si="56"/>
        <v>0</v>
      </c>
      <c r="AC72" s="88">
        <f t="shared" si="56"/>
        <v>2</v>
      </c>
      <c r="AD72" s="88">
        <f t="shared" si="59"/>
        <v>0</v>
      </c>
      <c r="AE72" s="88">
        <f t="shared" si="59"/>
        <v>0</v>
      </c>
      <c r="AF72" s="88">
        <f t="shared" si="59"/>
        <v>0</v>
      </c>
      <c r="AG72" s="88">
        <f t="shared" si="59"/>
        <v>0</v>
      </c>
      <c r="AH72" s="70">
        <f t="shared" si="53"/>
        <v>2</v>
      </c>
      <c r="AI72" s="88">
        <f t="shared" si="54"/>
        <v>0.16666666666666666</v>
      </c>
      <c r="AR72" s="69" t="e">
        <f>+VLOOKUP(C72,#REF!,3,FALSE)</f>
        <v>#REF!</v>
      </c>
      <c r="AS72" s="88">
        <f t="shared" si="60"/>
        <v>0</v>
      </c>
      <c r="AT72" s="90">
        <f t="shared" si="61"/>
        <v>-53.68</v>
      </c>
      <c r="AW72" s="89">
        <f t="shared" ca="1" si="62"/>
        <v>27.377947335869937</v>
      </c>
      <c r="AX72" s="90">
        <f t="shared" ca="1" si="63"/>
        <v>54.755894671739867</v>
      </c>
      <c r="AY72" s="86">
        <f t="shared" ca="1" si="64"/>
        <v>1.0758946717398672</v>
      </c>
      <c r="AZ72" s="402">
        <f t="shared" ca="1" si="65"/>
        <v>0.20983235422128249</v>
      </c>
      <c r="BA72" s="402">
        <f t="shared" ca="1" si="66"/>
        <v>54.965727025961151</v>
      </c>
    </row>
    <row r="73" spans="1:56" ht="12" customHeight="1">
      <c r="A73" s="38" t="str">
        <f t="shared" si="57"/>
        <v>Joes TC Refuse UTCDEL4TEMP-COMM</v>
      </c>
      <c r="B73" s="38">
        <f t="shared" si="55"/>
        <v>1</v>
      </c>
      <c r="C73" s="87" t="s">
        <v>380</v>
      </c>
      <c r="D73" s="87" t="s">
        <v>381</v>
      </c>
      <c r="E73" s="174">
        <v>26.84</v>
      </c>
      <c r="F73" s="174">
        <v>26.72</v>
      </c>
      <c r="G73" s="174" t="s">
        <v>703</v>
      </c>
      <c r="H73" s="88">
        <v>0</v>
      </c>
      <c r="I73" s="88">
        <v>0</v>
      </c>
      <c r="J73" s="88">
        <v>0</v>
      </c>
      <c r="K73" s="88">
        <v>0</v>
      </c>
      <c r="L73" s="88">
        <v>26.84</v>
      </c>
      <c r="M73" s="88">
        <v>26.84</v>
      </c>
      <c r="N73" s="88">
        <v>26.84</v>
      </c>
      <c r="O73" s="88">
        <v>26.84</v>
      </c>
      <c r="P73" s="88">
        <v>26.72</v>
      </c>
      <c r="Q73" s="88">
        <v>0</v>
      </c>
      <c r="R73" s="88">
        <v>0</v>
      </c>
      <c r="S73" s="88">
        <v>0</v>
      </c>
      <c r="T73" s="88">
        <f t="shared" si="58"/>
        <v>134.07999999999998</v>
      </c>
      <c r="U73" s="88"/>
      <c r="V73" s="88">
        <f t="shared" si="56"/>
        <v>0</v>
      </c>
      <c r="W73" s="88">
        <f t="shared" si="56"/>
        <v>0</v>
      </c>
      <c r="X73" s="88">
        <f t="shared" si="56"/>
        <v>0</v>
      </c>
      <c r="Y73" s="88">
        <f t="shared" si="56"/>
        <v>0</v>
      </c>
      <c r="Z73" s="88">
        <f t="shared" si="56"/>
        <v>1</v>
      </c>
      <c r="AA73" s="88">
        <f t="shared" si="56"/>
        <v>1</v>
      </c>
      <c r="AB73" s="88">
        <f t="shared" si="56"/>
        <v>1</v>
      </c>
      <c r="AC73" s="88">
        <f t="shared" si="56"/>
        <v>1</v>
      </c>
      <c r="AD73" s="88">
        <f t="shared" si="59"/>
        <v>1</v>
      </c>
      <c r="AE73" s="88">
        <f t="shared" si="59"/>
        <v>0</v>
      </c>
      <c r="AF73" s="88">
        <f t="shared" si="59"/>
        <v>0</v>
      </c>
      <c r="AG73" s="88">
        <f t="shared" si="59"/>
        <v>0</v>
      </c>
      <c r="AH73" s="70">
        <f t="shared" si="53"/>
        <v>5</v>
      </c>
      <c r="AI73" s="88">
        <f t="shared" si="54"/>
        <v>0.41666666666666669</v>
      </c>
      <c r="AR73" s="69" t="e">
        <f>+VLOOKUP(C73,#REF!,3,FALSE)</f>
        <v>#REF!</v>
      </c>
      <c r="AS73" s="88">
        <f t="shared" si="60"/>
        <v>0</v>
      </c>
      <c r="AT73" s="90">
        <f t="shared" si="61"/>
        <v>-134.07999999999998</v>
      </c>
      <c r="AW73" s="89">
        <f t="shared" ca="1" si="62"/>
        <v>27.377947335869937</v>
      </c>
      <c r="AX73" s="90">
        <f t="shared" ca="1" si="63"/>
        <v>136.88973667934968</v>
      </c>
      <c r="AY73" s="86">
        <f t="shared" ca="1" si="64"/>
        <v>2.8097366793496974</v>
      </c>
      <c r="AZ73" s="402">
        <f t="shared" ca="1" si="65"/>
        <v>0.52458088555320626</v>
      </c>
      <c r="BA73" s="402">
        <f t="shared" ca="1" si="66"/>
        <v>137.41431756490289</v>
      </c>
    </row>
    <row r="74" spans="1:56" ht="12" customHeight="1">
      <c r="A74" s="38" t="str">
        <f t="shared" si="57"/>
        <v>Joes TC Refuse UTCDEL6TEMP-COMM</v>
      </c>
      <c r="B74" s="38">
        <f t="shared" si="55"/>
        <v>1</v>
      </c>
      <c r="C74" s="87" t="s">
        <v>384</v>
      </c>
      <c r="D74" s="87" t="s">
        <v>385</v>
      </c>
      <c r="E74" s="174">
        <v>26.84</v>
      </c>
      <c r="F74" s="174">
        <v>26.72</v>
      </c>
      <c r="G74" s="174" t="s">
        <v>703</v>
      </c>
      <c r="H74" s="88">
        <v>53.68</v>
      </c>
      <c r="I74" s="88">
        <v>0</v>
      </c>
      <c r="J74" s="88">
        <v>53.68</v>
      </c>
      <c r="K74" s="88">
        <v>0</v>
      </c>
      <c r="L74" s="88">
        <v>0</v>
      </c>
      <c r="M74" s="88">
        <v>80.52</v>
      </c>
      <c r="N74" s="88">
        <v>107.36</v>
      </c>
      <c r="O74" s="88">
        <v>0</v>
      </c>
      <c r="P74" s="88">
        <v>26.72</v>
      </c>
      <c r="Q74" s="88">
        <v>0</v>
      </c>
      <c r="R74" s="88">
        <v>53.44</v>
      </c>
      <c r="S74" s="88">
        <v>0</v>
      </c>
      <c r="T74" s="88">
        <f t="shared" si="58"/>
        <v>375.40000000000003</v>
      </c>
      <c r="U74" s="88"/>
      <c r="V74" s="88">
        <f t="shared" si="56"/>
        <v>2</v>
      </c>
      <c r="W74" s="88">
        <f t="shared" si="56"/>
        <v>0</v>
      </c>
      <c r="X74" s="88">
        <f t="shared" si="56"/>
        <v>2</v>
      </c>
      <c r="Y74" s="88">
        <f t="shared" si="56"/>
        <v>0</v>
      </c>
      <c r="Z74" s="88">
        <f t="shared" si="56"/>
        <v>0</v>
      </c>
      <c r="AA74" s="88">
        <f t="shared" si="56"/>
        <v>3</v>
      </c>
      <c r="AB74" s="88">
        <f t="shared" si="56"/>
        <v>4</v>
      </c>
      <c r="AC74" s="88">
        <f t="shared" si="56"/>
        <v>0</v>
      </c>
      <c r="AD74" s="88">
        <f t="shared" si="59"/>
        <v>1</v>
      </c>
      <c r="AE74" s="88">
        <f t="shared" si="59"/>
        <v>0</v>
      </c>
      <c r="AF74" s="88">
        <f t="shared" si="59"/>
        <v>2</v>
      </c>
      <c r="AG74" s="88">
        <f t="shared" si="59"/>
        <v>0</v>
      </c>
      <c r="AH74" s="70">
        <f t="shared" si="53"/>
        <v>14</v>
      </c>
      <c r="AI74" s="88">
        <f t="shared" si="54"/>
        <v>1.1666666666666667</v>
      </c>
      <c r="AR74" s="69" t="e">
        <f>+VLOOKUP(C74,#REF!,3,FALSE)</f>
        <v>#REF!</v>
      </c>
      <c r="AS74" s="88">
        <f t="shared" si="60"/>
        <v>0</v>
      </c>
      <c r="AT74" s="90">
        <f t="shared" si="61"/>
        <v>-375.40000000000003</v>
      </c>
      <c r="AW74" s="89">
        <f t="shared" ca="1" si="62"/>
        <v>27.377947335869937</v>
      </c>
      <c r="AX74" s="90">
        <f t="shared" ca="1" si="63"/>
        <v>383.29126270217915</v>
      </c>
      <c r="AY74" s="86">
        <f t="shared" ca="1" si="64"/>
        <v>7.8912627021791195</v>
      </c>
      <c r="AZ74" s="402">
        <f t="shared" ca="1" si="65"/>
        <v>1.4688264795489778</v>
      </c>
      <c r="BA74" s="402">
        <f t="shared" ca="1" si="66"/>
        <v>384.76008918172812</v>
      </c>
    </row>
    <row r="75" spans="1:56" ht="11.25" customHeight="1">
      <c r="A75" s="38" t="str">
        <f t="shared" si="57"/>
        <v>Joes TC Refuse UTCDISP-COMM</v>
      </c>
      <c r="B75" s="38">
        <f t="shared" si="55"/>
        <v>1</v>
      </c>
      <c r="C75" s="87" t="s">
        <v>386</v>
      </c>
      <c r="D75" s="87" t="s">
        <v>387</v>
      </c>
      <c r="E75" s="174">
        <v>119</v>
      </c>
      <c r="F75" s="174">
        <v>119</v>
      </c>
      <c r="G75" s="96" t="s">
        <v>234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>
        <v>0</v>
      </c>
      <c r="R75" s="88">
        <v>0</v>
      </c>
      <c r="S75" s="88">
        <v>0</v>
      </c>
      <c r="T75" s="88">
        <f t="shared" si="58"/>
        <v>0</v>
      </c>
      <c r="U75" s="88"/>
      <c r="V75" s="88">
        <f t="shared" si="56"/>
        <v>0</v>
      </c>
      <c r="W75" s="88">
        <f t="shared" si="56"/>
        <v>0</v>
      </c>
      <c r="X75" s="88">
        <f t="shared" si="56"/>
        <v>0</v>
      </c>
      <c r="Y75" s="88">
        <f t="shared" si="56"/>
        <v>0</v>
      </c>
      <c r="Z75" s="88">
        <f t="shared" si="56"/>
        <v>0</v>
      </c>
      <c r="AA75" s="88">
        <f t="shared" si="56"/>
        <v>0</v>
      </c>
      <c r="AB75" s="88">
        <f t="shared" si="56"/>
        <v>0</v>
      </c>
      <c r="AC75" s="88">
        <f t="shared" si="56"/>
        <v>0</v>
      </c>
      <c r="AD75" s="88">
        <f t="shared" si="59"/>
        <v>0</v>
      </c>
      <c r="AE75" s="88">
        <f t="shared" si="59"/>
        <v>0</v>
      </c>
      <c r="AF75" s="88">
        <f t="shared" si="59"/>
        <v>0</v>
      </c>
      <c r="AG75" s="88">
        <f t="shared" si="59"/>
        <v>0</v>
      </c>
      <c r="AH75" s="70">
        <f t="shared" si="53"/>
        <v>0</v>
      </c>
      <c r="AI75" s="88">
        <f t="shared" si="54"/>
        <v>0</v>
      </c>
      <c r="AR75" s="69">
        <v>119</v>
      </c>
      <c r="AS75" s="88">
        <f t="shared" si="60"/>
        <v>0</v>
      </c>
      <c r="AT75" s="90">
        <f t="shared" si="61"/>
        <v>0</v>
      </c>
      <c r="AW75" s="89">
        <f t="shared" ca="1" si="62"/>
        <v>121.93022952726507</v>
      </c>
      <c r="AX75" s="90">
        <f t="shared" ca="1" si="63"/>
        <v>0</v>
      </c>
      <c r="AY75" s="86">
        <f t="shared" ca="1" si="64"/>
        <v>0</v>
      </c>
      <c r="AZ75" s="402">
        <f t="shared" ca="1" si="65"/>
        <v>0</v>
      </c>
      <c r="BA75" s="402">
        <f t="shared" ca="1" si="66"/>
        <v>0</v>
      </c>
    </row>
    <row r="76" spans="1:56" ht="12" customHeight="1">
      <c r="A76" s="38" t="str">
        <f t="shared" si="57"/>
        <v>Joes TC Refuse UTCDRIVEIN-COMM</v>
      </c>
      <c r="B76" s="38">
        <f t="shared" si="55"/>
        <v>1</v>
      </c>
      <c r="C76" s="87" t="s">
        <v>388</v>
      </c>
      <c r="D76" s="87" t="s">
        <v>389</v>
      </c>
      <c r="E76" s="174">
        <v>7.36</v>
      </c>
      <c r="F76" s="174">
        <v>7.32</v>
      </c>
      <c r="G76" s="174" t="s">
        <v>311</v>
      </c>
      <c r="H76" s="88">
        <v>80.959999999999994</v>
      </c>
      <c r="I76" s="88">
        <v>80.959999999999994</v>
      </c>
      <c r="J76" s="88">
        <v>80.959999999999994</v>
      </c>
      <c r="K76" s="88">
        <v>80.959999999999994</v>
      </c>
      <c r="L76" s="88">
        <v>80.959999999999994</v>
      </c>
      <c r="M76" s="88">
        <v>80.959999999999994</v>
      </c>
      <c r="N76" s="88">
        <v>80.959999999999994</v>
      </c>
      <c r="O76" s="88">
        <v>80.959999999999994</v>
      </c>
      <c r="P76" s="88">
        <v>80.52</v>
      </c>
      <c r="Q76" s="88">
        <v>80.52</v>
      </c>
      <c r="R76" s="88">
        <v>80.52</v>
      </c>
      <c r="S76" s="88">
        <v>80.52</v>
      </c>
      <c r="T76" s="88">
        <f t="shared" si="58"/>
        <v>969.75999999999988</v>
      </c>
      <c r="U76" s="88"/>
      <c r="V76" s="88">
        <f t="shared" si="56"/>
        <v>10.999999999999998</v>
      </c>
      <c r="W76" s="88">
        <f t="shared" si="56"/>
        <v>10.999999999999998</v>
      </c>
      <c r="X76" s="88">
        <f t="shared" si="56"/>
        <v>10.999999999999998</v>
      </c>
      <c r="Y76" s="88">
        <f t="shared" si="56"/>
        <v>10.999999999999998</v>
      </c>
      <c r="Z76" s="88">
        <f t="shared" si="56"/>
        <v>10.999999999999998</v>
      </c>
      <c r="AA76" s="88">
        <f t="shared" si="56"/>
        <v>10.999999999999998</v>
      </c>
      <c r="AB76" s="88">
        <f t="shared" si="56"/>
        <v>10.999999999999998</v>
      </c>
      <c r="AC76" s="88">
        <f t="shared" si="56"/>
        <v>10.999999999999998</v>
      </c>
      <c r="AD76" s="88">
        <f t="shared" si="59"/>
        <v>10.999999999999998</v>
      </c>
      <c r="AE76" s="88">
        <f t="shared" si="59"/>
        <v>10.999999999999998</v>
      </c>
      <c r="AF76" s="88">
        <f t="shared" si="59"/>
        <v>10.999999999999998</v>
      </c>
      <c r="AG76" s="88">
        <f t="shared" si="59"/>
        <v>10.999999999999998</v>
      </c>
      <c r="AH76" s="70">
        <f t="shared" si="53"/>
        <v>131.99999999999997</v>
      </c>
      <c r="AI76" s="88">
        <f t="shared" si="54"/>
        <v>10.999999999999998</v>
      </c>
      <c r="AR76" s="69" t="e">
        <f>+VLOOKUP(C76,#REF!,3,FALSE)</f>
        <v>#REF!</v>
      </c>
      <c r="AS76" s="88">
        <f t="shared" si="60"/>
        <v>0</v>
      </c>
      <c r="AT76" s="90">
        <f t="shared" si="61"/>
        <v>-969.75999999999988</v>
      </c>
      <c r="AW76" s="89">
        <f t="shared" ca="1" si="62"/>
        <v>7.5002460515931126</v>
      </c>
      <c r="AX76" s="90">
        <f t="shared" ca="1" si="63"/>
        <v>990.03247881029074</v>
      </c>
      <c r="AY76" s="86">
        <f t="shared" ca="1" si="64"/>
        <v>20.272478810290863</v>
      </c>
      <c r="AZ76" s="402">
        <f t="shared" ca="1" si="65"/>
        <v>3.7939448716836082</v>
      </c>
      <c r="BA76" s="402">
        <f t="shared" ca="1" si="66"/>
        <v>993.82642368197435</v>
      </c>
    </row>
    <row r="77" spans="1:56" ht="12" customHeight="1">
      <c r="A77" s="38" t="str">
        <f t="shared" si="57"/>
        <v>Joes TC Refuse UTCEXTRA-COMM</v>
      </c>
      <c r="B77" s="38">
        <f t="shared" si="55"/>
        <v>1</v>
      </c>
      <c r="C77" s="87" t="s">
        <v>390</v>
      </c>
      <c r="D77" s="87" t="s">
        <v>391</v>
      </c>
      <c r="E77" s="174">
        <v>4.82</v>
      </c>
      <c r="F77" s="174">
        <v>4.8</v>
      </c>
      <c r="G77" s="174" t="s">
        <v>701</v>
      </c>
      <c r="H77" s="88">
        <v>0</v>
      </c>
      <c r="I77" s="88">
        <v>0</v>
      </c>
      <c r="J77" s="88">
        <v>0</v>
      </c>
      <c r="K77" s="88">
        <v>4.82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f t="shared" si="58"/>
        <v>4.82</v>
      </c>
      <c r="U77" s="88"/>
      <c r="V77" s="88">
        <f t="shared" si="56"/>
        <v>0</v>
      </c>
      <c r="W77" s="88">
        <f t="shared" si="56"/>
        <v>0</v>
      </c>
      <c r="X77" s="88">
        <f t="shared" si="56"/>
        <v>0</v>
      </c>
      <c r="Y77" s="88">
        <f t="shared" si="56"/>
        <v>1</v>
      </c>
      <c r="Z77" s="88">
        <f t="shared" si="56"/>
        <v>0</v>
      </c>
      <c r="AA77" s="88">
        <f t="shared" si="56"/>
        <v>0</v>
      </c>
      <c r="AB77" s="88">
        <f t="shared" si="56"/>
        <v>0</v>
      </c>
      <c r="AC77" s="88">
        <f t="shared" si="56"/>
        <v>0</v>
      </c>
      <c r="AD77" s="88">
        <f t="shared" si="59"/>
        <v>0</v>
      </c>
      <c r="AE77" s="88">
        <f t="shared" si="59"/>
        <v>0</v>
      </c>
      <c r="AF77" s="88">
        <f t="shared" si="59"/>
        <v>0</v>
      </c>
      <c r="AG77" s="88">
        <f t="shared" si="59"/>
        <v>0</v>
      </c>
      <c r="AH77" s="175">
        <f t="shared" si="53"/>
        <v>1</v>
      </c>
      <c r="AI77" s="88">
        <f t="shared" si="54"/>
        <v>8.3333333333333329E-2</v>
      </c>
      <c r="AR77" s="69" t="e">
        <f>+VLOOKUP(C77,#REF!,3,FALSE)</f>
        <v>#REF!</v>
      </c>
      <c r="AS77" s="88">
        <f t="shared" si="60"/>
        <v>0</v>
      </c>
      <c r="AT77" s="90">
        <f t="shared" si="61"/>
        <v>-4.82</v>
      </c>
      <c r="AW77" s="89">
        <f t="shared" ca="1" si="62"/>
        <v>4.9181941321922045</v>
      </c>
      <c r="AX77" s="90">
        <f t="shared" ca="1" si="63"/>
        <v>4.9181941321922045</v>
      </c>
      <c r="AY77" s="86">
        <f t="shared" ca="1" si="64"/>
        <v>9.8194132192204187E-2</v>
      </c>
      <c r="AZ77" s="402">
        <f t="shared" ca="1" si="65"/>
        <v>1.8847217445025377E-2</v>
      </c>
      <c r="BA77" s="402">
        <f t="shared" ca="1" si="66"/>
        <v>4.9370413496372301</v>
      </c>
    </row>
    <row r="78" spans="1:56" ht="12" customHeight="1">
      <c r="A78" s="38" t="str">
        <f t="shared" si="57"/>
        <v>Joes TC Refuse UTCEXTRAYDG-COM</v>
      </c>
      <c r="B78" s="38">
        <f t="shared" si="55"/>
        <v>1</v>
      </c>
      <c r="C78" s="87" t="s">
        <v>392</v>
      </c>
      <c r="D78" s="87" t="s">
        <v>393</v>
      </c>
      <c r="E78" s="174">
        <v>29.45</v>
      </c>
      <c r="F78" s="174">
        <v>29.32</v>
      </c>
      <c r="G78" s="174" t="s">
        <v>689</v>
      </c>
      <c r="H78" s="88">
        <v>435.88</v>
      </c>
      <c r="I78" s="88">
        <v>146.44</v>
      </c>
      <c r="J78" s="88">
        <v>166.85</v>
      </c>
      <c r="K78" s="88">
        <v>448.37</v>
      </c>
      <c r="L78" s="88">
        <v>444.63</v>
      </c>
      <c r="M78" s="88">
        <v>279.77999999999997</v>
      </c>
      <c r="N78" s="88">
        <v>830.99</v>
      </c>
      <c r="O78" s="88">
        <v>733.32</v>
      </c>
      <c r="P78" s="88">
        <v>260.98</v>
      </c>
      <c r="Q78" s="88">
        <v>555.78</v>
      </c>
      <c r="R78" s="88">
        <v>546.22</v>
      </c>
      <c r="S78" s="88">
        <v>299.06</v>
      </c>
      <c r="T78" s="88">
        <f t="shared" si="58"/>
        <v>5148.3000000000011</v>
      </c>
      <c r="U78" s="88"/>
      <c r="V78" s="88">
        <f t="shared" si="56"/>
        <v>14.800679117147709</v>
      </c>
      <c r="W78" s="88">
        <f t="shared" si="56"/>
        <v>4.9724957555178273</v>
      </c>
      <c r="X78" s="88">
        <f t="shared" si="56"/>
        <v>5.6655348047538201</v>
      </c>
      <c r="Y78" s="88">
        <f t="shared" si="56"/>
        <v>15.224787775891341</v>
      </c>
      <c r="Z78" s="88">
        <f t="shared" si="56"/>
        <v>15.097792869269949</v>
      </c>
      <c r="AA78" s="88">
        <f t="shared" si="56"/>
        <v>9.5001697792869262</v>
      </c>
      <c r="AB78" s="88">
        <f t="shared" si="56"/>
        <v>28.2169779286927</v>
      </c>
      <c r="AC78" s="88">
        <f t="shared" si="56"/>
        <v>24.900509337860782</v>
      </c>
      <c r="AD78" s="88">
        <f t="shared" si="59"/>
        <v>8.9010914051841752</v>
      </c>
      <c r="AE78" s="88">
        <f t="shared" si="59"/>
        <v>18.955661664392906</v>
      </c>
      <c r="AF78" s="88">
        <f t="shared" si="59"/>
        <v>18.629604365620736</v>
      </c>
      <c r="AG78" s="88">
        <f t="shared" si="59"/>
        <v>10.199863574351978</v>
      </c>
      <c r="AH78" s="175">
        <f t="shared" si="53"/>
        <v>175.06516837797085</v>
      </c>
      <c r="AI78" s="88">
        <f t="shared" si="54"/>
        <v>14.58876403149757</v>
      </c>
      <c r="AR78" s="69" t="e">
        <f>+VLOOKUP(C78,#REF!,3,FALSE)</f>
        <v>#REF!</v>
      </c>
      <c r="AS78" s="88">
        <f t="shared" si="60"/>
        <v>0</v>
      </c>
      <c r="AT78" s="90">
        <f t="shared" si="61"/>
        <v>-5148.3000000000011</v>
      </c>
      <c r="AW78" s="89">
        <f t="shared" ca="1" si="62"/>
        <v>30.04196915747405</v>
      </c>
      <c r="AX78" s="90">
        <f t="shared" ca="1" si="63"/>
        <v>5259.3023889590013</v>
      </c>
      <c r="AY78" s="86">
        <f t="shared" ca="1" si="64"/>
        <v>111.0023889590002</v>
      </c>
      <c r="AZ78" s="402">
        <f t="shared" ca="1" si="65"/>
        <v>20.154392663160124</v>
      </c>
      <c r="BA78" s="402">
        <f t="shared" ca="1" si="66"/>
        <v>5279.4567816221615</v>
      </c>
    </row>
    <row r="79" spans="1:56" s="98" customFormat="1" ht="12" customHeight="1">
      <c r="A79" s="98" t="str">
        <f t="shared" si="57"/>
        <v>Joes TC Refuse UTCFL001.0Y1W001</v>
      </c>
      <c r="B79" s="98">
        <f t="shared" si="55"/>
        <v>1</v>
      </c>
      <c r="C79" s="99" t="s">
        <v>394</v>
      </c>
      <c r="D79" s="99" t="s">
        <v>395</v>
      </c>
      <c r="E79" s="176">
        <v>103.69</v>
      </c>
      <c r="F79" s="176">
        <v>103.25</v>
      </c>
      <c r="G79" s="176" t="s">
        <v>703</v>
      </c>
      <c r="H79" s="101">
        <v>311.07</v>
      </c>
      <c r="I79" s="101">
        <v>311.07</v>
      </c>
      <c r="J79" s="101">
        <v>311.07</v>
      </c>
      <c r="K79" s="101">
        <v>311.07</v>
      </c>
      <c r="L79" s="101">
        <v>311.07</v>
      </c>
      <c r="M79" s="101">
        <v>311.07</v>
      </c>
      <c r="N79" s="101">
        <v>311.07</v>
      </c>
      <c r="O79" s="101">
        <v>311.07</v>
      </c>
      <c r="P79" s="101">
        <v>309.75</v>
      </c>
      <c r="Q79" s="101">
        <v>309.75</v>
      </c>
      <c r="R79" s="101">
        <v>309.75</v>
      </c>
      <c r="S79" s="101">
        <v>309.75</v>
      </c>
      <c r="T79" s="101">
        <f t="shared" si="58"/>
        <v>3727.56</v>
      </c>
      <c r="U79" s="101"/>
      <c r="V79" s="101">
        <f t="shared" si="56"/>
        <v>3</v>
      </c>
      <c r="W79" s="101">
        <f t="shared" si="56"/>
        <v>3</v>
      </c>
      <c r="X79" s="101">
        <f t="shared" si="56"/>
        <v>3</v>
      </c>
      <c r="Y79" s="101">
        <f t="shared" si="56"/>
        <v>3</v>
      </c>
      <c r="Z79" s="101">
        <f t="shared" si="56"/>
        <v>3</v>
      </c>
      <c r="AA79" s="101">
        <f t="shared" si="56"/>
        <v>3</v>
      </c>
      <c r="AB79" s="101">
        <f t="shared" si="56"/>
        <v>3</v>
      </c>
      <c r="AC79" s="101">
        <f t="shared" si="56"/>
        <v>3</v>
      </c>
      <c r="AD79" s="101">
        <f t="shared" si="59"/>
        <v>3</v>
      </c>
      <c r="AE79" s="101">
        <f t="shared" si="59"/>
        <v>3</v>
      </c>
      <c r="AF79" s="101">
        <f t="shared" si="59"/>
        <v>3</v>
      </c>
      <c r="AG79" s="101">
        <f t="shared" si="59"/>
        <v>3</v>
      </c>
      <c r="AH79" s="175">
        <f t="shared" si="53"/>
        <v>36</v>
      </c>
      <c r="AI79" s="101">
        <f t="shared" si="54"/>
        <v>3</v>
      </c>
      <c r="AM79" s="98">
        <v>1</v>
      </c>
      <c r="AN79" s="98">
        <v>1</v>
      </c>
      <c r="AO79" s="128">
        <f>+AN79*AI79</f>
        <v>3</v>
      </c>
      <c r="AR79" s="100" t="e">
        <f>+VLOOKUP(C79,#REF!,3,FALSE)</f>
        <v>#REF!</v>
      </c>
      <c r="AS79" s="101">
        <f t="shared" si="60"/>
        <v>0</v>
      </c>
      <c r="AT79" s="128">
        <f t="shared" si="61"/>
        <v>-3727.56</v>
      </c>
      <c r="AW79" s="89">
        <f t="shared" ca="1" si="62"/>
        <v>105.79240503100941</v>
      </c>
      <c r="AX79" s="90">
        <f t="shared" ca="1" si="63"/>
        <v>3808.5265811163385</v>
      </c>
      <c r="AY79" s="86">
        <f t="shared" ca="1" si="64"/>
        <v>80.966581116338602</v>
      </c>
      <c r="AZ79" s="402">
        <f t="shared" ca="1" si="65"/>
        <v>14.594814008991527</v>
      </c>
      <c r="BA79" s="402">
        <f t="shared" ca="1" si="66"/>
        <v>3823.1213951253299</v>
      </c>
      <c r="BC79" s="129"/>
      <c r="BD79" s="129"/>
    </row>
    <row r="80" spans="1:56" s="98" customFormat="1" ht="12" customHeight="1">
      <c r="A80" s="98" t="str">
        <f t="shared" si="57"/>
        <v>Joes TC Refuse UTCFL001.0Y2W001</v>
      </c>
      <c r="B80" s="98">
        <f t="shared" si="55"/>
        <v>1</v>
      </c>
      <c r="C80" s="99" t="s">
        <v>396</v>
      </c>
      <c r="D80" s="99" t="s">
        <v>397</v>
      </c>
      <c r="E80" s="176">
        <v>196.57</v>
      </c>
      <c r="F80" s="176">
        <v>195.74</v>
      </c>
      <c r="G80" s="176" t="s">
        <v>703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f t="shared" si="58"/>
        <v>0</v>
      </c>
      <c r="U80" s="101"/>
      <c r="V80" s="101">
        <f t="shared" si="56"/>
        <v>0</v>
      </c>
      <c r="W80" s="101">
        <f t="shared" si="56"/>
        <v>0</v>
      </c>
      <c r="X80" s="101">
        <f t="shared" si="56"/>
        <v>0</v>
      </c>
      <c r="Y80" s="101">
        <f t="shared" si="56"/>
        <v>0</v>
      </c>
      <c r="Z80" s="101">
        <f t="shared" si="56"/>
        <v>0</v>
      </c>
      <c r="AA80" s="101">
        <f t="shared" si="56"/>
        <v>0</v>
      </c>
      <c r="AB80" s="101">
        <f t="shared" si="56"/>
        <v>0</v>
      </c>
      <c r="AC80" s="101">
        <f t="shared" si="56"/>
        <v>0</v>
      </c>
      <c r="AD80" s="101">
        <f t="shared" si="59"/>
        <v>0</v>
      </c>
      <c r="AE80" s="101">
        <f t="shared" si="59"/>
        <v>0</v>
      </c>
      <c r="AF80" s="101">
        <f t="shared" si="59"/>
        <v>0</v>
      </c>
      <c r="AG80" s="101">
        <f t="shared" si="59"/>
        <v>0</v>
      </c>
      <c r="AH80" s="175">
        <f t="shared" si="53"/>
        <v>0</v>
      </c>
      <c r="AI80" s="101">
        <f t="shared" si="54"/>
        <v>0</v>
      </c>
      <c r="AM80" s="98">
        <v>1</v>
      </c>
      <c r="AN80" s="98">
        <v>1</v>
      </c>
      <c r="AO80" s="128">
        <f t="shared" ref="AO80:AO105" si="69">+AN80*AI80</f>
        <v>0</v>
      </c>
      <c r="AR80" s="100" t="e">
        <f>+VLOOKUP(C80,#REF!,3,FALSE)</f>
        <v>#REF!</v>
      </c>
      <c r="AS80" s="101">
        <f t="shared" si="60"/>
        <v>0</v>
      </c>
      <c r="AT80" s="128">
        <f t="shared" si="61"/>
        <v>0</v>
      </c>
      <c r="AW80" s="89">
        <f t="shared" ca="1" si="62"/>
        <v>200.55985821568797</v>
      </c>
      <c r="AX80" s="90">
        <f t="shared" ca="1" si="63"/>
        <v>0</v>
      </c>
      <c r="AY80" s="86">
        <f t="shared" ca="1" si="64"/>
        <v>0</v>
      </c>
      <c r="AZ80" s="402">
        <f t="shared" ca="1" si="65"/>
        <v>0</v>
      </c>
      <c r="BA80" s="402">
        <f t="shared" ca="1" si="66"/>
        <v>0</v>
      </c>
      <c r="BC80" s="129"/>
      <c r="BD80" s="129"/>
    </row>
    <row r="81" spans="1:56" s="98" customFormat="1" ht="12" customHeight="1">
      <c r="A81" s="98" t="str">
        <f t="shared" si="57"/>
        <v>Joes TC Refuse UTCFL001.0YEO001</v>
      </c>
      <c r="B81" s="98">
        <f t="shared" si="55"/>
        <v>1</v>
      </c>
      <c r="C81" s="99" t="s">
        <v>400</v>
      </c>
      <c r="D81" s="99" t="s">
        <v>401</v>
      </c>
      <c r="E81" s="176">
        <v>57.36</v>
      </c>
      <c r="F81" s="176">
        <v>57.11</v>
      </c>
      <c r="G81" s="176" t="s">
        <v>703</v>
      </c>
      <c r="H81" s="101">
        <v>401.52</v>
      </c>
      <c r="I81" s="101">
        <v>401.52</v>
      </c>
      <c r="J81" s="101">
        <v>401.52</v>
      </c>
      <c r="K81" s="101">
        <v>344.16</v>
      </c>
      <c r="L81" s="101">
        <v>401.52</v>
      </c>
      <c r="M81" s="101">
        <v>401.52</v>
      </c>
      <c r="N81" s="101">
        <v>401.52</v>
      </c>
      <c r="O81" s="101">
        <v>401.52</v>
      </c>
      <c r="P81" s="101">
        <v>399.77</v>
      </c>
      <c r="Q81" s="101">
        <v>399.77</v>
      </c>
      <c r="R81" s="101">
        <v>342.66</v>
      </c>
      <c r="S81" s="101">
        <v>342.66</v>
      </c>
      <c r="T81" s="101">
        <f t="shared" si="58"/>
        <v>4639.66</v>
      </c>
      <c r="U81" s="101"/>
      <c r="V81" s="101">
        <f t="shared" si="56"/>
        <v>7</v>
      </c>
      <c r="W81" s="101">
        <f t="shared" si="56"/>
        <v>7</v>
      </c>
      <c r="X81" s="101">
        <f t="shared" si="56"/>
        <v>7</v>
      </c>
      <c r="Y81" s="101">
        <f t="shared" si="56"/>
        <v>6.0000000000000009</v>
      </c>
      <c r="Z81" s="101">
        <f t="shared" si="56"/>
        <v>7</v>
      </c>
      <c r="AA81" s="101">
        <f t="shared" si="56"/>
        <v>7</v>
      </c>
      <c r="AB81" s="101">
        <f t="shared" si="56"/>
        <v>7</v>
      </c>
      <c r="AC81" s="101">
        <f t="shared" si="56"/>
        <v>7</v>
      </c>
      <c r="AD81" s="101">
        <f t="shared" si="59"/>
        <v>7</v>
      </c>
      <c r="AE81" s="101">
        <f t="shared" si="59"/>
        <v>7</v>
      </c>
      <c r="AF81" s="101">
        <f t="shared" si="59"/>
        <v>6.0000000000000009</v>
      </c>
      <c r="AG81" s="101">
        <f t="shared" si="59"/>
        <v>6.0000000000000009</v>
      </c>
      <c r="AH81" s="175">
        <f t="shared" si="53"/>
        <v>81</v>
      </c>
      <c r="AI81" s="101">
        <f t="shared" si="54"/>
        <v>6.75</v>
      </c>
      <c r="AM81" s="98">
        <v>1</v>
      </c>
      <c r="AN81" s="98">
        <v>1</v>
      </c>
      <c r="AO81" s="128">
        <f t="shared" si="69"/>
        <v>6.75</v>
      </c>
      <c r="AR81" s="100" t="e">
        <f>+VLOOKUP(C81,#REF!,3,FALSE)</f>
        <v>#REF!</v>
      </c>
      <c r="AS81" s="101">
        <f t="shared" si="60"/>
        <v>0</v>
      </c>
      <c r="AT81" s="128">
        <f t="shared" si="61"/>
        <v>-4639.66</v>
      </c>
      <c r="AW81" s="89">
        <f t="shared" ca="1" si="62"/>
        <v>58.516263935311834</v>
      </c>
      <c r="AX81" s="90">
        <f t="shared" ca="1" si="63"/>
        <v>4739.8173787602591</v>
      </c>
      <c r="AY81" s="86">
        <f t="shared" ca="1" si="64"/>
        <v>100.15737876025923</v>
      </c>
      <c r="AZ81" s="402">
        <f t="shared" ca="1" si="65"/>
        <v>18.163652427316116</v>
      </c>
      <c r="BA81" s="402">
        <f t="shared" ca="1" si="66"/>
        <v>4757.9810311875754</v>
      </c>
      <c r="BC81" s="129"/>
      <c r="BD81" s="129"/>
    </row>
    <row r="82" spans="1:56" s="98" customFormat="1" ht="12" customHeight="1">
      <c r="A82" s="98" t="str">
        <f t="shared" si="57"/>
        <v>Joes TC Refuse UTCFL001.5Y1W001</v>
      </c>
      <c r="B82" s="98">
        <f t="shared" si="55"/>
        <v>1</v>
      </c>
      <c r="C82" s="99" t="s">
        <v>402</v>
      </c>
      <c r="D82" s="99" t="s">
        <v>403</v>
      </c>
      <c r="E82" s="176">
        <v>145.11000000000001</v>
      </c>
      <c r="F82" s="176">
        <v>144.47999999999999</v>
      </c>
      <c r="G82" s="176" t="s">
        <v>703</v>
      </c>
      <c r="H82" s="101">
        <v>290.22000000000003</v>
      </c>
      <c r="I82" s="101">
        <v>217.66000000000003</v>
      </c>
      <c r="J82" s="101">
        <v>290.22000000000003</v>
      </c>
      <c r="K82" s="101">
        <v>253.94000000000003</v>
      </c>
      <c r="L82" s="101">
        <v>290.22000000000003</v>
      </c>
      <c r="M82" s="101">
        <v>181.38</v>
      </c>
      <c r="N82" s="101">
        <v>290.22000000000003</v>
      </c>
      <c r="O82" s="101">
        <v>145.11000000000001</v>
      </c>
      <c r="P82" s="101">
        <v>288.95999999999998</v>
      </c>
      <c r="Q82" s="101">
        <v>288.95999999999998</v>
      </c>
      <c r="R82" s="101">
        <v>288.95999999999998</v>
      </c>
      <c r="S82" s="101">
        <v>288.95999999999998</v>
      </c>
      <c r="T82" s="101">
        <f t="shared" si="58"/>
        <v>3114.8100000000004</v>
      </c>
      <c r="U82" s="101"/>
      <c r="V82" s="101">
        <f t="shared" si="56"/>
        <v>2</v>
      </c>
      <c r="W82" s="101">
        <f t="shared" si="56"/>
        <v>1.4999655433808834</v>
      </c>
      <c r="X82" s="101">
        <f t="shared" si="56"/>
        <v>2</v>
      </c>
      <c r="Y82" s="101">
        <f t="shared" si="56"/>
        <v>1.7499827716904417</v>
      </c>
      <c r="Z82" s="101">
        <f t="shared" si="56"/>
        <v>2</v>
      </c>
      <c r="AA82" s="101">
        <f t="shared" si="56"/>
        <v>1.2499483150713251</v>
      </c>
      <c r="AB82" s="101">
        <f t="shared" si="56"/>
        <v>2</v>
      </c>
      <c r="AC82" s="101">
        <f t="shared" si="56"/>
        <v>1</v>
      </c>
      <c r="AD82" s="101">
        <f t="shared" si="59"/>
        <v>2</v>
      </c>
      <c r="AE82" s="101">
        <f t="shared" si="59"/>
        <v>2</v>
      </c>
      <c r="AF82" s="101">
        <f t="shared" si="59"/>
        <v>2</v>
      </c>
      <c r="AG82" s="101">
        <f t="shared" si="59"/>
        <v>2</v>
      </c>
      <c r="AH82" s="175">
        <f t="shared" si="53"/>
        <v>21.499896630142651</v>
      </c>
      <c r="AI82" s="101">
        <f t="shared" si="54"/>
        <v>1.7916580525118875</v>
      </c>
      <c r="AM82" s="98">
        <v>1.5</v>
      </c>
      <c r="AN82" s="98">
        <v>1</v>
      </c>
      <c r="AO82" s="128">
        <f t="shared" si="69"/>
        <v>1.7916580525118875</v>
      </c>
      <c r="AR82" s="100" t="e">
        <f>+VLOOKUP(C82,#REF!,3,FALSE)</f>
        <v>#REF!</v>
      </c>
      <c r="AS82" s="101">
        <f t="shared" si="60"/>
        <v>0</v>
      </c>
      <c r="AT82" s="128">
        <f t="shared" si="61"/>
        <v>-3114.8100000000004</v>
      </c>
      <c r="AW82" s="89">
        <f t="shared" ca="1" si="62"/>
        <v>148.03764337898534</v>
      </c>
      <c r="AX82" s="90">
        <f t="shared" ca="1" si="63"/>
        <v>3182.7940300181062</v>
      </c>
      <c r="AY82" s="86">
        <f t="shared" ca="1" si="64"/>
        <v>67.984030018105841</v>
      </c>
      <c r="AZ82" s="402">
        <f t="shared" ca="1" si="65"/>
        <v>12.196918127699391</v>
      </c>
      <c r="BA82" s="402">
        <f t="shared" ca="1" si="66"/>
        <v>3194.9909481458058</v>
      </c>
      <c r="BC82" s="129"/>
      <c r="BD82" s="129"/>
    </row>
    <row r="83" spans="1:56" s="98" customFormat="1" ht="12" customHeight="1">
      <c r="A83" s="98" t="str">
        <f t="shared" si="57"/>
        <v>Joes TC Refuse UTCFL001.5YEO001</v>
      </c>
      <c r="B83" s="98">
        <f t="shared" si="55"/>
        <v>1</v>
      </c>
      <c r="C83" s="99" t="s">
        <v>406</v>
      </c>
      <c r="D83" s="99" t="s">
        <v>407</v>
      </c>
      <c r="E83" s="176">
        <v>81.349999999999994</v>
      </c>
      <c r="F83" s="176">
        <v>81</v>
      </c>
      <c r="G83" s="176" t="s">
        <v>703</v>
      </c>
      <c r="H83" s="101">
        <v>81.349999999999994</v>
      </c>
      <c r="I83" s="101">
        <v>81.349999999999994</v>
      </c>
      <c r="J83" s="101">
        <v>81.349999999999994</v>
      </c>
      <c r="K83" s="101">
        <v>81.349999999999994</v>
      </c>
      <c r="L83" s="101">
        <v>81.349999999999994</v>
      </c>
      <c r="M83" s="101">
        <v>81.349999999999994</v>
      </c>
      <c r="N83" s="101">
        <v>81.349999999999994</v>
      </c>
      <c r="O83" s="101">
        <v>81.349999999999994</v>
      </c>
      <c r="P83" s="101">
        <v>81</v>
      </c>
      <c r="Q83" s="101">
        <v>81</v>
      </c>
      <c r="R83" s="101">
        <v>81</v>
      </c>
      <c r="S83" s="101">
        <v>81</v>
      </c>
      <c r="T83" s="101">
        <f t="shared" si="58"/>
        <v>974.80000000000007</v>
      </c>
      <c r="U83" s="101"/>
      <c r="V83" s="101">
        <f t="shared" si="56"/>
        <v>1</v>
      </c>
      <c r="W83" s="101">
        <f t="shared" si="56"/>
        <v>1</v>
      </c>
      <c r="X83" s="101">
        <f t="shared" si="56"/>
        <v>1</v>
      </c>
      <c r="Y83" s="101">
        <f t="shared" si="56"/>
        <v>1</v>
      </c>
      <c r="Z83" s="101">
        <f t="shared" si="56"/>
        <v>1</v>
      </c>
      <c r="AA83" s="101">
        <f t="shared" si="56"/>
        <v>1</v>
      </c>
      <c r="AB83" s="101">
        <f t="shared" si="56"/>
        <v>1</v>
      </c>
      <c r="AC83" s="101">
        <f t="shared" si="56"/>
        <v>1</v>
      </c>
      <c r="AD83" s="101">
        <f t="shared" si="59"/>
        <v>1</v>
      </c>
      <c r="AE83" s="101">
        <f t="shared" si="59"/>
        <v>1</v>
      </c>
      <c r="AF83" s="101">
        <f t="shared" si="59"/>
        <v>1</v>
      </c>
      <c r="AG83" s="101">
        <f t="shared" si="59"/>
        <v>1</v>
      </c>
      <c r="AH83" s="175">
        <f t="shared" si="53"/>
        <v>12</v>
      </c>
      <c r="AI83" s="101">
        <f t="shared" si="54"/>
        <v>1</v>
      </c>
      <c r="AM83" s="98">
        <v>1.5</v>
      </c>
      <c r="AN83" s="98">
        <v>1</v>
      </c>
      <c r="AO83" s="128">
        <f t="shared" si="69"/>
        <v>1</v>
      </c>
      <c r="AR83" s="100" t="e">
        <f>+VLOOKUP(C83,#REF!,3,FALSE)</f>
        <v>#REF!</v>
      </c>
      <c r="AS83" s="101">
        <f t="shared" si="60"/>
        <v>0</v>
      </c>
      <c r="AT83" s="128">
        <f t="shared" si="61"/>
        <v>-974.80000000000007</v>
      </c>
      <c r="AW83" s="89">
        <f t="shared" ca="1" si="62"/>
        <v>82.994525980743447</v>
      </c>
      <c r="AX83" s="90">
        <f t="shared" ca="1" si="63"/>
        <v>995.93431176892136</v>
      </c>
      <c r="AY83" s="86">
        <f t="shared" ca="1" si="64"/>
        <v>21.134311768921293</v>
      </c>
      <c r="AZ83" s="402">
        <f t="shared" ca="1" si="65"/>
        <v>3.8165615326176385</v>
      </c>
      <c r="BA83" s="402">
        <f t="shared" ca="1" si="66"/>
        <v>999.75087330153895</v>
      </c>
      <c r="BC83" s="129"/>
      <c r="BD83" s="129"/>
    </row>
    <row r="84" spans="1:56" s="98" customFormat="1" ht="12" customHeight="1">
      <c r="A84" s="98" t="str">
        <f t="shared" si="57"/>
        <v>Joes TC Refuse UTCFL002.0Y1W001</v>
      </c>
      <c r="B84" s="98">
        <f t="shared" si="55"/>
        <v>1</v>
      </c>
      <c r="C84" s="99" t="s">
        <v>408</v>
      </c>
      <c r="D84" s="99" t="s">
        <v>409</v>
      </c>
      <c r="E84" s="176">
        <v>181.5</v>
      </c>
      <c r="F84" s="176">
        <v>180.71</v>
      </c>
      <c r="G84" s="176" t="s">
        <v>703</v>
      </c>
      <c r="H84" s="101">
        <v>544.5</v>
      </c>
      <c r="I84" s="101">
        <v>544.5</v>
      </c>
      <c r="J84" s="101">
        <v>544.5</v>
      </c>
      <c r="K84" s="101">
        <v>544.5</v>
      </c>
      <c r="L84" s="101">
        <v>471.9</v>
      </c>
      <c r="M84" s="101">
        <v>363</v>
      </c>
      <c r="N84" s="101">
        <v>363</v>
      </c>
      <c r="O84" s="101">
        <v>363</v>
      </c>
      <c r="P84" s="101">
        <v>361.42</v>
      </c>
      <c r="Q84" s="101">
        <v>361.42</v>
      </c>
      <c r="R84" s="101">
        <v>361.42</v>
      </c>
      <c r="S84" s="101">
        <v>361.42</v>
      </c>
      <c r="T84" s="101">
        <f t="shared" si="58"/>
        <v>5184.58</v>
      </c>
      <c r="U84" s="101"/>
      <c r="V84" s="101">
        <f t="shared" si="56"/>
        <v>3</v>
      </c>
      <c r="W84" s="101">
        <f t="shared" si="56"/>
        <v>3</v>
      </c>
      <c r="X84" s="101">
        <f t="shared" si="56"/>
        <v>3</v>
      </c>
      <c r="Y84" s="101">
        <f t="shared" si="56"/>
        <v>3</v>
      </c>
      <c r="Z84" s="101">
        <f t="shared" si="56"/>
        <v>2.6</v>
      </c>
      <c r="AA84" s="101">
        <f t="shared" si="56"/>
        <v>2</v>
      </c>
      <c r="AB84" s="101">
        <f t="shared" si="56"/>
        <v>2</v>
      </c>
      <c r="AC84" s="101">
        <f t="shared" si="56"/>
        <v>2</v>
      </c>
      <c r="AD84" s="101">
        <f t="shared" si="59"/>
        <v>2</v>
      </c>
      <c r="AE84" s="101">
        <f t="shared" si="59"/>
        <v>2</v>
      </c>
      <c r="AF84" s="101">
        <f t="shared" si="59"/>
        <v>2</v>
      </c>
      <c r="AG84" s="101">
        <f t="shared" si="59"/>
        <v>2</v>
      </c>
      <c r="AH84" s="175">
        <f t="shared" si="53"/>
        <v>28.6</v>
      </c>
      <c r="AI84" s="101">
        <f t="shared" si="54"/>
        <v>2.3833333333333333</v>
      </c>
      <c r="AM84" s="98">
        <v>2</v>
      </c>
      <c r="AN84" s="98">
        <v>1</v>
      </c>
      <c r="AO84" s="128">
        <f t="shared" si="69"/>
        <v>2.3833333333333333</v>
      </c>
      <c r="AR84" s="100" t="e">
        <f>+VLOOKUP(C84,#REF!,3,FALSE)</f>
        <v>#REF!</v>
      </c>
      <c r="AS84" s="101">
        <f t="shared" si="60"/>
        <v>0</v>
      </c>
      <c r="AT84" s="128">
        <f t="shared" si="61"/>
        <v>-5184.58</v>
      </c>
      <c r="AW84" s="89">
        <f t="shared" ca="1" si="62"/>
        <v>185.15976283926111</v>
      </c>
      <c r="AX84" s="90">
        <f t="shared" ca="1" si="63"/>
        <v>5295.5692172028675</v>
      </c>
      <c r="AY84" s="86">
        <f t="shared" ca="1" si="64"/>
        <v>110.98921720286762</v>
      </c>
      <c r="AZ84" s="402">
        <f t="shared" ca="1" si="65"/>
        <v>20.293372292589442</v>
      </c>
      <c r="BA84" s="402">
        <f t="shared" ca="1" si="66"/>
        <v>5315.8625894954566</v>
      </c>
      <c r="BC84" s="129"/>
      <c r="BD84" s="129"/>
    </row>
    <row r="85" spans="1:56" s="98" customFormat="1" ht="12" customHeight="1">
      <c r="A85" s="98" t="str">
        <f t="shared" si="57"/>
        <v>Joes TC Refuse UTCFL002.0YEO001</v>
      </c>
      <c r="B85" s="98">
        <f t="shared" si="55"/>
        <v>1</v>
      </c>
      <c r="C85" s="99" t="s">
        <v>416</v>
      </c>
      <c r="D85" s="99" t="s">
        <v>417</v>
      </c>
      <c r="E85" s="176">
        <v>101.53</v>
      </c>
      <c r="F85" s="176">
        <v>101.1</v>
      </c>
      <c r="G85" s="176" t="s">
        <v>703</v>
      </c>
      <c r="H85" s="101">
        <v>1015.3</v>
      </c>
      <c r="I85" s="101">
        <v>1015.3</v>
      </c>
      <c r="J85" s="101">
        <v>1015.3</v>
      </c>
      <c r="K85" s="101">
        <v>888.38</v>
      </c>
      <c r="L85" s="101">
        <v>913.77</v>
      </c>
      <c r="M85" s="101">
        <v>913.77</v>
      </c>
      <c r="N85" s="101">
        <v>812.24</v>
      </c>
      <c r="O85" s="101">
        <v>812.24</v>
      </c>
      <c r="P85" s="101">
        <v>808.8</v>
      </c>
      <c r="Q85" s="101">
        <v>758.25</v>
      </c>
      <c r="R85" s="101">
        <v>707.7</v>
      </c>
      <c r="S85" s="101">
        <v>707.7</v>
      </c>
      <c r="T85" s="101">
        <f t="shared" si="58"/>
        <v>10368.75</v>
      </c>
      <c r="U85" s="101"/>
      <c r="V85" s="101">
        <f t="shared" si="56"/>
        <v>10</v>
      </c>
      <c r="W85" s="101">
        <f t="shared" si="56"/>
        <v>10</v>
      </c>
      <c r="X85" s="101">
        <f t="shared" si="56"/>
        <v>10</v>
      </c>
      <c r="Y85" s="101">
        <f t="shared" si="56"/>
        <v>8.74992613020782</v>
      </c>
      <c r="Z85" s="101">
        <f t="shared" si="56"/>
        <v>9</v>
      </c>
      <c r="AA85" s="101">
        <f t="shared" si="56"/>
        <v>9</v>
      </c>
      <c r="AB85" s="101">
        <f t="shared" si="56"/>
        <v>8</v>
      </c>
      <c r="AC85" s="101">
        <f t="shared" si="56"/>
        <v>8</v>
      </c>
      <c r="AD85" s="101">
        <f t="shared" si="59"/>
        <v>8</v>
      </c>
      <c r="AE85" s="101">
        <f t="shared" si="59"/>
        <v>7.5</v>
      </c>
      <c r="AF85" s="101">
        <f t="shared" si="59"/>
        <v>7.0000000000000009</v>
      </c>
      <c r="AG85" s="101">
        <f t="shared" si="59"/>
        <v>7.0000000000000009</v>
      </c>
      <c r="AH85" s="175">
        <f t="shared" si="53"/>
        <v>102.24992613020783</v>
      </c>
      <c r="AI85" s="101">
        <f t="shared" si="54"/>
        <v>8.5208271775173188</v>
      </c>
      <c r="AM85" s="98">
        <v>2</v>
      </c>
      <c r="AN85" s="98">
        <v>1</v>
      </c>
      <c r="AO85" s="128">
        <f t="shared" si="69"/>
        <v>8.5208271775173188</v>
      </c>
      <c r="AR85" s="100">
        <f>51.05+(25.99*1.17)</f>
        <v>81.458299999999994</v>
      </c>
      <c r="AS85" s="101">
        <f t="shared" si="60"/>
        <v>8329.1051576923073</v>
      </c>
      <c r="AT85" s="128">
        <f t="shared" si="61"/>
        <v>-2039.6448423076927</v>
      </c>
      <c r="AW85" s="89">
        <f t="shared" ca="1" si="62"/>
        <v>103.5894639092983</v>
      </c>
      <c r="AX85" s="90">
        <f t="shared" ca="1" si="63"/>
        <v>10592.015032593581</v>
      </c>
      <c r="AY85" s="86">
        <f t="shared" ca="1" si="64"/>
        <v>223.26503259358105</v>
      </c>
      <c r="AZ85" s="402">
        <f t="shared" ca="1" si="65"/>
        <v>40.590103833759599</v>
      </c>
      <c r="BA85" s="402">
        <f t="shared" ca="1" si="66"/>
        <v>10632.605136427341</v>
      </c>
      <c r="BC85" s="129"/>
      <c r="BD85" s="129"/>
    </row>
    <row r="86" spans="1:56" s="98" customFormat="1" ht="12" customHeight="1">
      <c r="A86" s="98" t="str">
        <f t="shared" si="57"/>
        <v>Joes TC Refuse UTCFL003.0Y1W001</v>
      </c>
      <c r="B86" s="98">
        <f t="shared" si="55"/>
        <v>1</v>
      </c>
      <c r="C86" s="99" t="s">
        <v>418</v>
      </c>
      <c r="D86" s="99" t="s">
        <v>419</v>
      </c>
      <c r="E86" s="176">
        <v>247.08</v>
      </c>
      <c r="F86" s="176">
        <v>246</v>
      </c>
      <c r="G86" s="176" t="s">
        <v>703</v>
      </c>
      <c r="H86" s="101">
        <v>2470.8000000000002</v>
      </c>
      <c r="I86" s="101">
        <v>2470.8000000000002</v>
      </c>
      <c r="J86" s="101">
        <v>2470.8000000000002</v>
      </c>
      <c r="K86" s="101">
        <v>2717.88</v>
      </c>
      <c r="L86" s="101">
        <v>3063.79</v>
      </c>
      <c r="M86" s="101">
        <v>2779.65</v>
      </c>
      <c r="N86" s="101">
        <v>2841.42</v>
      </c>
      <c r="O86" s="101">
        <v>2964.96</v>
      </c>
      <c r="P86" s="101">
        <v>3014.58</v>
      </c>
      <c r="Q86" s="101">
        <v>3136.5</v>
      </c>
      <c r="R86" s="101">
        <v>3198</v>
      </c>
      <c r="S86" s="101">
        <v>3198</v>
      </c>
      <c r="T86" s="101">
        <f t="shared" si="58"/>
        <v>34327.18</v>
      </c>
      <c r="U86" s="101"/>
      <c r="V86" s="101">
        <f t="shared" si="56"/>
        <v>10</v>
      </c>
      <c r="W86" s="101">
        <f t="shared" si="56"/>
        <v>10</v>
      </c>
      <c r="X86" s="101">
        <f t="shared" si="56"/>
        <v>10</v>
      </c>
      <c r="Y86" s="101">
        <f t="shared" si="56"/>
        <v>11</v>
      </c>
      <c r="Z86" s="101">
        <f t="shared" si="56"/>
        <v>12.399991905455723</v>
      </c>
      <c r="AA86" s="101">
        <f t="shared" si="56"/>
        <v>11.25</v>
      </c>
      <c r="AB86" s="101">
        <f t="shared" si="56"/>
        <v>11.5</v>
      </c>
      <c r="AC86" s="101">
        <f t="shared" si="56"/>
        <v>12</v>
      </c>
      <c r="AD86" s="101">
        <f t="shared" si="59"/>
        <v>12.254390243902439</v>
      </c>
      <c r="AE86" s="101">
        <f t="shared" si="59"/>
        <v>12.75</v>
      </c>
      <c r="AF86" s="101">
        <f t="shared" si="59"/>
        <v>13</v>
      </c>
      <c r="AG86" s="101">
        <f t="shared" si="59"/>
        <v>13</v>
      </c>
      <c r="AH86" s="175">
        <f t="shared" si="53"/>
        <v>139.15438214935816</v>
      </c>
      <c r="AI86" s="101">
        <f t="shared" si="54"/>
        <v>11.596198512446513</v>
      </c>
      <c r="AM86" s="98">
        <v>3</v>
      </c>
      <c r="AN86" s="98">
        <v>1</v>
      </c>
      <c r="AO86" s="128">
        <f t="shared" si="69"/>
        <v>11.596198512446513</v>
      </c>
      <c r="AR86" s="100" t="e">
        <f>+VLOOKUP(C86,#REF!,3,FALSE)</f>
        <v>#REF!</v>
      </c>
      <c r="AS86" s="101">
        <f t="shared" si="60"/>
        <v>0</v>
      </c>
      <c r="AT86" s="128">
        <f t="shared" si="61"/>
        <v>-34327.18</v>
      </c>
      <c r="AW86" s="89">
        <f t="shared" ca="1" si="62"/>
        <v>252.05744927485048</v>
      </c>
      <c r="AX86" s="90">
        <f t="shared" ca="1" si="63"/>
        <v>35074.898619985004</v>
      </c>
      <c r="AY86" s="86">
        <f t="shared" ca="1" si="64"/>
        <v>747.7186199850039</v>
      </c>
      <c r="AZ86" s="402">
        <f t="shared" ca="1" si="65"/>
        <v>134.41198606335195</v>
      </c>
      <c r="BA86" s="402">
        <f t="shared" ca="1" si="66"/>
        <v>35209.310606048355</v>
      </c>
      <c r="BC86" s="129"/>
      <c r="BD86" s="129"/>
    </row>
    <row r="87" spans="1:56" s="98" customFormat="1" ht="12" customHeight="1">
      <c r="A87" s="98" t="str">
        <f t="shared" si="57"/>
        <v>Joes TC Refuse UTCFL003.0YEO001</v>
      </c>
      <c r="B87" s="98">
        <f t="shared" si="55"/>
        <v>1</v>
      </c>
      <c r="C87" s="99" t="s">
        <v>428</v>
      </c>
      <c r="D87" s="99" t="s">
        <v>429</v>
      </c>
      <c r="E87" s="176">
        <v>132.75</v>
      </c>
      <c r="F87" s="176">
        <v>132.16999999999999</v>
      </c>
      <c r="G87" s="176" t="s">
        <v>703</v>
      </c>
      <c r="H87" s="101">
        <v>1460.25</v>
      </c>
      <c r="I87" s="101">
        <v>1593</v>
      </c>
      <c r="J87" s="101">
        <v>1504.49</v>
      </c>
      <c r="K87" s="101">
        <v>1327.5</v>
      </c>
      <c r="L87" s="101">
        <v>1194.75</v>
      </c>
      <c r="M87" s="101">
        <v>1327.5</v>
      </c>
      <c r="N87" s="101">
        <v>1393.87</v>
      </c>
      <c r="O87" s="101">
        <v>1261.1199999999999</v>
      </c>
      <c r="P87" s="101">
        <v>1387.79</v>
      </c>
      <c r="Q87" s="101">
        <v>1387.79</v>
      </c>
      <c r="R87" s="101">
        <v>1321.7</v>
      </c>
      <c r="S87" s="101">
        <v>1453.87</v>
      </c>
      <c r="T87" s="101">
        <f t="shared" si="58"/>
        <v>16613.63</v>
      </c>
      <c r="U87" s="101"/>
      <c r="V87" s="101">
        <f t="shared" si="56"/>
        <v>11</v>
      </c>
      <c r="W87" s="101">
        <f t="shared" si="56"/>
        <v>12</v>
      </c>
      <c r="X87" s="101">
        <f t="shared" si="56"/>
        <v>11.333258003766478</v>
      </c>
      <c r="Y87" s="101">
        <f t="shared" si="56"/>
        <v>10</v>
      </c>
      <c r="Z87" s="101">
        <f t="shared" si="56"/>
        <v>9</v>
      </c>
      <c r="AA87" s="101">
        <f t="shared" si="56"/>
        <v>10</v>
      </c>
      <c r="AB87" s="101">
        <f t="shared" si="56"/>
        <v>10.499962335216571</v>
      </c>
      <c r="AC87" s="101">
        <f t="shared" si="56"/>
        <v>9.499962335216571</v>
      </c>
      <c r="AD87" s="101">
        <f t="shared" si="59"/>
        <v>10.500037830067338</v>
      </c>
      <c r="AE87" s="101">
        <f t="shared" si="59"/>
        <v>10.500037830067338</v>
      </c>
      <c r="AF87" s="101">
        <f t="shared" si="59"/>
        <v>10.000000000000002</v>
      </c>
      <c r="AG87" s="101">
        <f t="shared" si="59"/>
        <v>11</v>
      </c>
      <c r="AH87" s="175">
        <f t="shared" si="53"/>
        <v>125.33325833433429</v>
      </c>
      <c r="AI87" s="101">
        <f t="shared" si="54"/>
        <v>10.444438194527857</v>
      </c>
      <c r="AM87" s="98">
        <v>3</v>
      </c>
      <c r="AN87" s="98">
        <v>1</v>
      </c>
      <c r="AO87" s="128">
        <f t="shared" si="69"/>
        <v>10.444438194527857</v>
      </c>
      <c r="AR87" s="100">
        <f>63.85+(36.02*1.17)</f>
        <v>105.99340000000001</v>
      </c>
      <c r="AS87" s="101">
        <f t="shared" si="60"/>
        <v>13284.498183934429</v>
      </c>
      <c r="AT87" s="128">
        <f t="shared" si="61"/>
        <v>-3329.1318160655719</v>
      </c>
      <c r="AW87" s="89">
        <f t="shared" ca="1" si="62"/>
        <v>135.42452467746742</v>
      </c>
      <c r="AX87" s="90">
        <f t="shared" ca="1" si="63"/>
        <v>16973.196936205451</v>
      </c>
      <c r="AY87" s="86">
        <f t="shared" ca="1" si="64"/>
        <v>359.56693620545047</v>
      </c>
      <c r="AZ87" s="402">
        <f t="shared" ca="1" si="65"/>
        <v>65.043697909361214</v>
      </c>
      <c r="BA87" s="402">
        <f t="shared" ca="1" si="66"/>
        <v>17038.240634114813</v>
      </c>
      <c r="BC87" s="129"/>
      <c r="BD87" s="129"/>
    </row>
    <row r="88" spans="1:56" s="98" customFormat="1" ht="12" customHeight="1">
      <c r="A88" s="98" t="str">
        <f t="shared" si="57"/>
        <v>Joes TC Refuse UTCFL004.0Y1W001</v>
      </c>
      <c r="B88" s="98">
        <f t="shared" si="55"/>
        <v>1</v>
      </c>
      <c r="C88" s="99" t="s">
        <v>432</v>
      </c>
      <c r="D88" s="99" t="s">
        <v>433</v>
      </c>
      <c r="E88" s="176">
        <v>311.97000000000003</v>
      </c>
      <c r="F88" s="176">
        <v>310.60000000000002</v>
      </c>
      <c r="G88" s="176" t="s">
        <v>703</v>
      </c>
      <c r="H88" s="101">
        <v>4029.83</v>
      </c>
      <c r="I88" s="101">
        <v>4101.38</v>
      </c>
      <c r="J88" s="101">
        <v>4038.98</v>
      </c>
      <c r="K88" s="101">
        <v>4101.38</v>
      </c>
      <c r="L88" s="101">
        <v>4413.3500000000004</v>
      </c>
      <c r="M88" s="101">
        <v>4413.3500000000004</v>
      </c>
      <c r="N88" s="101">
        <v>4413.3500000000004</v>
      </c>
      <c r="O88" s="101">
        <v>4413.3500000000004</v>
      </c>
      <c r="P88" s="101">
        <v>4396.91</v>
      </c>
      <c r="Q88" s="101">
        <v>4396.91</v>
      </c>
      <c r="R88" s="101">
        <v>4272.67</v>
      </c>
      <c r="S88" s="101">
        <v>4086.31</v>
      </c>
      <c r="T88" s="101">
        <f t="shared" si="58"/>
        <v>51077.76999999999</v>
      </c>
      <c r="U88" s="101"/>
      <c r="V88" s="101">
        <f t="shared" si="56"/>
        <v>12.917363849088051</v>
      </c>
      <c r="W88" s="101">
        <f t="shared" si="56"/>
        <v>13.146712824951116</v>
      </c>
      <c r="X88" s="101">
        <f t="shared" si="56"/>
        <v>12.946693592332595</v>
      </c>
      <c r="Y88" s="101">
        <f t="shared" si="56"/>
        <v>13.146712824951116</v>
      </c>
      <c r="Z88" s="101">
        <f t="shared" si="56"/>
        <v>14.146712824951116</v>
      </c>
      <c r="AA88" s="101">
        <f t="shared" si="56"/>
        <v>14.146712824951116</v>
      </c>
      <c r="AB88" s="101">
        <f t="shared" si="56"/>
        <v>14.146712824951116</v>
      </c>
      <c r="AC88" s="101">
        <f t="shared" si="56"/>
        <v>14.146712824951116</v>
      </c>
      <c r="AD88" s="101">
        <f t="shared" si="59"/>
        <v>14.156181584030906</v>
      </c>
      <c r="AE88" s="101">
        <f t="shared" si="59"/>
        <v>14.156181584030906</v>
      </c>
      <c r="AF88" s="101">
        <f t="shared" si="59"/>
        <v>13.756181584030907</v>
      </c>
      <c r="AG88" s="101">
        <f t="shared" si="59"/>
        <v>13.156181584030907</v>
      </c>
      <c r="AH88" s="175">
        <f t="shared" si="53"/>
        <v>163.96906072725099</v>
      </c>
      <c r="AI88" s="101">
        <f t="shared" si="54"/>
        <v>13.664088393937583</v>
      </c>
      <c r="AM88" s="98">
        <v>4</v>
      </c>
      <c r="AN88" s="98">
        <v>1</v>
      </c>
      <c r="AO88" s="128">
        <f t="shared" si="69"/>
        <v>13.664088393937583</v>
      </c>
      <c r="AR88" s="100" t="e">
        <f>+VLOOKUP(C88,#REF!,3,FALSE)</f>
        <v>#REF!</v>
      </c>
      <c r="AS88" s="101">
        <f t="shared" si="60"/>
        <v>0</v>
      </c>
      <c r="AT88" s="128">
        <f t="shared" si="61"/>
        <v>-51077.76999999999</v>
      </c>
      <c r="AW88" s="89">
        <f t="shared" ca="1" si="62"/>
        <v>318.24814530393729</v>
      </c>
      <c r="AX88" s="90">
        <f t="shared" ca="1" si="63"/>
        <v>52182.849463676292</v>
      </c>
      <c r="AY88" s="86">
        <f t="shared" ca="1" si="64"/>
        <v>1105.0794636763021</v>
      </c>
      <c r="AZ88" s="402">
        <f t="shared" ca="1" si="65"/>
        <v>199.97208005787954</v>
      </c>
      <c r="BA88" s="402">
        <f t="shared" ca="1" si="66"/>
        <v>52382.821543734171</v>
      </c>
      <c r="BC88" s="129"/>
      <c r="BD88" s="129"/>
    </row>
    <row r="89" spans="1:56" s="98" customFormat="1" ht="12" customHeight="1">
      <c r="A89" s="98" t="str">
        <f t="shared" si="57"/>
        <v>Joes TC Refuse UTCFL004.0Y2W001</v>
      </c>
      <c r="B89" s="98">
        <f t="shared" si="55"/>
        <v>1</v>
      </c>
      <c r="C89" s="99" t="s">
        <v>434</v>
      </c>
      <c r="D89" s="99" t="s">
        <v>435</v>
      </c>
      <c r="E89" s="176">
        <v>595.92999999999995</v>
      </c>
      <c r="F89" s="176">
        <v>593.29999999999995</v>
      </c>
      <c r="G89" s="176" t="s">
        <v>703</v>
      </c>
      <c r="H89" s="101">
        <v>595.92999999999995</v>
      </c>
      <c r="I89" s="101">
        <v>595.92999999999995</v>
      </c>
      <c r="J89" s="101">
        <v>595.92999999999995</v>
      </c>
      <c r="K89" s="101">
        <v>595.92999999999995</v>
      </c>
      <c r="L89" s="101">
        <v>595.92999999999995</v>
      </c>
      <c r="M89" s="101">
        <v>595.92999999999995</v>
      </c>
      <c r="N89" s="101">
        <v>595.92999999999995</v>
      </c>
      <c r="O89" s="101">
        <v>595.92999999999995</v>
      </c>
      <c r="P89" s="101">
        <v>593.29999999999995</v>
      </c>
      <c r="Q89" s="101">
        <v>593.29999999999995</v>
      </c>
      <c r="R89" s="101">
        <v>593.29999999999995</v>
      </c>
      <c r="S89" s="101">
        <v>593.29999999999995</v>
      </c>
      <c r="T89" s="101">
        <f t="shared" si="58"/>
        <v>7140.64</v>
      </c>
      <c r="U89" s="101"/>
      <c r="V89" s="101">
        <f t="shared" si="56"/>
        <v>1</v>
      </c>
      <c r="W89" s="101">
        <f t="shared" si="56"/>
        <v>1</v>
      </c>
      <c r="X89" s="101">
        <f t="shared" si="56"/>
        <v>1</v>
      </c>
      <c r="Y89" s="101">
        <f t="shared" si="56"/>
        <v>1</v>
      </c>
      <c r="Z89" s="101">
        <f t="shared" si="56"/>
        <v>1</v>
      </c>
      <c r="AA89" s="101">
        <f t="shared" si="56"/>
        <v>1</v>
      </c>
      <c r="AB89" s="101">
        <f t="shared" si="56"/>
        <v>1</v>
      </c>
      <c r="AC89" s="101">
        <f t="shared" si="56"/>
        <v>1</v>
      </c>
      <c r="AD89" s="101">
        <f t="shared" si="59"/>
        <v>1</v>
      </c>
      <c r="AE89" s="101">
        <f t="shared" si="59"/>
        <v>1</v>
      </c>
      <c r="AF89" s="101">
        <f t="shared" si="59"/>
        <v>1</v>
      </c>
      <c r="AG89" s="101">
        <f t="shared" si="59"/>
        <v>1</v>
      </c>
      <c r="AH89" s="175">
        <f t="shared" si="53"/>
        <v>12</v>
      </c>
      <c r="AI89" s="101">
        <f t="shared" si="54"/>
        <v>1</v>
      </c>
      <c r="AM89" s="98">
        <v>4</v>
      </c>
      <c r="AN89" s="98">
        <v>1</v>
      </c>
      <c r="AO89" s="128">
        <f t="shared" si="69"/>
        <v>1</v>
      </c>
      <c r="AR89" s="100" t="e">
        <f>+VLOOKUP(C89,#REF!,3,FALSE)</f>
        <v>#REF!</v>
      </c>
      <c r="AS89" s="101">
        <f t="shared" si="60"/>
        <v>0</v>
      </c>
      <c r="AT89" s="128">
        <f t="shared" si="61"/>
        <v>-7140.64</v>
      </c>
      <c r="AW89" s="89">
        <f t="shared" ca="1" si="62"/>
        <v>607.90928721450723</v>
      </c>
      <c r="AX89" s="90">
        <f t="shared" ca="1" si="63"/>
        <v>7294.9114465740868</v>
      </c>
      <c r="AY89" s="86">
        <f t="shared" ca="1" si="64"/>
        <v>154.27144657408644</v>
      </c>
      <c r="AZ89" s="402">
        <f t="shared" ca="1" si="65"/>
        <v>27.955135275333888</v>
      </c>
      <c r="BA89" s="402">
        <f t="shared" ca="1" si="66"/>
        <v>7322.866581849421</v>
      </c>
      <c r="BC89" s="129"/>
      <c r="BD89" s="129"/>
    </row>
    <row r="90" spans="1:56" s="98" customFormat="1" ht="12" customHeight="1">
      <c r="A90" s="98" t="str">
        <f t="shared" si="57"/>
        <v>Joes TC Refuse UTCFL004.0Y3W001</v>
      </c>
      <c r="B90" s="98">
        <f t="shared" si="55"/>
        <v>1</v>
      </c>
      <c r="C90" s="99" t="s">
        <v>438</v>
      </c>
      <c r="D90" s="99" t="s">
        <v>439</v>
      </c>
      <c r="E90" s="176">
        <v>879.89</v>
      </c>
      <c r="F90" s="176">
        <v>876.01</v>
      </c>
      <c r="G90" s="176" t="s">
        <v>703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f t="shared" si="58"/>
        <v>0</v>
      </c>
      <c r="U90" s="101"/>
      <c r="V90" s="101">
        <f t="shared" si="56"/>
        <v>0</v>
      </c>
      <c r="W90" s="101">
        <f t="shared" si="56"/>
        <v>0</v>
      </c>
      <c r="X90" s="101">
        <f t="shared" si="56"/>
        <v>0</v>
      </c>
      <c r="Y90" s="101">
        <f t="shared" si="56"/>
        <v>0</v>
      </c>
      <c r="Z90" s="101">
        <f t="shared" si="56"/>
        <v>0</v>
      </c>
      <c r="AA90" s="101">
        <f t="shared" si="56"/>
        <v>0</v>
      </c>
      <c r="AB90" s="101">
        <f t="shared" si="56"/>
        <v>0</v>
      </c>
      <c r="AC90" s="101">
        <f t="shared" si="56"/>
        <v>0</v>
      </c>
      <c r="AD90" s="101">
        <f t="shared" si="59"/>
        <v>0</v>
      </c>
      <c r="AE90" s="101">
        <f t="shared" si="59"/>
        <v>0</v>
      </c>
      <c r="AF90" s="101">
        <f t="shared" si="59"/>
        <v>0</v>
      </c>
      <c r="AG90" s="101">
        <f t="shared" si="59"/>
        <v>0</v>
      </c>
      <c r="AH90" s="175">
        <f t="shared" si="53"/>
        <v>0</v>
      </c>
      <c r="AI90" s="101">
        <f t="shared" si="54"/>
        <v>0</v>
      </c>
      <c r="AM90" s="98">
        <v>4</v>
      </c>
      <c r="AN90" s="98">
        <v>1</v>
      </c>
      <c r="AO90" s="128">
        <f t="shared" si="69"/>
        <v>0</v>
      </c>
      <c r="AR90" s="100" t="e">
        <f>+VLOOKUP(C90,#REF!,3,FALSE)</f>
        <v>#REF!</v>
      </c>
      <c r="AS90" s="101">
        <f t="shared" si="60"/>
        <v>0</v>
      </c>
      <c r="AT90" s="128">
        <f t="shared" si="61"/>
        <v>0</v>
      </c>
      <c r="AW90" s="89">
        <f t="shared" ca="1" si="62"/>
        <v>897.58067536285273</v>
      </c>
      <c r="AX90" s="90">
        <f t="shared" ca="1" si="63"/>
        <v>0</v>
      </c>
      <c r="AY90" s="86">
        <f t="shared" ca="1" si="64"/>
        <v>0</v>
      </c>
      <c r="AZ90" s="402">
        <f t="shared" ca="1" si="65"/>
        <v>0</v>
      </c>
      <c r="BA90" s="402">
        <f t="shared" ca="1" si="66"/>
        <v>0</v>
      </c>
      <c r="BC90" s="129"/>
      <c r="BD90" s="129"/>
    </row>
    <row r="91" spans="1:56" s="98" customFormat="1" ht="12" customHeight="1">
      <c r="A91" s="98" t="str">
        <f t="shared" si="57"/>
        <v>Joes TC Refuse UTCFL004.0YEO001</v>
      </c>
      <c r="B91" s="98">
        <f t="shared" si="55"/>
        <v>1</v>
      </c>
      <c r="C91" s="99" t="s">
        <v>442</v>
      </c>
      <c r="D91" s="99" t="s">
        <v>443</v>
      </c>
      <c r="E91" s="176">
        <v>170.32</v>
      </c>
      <c r="F91" s="176">
        <v>169.57</v>
      </c>
      <c r="G91" s="176" t="s">
        <v>703</v>
      </c>
      <c r="H91" s="101">
        <v>681.28</v>
      </c>
      <c r="I91" s="101">
        <v>681.28</v>
      </c>
      <c r="J91" s="101">
        <v>851.6</v>
      </c>
      <c r="K91" s="101">
        <v>851.6</v>
      </c>
      <c r="L91" s="101">
        <v>681.28</v>
      </c>
      <c r="M91" s="101">
        <v>681.28</v>
      </c>
      <c r="N91" s="101">
        <v>681.28</v>
      </c>
      <c r="O91" s="101">
        <v>1021.92</v>
      </c>
      <c r="P91" s="101">
        <v>1017.42</v>
      </c>
      <c r="Q91" s="101">
        <v>1017.42</v>
      </c>
      <c r="R91" s="101">
        <v>1017.42</v>
      </c>
      <c r="S91" s="101">
        <v>847.85</v>
      </c>
      <c r="T91" s="101">
        <f t="shared" si="58"/>
        <v>10031.629999999999</v>
      </c>
      <c r="U91" s="101"/>
      <c r="V91" s="101">
        <f t="shared" si="56"/>
        <v>4</v>
      </c>
      <c r="W91" s="101">
        <f t="shared" si="56"/>
        <v>4</v>
      </c>
      <c r="X91" s="101">
        <f t="shared" si="56"/>
        <v>5</v>
      </c>
      <c r="Y91" s="101">
        <f t="shared" si="56"/>
        <v>5</v>
      </c>
      <c r="Z91" s="101">
        <f t="shared" si="56"/>
        <v>4</v>
      </c>
      <c r="AA91" s="101">
        <f t="shared" si="56"/>
        <v>4</v>
      </c>
      <c r="AB91" s="101">
        <f t="shared" si="56"/>
        <v>4</v>
      </c>
      <c r="AC91" s="101">
        <f t="shared" si="56"/>
        <v>6</v>
      </c>
      <c r="AD91" s="101">
        <f t="shared" si="59"/>
        <v>6</v>
      </c>
      <c r="AE91" s="101">
        <f t="shared" si="59"/>
        <v>6</v>
      </c>
      <c r="AF91" s="101">
        <f t="shared" si="59"/>
        <v>6</v>
      </c>
      <c r="AG91" s="101">
        <f t="shared" si="59"/>
        <v>5</v>
      </c>
      <c r="AH91" s="175">
        <f t="shared" si="53"/>
        <v>59</v>
      </c>
      <c r="AI91" s="101">
        <f t="shared" si="54"/>
        <v>4.916666666666667</v>
      </c>
      <c r="AM91" s="98">
        <v>4</v>
      </c>
      <c r="AN91" s="98">
        <v>1</v>
      </c>
      <c r="AO91" s="128">
        <f t="shared" si="69"/>
        <v>4.916666666666667</v>
      </c>
      <c r="AR91" s="100">
        <f>85.8+(45.65*1.17)</f>
        <v>139.2105</v>
      </c>
      <c r="AS91" s="101">
        <f t="shared" si="60"/>
        <v>8213.4195</v>
      </c>
      <c r="AT91" s="128">
        <f t="shared" si="61"/>
        <v>-1818.2104999999992</v>
      </c>
      <c r="AW91" s="89">
        <f t="shared" ca="1" si="62"/>
        <v>173.74545395746503</v>
      </c>
      <c r="AX91" s="90">
        <f t="shared" ca="1" si="63"/>
        <v>10250.981783490437</v>
      </c>
      <c r="AY91" s="86">
        <f t="shared" ca="1" si="64"/>
        <v>219.35178349043781</v>
      </c>
      <c r="AZ91" s="402">
        <f t="shared" ca="1" si="65"/>
        <v>39.283216055630049</v>
      </c>
      <c r="BA91" s="402">
        <f t="shared" ca="1" si="66"/>
        <v>10290.264999546067</v>
      </c>
      <c r="BC91" s="129"/>
      <c r="BD91" s="129"/>
    </row>
    <row r="92" spans="1:56" s="98" customFormat="1" ht="12" customHeight="1">
      <c r="A92" s="98" t="str">
        <f t="shared" si="57"/>
        <v>Joes TC Refuse UTCFL005.0Y1W001</v>
      </c>
      <c r="B92" s="98">
        <f t="shared" si="55"/>
        <v>1</v>
      </c>
      <c r="C92" s="99" t="s">
        <v>444</v>
      </c>
      <c r="D92" s="99" t="s">
        <v>445</v>
      </c>
      <c r="E92" s="176">
        <v>364.92</v>
      </c>
      <c r="F92" s="176">
        <v>363.35</v>
      </c>
      <c r="G92" s="176" t="s">
        <v>703</v>
      </c>
      <c r="H92" s="101">
        <v>729.84</v>
      </c>
      <c r="I92" s="101">
        <v>729.84</v>
      </c>
      <c r="J92" s="101">
        <v>729.84</v>
      </c>
      <c r="K92" s="101">
        <v>729.84</v>
      </c>
      <c r="L92" s="101">
        <v>729.84</v>
      </c>
      <c r="M92" s="101">
        <v>729.84</v>
      </c>
      <c r="N92" s="101">
        <v>729.84</v>
      </c>
      <c r="O92" s="101">
        <v>729.84</v>
      </c>
      <c r="P92" s="101">
        <v>726.7</v>
      </c>
      <c r="Q92" s="101">
        <v>726.7</v>
      </c>
      <c r="R92" s="101">
        <v>726.7</v>
      </c>
      <c r="S92" s="101">
        <v>726.7</v>
      </c>
      <c r="T92" s="101">
        <f t="shared" si="58"/>
        <v>8745.52</v>
      </c>
      <c r="U92" s="101"/>
      <c r="V92" s="101">
        <f t="shared" si="56"/>
        <v>2</v>
      </c>
      <c r="W92" s="101">
        <f t="shared" si="56"/>
        <v>2</v>
      </c>
      <c r="X92" s="101">
        <f t="shared" si="56"/>
        <v>2</v>
      </c>
      <c r="Y92" s="101">
        <f t="shared" si="56"/>
        <v>2</v>
      </c>
      <c r="Z92" s="101">
        <f t="shared" si="56"/>
        <v>2</v>
      </c>
      <c r="AA92" s="101">
        <f t="shared" si="56"/>
        <v>2</v>
      </c>
      <c r="AB92" s="101">
        <f t="shared" si="56"/>
        <v>2</v>
      </c>
      <c r="AC92" s="101">
        <f t="shared" si="56"/>
        <v>2</v>
      </c>
      <c r="AD92" s="101">
        <f t="shared" si="59"/>
        <v>2</v>
      </c>
      <c r="AE92" s="101">
        <f t="shared" si="59"/>
        <v>2</v>
      </c>
      <c r="AF92" s="101">
        <f t="shared" si="59"/>
        <v>2</v>
      </c>
      <c r="AG92" s="101">
        <f t="shared" si="59"/>
        <v>2</v>
      </c>
      <c r="AH92" s="175">
        <f t="shared" si="53"/>
        <v>24</v>
      </c>
      <c r="AI92" s="101">
        <f t="shared" si="54"/>
        <v>2</v>
      </c>
      <c r="AM92" s="98">
        <v>5</v>
      </c>
      <c r="AN92" s="98">
        <v>1</v>
      </c>
      <c r="AO92" s="128">
        <f t="shared" si="69"/>
        <v>2</v>
      </c>
      <c r="AR92" s="100" t="e">
        <f>+VLOOKUP(C92,#REF!,3,FALSE)</f>
        <v>#REF!</v>
      </c>
      <c r="AS92" s="101">
        <f t="shared" si="60"/>
        <v>0</v>
      </c>
      <c r="AT92" s="128">
        <f t="shared" si="61"/>
        <v>-8745.52</v>
      </c>
      <c r="AW92" s="89">
        <f t="shared" ca="1" si="62"/>
        <v>372.29704956917453</v>
      </c>
      <c r="AX92" s="90">
        <f t="shared" ca="1" si="63"/>
        <v>8935.1291896601888</v>
      </c>
      <c r="AY92" s="86">
        <f t="shared" ca="1" si="64"/>
        <v>189.60918966018835</v>
      </c>
      <c r="AZ92" s="402">
        <f t="shared" ca="1" si="65"/>
        <v>34.240682293249861</v>
      </c>
      <c r="BA92" s="402">
        <f t="shared" ca="1" si="66"/>
        <v>8969.3698719534386</v>
      </c>
      <c r="BC92" s="129"/>
      <c r="BD92" s="129"/>
    </row>
    <row r="93" spans="1:56" s="98" customFormat="1" ht="12" customHeight="1">
      <c r="A93" s="98" t="str">
        <f t="shared" si="57"/>
        <v>Joes TC Refuse UTCFL005.0YEO001</v>
      </c>
      <c r="B93" s="98">
        <f t="shared" si="55"/>
        <v>1</v>
      </c>
      <c r="C93" s="99" t="s">
        <v>374</v>
      </c>
      <c r="D93" s="99" t="s">
        <v>375</v>
      </c>
      <c r="E93" s="176">
        <v>203.88</v>
      </c>
      <c r="F93" s="176">
        <v>202.99</v>
      </c>
      <c r="G93" s="176" t="s">
        <v>703</v>
      </c>
      <c r="H93" s="101">
        <v>203.88</v>
      </c>
      <c r="I93" s="101">
        <v>203.88</v>
      </c>
      <c r="J93" s="101">
        <v>203.88</v>
      </c>
      <c r="K93" s="101">
        <v>203.88</v>
      </c>
      <c r="L93" s="101">
        <v>203.88</v>
      </c>
      <c r="M93" s="101">
        <v>203.88</v>
      </c>
      <c r="N93" s="101">
        <v>203.88</v>
      </c>
      <c r="O93" s="101">
        <v>203.88</v>
      </c>
      <c r="P93" s="101">
        <v>202.99</v>
      </c>
      <c r="Q93" s="101">
        <v>202.99</v>
      </c>
      <c r="R93" s="101">
        <v>202.99</v>
      </c>
      <c r="S93" s="101">
        <v>202.99</v>
      </c>
      <c r="T93" s="101">
        <f t="shared" si="58"/>
        <v>2443</v>
      </c>
      <c r="U93" s="101"/>
      <c r="V93" s="101">
        <f t="shared" si="56"/>
        <v>1</v>
      </c>
      <c r="W93" s="101">
        <f t="shared" si="56"/>
        <v>1</v>
      </c>
      <c r="X93" s="101">
        <f t="shared" si="56"/>
        <v>1</v>
      </c>
      <c r="Y93" s="101">
        <f t="shared" si="56"/>
        <v>1</v>
      </c>
      <c r="Z93" s="101">
        <f t="shared" si="56"/>
        <v>1</v>
      </c>
      <c r="AA93" s="101">
        <f t="shared" si="56"/>
        <v>1</v>
      </c>
      <c r="AB93" s="101">
        <f t="shared" si="56"/>
        <v>1</v>
      </c>
      <c r="AC93" s="101">
        <f t="shared" si="56"/>
        <v>1</v>
      </c>
      <c r="AD93" s="101">
        <f t="shared" si="59"/>
        <v>1</v>
      </c>
      <c r="AE93" s="101">
        <f t="shared" si="59"/>
        <v>1</v>
      </c>
      <c r="AF93" s="101">
        <f t="shared" si="59"/>
        <v>1</v>
      </c>
      <c r="AG93" s="101">
        <f t="shared" si="59"/>
        <v>1</v>
      </c>
      <c r="AH93" s="175">
        <f t="shared" ref="AH93:AH151" si="70">SUM(V93:AG93)</f>
        <v>12</v>
      </c>
      <c r="AI93" s="101">
        <f t="shared" si="54"/>
        <v>1</v>
      </c>
      <c r="AM93" s="98">
        <v>5</v>
      </c>
      <c r="AN93" s="98">
        <v>1</v>
      </c>
      <c r="AO93" s="128">
        <f t="shared" si="69"/>
        <v>1</v>
      </c>
      <c r="AR93" s="100">
        <f>103.99+(54.99*1.17)</f>
        <v>168.32830000000001</v>
      </c>
      <c r="AS93" s="101">
        <f t="shared" si="60"/>
        <v>2019.9396000000002</v>
      </c>
      <c r="AT93" s="128">
        <f t="shared" si="61"/>
        <v>-423.06039999999985</v>
      </c>
      <c r="AW93" s="89">
        <f t="shared" ca="1" si="62"/>
        <v>207.98838060285325</v>
      </c>
      <c r="AX93" s="90">
        <f t="shared" ca="1" si="63"/>
        <v>2495.8605672342392</v>
      </c>
      <c r="AY93" s="86">
        <f t="shared" ca="1" si="64"/>
        <v>52.86056723423917</v>
      </c>
      <c r="AZ93" s="402">
        <f t="shared" ca="1" si="65"/>
        <v>9.5644916729142544</v>
      </c>
      <c r="BA93" s="402">
        <f t="shared" ca="1" si="66"/>
        <v>2505.4250589071535</v>
      </c>
      <c r="BC93" s="129"/>
      <c r="BD93" s="129"/>
    </row>
    <row r="94" spans="1:56" s="98" customFormat="1" ht="12" customHeight="1">
      <c r="A94" s="98" t="str">
        <f t="shared" si="57"/>
        <v>Joes TC Refuse UTCFL006.0Y1W001</v>
      </c>
      <c r="B94" s="98">
        <f t="shared" si="55"/>
        <v>1</v>
      </c>
      <c r="C94" s="99" t="s">
        <v>446</v>
      </c>
      <c r="D94" s="99" t="s">
        <v>447</v>
      </c>
      <c r="E94" s="176">
        <v>417.91</v>
      </c>
      <c r="F94" s="176">
        <v>416.1</v>
      </c>
      <c r="G94" s="176" t="s">
        <v>703</v>
      </c>
      <c r="H94" s="101">
        <v>10447.75</v>
      </c>
      <c r="I94" s="101">
        <v>10238.790000000001</v>
      </c>
      <c r="J94" s="101">
        <v>10447.75</v>
      </c>
      <c r="K94" s="101">
        <v>10126.790000000001</v>
      </c>
      <c r="L94" s="101">
        <v>10447.75</v>
      </c>
      <c r="M94" s="101">
        <v>10656.69</v>
      </c>
      <c r="N94" s="101">
        <v>11597</v>
      </c>
      <c r="O94" s="101">
        <v>11116.4</v>
      </c>
      <c r="P94" s="101">
        <v>11964.69</v>
      </c>
      <c r="Q94" s="101">
        <v>12068.71</v>
      </c>
      <c r="R94" s="101">
        <v>11817.96</v>
      </c>
      <c r="S94" s="101">
        <v>11650.8</v>
      </c>
      <c r="T94" s="101">
        <f t="shared" si="58"/>
        <v>132581.07999999999</v>
      </c>
      <c r="U94" s="101"/>
      <c r="V94" s="101">
        <f t="shared" si="56"/>
        <v>25</v>
      </c>
      <c r="W94" s="101">
        <f t="shared" si="56"/>
        <v>24.499988035701467</v>
      </c>
      <c r="X94" s="101">
        <f t="shared" si="56"/>
        <v>25</v>
      </c>
      <c r="Y94" s="101">
        <f t="shared" si="56"/>
        <v>24.231987748558304</v>
      </c>
      <c r="Z94" s="101">
        <f t="shared" si="56"/>
        <v>25</v>
      </c>
      <c r="AA94" s="101">
        <f t="shared" si="56"/>
        <v>25.4999641071044</v>
      </c>
      <c r="AB94" s="101">
        <f t="shared" si="56"/>
        <v>27.749994017850732</v>
      </c>
      <c r="AC94" s="101">
        <f t="shared" si="56"/>
        <v>26.599985642841759</v>
      </c>
      <c r="AD94" s="101">
        <f t="shared" si="59"/>
        <v>28.75436193222783</v>
      </c>
      <c r="AE94" s="101">
        <f t="shared" si="59"/>
        <v>29.004349915885602</v>
      </c>
      <c r="AF94" s="101">
        <f t="shared" si="59"/>
        <v>28.401730353280456</v>
      </c>
      <c r="AG94" s="101">
        <f t="shared" si="59"/>
        <v>27.999999999999996</v>
      </c>
      <c r="AH94" s="175">
        <f t="shared" si="70"/>
        <v>317.74236175345055</v>
      </c>
      <c r="AI94" s="101">
        <f t="shared" si="54"/>
        <v>26.478530146120878</v>
      </c>
      <c r="AM94" s="98">
        <v>6</v>
      </c>
      <c r="AN94" s="98">
        <v>1</v>
      </c>
      <c r="AO94" s="128">
        <f t="shared" si="69"/>
        <v>26.478530146120878</v>
      </c>
      <c r="AR94" s="100" t="e">
        <f>+VLOOKUP(C94,#REF!,3,FALSE)</f>
        <v>#REF!</v>
      </c>
      <c r="AS94" s="101">
        <f t="shared" si="60"/>
        <v>0</v>
      </c>
      <c r="AT94" s="128">
        <f t="shared" si="61"/>
        <v>-132581.07999999999</v>
      </c>
      <c r="AW94" s="89">
        <f t="shared" ca="1" si="62"/>
        <v>426.34595383441177</v>
      </c>
      <c r="AX94" s="90">
        <f t="shared" ca="1" si="63"/>
        <v>135468.17029537359</v>
      </c>
      <c r="AY94" s="86">
        <f t="shared" ca="1" si="64"/>
        <v>2887.0902953736077</v>
      </c>
      <c r="AZ94" s="402">
        <f t="shared" ca="1" si="65"/>
        <v>519.13324155396595</v>
      </c>
      <c r="BA94" s="402">
        <f t="shared" ca="1" si="66"/>
        <v>135987.30353692756</v>
      </c>
      <c r="BC94" s="129"/>
      <c r="BD94" s="129"/>
    </row>
    <row r="95" spans="1:56" s="98" customFormat="1" ht="12" customHeight="1">
      <c r="A95" s="98" t="str">
        <f t="shared" si="57"/>
        <v>Joes TC Refuse UTCFL006.0Y1W002</v>
      </c>
      <c r="B95" s="98">
        <f t="shared" si="55"/>
        <v>1</v>
      </c>
      <c r="C95" s="99" t="s">
        <v>448</v>
      </c>
      <c r="D95" s="99" t="s">
        <v>449</v>
      </c>
      <c r="E95" s="176">
        <v>835.82</v>
      </c>
      <c r="F95" s="176">
        <v>832.2</v>
      </c>
      <c r="G95" s="176" t="s">
        <v>703</v>
      </c>
      <c r="H95" s="101">
        <v>2507.46</v>
      </c>
      <c r="I95" s="101">
        <v>2507.46</v>
      </c>
      <c r="J95" s="101">
        <v>2507.46</v>
      </c>
      <c r="K95" s="101">
        <v>2507.46</v>
      </c>
      <c r="L95" s="101">
        <v>2507.46</v>
      </c>
      <c r="M95" s="101">
        <v>2507.46</v>
      </c>
      <c r="N95" s="101">
        <v>2507.46</v>
      </c>
      <c r="O95" s="101">
        <v>2507.46</v>
      </c>
      <c r="P95" s="101">
        <v>2496.6</v>
      </c>
      <c r="Q95" s="101">
        <v>2496.6</v>
      </c>
      <c r="R95" s="101">
        <v>2496.6</v>
      </c>
      <c r="S95" s="101">
        <v>2496.6</v>
      </c>
      <c r="T95" s="101">
        <f t="shared" si="58"/>
        <v>30046.079999999991</v>
      </c>
      <c r="U95" s="101"/>
      <c r="V95" s="101">
        <f t="shared" si="56"/>
        <v>3</v>
      </c>
      <c r="W95" s="101">
        <f t="shared" si="56"/>
        <v>3</v>
      </c>
      <c r="X95" s="101">
        <f t="shared" si="56"/>
        <v>3</v>
      </c>
      <c r="Y95" s="101">
        <f t="shared" si="56"/>
        <v>3</v>
      </c>
      <c r="Z95" s="101">
        <f t="shared" si="56"/>
        <v>3</v>
      </c>
      <c r="AA95" s="101">
        <f t="shared" si="56"/>
        <v>3</v>
      </c>
      <c r="AB95" s="101">
        <f t="shared" si="56"/>
        <v>3</v>
      </c>
      <c r="AC95" s="101">
        <f t="shared" si="56"/>
        <v>3</v>
      </c>
      <c r="AD95" s="101">
        <f t="shared" si="59"/>
        <v>2.9999999999999996</v>
      </c>
      <c r="AE95" s="101">
        <f t="shared" si="59"/>
        <v>2.9999999999999996</v>
      </c>
      <c r="AF95" s="101">
        <f t="shared" si="59"/>
        <v>2.9999999999999996</v>
      </c>
      <c r="AG95" s="101">
        <f t="shared" si="59"/>
        <v>2.9999999999999996</v>
      </c>
      <c r="AH95" s="175">
        <f t="shared" si="70"/>
        <v>36</v>
      </c>
      <c r="AI95" s="101">
        <f t="shared" si="54"/>
        <v>3</v>
      </c>
      <c r="AM95" s="98">
        <v>6</v>
      </c>
      <c r="AN95" s="98">
        <v>2</v>
      </c>
      <c r="AO95" s="128">
        <f t="shared" si="69"/>
        <v>6</v>
      </c>
      <c r="AR95" s="100">
        <f>113.74+(63.19*3.33)*2</f>
        <v>534.58539999999994</v>
      </c>
      <c r="AS95" s="101">
        <f t="shared" si="60"/>
        <v>19245.074399999998</v>
      </c>
      <c r="AT95" s="128">
        <f t="shared" si="61"/>
        <v>-10801.005599999993</v>
      </c>
      <c r="AW95" s="89">
        <f t="shared" ca="1" si="62"/>
        <v>852.69190766882355</v>
      </c>
      <c r="AX95" s="90">
        <f t="shared" ca="1" si="63"/>
        <v>30696.908676077648</v>
      </c>
      <c r="AY95" s="86">
        <f t="shared" ca="1" si="64"/>
        <v>650.82867607765729</v>
      </c>
      <c r="AZ95" s="402">
        <f t="shared" ca="1" si="65"/>
        <v>117.6349076831259</v>
      </c>
      <c r="BA95" s="402">
        <f t="shared" ca="1" si="66"/>
        <v>30814.543583760773</v>
      </c>
      <c r="BC95" s="129"/>
      <c r="BD95" s="129"/>
    </row>
    <row r="96" spans="1:56" s="98" customFormat="1" ht="12" customHeight="1">
      <c r="A96" s="98" t="str">
        <f t="shared" si="57"/>
        <v>Joes TC Refuse UTCFL006.0Y2W001</v>
      </c>
      <c r="B96" s="98">
        <f t="shared" si="55"/>
        <v>1</v>
      </c>
      <c r="C96" s="99" t="s">
        <v>450</v>
      </c>
      <c r="D96" s="99" t="s">
        <v>451</v>
      </c>
      <c r="E96" s="176">
        <v>779.64</v>
      </c>
      <c r="F96" s="176">
        <v>776.27</v>
      </c>
      <c r="G96" s="176" t="s">
        <v>703</v>
      </c>
      <c r="H96" s="101">
        <v>3898.2</v>
      </c>
      <c r="I96" s="101">
        <v>3898.2</v>
      </c>
      <c r="J96" s="101">
        <v>3898.2</v>
      </c>
      <c r="K96" s="101">
        <v>3898.2</v>
      </c>
      <c r="L96" s="101">
        <v>3898.2</v>
      </c>
      <c r="M96" s="101">
        <v>3898.2</v>
      </c>
      <c r="N96" s="101">
        <v>3898.2</v>
      </c>
      <c r="O96" s="101">
        <v>3898.2</v>
      </c>
      <c r="P96" s="101">
        <v>3881.35</v>
      </c>
      <c r="Q96" s="101">
        <v>3881.35</v>
      </c>
      <c r="R96" s="101">
        <v>4398.8599999999997</v>
      </c>
      <c r="S96" s="101">
        <v>4657.62</v>
      </c>
      <c r="T96" s="101">
        <f t="shared" si="58"/>
        <v>48004.780000000006</v>
      </c>
      <c r="U96" s="101"/>
      <c r="V96" s="101">
        <f t="shared" si="56"/>
        <v>5</v>
      </c>
      <c r="W96" s="101">
        <f t="shared" si="56"/>
        <v>5</v>
      </c>
      <c r="X96" s="101">
        <f t="shared" si="56"/>
        <v>5</v>
      </c>
      <c r="Y96" s="101">
        <f t="shared" si="56"/>
        <v>5</v>
      </c>
      <c r="Z96" s="101">
        <f t="shared" si="56"/>
        <v>5</v>
      </c>
      <c r="AA96" s="101">
        <f t="shared" si="56"/>
        <v>5</v>
      </c>
      <c r="AB96" s="101">
        <f t="shared" si="56"/>
        <v>5</v>
      </c>
      <c r="AC96" s="101">
        <f t="shared" si="56"/>
        <v>5</v>
      </c>
      <c r="AD96" s="101">
        <f t="shared" si="59"/>
        <v>5</v>
      </c>
      <c r="AE96" s="101">
        <f t="shared" si="59"/>
        <v>5</v>
      </c>
      <c r="AF96" s="101">
        <f t="shared" si="59"/>
        <v>5.66666237262808</v>
      </c>
      <c r="AG96" s="101">
        <f t="shared" si="59"/>
        <v>6</v>
      </c>
      <c r="AH96" s="175">
        <f t="shared" si="70"/>
        <v>61.666662372628082</v>
      </c>
      <c r="AI96" s="101">
        <f t="shared" si="54"/>
        <v>5.1388885310523404</v>
      </c>
      <c r="AM96" s="98">
        <v>6</v>
      </c>
      <c r="AN96" s="98">
        <v>1</v>
      </c>
      <c r="AO96" s="128">
        <f t="shared" si="69"/>
        <v>5.1388885310523404</v>
      </c>
      <c r="AR96" s="100" t="e">
        <f>+VLOOKUP(C96,#REF!,3,FALSE)</f>
        <v>#REF!</v>
      </c>
      <c r="AS96" s="101">
        <f t="shared" si="60"/>
        <v>0</v>
      </c>
      <c r="AT96" s="128">
        <f t="shared" si="61"/>
        <v>-48004.780000000006</v>
      </c>
      <c r="AW96" s="89">
        <f t="shared" ca="1" si="62"/>
        <v>795.38469979100887</v>
      </c>
      <c r="AX96" s="90">
        <f t="shared" ca="1" si="63"/>
        <v>49048.719738366293</v>
      </c>
      <c r="AY96" s="86">
        <f t="shared" ca="1" si="64"/>
        <v>1043.9397383662872</v>
      </c>
      <c r="AZ96" s="402">
        <f t="shared" ca="1" si="65"/>
        <v>187.96165044771166</v>
      </c>
      <c r="BA96" s="402">
        <f t="shared" ca="1" si="66"/>
        <v>49236.681388814002</v>
      </c>
      <c r="BC96" s="129"/>
      <c r="BD96" s="129"/>
    </row>
    <row r="97" spans="1:56" s="98" customFormat="1" ht="12" customHeight="1">
      <c r="A97" s="98" t="str">
        <f t="shared" si="57"/>
        <v>Joes TC Refuse UTCFL006.0Y2W002</v>
      </c>
      <c r="B97" s="98">
        <f t="shared" si="55"/>
        <v>1</v>
      </c>
      <c r="C97" s="99" t="s">
        <v>452</v>
      </c>
      <c r="D97" s="99" t="s">
        <v>453</v>
      </c>
      <c r="E97" s="176">
        <v>1559.28</v>
      </c>
      <c r="F97" s="176">
        <v>1552.54</v>
      </c>
      <c r="G97" s="176" t="s">
        <v>703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f t="shared" ref="T97:T128" si="71">SUM(H97:S97)</f>
        <v>0</v>
      </c>
      <c r="U97" s="101"/>
      <c r="V97" s="101">
        <f t="shared" si="56"/>
        <v>0</v>
      </c>
      <c r="W97" s="101">
        <f t="shared" si="56"/>
        <v>0</v>
      </c>
      <c r="X97" s="101">
        <f t="shared" si="56"/>
        <v>0</v>
      </c>
      <c r="Y97" s="101">
        <f t="shared" ref="Y97:AC147" si="72">IFERROR(K97/$E97,0)</f>
        <v>0</v>
      </c>
      <c r="Z97" s="101">
        <f t="shared" si="72"/>
        <v>0</v>
      </c>
      <c r="AA97" s="101">
        <f t="shared" si="72"/>
        <v>0</v>
      </c>
      <c r="AB97" s="101">
        <f t="shared" si="72"/>
        <v>0</v>
      </c>
      <c r="AC97" s="101">
        <f t="shared" si="72"/>
        <v>0</v>
      </c>
      <c r="AD97" s="101">
        <f t="shared" si="59"/>
        <v>0</v>
      </c>
      <c r="AE97" s="101">
        <f t="shared" si="59"/>
        <v>0</v>
      </c>
      <c r="AF97" s="101">
        <f t="shared" si="59"/>
        <v>0</v>
      </c>
      <c r="AG97" s="101">
        <f t="shared" si="59"/>
        <v>0</v>
      </c>
      <c r="AH97" s="175">
        <f t="shared" si="70"/>
        <v>0</v>
      </c>
      <c r="AI97" s="101">
        <f t="shared" si="54"/>
        <v>0</v>
      </c>
      <c r="AM97" s="98">
        <v>6</v>
      </c>
      <c r="AN97" s="98">
        <v>2</v>
      </c>
      <c r="AO97" s="128">
        <f t="shared" si="69"/>
        <v>0</v>
      </c>
      <c r="AR97" s="100">
        <f>113.74+(63.19*7.66)*2</f>
        <v>1081.8108</v>
      </c>
      <c r="AS97" s="101">
        <f t="shared" si="60"/>
        <v>0</v>
      </c>
      <c r="AT97" s="128">
        <f t="shared" si="61"/>
        <v>0</v>
      </c>
      <c r="AW97" s="89">
        <f t="shared" ca="1" si="62"/>
        <v>1590.7693995820177</v>
      </c>
      <c r="AX97" s="90">
        <f t="shared" ca="1" si="63"/>
        <v>0</v>
      </c>
      <c r="AY97" s="86">
        <f t="shared" ca="1" si="64"/>
        <v>0</v>
      </c>
      <c r="AZ97" s="402">
        <f t="shared" ca="1" si="65"/>
        <v>0</v>
      </c>
      <c r="BA97" s="402">
        <f t="shared" ca="1" si="66"/>
        <v>0</v>
      </c>
      <c r="BC97" s="129"/>
      <c r="BD97" s="129"/>
    </row>
    <row r="98" spans="1:56" s="98" customFormat="1" ht="12" customHeight="1">
      <c r="A98" s="98" t="str">
        <f t="shared" si="57"/>
        <v>Joes TC Refuse UTCFL006.0Y1W003</v>
      </c>
      <c r="B98" s="98">
        <f t="shared" si="55"/>
        <v>1</v>
      </c>
      <c r="C98" s="99" t="s">
        <v>564</v>
      </c>
      <c r="D98" s="99" t="s">
        <v>565</v>
      </c>
      <c r="E98" s="176">
        <v>1253.73</v>
      </c>
      <c r="F98" s="176">
        <v>1248.3</v>
      </c>
      <c r="G98" s="176" t="s">
        <v>703</v>
      </c>
      <c r="H98" s="101">
        <v>1253.73</v>
      </c>
      <c r="I98" s="101">
        <v>1253.73</v>
      </c>
      <c r="J98" s="101">
        <v>1253.73</v>
      </c>
      <c r="K98" s="101">
        <v>1253.73</v>
      </c>
      <c r="L98" s="101">
        <v>1253.73</v>
      </c>
      <c r="M98" s="101">
        <v>1253.73</v>
      </c>
      <c r="N98" s="101">
        <v>313.43</v>
      </c>
      <c r="O98" s="101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f t="shared" si="71"/>
        <v>7835.8099999999995</v>
      </c>
      <c r="U98" s="101"/>
      <c r="V98" s="101">
        <f t="shared" ref="V98:AC151" si="73">IFERROR(H98/$E98,0)</f>
        <v>1</v>
      </c>
      <c r="W98" s="101">
        <f t="shared" si="73"/>
        <v>1</v>
      </c>
      <c r="X98" s="101">
        <f t="shared" si="73"/>
        <v>1</v>
      </c>
      <c r="Y98" s="101">
        <f t="shared" si="72"/>
        <v>1</v>
      </c>
      <c r="Z98" s="101">
        <f t="shared" si="72"/>
        <v>1</v>
      </c>
      <c r="AA98" s="101">
        <f t="shared" si="72"/>
        <v>1</v>
      </c>
      <c r="AB98" s="101">
        <f t="shared" si="72"/>
        <v>0.24999800595024446</v>
      </c>
      <c r="AC98" s="101">
        <f t="shared" si="72"/>
        <v>0</v>
      </c>
      <c r="AD98" s="101">
        <f t="shared" si="59"/>
        <v>0</v>
      </c>
      <c r="AE98" s="101">
        <f t="shared" si="59"/>
        <v>0</v>
      </c>
      <c r="AF98" s="101">
        <f t="shared" si="59"/>
        <v>0</v>
      </c>
      <c r="AG98" s="101">
        <f t="shared" si="59"/>
        <v>0</v>
      </c>
      <c r="AH98" s="175">
        <f t="shared" si="70"/>
        <v>6.2499980059502445</v>
      </c>
      <c r="AI98" s="101">
        <f t="shared" si="54"/>
        <v>0.52083316716252037</v>
      </c>
      <c r="AM98" s="98">
        <v>6</v>
      </c>
      <c r="AN98" s="98">
        <v>3</v>
      </c>
      <c r="AO98" s="128">
        <f t="shared" si="69"/>
        <v>1.5624995014875611</v>
      </c>
      <c r="AR98" s="100">
        <f>113.74+(63.19*3.33)*3</f>
        <v>745.00810000000001</v>
      </c>
      <c r="AS98" s="101">
        <f t="shared" si="60"/>
        <v>4656.2991394167802</v>
      </c>
      <c r="AT98" s="128">
        <f t="shared" si="61"/>
        <v>-3179.5108605832193</v>
      </c>
      <c r="AW98" s="89">
        <f t="shared" ca="1" si="62"/>
        <v>1279.0378615032353</v>
      </c>
      <c r="AX98" s="90">
        <f t="shared" ca="1" si="63"/>
        <v>7993.984083930085</v>
      </c>
      <c r="AY98" s="86">
        <f t="shared" ca="1" si="64"/>
        <v>158.17408393008554</v>
      </c>
      <c r="AZ98" s="402">
        <f t="shared" ca="1" si="65"/>
        <v>30.634080768736581</v>
      </c>
      <c r="BA98" s="402">
        <f t="shared" ca="1" si="66"/>
        <v>8024.6181646988216</v>
      </c>
      <c r="BC98" s="129"/>
      <c r="BD98" s="129"/>
    </row>
    <row r="99" spans="1:56" s="98" customFormat="1" ht="12" customHeight="1">
      <c r="A99" s="98" t="str">
        <f t="shared" si="57"/>
        <v>Joes TC Refuse UTCFL006.0Y3W001</v>
      </c>
      <c r="B99" s="98">
        <f t="shared" si="55"/>
        <v>1</v>
      </c>
      <c r="C99" s="99" t="s">
        <v>454</v>
      </c>
      <c r="D99" s="99" t="s">
        <v>455</v>
      </c>
      <c r="E99" s="176">
        <v>1141.3599999999999</v>
      </c>
      <c r="F99" s="176">
        <v>1136.44</v>
      </c>
      <c r="G99" s="176" t="s">
        <v>703</v>
      </c>
      <c r="H99" s="101">
        <v>2282.7199999999998</v>
      </c>
      <c r="I99" s="101">
        <v>2282.7199999999998</v>
      </c>
      <c r="J99" s="101">
        <v>2282.7199999999998</v>
      </c>
      <c r="K99" s="101">
        <v>2282.7199999999998</v>
      </c>
      <c r="L99" s="101">
        <v>2282.7199999999998</v>
      </c>
      <c r="M99" s="101">
        <v>2282.7199999999998</v>
      </c>
      <c r="N99" s="101">
        <v>2282.7199999999998</v>
      </c>
      <c r="O99" s="101">
        <v>2282.7199999999998</v>
      </c>
      <c r="P99" s="101">
        <v>2272.88</v>
      </c>
      <c r="Q99" s="101">
        <v>2272.88</v>
      </c>
      <c r="R99" s="101">
        <v>2272.88</v>
      </c>
      <c r="S99" s="101">
        <v>2272.88</v>
      </c>
      <c r="T99" s="101">
        <f t="shared" si="71"/>
        <v>27353.280000000002</v>
      </c>
      <c r="U99" s="101"/>
      <c r="V99" s="101">
        <f t="shared" si="73"/>
        <v>2</v>
      </c>
      <c r="W99" s="101">
        <f t="shared" si="73"/>
        <v>2</v>
      </c>
      <c r="X99" s="101">
        <f t="shared" si="73"/>
        <v>2</v>
      </c>
      <c r="Y99" s="101">
        <f t="shared" si="72"/>
        <v>2</v>
      </c>
      <c r="Z99" s="101">
        <f t="shared" si="72"/>
        <v>2</v>
      </c>
      <c r="AA99" s="101">
        <f t="shared" si="72"/>
        <v>2</v>
      </c>
      <c r="AB99" s="101">
        <f t="shared" si="72"/>
        <v>2</v>
      </c>
      <c r="AC99" s="101">
        <f t="shared" si="72"/>
        <v>2</v>
      </c>
      <c r="AD99" s="101">
        <f t="shared" si="59"/>
        <v>2</v>
      </c>
      <c r="AE99" s="101">
        <f t="shared" si="59"/>
        <v>2</v>
      </c>
      <c r="AF99" s="101">
        <f t="shared" si="59"/>
        <v>2</v>
      </c>
      <c r="AG99" s="101">
        <f t="shared" si="59"/>
        <v>2</v>
      </c>
      <c r="AH99" s="175">
        <f t="shared" si="70"/>
        <v>24</v>
      </c>
      <c r="AI99" s="101">
        <f t="shared" si="54"/>
        <v>2</v>
      </c>
      <c r="AM99" s="98">
        <v>6</v>
      </c>
      <c r="AN99" s="98">
        <v>1</v>
      </c>
      <c r="AO99" s="128">
        <f t="shared" si="69"/>
        <v>2</v>
      </c>
      <c r="AR99" s="100" t="e">
        <f>+VLOOKUP(C99,#REF!,3,FALSE)</f>
        <v>#REF!</v>
      </c>
      <c r="AS99" s="101">
        <f t="shared" si="60"/>
        <v>0</v>
      </c>
      <c r="AT99" s="128">
        <f t="shared" si="61"/>
        <v>-27353.280000000002</v>
      </c>
      <c r="AW99" s="89">
        <f t="shared" ca="1" si="62"/>
        <v>1164.4234457476061</v>
      </c>
      <c r="AX99" s="90">
        <f t="shared" ca="1" si="63"/>
        <v>27946.162697942549</v>
      </c>
      <c r="AY99" s="86">
        <f t="shared" ca="1" si="64"/>
        <v>592.88269794254666</v>
      </c>
      <c r="AZ99" s="402">
        <f t="shared" ca="1" si="65"/>
        <v>107.09365896612321</v>
      </c>
      <c r="BA99" s="402">
        <f t="shared" ca="1" si="66"/>
        <v>28053.256356908671</v>
      </c>
      <c r="BC99" s="129"/>
      <c r="BD99" s="129"/>
    </row>
    <row r="100" spans="1:56" s="98" customFormat="1" ht="12" customHeight="1">
      <c r="A100" s="98" t="str">
        <f t="shared" si="57"/>
        <v>Joes TC Refuse UTCFL006.0YEO001</v>
      </c>
      <c r="B100" s="98">
        <f t="shared" si="55"/>
        <v>1</v>
      </c>
      <c r="C100" s="99" t="s">
        <v>458</v>
      </c>
      <c r="D100" s="99" t="s">
        <v>459</v>
      </c>
      <c r="E100" s="176">
        <v>237.46</v>
      </c>
      <c r="F100" s="176">
        <v>236.43</v>
      </c>
      <c r="G100" s="176" t="s">
        <v>703</v>
      </c>
      <c r="H100" s="101">
        <v>1068.57</v>
      </c>
      <c r="I100" s="101">
        <v>1187.3</v>
      </c>
      <c r="J100" s="101">
        <v>1345.6</v>
      </c>
      <c r="K100" s="101">
        <v>1424.76</v>
      </c>
      <c r="L100" s="101">
        <v>1424.76</v>
      </c>
      <c r="M100" s="101">
        <v>1187.3</v>
      </c>
      <c r="N100" s="101">
        <v>1187.3</v>
      </c>
      <c r="O100" s="101">
        <v>1187.3</v>
      </c>
      <c r="P100" s="101">
        <v>1418.59</v>
      </c>
      <c r="Q100" s="101">
        <v>1655.01</v>
      </c>
      <c r="R100" s="101">
        <v>1655.01</v>
      </c>
      <c r="S100" s="101">
        <v>1655.01</v>
      </c>
      <c r="T100" s="101">
        <f t="shared" si="71"/>
        <v>16396.509999999998</v>
      </c>
      <c r="U100" s="101"/>
      <c r="V100" s="101">
        <f t="shared" si="73"/>
        <v>4.5</v>
      </c>
      <c r="W100" s="101">
        <f t="shared" si="73"/>
        <v>5</v>
      </c>
      <c r="X100" s="101">
        <f t="shared" si="73"/>
        <v>5.6666385917628226</v>
      </c>
      <c r="Y100" s="101">
        <f t="shared" si="72"/>
        <v>6</v>
      </c>
      <c r="Z100" s="101">
        <f t="shared" si="72"/>
        <v>6</v>
      </c>
      <c r="AA100" s="101">
        <f t="shared" si="72"/>
        <v>5</v>
      </c>
      <c r="AB100" s="101">
        <f t="shared" si="72"/>
        <v>5</v>
      </c>
      <c r="AC100" s="101">
        <f t="shared" si="72"/>
        <v>5</v>
      </c>
      <c r="AD100" s="101">
        <f t="shared" si="59"/>
        <v>6.000042295816943</v>
      </c>
      <c r="AE100" s="101">
        <f t="shared" si="59"/>
        <v>7</v>
      </c>
      <c r="AF100" s="101">
        <f t="shared" si="59"/>
        <v>7</v>
      </c>
      <c r="AG100" s="101">
        <f t="shared" si="59"/>
        <v>7</v>
      </c>
      <c r="AH100" s="175">
        <f t="shared" si="70"/>
        <v>69.166680887579759</v>
      </c>
      <c r="AI100" s="101">
        <f t="shared" si="54"/>
        <v>5.7638900739649799</v>
      </c>
      <c r="AM100" s="98">
        <v>6</v>
      </c>
      <c r="AN100" s="98">
        <v>1</v>
      </c>
      <c r="AO100" s="128">
        <f t="shared" si="69"/>
        <v>5.7638900739649799</v>
      </c>
      <c r="AR100" s="100">
        <f>113.74+(63.19*1.17)</f>
        <v>187.67230000000001</v>
      </c>
      <c r="AS100" s="101">
        <f t="shared" si="60"/>
        <v>12980.670085538135</v>
      </c>
      <c r="AT100" s="128">
        <f t="shared" si="61"/>
        <v>-3415.8399144618634</v>
      </c>
      <c r="AW100" s="89">
        <f t="shared" ca="1" si="62"/>
        <v>242.25179972379229</v>
      </c>
      <c r="AX100" s="90">
        <f t="shared" ca="1" si="63"/>
        <v>16755.752925937421</v>
      </c>
      <c r="AY100" s="86">
        <f t="shared" ca="1" si="64"/>
        <v>359.24292593742211</v>
      </c>
      <c r="AZ100" s="402">
        <f t="shared" ca="1" si="65"/>
        <v>64.210421622682148</v>
      </c>
      <c r="BA100" s="402">
        <f t="shared" ca="1" si="66"/>
        <v>16819.963347560104</v>
      </c>
      <c r="BC100" s="129"/>
      <c r="BD100" s="129"/>
    </row>
    <row r="101" spans="1:56" s="98" customFormat="1" ht="12" customHeight="1">
      <c r="A101" s="98" t="str">
        <f t="shared" si="57"/>
        <v>Joes TC Refuse UTCFL001.5YXX001TEMPC</v>
      </c>
      <c r="B101" s="98">
        <f t="shared" si="55"/>
        <v>1</v>
      </c>
      <c r="C101" s="99" t="s">
        <v>462</v>
      </c>
      <c r="D101" s="99" t="s">
        <v>463</v>
      </c>
      <c r="E101" s="176">
        <v>34.979999999999997</v>
      </c>
      <c r="F101" s="176">
        <v>34.83</v>
      </c>
      <c r="G101" s="176" t="s">
        <v>703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f t="shared" si="71"/>
        <v>0</v>
      </c>
      <c r="U101" s="101"/>
      <c r="V101" s="101">
        <f t="shared" si="73"/>
        <v>0</v>
      </c>
      <c r="W101" s="101">
        <f t="shared" si="73"/>
        <v>0</v>
      </c>
      <c r="X101" s="101">
        <f t="shared" si="73"/>
        <v>0</v>
      </c>
      <c r="Y101" s="101">
        <f t="shared" si="72"/>
        <v>0</v>
      </c>
      <c r="Z101" s="101">
        <f t="shared" si="72"/>
        <v>0</v>
      </c>
      <c r="AA101" s="101">
        <f t="shared" si="72"/>
        <v>0</v>
      </c>
      <c r="AB101" s="101">
        <f t="shared" si="72"/>
        <v>0</v>
      </c>
      <c r="AC101" s="101">
        <f t="shared" si="72"/>
        <v>0</v>
      </c>
      <c r="AD101" s="101">
        <f t="shared" si="59"/>
        <v>0</v>
      </c>
      <c r="AE101" s="101">
        <f t="shared" si="59"/>
        <v>0</v>
      </c>
      <c r="AF101" s="101">
        <f t="shared" si="59"/>
        <v>0</v>
      </c>
      <c r="AG101" s="101">
        <f t="shared" si="59"/>
        <v>0</v>
      </c>
      <c r="AH101" s="175">
        <f t="shared" si="70"/>
        <v>0</v>
      </c>
      <c r="AI101" s="101">
        <f t="shared" si="54"/>
        <v>0</v>
      </c>
      <c r="AM101" s="98">
        <v>1.5</v>
      </c>
      <c r="AN101" s="98">
        <v>1</v>
      </c>
      <c r="AO101" s="128">
        <f t="shared" si="69"/>
        <v>0</v>
      </c>
      <c r="AR101" s="100" t="e">
        <f>+VLOOKUP(C101,#REF!,3,FALSE)</f>
        <v>#REF!</v>
      </c>
      <c r="AS101" s="101">
        <f t="shared" si="60"/>
        <v>0</v>
      </c>
      <c r="AT101" s="128">
        <f t="shared" si="61"/>
        <v>0</v>
      </c>
      <c r="AW101" s="89">
        <f t="shared" ca="1" si="62"/>
        <v>35.687646171719685</v>
      </c>
      <c r="AX101" s="90">
        <f t="shared" ca="1" si="63"/>
        <v>0</v>
      </c>
      <c r="AY101" s="86">
        <f t="shared" ca="1" si="64"/>
        <v>0</v>
      </c>
      <c r="AZ101" s="402">
        <f t="shared" ca="1" si="65"/>
        <v>0</v>
      </c>
      <c r="BA101" s="402">
        <f t="shared" ca="1" si="66"/>
        <v>0</v>
      </c>
      <c r="BC101" s="129"/>
      <c r="BD101" s="129"/>
    </row>
    <row r="102" spans="1:56" s="98" customFormat="1" ht="12" customHeight="1">
      <c r="A102" s="98" t="str">
        <f t="shared" si="57"/>
        <v>Joes TC Refuse UTCFL002.0YXX001TEMPC</v>
      </c>
      <c r="B102" s="98">
        <f t="shared" si="55"/>
        <v>1</v>
      </c>
      <c r="C102" s="99" t="s">
        <v>464</v>
      </c>
      <c r="D102" s="99" t="s">
        <v>465</v>
      </c>
      <c r="E102" s="176">
        <v>42.49</v>
      </c>
      <c r="F102" s="176">
        <v>42.3</v>
      </c>
      <c r="G102" s="176" t="s">
        <v>703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f t="shared" si="71"/>
        <v>0</v>
      </c>
      <c r="U102" s="101"/>
      <c r="V102" s="101">
        <f t="shared" si="73"/>
        <v>0</v>
      </c>
      <c r="W102" s="101">
        <f t="shared" si="73"/>
        <v>0</v>
      </c>
      <c r="X102" s="101">
        <f t="shared" si="73"/>
        <v>0</v>
      </c>
      <c r="Y102" s="101">
        <f t="shared" si="72"/>
        <v>0</v>
      </c>
      <c r="Z102" s="101">
        <f t="shared" si="72"/>
        <v>0</v>
      </c>
      <c r="AA102" s="101">
        <f t="shared" si="72"/>
        <v>0</v>
      </c>
      <c r="AB102" s="101">
        <f t="shared" si="72"/>
        <v>0</v>
      </c>
      <c r="AC102" s="101">
        <f t="shared" si="72"/>
        <v>0</v>
      </c>
      <c r="AD102" s="101">
        <f t="shared" si="59"/>
        <v>0</v>
      </c>
      <c r="AE102" s="101">
        <f t="shared" si="59"/>
        <v>0</v>
      </c>
      <c r="AF102" s="101">
        <f t="shared" si="59"/>
        <v>0</v>
      </c>
      <c r="AG102" s="101">
        <f t="shared" si="59"/>
        <v>0</v>
      </c>
      <c r="AH102" s="175">
        <f t="shared" si="70"/>
        <v>0</v>
      </c>
      <c r="AI102" s="101">
        <f t="shared" si="54"/>
        <v>0</v>
      </c>
      <c r="AM102" s="98">
        <v>2</v>
      </c>
      <c r="AN102" s="98">
        <v>1</v>
      </c>
      <c r="AO102" s="128">
        <f t="shared" si="69"/>
        <v>0</v>
      </c>
      <c r="AR102" s="100" t="e">
        <f>+VLOOKUP(C102,#REF!,3,FALSE)</f>
        <v>#REF!</v>
      </c>
      <c r="AS102" s="101">
        <f t="shared" si="60"/>
        <v>0</v>
      </c>
      <c r="AT102" s="128">
        <f t="shared" si="61"/>
        <v>0</v>
      </c>
      <c r="AW102" s="89">
        <f t="shared" ca="1" si="62"/>
        <v>43.3415857899438</v>
      </c>
      <c r="AX102" s="90">
        <f t="shared" ca="1" si="63"/>
        <v>0</v>
      </c>
      <c r="AY102" s="86">
        <f t="shared" ca="1" si="64"/>
        <v>0</v>
      </c>
      <c r="AZ102" s="402">
        <f t="shared" ca="1" si="65"/>
        <v>0</v>
      </c>
      <c r="BA102" s="402">
        <f t="shared" ca="1" si="66"/>
        <v>0</v>
      </c>
      <c r="BC102" s="129"/>
      <c r="BD102" s="129"/>
    </row>
    <row r="103" spans="1:56" s="98" customFormat="1" ht="12" customHeight="1">
      <c r="A103" s="98" t="str">
        <f t="shared" si="57"/>
        <v>Joes TC Refuse UTCFL003.0YXX001TEMPC</v>
      </c>
      <c r="B103" s="98">
        <f t="shared" si="55"/>
        <v>1</v>
      </c>
      <c r="C103" s="99" t="s">
        <v>466</v>
      </c>
      <c r="D103" s="99" t="s">
        <v>467</v>
      </c>
      <c r="E103" s="176">
        <v>63.49</v>
      </c>
      <c r="F103" s="176">
        <v>63.21</v>
      </c>
      <c r="G103" s="176" t="s">
        <v>703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189.63</v>
      </c>
      <c r="Q103" s="101">
        <v>63.21</v>
      </c>
      <c r="R103" s="101">
        <v>0</v>
      </c>
      <c r="S103" s="101">
        <v>0</v>
      </c>
      <c r="T103" s="101">
        <f t="shared" si="71"/>
        <v>252.84</v>
      </c>
      <c r="U103" s="101"/>
      <c r="V103" s="101">
        <f t="shared" si="73"/>
        <v>0</v>
      </c>
      <c r="W103" s="101">
        <f t="shared" si="73"/>
        <v>0</v>
      </c>
      <c r="X103" s="101">
        <f t="shared" si="73"/>
        <v>0</v>
      </c>
      <c r="Y103" s="101">
        <f t="shared" si="72"/>
        <v>0</v>
      </c>
      <c r="Z103" s="101">
        <f t="shared" si="72"/>
        <v>0</v>
      </c>
      <c r="AA103" s="101">
        <f t="shared" si="72"/>
        <v>0</v>
      </c>
      <c r="AB103" s="101">
        <f t="shared" si="72"/>
        <v>0</v>
      </c>
      <c r="AC103" s="101">
        <f t="shared" si="72"/>
        <v>0</v>
      </c>
      <c r="AD103" s="101">
        <f t="shared" si="59"/>
        <v>3</v>
      </c>
      <c r="AE103" s="101">
        <f t="shared" si="59"/>
        <v>1</v>
      </c>
      <c r="AF103" s="101">
        <f t="shared" si="59"/>
        <v>0</v>
      </c>
      <c r="AG103" s="101">
        <f t="shared" si="59"/>
        <v>0</v>
      </c>
      <c r="AH103" s="175">
        <f t="shared" si="70"/>
        <v>4</v>
      </c>
      <c r="AI103" s="101">
        <f t="shared" si="54"/>
        <v>0.33333333333333331</v>
      </c>
      <c r="AM103" s="98">
        <v>3</v>
      </c>
      <c r="AN103" s="98">
        <v>1</v>
      </c>
      <c r="AO103" s="128">
        <f t="shared" si="69"/>
        <v>0.33333333333333331</v>
      </c>
      <c r="AR103" s="100" t="e">
        <f>+VLOOKUP(C103,#REF!,3,FALSE)</f>
        <v>#REF!</v>
      </c>
      <c r="AS103" s="101">
        <f t="shared" si="60"/>
        <v>0</v>
      </c>
      <c r="AT103" s="128">
        <f t="shared" si="61"/>
        <v>-252.84</v>
      </c>
      <c r="AW103" s="89">
        <f t="shared" ca="1" si="62"/>
        <v>64.766468978306094</v>
      </c>
      <c r="AX103" s="90">
        <f t="shared" ca="1" si="63"/>
        <v>259.06587591322437</v>
      </c>
      <c r="AY103" s="86">
        <f t="shared" ca="1" si="64"/>
        <v>6.2258759132243711</v>
      </c>
      <c r="AZ103" s="402">
        <f t="shared" ca="1" si="65"/>
        <v>0.99277717891671169</v>
      </c>
      <c r="BA103" s="402">
        <f t="shared" ca="1" si="66"/>
        <v>260.05865309214107</v>
      </c>
      <c r="BC103" s="129"/>
      <c r="BD103" s="129"/>
    </row>
    <row r="104" spans="1:56" s="98" customFormat="1" ht="12" customHeight="1">
      <c r="A104" s="98" t="str">
        <f t="shared" si="57"/>
        <v>Joes TC Refuse UTCFL004.0YXX001TEMPC</v>
      </c>
      <c r="B104" s="98">
        <f t="shared" si="55"/>
        <v>1</v>
      </c>
      <c r="C104" s="99" t="s">
        <v>468</v>
      </c>
      <c r="D104" s="99" t="s">
        <v>469</v>
      </c>
      <c r="E104" s="176">
        <v>84.78</v>
      </c>
      <c r="F104" s="176">
        <v>84.41</v>
      </c>
      <c r="G104" s="176" t="s">
        <v>703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339.12</v>
      </c>
      <c r="N104" s="101">
        <v>84.78</v>
      </c>
      <c r="O104" s="101">
        <v>0</v>
      </c>
      <c r="P104" s="101">
        <v>84.41</v>
      </c>
      <c r="Q104" s="101">
        <v>0</v>
      </c>
      <c r="R104" s="101">
        <v>0</v>
      </c>
      <c r="S104" s="101">
        <v>0</v>
      </c>
      <c r="T104" s="101">
        <f t="shared" si="71"/>
        <v>508.30999999999995</v>
      </c>
      <c r="U104" s="101"/>
      <c r="V104" s="101">
        <f t="shared" si="73"/>
        <v>0</v>
      </c>
      <c r="W104" s="101">
        <f t="shared" si="73"/>
        <v>0</v>
      </c>
      <c r="X104" s="101">
        <f t="shared" si="73"/>
        <v>0</v>
      </c>
      <c r="Y104" s="101">
        <f t="shared" si="72"/>
        <v>0</v>
      </c>
      <c r="Z104" s="101">
        <f t="shared" si="72"/>
        <v>0</v>
      </c>
      <c r="AA104" s="101">
        <f t="shared" si="72"/>
        <v>4</v>
      </c>
      <c r="AB104" s="101">
        <f t="shared" si="72"/>
        <v>1</v>
      </c>
      <c r="AC104" s="101">
        <f t="shared" si="72"/>
        <v>0</v>
      </c>
      <c r="AD104" s="101">
        <f t="shared" si="59"/>
        <v>1</v>
      </c>
      <c r="AE104" s="101">
        <f t="shared" si="59"/>
        <v>0</v>
      </c>
      <c r="AF104" s="101">
        <f t="shared" si="59"/>
        <v>0</v>
      </c>
      <c r="AG104" s="101">
        <f t="shared" si="59"/>
        <v>0</v>
      </c>
      <c r="AH104" s="175">
        <f t="shared" si="70"/>
        <v>6</v>
      </c>
      <c r="AI104" s="101">
        <f t="shared" si="54"/>
        <v>0.5</v>
      </c>
      <c r="AM104" s="98">
        <v>4</v>
      </c>
      <c r="AN104" s="98">
        <v>1</v>
      </c>
      <c r="AO104" s="128">
        <f t="shared" si="69"/>
        <v>0.5</v>
      </c>
      <c r="AR104" s="100" t="e">
        <f>+VLOOKUP(C104,#REF!,3,FALSE)</f>
        <v>#REF!</v>
      </c>
      <c r="AS104" s="101">
        <f t="shared" si="60"/>
        <v>0</v>
      </c>
      <c r="AT104" s="128">
        <f t="shared" si="61"/>
        <v>-508.30999999999995</v>
      </c>
      <c r="AW104" s="89">
        <f t="shared" ca="1" si="62"/>
        <v>86.488493062155001</v>
      </c>
      <c r="AX104" s="90">
        <f t="shared" ca="1" si="63"/>
        <v>518.93095837293004</v>
      </c>
      <c r="AY104" s="86">
        <f t="shared" ca="1" si="64"/>
        <v>10.62095837293009</v>
      </c>
      <c r="AZ104" s="402">
        <f t="shared" ca="1" si="65"/>
        <v>1.9886170306682402</v>
      </c>
      <c r="BA104" s="402">
        <f t="shared" ca="1" si="66"/>
        <v>520.91957540359829</v>
      </c>
      <c r="BC104" s="129"/>
      <c r="BD104" s="129"/>
    </row>
    <row r="105" spans="1:56" s="98" customFormat="1" ht="12" customHeight="1">
      <c r="A105" s="98" t="str">
        <f t="shared" si="57"/>
        <v>Joes TC Refuse UTCFL006.0YXX001TEMPC</v>
      </c>
      <c r="B105" s="98">
        <f t="shared" si="55"/>
        <v>1</v>
      </c>
      <c r="C105" s="99" t="s">
        <v>472</v>
      </c>
      <c r="D105" s="99" t="s">
        <v>473</v>
      </c>
      <c r="E105" s="176">
        <v>125.11</v>
      </c>
      <c r="F105" s="176">
        <v>124.57</v>
      </c>
      <c r="G105" s="176" t="s">
        <v>703</v>
      </c>
      <c r="H105" s="101">
        <v>125.11</v>
      </c>
      <c r="I105" s="101">
        <v>125.11</v>
      </c>
      <c r="J105" s="101">
        <v>125.11</v>
      </c>
      <c r="K105" s="101">
        <v>250.22</v>
      </c>
      <c r="L105" s="101">
        <v>0</v>
      </c>
      <c r="M105" s="101">
        <v>250.22</v>
      </c>
      <c r="N105" s="101">
        <v>1000.88</v>
      </c>
      <c r="O105" s="101">
        <v>625.54999999999995</v>
      </c>
      <c r="P105" s="101">
        <v>124.57</v>
      </c>
      <c r="Q105" s="101">
        <v>249.14</v>
      </c>
      <c r="R105" s="101">
        <v>124.57</v>
      </c>
      <c r="S105" s="101">
        <v>124.57</v>
      </c>
      <c r="T105" s="101">
        <f t="shared" si="71"/>
        <v>3125.05</v>
      </c>
      <c r="U105" s="101"/>
      <c r="V105" s="101">
        <f t="shared" si="73"/>
        <v>1</v>
      </c>
      <c r="W105" s="101">
        <f t="shared" si="73"/>
        <v>1</v>
      </c>
      <c r="X105" s="101">
        <f t="shared" si="73"/>
        <v>1</v>
      </c>
      <c r="Y105" s="101">
        <f t="shared" si="72"/>
        <v>2</v>
      </c>
      <c r="Z105" s="101">
        <f t="shared" si="72"/>
        <v>0</v>
      </c>
      <c r="AA105" s="101">
        <f t="shared" si="72"/>
        <v>2</v>
      </c>
      <c r="AB105" s="101">
        <f t="shared" si="72"/>
        <v>8</v>
      </c>
      <c r="AC105" s="101">
        <f t="shared" si="72"/>
        <v>5</v>
      </c>
      <c r="AD105" s="101">
        <f t="shared" si="59"/>
        <v>1</v>
      </c>
      <c r="AE105" s="101">
        <f t="shared" si="59"/>
        <v>2</v>
      </c>
      <c r="AF105" s="101">
        <f t="shared" si="59"/>
        <v>1</v>
      </c>
      <c r="AG105" s="101">
        <f t="shared" si="59"/>
        <v>1</v>
      </c>
      <c r="AH105" s="175">
        <f t="shared" si="70"/>
        <v>25</v>
      </c>
      <c r="AI105" s="101">
        <f t="shared" si="54"/>
        <v>2.0833333333333335</v>
      </c>
      <c r="AM105" s="98">
        <v>6</v>
      </c>
      <c r="AN105" s="98">
        <v>1</v>
      </c>
      <c r="AO105" s="128">
        <f t="shared" si="69"/>
        <v>2.0833333333333335</v>
      </c>
      <c r="AR105" s="100" t="e">
        <f>+VLOOKUP(C105,#REF!,3,FALSE)</f>
        <v>#REF!</v>
      </c>
      <c r="AS105" s="101">
        <f t="shared" si="60"/>
        <v>0</v>
      </c>
      <c r="AT105" s="128">
        <f t="shared" si="61"/>
        <v>-3125.05</v>
      </c>
      <c r="AW105" s="89">
        <f t="shared" ca="1" si="62"/>
        <v>127.63738396816311</v>
      </c>
      <c r="AX105" s="90">
        <f t="shared" ca="1" si="63"/>
        <v>3190.9345992040776</v>
      </c>
      <c r="AY105" s="86">
        <f t="shared" ca="1" si="64"/>
        <v>65.884599204077404</v>
      </c>
      <c r="AZ105" s="402">
        <f t="shared" ca="1" si="65"/>
        <v>12.228113943368808</v>
      </c>
      <c r="BA105" s="402">
        <f t="shared" ca="1" si="66"/>
        <v>3203.1627131474465</v>
      </c>
      <c r="BC105" s="129"/>
      <c r="BD105" s="129"/>
    </row>
    <row r="106" spans="1:56" ht="12" customHeight="1">
      <c r="A106" s="38" t="str">
        <f t="shared" si="57"/>
        <v>Joes TC Refuse UTCREDEL-COMM</v>
      </c>
      <c r="B106" s="38">
        <f t="shared" si="55"/>
        <v>1</v>
      </c>
      <c r="C106" s="87" t="s">
        <v>478</v>
      </c>
      <c r="D106" s="87" t="s">
        <v>479</v>
      </c>
      <c r="E106" s="174">
        <v>20.63</v>
      </c>
      <c r="F106" s="174">
        <v>20.54</v>
      </c>
      <c r="G106" s="174" t="s">
        <v>693</v>
      </c>
      <c r="H106" s="88">
        <v>0</v>
      </c>
      <c r="I106" s="88">
        <v>0</v>
      </c>
      <c r="J106" s="88">
        <v>41.26</v>
      </c>
      <c r="K106" s="88">
        <v>0</v>
      </c>
      <c r="L106" s="88">
        <v>20.63</v>
      </c>
      <c r="M106" s="88">
        <v>0</v>
      </c>
      <c r="N106" s="88">
        <v>0</v>
      </c>
      <c r="O106" s="88">
        <v>0</v>
      </c>
      <c r="P106" s="88">
        <v>41.08</v>
      </c>
      <c r="Q106" s="88">
        <v>20.54</v>
      </c>
      <c r="R106" s="88">
        <v>20.54</v>
      </c>
      <c r="S106" s="88">
        <v>0</v>
      </c>
      <c r="T106" s="88">
        <f t="shared" si="71"/>
        <v>144.04999999999998</v>
      </c>
      <c r="U106" s="88"/>
      <c r="V106" s="88">
        <f t="shared" si="73"/>
        <v>0</v>
      </c>
      <c r="W106" s="88">
        <f t="shared" si="73"/>
        <v>0</v>
      </c>
      <c r="X106" s="88">
        <f t="shared" si="73"/>
        <v>2</v>
      </c>
      <c r="Y106" s="88">
        <f t="shared" si="72"/>
        <v>0</v>
      </c>
      <c r="Z106" s="88">
        <f t="shared" si="72"/>
        <v>1</v>
      </c>
      <c r="AA106" s="88">
        <f t="shared" si="72"/>
        <v>0</v>
      </c>
      <c r="AB106" s="88">
        <f t="shared" si="72"/>
        <v>0</v>
      </c>
      <c r="AC106" s="88">
        <f t="shared" si="72"/>
        <v>0</v>
      </c>
      <c r="AD106" s="88">
        <f t="shared" si="59"/>
        <v>2</v>
      </c>
      <c r="AE106" s="88">
        <f t="shared" si="59"/>
        <v>1</v>
      </c>
      <c r="AF106" s="88">
        <f t="shared" si="59"/>
        <v>1</v>
      </c>
      <c r="AG106" s="88">
        <f t="shared" si="59"/>
        <v>0</v>
      </c>
      <c r="AH106" s="70">
        <f t="shared" si="70"/>
        <v>7</v>
      </c>
      <c r="AI106" s="88">
        <f t="shared" si="54"/>
        <v>0.58333333333333337</v>
      </c>
      <c r="AR106" s="69">
        <v>18.93</v>
      </c>
      <c r="AS106" s="88">
        <f t="shared" si="60"/>
        <v>132.51</v>
      </c>
      <c r="AT106" s="90">
        <f t="shared" si="61"/>
        <v>-11.539999999999992</v>
      </c>
      <c r="AW106" s="89">
        <f t="shared" ca="1" si="62"/>
        <v>21.045772390672475</v>
      </c>
      <c r="AX106" s="90">
        <f t="shared" ca="1" si="63"/>
        <v>147.32040673470735</v>
      </c>
      <c r="AY106" s="86">
        <f t="shared" ca="1" si="64"/>
        <v>3.2704067347073646</v>
      </c>
      <c r="AZ106" s="402">
        <f t="shared" ca="1" si="65"/>
        <v>0.56455269255119778</v>
      </c>
      <c r="BA106" s="402">
        <f t="shared" ca="1" si="66"/>
        <v>147.88495942725854</v>
      </c>
      <c r="BC106" s="129"/>
      <c r="BD106" s="129"/>
    </row>
    <row r="107" spans="1:56" ht="12" customHeight="1">
      <c r="A107" s="38" t="str">
        <f t="shared" si="57"/>
        <v>Joes TC Refuse UTCREINSTATE-COMM</v>
      </c>
      <c r="B107" s="38">
        <f t="shared" si="55"/>
        <v>1</v>
      </c>
      <c r="C107" s="87" t="s">
        <v>480</v>
      </c>
      <c r="D107" s="87" t="s">
        <v>481</v>
      </c>
      <c r="E107" s="174">
        <v>15.67</v>
      </c>
      <c r="F107" s="174">
        <v>15.6</v>
      </c>
      <c r="G107" s="174" t="s">
        <v>693</v>
      </c>
      <c r="H107" s="88">
        <v>62.68</v>
      </c>
      <c r="I107" s="88">
        <v>47.01</v>
      </c>
      <c r="J107" s="88">
        <v>15.67</v>
      </c>
      <c r="K107" s="88">
        <v>0</v>
      </c>
      <c r="L107" s="88">
        <v>31.34</v>
      </c>
      <c r="M107" s="88">
        <v>31.34</v>
      </c>
      <c r="N107" s="88">
        <v>31.34</v>
      </c>
      <c r="O107" s="88">
        <v>31.34</v>
      </c>
      <c r="P107" s="88">
        <v>62.4</v>
      </c>
      <c r="Q107" s="88">
        <v>15.6</v>
      </c>
      <c r="R107" s="88">
        <v>46.8</v>
      </c>
      <c r="S107" s="88">
        <v>46.8</v>
      </c>
      <c r="T107" s="88">
        <f t="shared" si="71"/>
        <v>422.32000000000005</v>
      </c>
      <c r="U107" s="88"/>
      <c r="V107" s="88">
        <f t="shared" si="73"/>
        <v>4</v>
      </c>
      <c r="W107" s="88">
        <f t="shared" si="73"/>
        <v>3</v>
      </c>
      <c r="X107" s="88">
        <f t="shared" si="73"/>
        <v>1</v>
      </c>
      <c r="Y107" s="88">
        <f t="shared" si="72"/>
        <v>0</v>
      </c>
      <c r="Z107" s="88">
        <f t="shared" si="72"/>
        <v>2</v>
      </c>
      <c r="AA107" s="88">
        <f t="shared" si="72"/>
        <v>2</v>
      </c>
      <c r="AB107" s="88">
        <f t="shared" si="72"/>
        <v>2</v>
      </c>
      <c r="AC107" s="88">
        <f t="shared" si="72"/>
        <v>2</v>
      </c>
      <c r="AD107" s="88">
        <f t="shared" si="59"/>
        <v>4</v>
      </c>
      <c r="AE107" s="88">
        <f t="shared" si="59"/>
        <v>1</v>
      </c>
      <c r="AF107" s="88">
        <f t="shared" si="59"/>
        <v>3</v>
      </c>
      <c r="AG107" s="88">
        <f t="shared" si="59"/>
        <v>3</v>
      </c>
      <c r="AH107" s="70">
        <f t="shared" si="70"/>
        <v>27</v>
      </c>
      <c r="AI107" s="88">
        <f t="shared" si="54"/>
        <v>2.25</v>
      </c>
      <c r="AR107" s="69" t="e">
        <f>+VLOOKUP(C107,#REF!,3,FALSE)</f>
        <v>#REF!</v>
      </c>
      <c r="AS107" s="88">
        <f t="shared" si="60"/>
        <v>0</v>
      </c>
      <c r="AT107" s="90">
        <f t="shared" si="61"/>
        <v>-422.32000000000005</v>
      </c>
      <c r="AW107" s="89">
        <f t="shared" ca="1" si="62"/>
        <v>15.984130929624664</v>
      </c>
      <c r="AX107" s="90">
        <f t="shared" ca="1" si="63"/>
        <v>431.57153509986597</v>
      </c>
      <c r="AY107" s="86">
        <f t="shared" ca="1" si="64"/>
        <v>9.2515350998659187</v>
      </c>
      <c r="AZ107" s="402">
        <f t="shared" ca="1" si="65"/>
        <v>1.653843330800977</v>
      </c>
      <c r="BA107" s="402">
        <f t="shared" ca="1" si="66"/>
        <v>433.22537843066692</v>
      </c>
      <c r="BC107" s="129"/>
      <c r="BD107" s="129"/>
    </row>
    <row r="108" spans="1:56" ht="12" customHeight="1">
      <c r="A108" s="38" t="str">
        <f t="shared" si="57"/>
        <v>Joes TC Refuse UTCRENT1.5TEMP-COMM</v>
      </c>
      <c r="B108" s="38">
        <f t="shared" si="55"/>
        <v>1</v>
      </c>
      <c r="C108" s="87" t="s">
        <v>482</v>
      </c>
      <c r="D108" s="87" t="s">
        <v>483</v>
      </c>
      <c r="E108" s="174">
        <v>0.5</v>
      </c>
      <c r="F108" s="174">
        <v>0.5</v>
      </c>
      <c r="G108" s="174" t="s">
        <v>703</v>
      </c>
      <c r="H108" s="88">
        <v>1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f t="shared" si="71"/>
        <v>1</v>
      </c>
      <c r="U108" s="88"/>
      <c r="V108" s="88">
        <f t="shared" si="73"/>
        <v>2</v>
      </c>
      <c r="W108" s="88">
        <f t="shared" si="73"/>
        <v>0</v>
      </c>
      <c r="X108" s="88">
        <f t="shared" si="73"/>
        <v>0</v>
      </c>
      <c r="Y108" s="88">
        <f t="shared" si="72"/>
        <v>0</v>
      </c>
      <c r="Z108" s="88">
        <f t="shared" si="72"/>
        <v>0</v>
      </c>
      <c r="AA108" s="88">
        <f t="shared" si="72"/>
        <v>0</v>
      </c>
      <c r="AB108" s="88">
        <f t="shared" si="72"/>
        <v>0</v>
      </c>
      <c r="AC108" s="88">
        <f t="shared" si="72"/>
        <v>0</v>
      </c>
      <c r="AD108" s="88">
        <f t="shared" si="59"/>
        <v>0</v>
      </c>
      <c r="AE108" s="88">
        <f t="shared" si="59"/>
        <v>0</v>
      </c>
      <c r="AF108" s="88">
        <f t="shared" si="59"/>
        <v>0</v>
      </c>
      <c r="AG108" s="88">
        <f t="shared" si="59"/>
        <v>0</v>
      </c>
      <c r="AH108" s="70">
        <f t="shared" si="70"/>
        <v>2</v>
      </c>
      <c r="AI108" s="88">
        <f t="shared" si="54"/>
        <v>0.16666666666666666</v>
      </c>
      <c r="AR108" s="69" t="e">
        <f>+VLOOKUP(C108,#REF!,3,FALSE)</f>
        <v>#REF!</v>
      </c>
      <c r="AS108" s="88">
        <f t="shared" si="60"/>
        <v>0</v>
      </c>
      <c r="AT108" s="90">
        <f t="shared" si="61"/>
        <v>-1</v>
      </c>
      <c r="AW108" s="89">
        <f t="shared" ca="1" si="62"/>
        <v>0.51231188877002132</v>
      </c>
      <c r="AX108" s="90">
        <f t="shared" ca="1" si="63"/>
        <v>1.0246237775400426</v>
      </c>
      <c r="AY108" s="86">
        <f t="shared" ca="1" si="64"/>
        <v>2.4623777540042635E-2</v>
      </c>
      <c r="AZ108" s="402">
        <f t="shared" ca="1" si="65"/>
        <v>3.9265036343802866E-3</v>
      </c>
      <c r="BA108" s="402">
        <f t="shared" ca="1" si="66"/>
        <v>1.0285502811744229</v>
      </c>
      <c r="BC108" s="129"/>
      <c r="BD108" s="129"/>
    </row>
    <row r="109" spans="1:56" ht="12" customHeight="1">
      <c r="A109" s="38" t="str">
        <f t="shared" si="57"/>
        <v>Joes TC Refuse UTCACCESSEOW-COMM</v>
      </c>
      <c r="B109" s="38">
        <f t="shared" si="55"/>
        <v>1</v>
      </c>
      <c r="C109" s="87" t="s">
        <v>350</v>
      </c>
      <c r="D109" s="87" t="s">
        <v>351</v>
      </c>
      <c r="E109" s="174">
        <v>0.82</v>
      </c>
      <c r="F109" s="174">
        <v>0.82</v>
      </c>
      <c r="G109" s="174" t="s">
        <v>228</v>
      </c>
      <c r="H109" s="88">
        <v>3.28</v>
      </c>
      <c r="I109" s="88">
        <v>3.28</v>
      </c>
      <c r="J109" s="88">
        <v>3.28</v>
      </c>
      <c r="K109" s="88">
        <v>3.28</v>
      </c>
      <c r="L109" s="88">
        <v>3.28</v>
      </c>
      <c r="M109" s="88">
        <v>3.28</v>
      </c>
      <c r="N109" s="88">
        <v>4.0999999999999996</v>
      </c>
      <c r="O109" s="88">
        <v>3.28</v>
      </c>
      <c r="P109" s="88">
        <v>3.28</v>
      </c>
      <c r="Q109" s="88">
        <v>3.28</v>
      </c>
      <c r="R109" s="88">
        <v>3.28</v>
      </c>
      <c r="S109" s="88">
        <v>3.28</v>
      </c>
      <c r="T109" s="88">
        <f t="shared" si="71"/>
        <v>40.180000000000007</v>
      </c>
      <c r="V109" s="88">
        <f t="shared" si="73"/>
        <v>4</v>
      </c>
      <c r="W109" s="88">
        <f t="shared" si="73"/>
        <v>4</v>
      </c>
      <c r="X109" s="88">
        <f t="shared" si="73"/>
        <v>4</v>
      </c>
      <c r="Y109" s="88">
        <f t="shared" si="72"/>
        <v>4</v>
      </c>
      <c r="Z109" s="88">
        <f t="shared" si="72"/>
        <v>4</v>
      </c>
      <c r="AA109" s="88">
        <f t="shared" si="72"/>
        <v>4</v>
      </c>
      <c r="AB109" s="88">
        <f t="shared" si="72"/>
        <v>5</v>
      </c>
      <c r="AC109" s="88">
        <f t="shared" si="72"/>
        <v>4</v>
      </c>
      <c r="AD109" s="88">
        <f t="shared" si="59"/>
        <v>4</v>
      </c>
      <c r="AE109" s="88">
        <f t="shared" si="59"/>
        <v>4</v>
      </c>
      <c r="AF109" s="88">
        <f t="shared" si="59"/>
        <v>4</v>
      </c>
      <c r="AG109" s="88">
        <f t="shared" si="59"/>
        <v>4</v>
      </c>
      <c r="AH109" s="70">
        <f t="shared" si="70"/>
        <v>49</v>
      </c>
      <c r="AI109" s="88">
        <f t="shared" si="54"/>
        <v>4.083333333333333</v>
      </c>
      <c r="AR109" s="69">
        <f>0.74*2.17</f>
        <v>1.6057999999999999</v>
      </c>
      <c r="AS109" s="88">
        <f t="shared" si="60"/>
        <v>78.68419999999999</v>
      </c>
      <c r="AT109" s="90">
        <f t="shared" si="61"/>
        <v>38.504199999999983</v>
      </c>
      <c r="AW109" s="89">
        <f t="shared" ca="1" si="62"/>
        <v>0.84019149758283496</v>
      </c>
      <c r="AX109" s="90">
        <f t="shared" ca="1" si="63"/>
        <v>41.169383381558916</v>
      </c>
      <c r="AY109" s="86">
        <f t="shared" ca="1" si="64"/>
        <v>0.98938338155890904</v>
      </c>
      <c r="AZ109" s="402">
        <f t="shared" ca="1" si="65"/>
        <v>0.15776691602939993</v>
      </c>
      <c r="BA109" s="402">
        <f t="shared" ca="1" si="66"/>
        <v>41.327150297588318</v>
      </c>
      <c r="BC109" s="129"/>
      <c r="BD109" s="129"/>
    </row>
    <row r="110" spans="1:56" ht="12" customHeight="1">
      <c r="A110" s="38" t="str">
        <f t="shared" si="57"/>
        <v>Joes TC Refuse UTCTIMENP-COMM</v>
      </c>
      <c r="B110" s="38">
        <f t="shared" si="55"/>
        <v>1</v>
      </c>
      <c r="C110" s="87" t="s">
        <v>568</v>
      </c>
      <c r="D110" s="87" t="s">
        <v>569</v>
      </c>
      <c r="E110" s="174">
        <v>109.71</v>
      </c>
      <c r="F110" s="174">
        <v>109.23</v>
      </c>
      <c r="G110" s="174" t="s">
        <v>697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8">
        <v>0</v>
      </c>
      <c r="R110" s="88">
        <v>0</v>
      </c>
      <c r="S110" s="88">
        <v>0</v>
      </c>
      <c r="T110" s="88">
        <f t="shared" si="71"/>
        <v>0</v>
      </c>
      <c r="U110" s="88"/>
      <c r="V110" s="88">
        <f t="shared" si="73"/>
        <v>0</v>
      </c>
      <c r="W110" s="88">
        <f t="shared" si="73"/>
        <v>0</v>
      </c>
      <c r="X110" s="88">
        <f t="shared" si="73"/>
        <v>0</v>
      </c>
      <c r="Y110" s="88">
        <f t="shared" si="72"/>
        <v>0</v>
      </c>
      <c r="Z110" s="88">
        <f t="shared" si="72"/>
        <v>0</v>
      </c>
      <c r="AA110" s="88">
        <f t="shared" si="72"/>
        <v>0</v>
      </c>
      <c r="AB110" s="88">
        <f t="shared" si="72"/>
        <v>0</v>
      </c>
      <c r="AC110" s="88">
        <f t="shared" si="72"/>
        <v>0</v>
      </c>
      <c r="AD110" s="88">
        <f t="shared" si="59"/>
        <v>0</v>
      </c>
      <c r="AE110" s="88">
        <f t="shared" si="59"/>
        <v>0</v>
      </c>
      <c r="AF110" s="88">
        <f t="shared" si="59"/>
        <v>0</v>
      </c>
      <c r="AG110" s="88">
        <f t="shared" si="59"/>
        <v>0</v>
      </c>
      <c r="AH110" s="70">
        <f t="shared" si="70"/>
        <v>0</v>
      </c>
      <c r="AI110" s="88">
        <f t="shared" si="54"/>
        <v>0</v>
      </c>
      <c r="AR110" s="69">
        <f>+IFERROR((VLOOKUP(C110,#REF!,3,FALSE)),0)</f>
        <v>0</v>
      </c>
      <c r="AS110" s="88">
        <f t="shared" si="60"/>
        <v>0</v>
      </c>
      <c r="AT110" s="90">
        <f t="shared" si="61"/>
        <v>0</v>
      </c>
      <c r="AW110" s="89">
        <f t="shared" ca="1" si="62"/>
        <v>111.91965522069886</v>
      </c>
      <c r="AX110" s="90">
        <f t="shared" ca="1" si="63"/>
        <v>0</v>
      </c>
      <c r="AY110" s="86">
        <f t="shared" ca="1" si="64"/>
        <v>0</v>
      </c>
      <c r="AZ110" s="402">
        <f t="shared" ca="1" si="65"/>
        <v>0</v>
      </c>
      <c r="BA110" s="402">
        <f t="shared" ca="1" si="66"/>
        <v>0</v>
      </c>
      <c r="BC110" s="129"/>
      <c r="BD110" s="129"/>
    </row>
    <row r="111" spans="1:56" ht="12" customHeight="1">
      <c r="A111" s="38" t="str">
        <f t="shared" si="57"/>
        <v>Joes TC Refuse UTCLCKCEOW</v>
      </c>
      <c r="B111" s="38">
        <f t="shared" si="55"/>
        <v>1</v>
      </c>
      <c r="C111" s="87" t="s">
        <v>474</v>
      </c>
      <c r="D111" s="87" t="s">
        <v>475</v>
      </c>
      <c r="E111" s="174">
        <v>7.94</v>
      </c>
      <c r="F111" s="174">
        <v>7.9</v>
      </c>
      <c r="G111" s="174" t="s">
        <v>703</v>
      </c>
      <c r="H111" s="88">
        <v>7.94</v>
      </c>
      <c r="I111" s="88">
        <v>7.94</v>
      </c>
      <c r="J111" s="88">
        <v>7.94</v>
      </c>
      <c r="K111" s="88">
        <v>7.94</v>
      </c>
      <c r="L111" s="88">
        <v>7.94</v>
      </c>
      <c r="M111" s="88">
        <v>7.94</v>
      </c>
      <c r="N111" s="88">
        <v>7.94</v>
      </c>
      <c r="O111" s="88">
        <v>7.94</v>
      </c>
      <c r="P111" s="88">
        <v>7.9</v>
      </c>
      <c r="Q111" s="88">
        <v>23.7</v>
      </c>
      <c r="R111" s="88">
        <v>23.7</v>
      </c>
      <c r="S111" s="88">
        <v>23.7</v>
      </c>
      <c r="T111" s="88">
        <f t="shared" si="71"/>
        <v>142.52000000000001</v>
      </c>
      <c r="U111" s="88"/>
      <c r="V111" s="88">
        <f t="shared" si="73"/>
        <v>1</v>
      </c>
      <c r="W111" s="88">
        <f t="shared" si="73"/>
        <v>1</v>
      </c>
      <c r="X111" s="88">
        <f t="shared" si="73"/>
        <v>1</v>
      </c>
      <c r="Y111" s="88">
        <f t="shared" si="72"/>
        <v>1</v>
      </c>
      <c r="Z111" s="88">
        <f t="shared" si="72"/>
        <v>1</v>
      </c>
      <c r="AA111" s="88">
        <f t="shared" si="72"/>
        <v>1</v>
      </c>
      <c r="AB111" s="88">
        <f t="shared" si="72"/>
        <v>1</v>
      </c>
      <c r="AC111" s="88">
        <f t="shared" si="72"/>
        <v>1</v>
      </c>
      <c r="AD111" s="88">
        <f t="shared" si="59"/>
        <v>1</v>
      </c>
      <c r="AE111" s="88">
        <f t="shared" si="59"/>
        <v>2.9999999999999996</v>
      </c>
      <c r="AF111" s="88">
        <f t="shared" si="59"/>
        <v>2.9999999999999996</v>
      </c>
      <c r="AG111" s="88">
        <f t="shared" si="59"/>
        <v>2.9999999999999996</v>
      </c>
      <c r="AH111" s="70">
        <f t="shared" si="70"/>
        <v>18</v>
      </c>
      <c r="AI111" s="88">
        <f t="shared" si="54"/>
        <v>1.5</v>
      </c>
      <c r="AR111" s="69">
        <f>2.84*2.17</f>
        <v>6.1627999999999998</v>
      </c>
      <c r="AS111" s="88">
        <f t="shared" si="60"/>
        <v>110.93039999999999</v>
      </c>
      <c r="AT111" s="90">
        <f t="shared" si="61"/>
        <v>-31.589600000000019</v>
      </c>
      <c r="AW111" s="89">
        <f t="shared" ca="1" si="62"/>
        <v>8.0945278425663378</v>
      </c>
      <c r="AX111" s="90">
        <f t="shared" ca="1" si="63"/>
        <v>145.70150116619408</v>
      </c>
      <c r="AY111" s="86">
        <f t="shared" ca="1" si="64"/>
        <v>3.1815011661940673</v>
      </c>
      <c r="AZ111" s="402">
        <f t="shared" ca="1" si="65"/>
        <v>0.55834881680887682</v>
      </c>
      <c r="BA111" s="402">
        <f t="shared" ca="1" si="66"/>
        <v>146.25984998300297</v>
      </c>
      <c r="BC111" s="129"/>
      <c r="BD111" s="129"/>
    </row>
    <row r="112" spans="1:56" ht="12" customHeight="1">
      <c r="A112" s="38" t="str">
        <f t="shared" si="57"/>
        <v>Joes TC Refuse UTCLCKC</v>
      </c>
      <c r="B112" s="38">
        <f t="shared" si="55"/>
        <v>1</v>
      </c>
      <c r="C112" s="87" t="s">
        <v>476</v>
      </c>
      <c r="D112" s="87" t="s">
        <v>477</v>
      </c>
      <c r="E112" s="174">
        <v>15.85</v>
      </c>
      <c r="F112" s="174">
        <v>15.76</v>
      </c>
      <c r="G112" s="174" t="s">
        <v>703</v>
      </c>
      <c r="H112" s="88">
        <v>31.7</v>
      </c>
      <c r="I112" s="88">
        <v>31.7</v>
      </c>
      <c r="J112" s="88">
        <v>31.7</v>
      </c>
      <c r="K112" s="88">
        <v>31.7</v>
      </c>
      <c r="L112" s="88">
        <v>31.7</v>
      </c>
      <c r="M112" s="88">
        <v>31.7</v>
      </c>
      <c r="N112" s="88">
        <v>31.7</v>
      </c>
      <c r="O112" s="88">
        <v>31.7</v>
      </c>
      <c r="P112" s="88">
        <v>31.52</v>
      </c>
      <c r="Q112" s="88">
        <v>31.52</v>
      </c>
      <c r="R112" s="88">
        <v>31.52</v>
      </c>
      <c r="S112" s="88">
        <v>31.52</v>
      </c>
      <c r="T112" s="88">
        <f t="shared" si="71"/>
        <v>379.67999999999989</v>
      </c>
      <c r="U112" s="88"/>
      <c r="V112" s="88">
        <f t="shared" si="73"/>
        <v>2</v>
      </c>
      <c r="W112" s="88">
        <f t="shared" si="73"/>
        <v>2</v>
      </c>
      <c r="X112" s="88">
        <f t="shared" si="73"/>
        <v>2</v>
      </c>
      <c r="Y112" s="88">
        <f t="shared" si="72"/>
        <v>2</v>
      </c>
      <c r="Z112" s="88">
        <f t="shared" si="72"/>
        <v>2</v>
      </c>
      <c r="AA112" s="88">
        <f t="shared" si="72"/>
        <v>2</v>
      </c>
      <c r="AB112" s="88">
        <f t="shared" si="72"/>
        <v>2</v>
      </c>
      <c r="AC112" s="88">
        <f t="shared" si="72"/>
        <v>2</v>
      </c>
      <c r="AD112" s="88">
        <f t="shared" si="59"/>
        <v>2</v>
      </c>
      <c r="AE112" s="88">
        <f t="shared" si="59"/>
        <v>2</v>
      </c>
      <c r="AF112" s="88">
        <f t="shared" si="59"/>
        <v>2</v>
      </c>
      <c r="AG112" s="88">
        <f t="shared" si="59"/>
        <v>2</v>
      </c>
      <c r="AH112" s="70">
        <f t="shared" si="70"/>
        <v>24</v>
      </c>
      <c r="AI112" s="88">
        <f t="shared" si="54"/>
        <v>2</v>
      </c>
      <c r="AR112" s="69" t="e">
        <f>+VLOOKUP(C112,#REF!,3,FALSE)</f>
        <v>#REF!</v>
      </c>
      <c r="AS112" s="88">
        <f t="shared" si="60"/>
        <v>0</v>
      </c>
      <c r="AT112" s="90">
        <f t="shared" si="61"/>
        <v>-379.67999999999989</v>
      </c>
      <c r="AW112" s="89">
        <f t="shared" ca="1" si="62"/>
        <v>16.148070734031073</v>
      </c>
      <c r="AX112" s="90">
        <f t="shared" ca="1" si="63"/>
        <v>387.55369761674575</v>
      </c>
      <c r="AY112" s="86">
        <f t="shared" ca="1" si="64"/>
        <v>7.8736976167458579</v>
      </c>
      <c r="AZ112" s="402">
        <f t="shared" ca="1" si="65"/>
        <v>1.4851607346679998</v>
      </c>
      <c r="BA112" s="402">
        <f t="shared" ca="1" si="66"/>
        <v>389.03885835141375</v>
      </c>
      <c r="BC112" s="129"/>
      <c r="BD112" s="129"/>
    </row>
    <row r="113" spans="1:56" ht="12" customHeight="1">
      <c r="A113" s="38" t="str">
        <f t="shared" si="57"/>
        <v>Joes TC Refuse UTCRENT1TEMP-COMM</v>
      </c>
      <c r="B113" s="38">
        <f t="shared" si="55"/>
        <v>1</v>
      </c>
      <c r="C113" s="87" t="s">
        <v>484</v>
      </c>
      <c r="D113" s="87" t="s">
        <v>485</v>
      </c>
      <c r="E113" s="174">
        <v>0.5</v>
      </c>
      <c r="F113" s="174">
        <v>0.5</v>
      </c>
      <c r="G113" s="174" t="s">
        <v>703</v>
      </c>
      <c r="H113" s="88">
        <v>0</v>
      </c>
      <c r="I113" s="88">
        <v>0</v>
      </c>
      <c r="J113" s="88">
        <v>9.5</v>
      </c>
      <c r="K113" s="88">
        <v>15.21</v>
      </c>
      <c r="L113" s="88">
        <v>26.72</v>
      </c>
      <c r="M113" s="88">
        <v>4.5</v>
      </c>
      <c r="N113" s="88">
        <v>0</v>
      </c>
      <c r="O113" s="88">
        <v>0</v>
      </c>
      <c r="P113" s="88">
        <v>0</v>
      </c>
      <c r="Q113" s="88">
        <v>4.5</v>
      </c>
      <c r="R113" s="88">
        <v>15.21</v>
      </c>
      <c r="S113" s="88">
        <v>3</v>
      </c>
      <c r="T113" s="88">
        <f t="shared" si="71"/>
        <v>78.64</v>
      </c>
      <c r="U113" s="88"/>
      <c r="V113" s="88">
        <f t="shared" si="73"/>
        <v>0</v>
      </c>
      <c r="W113" s="88">
        <f t="shared" si="73"/>
        <v>0</v>
      </c>
      <c r="X113" s="88">
        <f t="shared" si="73"/>
        <v>19</v>
      </c>
      <c r="Y113" s="88">
        <f t="shared" si="72"/>
        <v>30.42</v>
      </c>
      <c r="Z113" s="88">
        <f t="shared" si="72"/>
        <v>53.44</v>
      </c>
      <c r="AA113" s="88">
        <f t="shared" si="72"/>
        <v>9</v>
      </c>
      <c r="AB113" s="88">
        <f t="shared" si="72"/>
        <v>0</v>
      </c>
      <c r="AC113" s="88">
        <f t="shared" si="72"/>
        <v>0</v>
      </c>
      <c r="AD113" s="88">
        <f t="shared" si="59"/>
        <v>0</v>
      </c>
      <c r="AE113" s="88">
        <f t="shared" si="59"/>
        <v>9</v>
      </c>
      <c r="AF113" s="88">
        <f t="shared" si="59"/>
        <v>30.42</v>
      </c>
      <c r="AG113" s="88">
        <f t="shared" si="59"/>
        <v>6</v>
      </c>
      <c r="AH113" s="70">
        <f t="shared" si="70"/>
        <v>157.28</v>
      </c>
      <c r="AI113" s="88">
        <f t="shared" si="54"/>
        <v>13.106666666666667</v>
      </c>
      <c r="AR113" s="69" t="e">
        <f>+VLOOKUP(C113,#REF!,3,FALSE)</f>
        <v>#REF!</v>
      </c>
      <c r="AS113" s="88">
        <f t="shared" si="60"/>
        <v>0</v>
      </c>
      <c r="AT113" s="90">
        <f t="shared" si="61"/>
        <v>-78.64</v>
      </c>
      <c r="AW113" s="89">
        <f t="shared" ca="1" si="62"/>
        <v>0.51231188877002132</v>
      </c>
      <c r="AX113" s="90">
        <f t="shared" ca="1" si="63"/>
        <v>80.576413865748961</v>
      </c>
      <c r="AY113" s="86">
        <f t="shared" ca="1" si="64"/>
        <v>1.9364138657489605</v>
      </c>
      <c r="AZ113" s="402">
        <f t="shared" ca="1" si="65"/>
        <v>0.30878024580766578</v>
      </c>
      <c r="BA113" s="402">
        <f t="shared" ca="1" si="66"/>
        <v>80.885194111556629</v>
      </c>
      <c r="BC113" s="129"/>
      <c r="BD113" s="129"/>
    </row>
    <row r="114" spans="1:56" ht="12" customHeight="1">
      <c r="A114" s="38" t="str">
        <f t="shared" si="57"/>
        <v>Joes TC Refuse UTCRENT2TEMP-COMM</v>
      </c>
      <c r="B114" s="38">
        <f t="shared" si="55"/>
        <v>1</v>
      </c>
      <c r="C114" s="87" t="s">
        <v>486</v>
      </c>
      <c r="D114" s="87" t="s">
        <v>487</v>
      </c>
      <c r="E114" s="174">
        <v>0.56000000000000005</v>
      </c>
      <c r="F114" s="174">
        <v>0.56000000000000005</v>
      </c>
      <c r="G114" s="174" t="s">
        <v>703</v>
      </c>
      <c r="H114" s="88">
        <v>25.2</v>
      </c>
      <c r="I114" s="88">
        <v>60.38</v>
      </c>
      <c r="J114" s="88">
        <v>63.41</v>
      </c>
      <c r="K114" s="88">
        <v>63.18</v>
      </c>
      <c r="L114" s="88">
        <v>48.95</v>
      </c>
      <c r="M114" s="88">
        <v>48.39</v>
      </c>
      <c r="N114" s="88">
        <v>81.099999999999994</v>
      </c>
      <c r="O114" s="88">
        <v>88.94</v>
      </c>
      <c r="P114" s="88">
        <v>41.11</v>
      </c>
      <c r="Q114" s="88">
        <v>47.27</v>
      </c>
      <c r="R114" s="88">
        <v>51.42</v>
      </c>
      <c r="S114" s="88">
        <v>44.14</v>
      </c>
      <c r="T114" s="88">
        <f t="shared" si="71"/>
        <v>663.4899999999999</v>
      </c>
      <c r="U114" s="88"/>
      <c r="V114" s="88">
        <f t="shared" si="73"/>
        <v>44.999999999999993</v>
      </c>
      <c r="W114" s="88">
        <f t="shared" si="73"/>
        <v>107.82142857142857</v>
      </c>
      <c r="X114" s="88">
        <f t="shared" si="73"/>
        <v>113.23214285714285</v>
      </c>
      <c r="Y114" s="88">
        <f t="shared" si="72"/>
        <v>112.82142857142856</v>
      </c>
      <c r="Z114" s="88">
        <f t="shared" si="72"/>
        <v>87.410714285714278</v>
      </c>
      <c r="AA114" s="88">
        <f t="shared" si="72"/>
        <v>86.410714285714278</v>
      </c>
      <c r="AB114" s="88">
        <f t="shared" si="72"/>
        <v>144.82142857142856</v>
      </c>
      <c r="AC114" s="88">
        <f t="shared" si="72"/>
        <v>158.82142857142856</v>
      </c>
      <c r="AD114" s="88">
        <f t="shared" si="59"/>
        <v>73.410714285714278</v>
      </c>
      <c r="AE114" s="88">
        <f t="shared" si="59"/>
        <v>84.410714285714278</v>
      </c>
      <c r="AF114" s="88">
        <f t="shared" si="59"/>
        <v>91.821428571428569</v>
      </c>
      <c r="AG114" s="88">
        <f t="shared" si="59"/>
        <v>78.821428571428569</v>
      </c>
      <c r="AH114" s="70">
        <f t="shared" si="70"/>
        <v>1184.8035714285713</v>
      </c>
      <c r="AI114" s="88">
        <f t="shared" si="54"/>
        <v>98.733630952380949</v>
      </c>
      <c r="AR114" s="69" t="e">
        <f>+VLOOKUP(C114,#REF!,3,FALSE)</f>
        <v>#REF!</v>
      </c>
      <c r="AS114" s="88">
        <f t="shared" si="60"/>
        <v>0</v>
      </c>
      <c r="AT114" s="90">
        <f t="shared" si="61"/>
        <v>-663.4899999999999</v>
      </c>
      <c r="AW114" s="89">
        <f t="shared" ca="1" si="62"/>
        <v>0.57378931542242395</v>
      </c>
      <c r="AX114" s="90">
        <f t="shared" ca="1" si="63"/>
        <v>679.82763016004299</v>
      </c>
      <c r="AY114" s="86">
        <f t="shared" ca="1" si="64"/>
        <v>16.337630160043091</v>
      </c>
      <c r="AZ114" s="402">
        <f t="shared" ca="1" si="65"/>
        <v>2.6051958963749771</v>
      </c>
      <c r="BA114" s="402">
        <f t="shared" ca="1" si="66"/>
        <v>682.43282605641798</v>
      </c>
      <c r="BC114" s="129"/>
      <c r="BD114" s="129"/>
    </row>
    <row r="115" spans="1:56" ht="12" customHeight="1">
      <c r="A115" s="38" t="str">
        <f t="shared" si="57"/>
        <v>Joes TC Refuse UTCRENT3TEMP-COMM</v>
      </c>
      <c r="B115" s="38">
        <f t="shared" si="55"/>
        <v>1</v>
      </c>
      <c r="C115" s="87" t="s">
        <v>488</v>
      </c>
      <c r="D115" s="87" t="s">
        <v>489</v>
      </c>
      <c r="E115" s="174">
        <v>0.56000000000000005</v>
      </c>
      <c r="F115" s="174">
        <v>0.56000000000000005</v>
      </c>
      <c r="G115" s="174" t="s">
        <v>703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18.48</v>
      </c>
      <c r="P115" s="88">
        <v>17.03</v>
      </c>
      <c r="Q115" s="88">
        <v>10.08</v>
      </c>
      <c r="R115" s="88">
        <v>0</v>
      </c>
      <c r="S115" s="88">
        <v>0</v>
      </c>
      <c r="T115" s="88">
        <f t="shared" si="71"/>
        <v>45.59</v>
      </c>
      <c r="U115" s="88"/>
      <c r="V115" s="88">
        <f t="shared" si="73"/>
        <v>0</v>
      </c>
      <c r="W115" s="88">
        <f t="shared" si="73"/>
        <v>0</v>
      </c>
      <c r="X115" s="88">
        <f t="shared" si="73"/>
        <v>0</v>
      </c>
      <c r="Y115" s="88">
        <f t="shared" si="72"/>
        <v>0</v>
      </c>
      <c r="Z115" s="88">
        <f t="shared" si="72"/>
        <v>0</v>
      </c>
      <c r="AA115" s="88">
        <f t="shared" si="72"/>
        <v>0</v>
      </c>
      <c r="AB115" s="88">
        <f t="shared" si="72"/>
        <v>0</v>
      </c>
      <c r="AC115" s="88">
        <f t="shared" si="72"/>
        <v>33</v>
      </c>
      <c r="AD115" s="88">
        <f t="shared" si="59"/>
        <v>30.410714285714285</v>
      </c>
      <c r="AE115" s="88">
        <f t="shared" si="59"/>
        <v>18</v>
      </c>
      <c r="AF115" s="88">
        <f t="shared" si="59"/>
        <v>0</v>
      </c>
      <c r="AG115" s="88">
        <f t="shared" si="59"/>
        <v>0</v>
      </c>
      <c r="AH115" s="70">
        <f t="shared" si="70"/>
        <v>81.410714285714278</v>
      </c>
      <c r="AI115" s="88">
        <f t="shared" si="54"/>
        <v>6.7842261904761898</v>
      </c>
      <c r="AR115" s="69" t="e">
        <f>+VLOOKUP(C115,#REF!,3,FALSE)</f>
        <v>#REF!</v>
      </c>
      <c r="AS115" s="88">
        <f t="shared" si="60"/>
        <v>0</v>
      </c>
      <c r="AT115" s="90">
        <f t="shared" si="61"/>
        <v>-45.59</v>
      </c>
      <c r="AW115" s="89">
        <f t="shared" ca="1" si="62"/>
        <v>0.57378931542242395</v>
      </c>
      <c r="AX115" s="90">
        <f t="shared" ca="1" si="63"/>
        <v>46.712598018050542</v>
      </c>
      <c r="AY115" s="86">
        <f t="shared" ca="1" si="64"/>
        <v>1.1225980180505388</v>
      </c>
      <c r="AZ115" s="402">
        <f t="shared" ca="1" si="65"/>
        <v>0.17900930069139728</v>
      </c>
      <c r="BA115" s="402">
        <f t="shared" ca="1" si="66"/>
        <v>46.89160731874194</v>
      </c>
      <c r="BC115" s="129"/>
      <c r="BD115" s="129"/>
    </row>
    <row r="116" spans="1:56" ht="12" customHeight="1">
      <c r="A116" s="38" t="str">
        <f t="shared" si="57"/>
        <v>Joes TC Refuse UTCRENT4TEMP-COMM</v>
      </c>
      <c r="B116" s="38">
        <f t="shared" si="55"/>
        <v>1</v>
      </c>
      <c r="C116" s="87" t="s">
        <v>490</v>
      </c>
      <c r="D116" s="87" t="s">
        <v>491</v>
      </c>
      <c r="E116" s="174">
        <v>0.61</v>
      </c>
      <c r="F116" s="174">
        <v>0.61</v>
      </c>
      <c r="G116" s="174" t="s">
        <v>703</v>
      </c>
      <c r="H116" s="88">
        <v>0</v>
      </c>
      <c r="I116" s="88">
        <v>0</v>
      </c>
      <c r="J116" s="88">
        <v>0</v>
      </c>
      <c r="K116" s="88">
        <v>0</v>
      </c>
      <c r="L116" s="88">
        <v>3.66</v>
      </c>
      <c r="M116" s="88">
        <v>16.47</v>
      </c>
      <c r="N116" s="88">
        <v>14.64</v>
      </c>
      <c r="O116" s="88">
        <v>15.25</v>
      </c>
      <c r="P116" s="88">
        <v>7.32</v>
      </c>
      <c r="Q116" s="88">
        <v>18.55</v>
      </c>
      <c r="R116" s="88">
        <v>18.55</v>
      </c>
      <c r="S116" s="88">
        <v>18.55</v>
      </c>
      <c r="T116" s="88">
        <f t="shared" si="71"/>
        <v>112.99</v>
      </c>
      <c r="U116" s="88"/>
      <c r="V116" s="88">
        <f t="shared" si="73"/>
        <v>0</v>
      </c>
      <c r="W116" s="88">
        <f t="shared" si="73"/>
        <v>0</v>
      </c>
      <c r="X116" s="88">
        <f t="shared" si="73"/>
        <v>0</v>
      </c>
      <c r="Y116" s="88">
        <f t="shared" si="72"/>
        <v>0</v>
      </c>
      <c r="Z116" s="88">
        <f t="shared" si="72"/>
        <v>6</v>
      </c>
      <c r="AA116" s="88">
        <f t="shared" si="72"/>
        <v>27</v>
      </c>
      <c r="AB116" s="88">
        <f t="shared" si="72"/>
        <v>24</v>
      </c>
      <c r="AC116" s="88">
        <f t="shared" si="72"/>
        <v>25</v>
      </c>
      <c r="AD116" s="88">
        <f t="shared" si="59"/>
        <v>12</v>
      </c>
      <c r="AE116" s="88">
        <f t="shared" si="59"/>
        <v>30.409836065573771</v>
      </c>
      <c r="AF116" s="88">
        <f t="shared" si="59"/>
        <v>30.409836065573771</v>
      </c>
      <c r="AG116" s="88">
        <f t="shared" si="59"/>
        <v>30.409836065573771</v>
      </c>
      <c r="AH116" s="70">
        <f t="shared" si="70"/>
        <v>185.22950819672133</v>
      </c>
      <c r="AI116" s="88">
        <f t="shared" si="54"/>
        <v>15.435792349726777</v>
      </c>
      <c r="AR116" s="69" t="e">
        <f>+VLOOKUP(C116,#REF!,3,FALSE)</f>
        <v>#REF!</v>
      </c>
      <c r="AS116" s="88">
        <f t="shared" si="60"/>
        <v>0</v>
      </c>
      <c r="AT116" s="90">
        <f t="shared" si="61"/>
        <v>-112.99</v>
      </c>
      <c r="AW116" s="89">
        <f t="shared" ca="1" si="62"/>
        <v>0.62502050429942602</v>
      </c>
      <c r="AX116" s="90">
        <f t="shared" ca="1" si="63"/>
        <v>115.77224062424943</v>
      </c>
      <c r="AY116" s="86">
        <f t="shared" ca="1" si="64"/>
        <v>2.7822406242494395</v>
      </c>
      <c r="AZ116" s="402">
        <f t="shared" ca="1" si="65"/>
        <v>0.44365564564862869</v>
      </c>
      <c r="BA116" s="402">
        <f t="shared" ca="1" si="66"/>
        <v>116.21589626989807</v>
      </c>
      <c r="BC116" s="129"/>
      <c r="BD116" s="129"/>
    </row>
    <row r="117" spans="1:56" ht="12" customHeight="1">
      <c r="A117" s="38" t="str">
        <f t="shared" si="57"/>
        <v>Joes TC Refuse UTCRENT6TEMP-COMM</v>
      </c>
      <c r="B117" s="38">
        <f t="shared" si="55"/>
        <v>1</v>
      </c>
      <c r="C117" s="87" t="s">
        <v>494</v>
      </c>
      <c r="D117" s="87" t="s">
        <v>495</v>
      </c>
      <c r="E117" s="174">
        <v>0.67</v>
      </c>
      <c r="F117" s="174">
        <v>0.67</v>
      </c>
      <c r="G117" s="174" t="s">
        <v>703</v>
      </c>
      <c r="H117" s="88">
        <v>45.16</v>
      </c>
      <c r="I117" s="88">
        <v>25.73</v>
      </c>
      <c r="J117" s="88">
        <v>24.79</v>
      </c>
      <c r="K117" s="88">
        <v>20.37</v>
      </c>
      <c r="L117" s="88">
        <v>20.37</v>
      </c>
      <c r="M117" s="88">
        <v>33.770000000000003</v>
      </c>
      <c r="N117" s="88">
        <v>82.68</v>
      </c>
      <c r="O117" s="88">
        <v>60.84</v>
      </c>
      <c r="P117" s="88">
        <v>54.14</v>
      </c>
      <c r="Q117" s="88">
        <v>35.11</v>
      </c>
      <c r="R117" s="88">
        <v>10.72</v>
      </c>
      <c r="S117" s="88">
        <v>8.0399999999999991</v>
      </c>
      <c r="T117" s="88">
        <f t="shared" si="71"/>
        <v>421.72000000000008</v>
      </c>
      <c r="U117" s="88"/>
      <c r="V117" s="88">
        <f t="shared" si="73"/>
        <v>67.402985074626855</v>
      </c>
      <c r="W117" s="88">
        <f t="shared" si="73"/>
        <v>38.402985074626862</v>
      </c>
      <c r="X117" s="88">
        <f t="shared" si="73"/>
        <v>37</v>
      </c>
      <c r="Y117" s="88">
        <f t="shared" si="72"/>
        <v>30.402985074626866</v>
      </c>
      <c r="Z117" s="88">
        <f t="shared" si="72"/>
        <v>30.402985074626866</v>
      </c>
      <c r="AA117" s="88">
        <f t="shared" si="72"/>
        <v>50.402985074626869</v>
      </c>
      <c r="AB117" s="88">
        <f t="shared" si="72"/>
        <v>123.40298507462687</v>
      </c>
      <c r="AC117" s="88">
        <f t="shared" si="72"/>
        <v>90.805970149253724</v>
      </c>
      <c r="AD117" s="88">
        <f t="shared" si="59"/>
        <v>80.805970149253724</v>
      </c>
      <c r="AE117" s="88">
        <f t="shared" si="59"/>
        <v>52.402985074626862</v>
      </c>
      <c r="AF117" s="88">
        <f t="shared" si="59"/>
        <v>16</v>
      </c>
      <c r="AG117" s="88">
        <f t="shared" si="59"/>
        <v>11.999999999999998</v>
      </c>
      <c r="AH117" s="70">
        <f t="shared" si="70"/>
        <v>629.43283582089543</v>
      </c>
      <c r="AI117" s="88">
        <f t="shared" si="54"/>
        <v>52.45273631840795</v>
      </c>
      <c r="AR117" s="69" t="e">
        <f>+VLOOKUP(C117,#REF!,3,FALSE)</f>
        <v>#REF!</v>
      </c>
      <c r="AS117" s="88">
        <f t="shared" si="60"/>
        <v>0</v>
      </c>
      <c r="AT117" s="90">
        <f t="shared" si="61"/>
        <v>-421.72000000000008</v>
      </c>
      <c r="AW117" s="89">
        <f t="shared" ca="1" si="62"/>
        <v>0.68649793095182865</v>
      </c>
      <c r="AX117" s="90">
        <f t="shared" ca="1" si="63"/>
        <v>432.10433946418675</v>
      </c>
      <c r="AY117" s="86">
        <f t="shared" ca="1" si="64"/>
        <v>10.384339464186667</v>
      </c>
      <c r="AZ117" s="402">
        <f t="shared" ca="1" si="65"/>
        <v>1.6558851126908545</v>
      </c>
      <c r="BA117" s="402">
        <f t="shared" ca="1" si="66"/>
        <v>433.76022457687759</v>
      </c>
      <c r="BC117" s="129"/>
      <c r="BD117" s="129"/>
    </row>
    <row r="118" spans="1:56" s="98" customFormat="1" ht="12" customHeight="1">
      <c r="A118" s="98" t="str">
        <f t="shared" si="57"/>
        <v>Joes TC Refuse UTCRL001.0Y1W001</v>
      </c>
      <c r="B118" s="98">
        <f t="shared" si="55"/>
        <v>1</v>
      </c>
      <c r="C118" s="99" t="s">
        <v>496</v>
      </c>
      <c r="D118" s="99" t="s">
        <v>395</v>
      </c>
      <c r="E118" s="176">
        <v>103.69</v>
      </c>
      <c r="F118" s="176">
        <v>103.25</v>
      </c>
      <c r="G118" s="176" t="s">
        <v>703</v>
      </c>
      <c r="H118" s="101">
        <v>5521.49</v>
      </c>
      <c r="I118" s="101">
        <v>5184.5</v>
      </c>
      <c r="J118" s="101">
        <v>5288.19</v>
      </c>
      <c r="K118" s="101">
        <v>5184.5</v>
      </c>
      <c r="L118" s="101">
        <v>5262.25</v>
      </c>
      <c r="M118" s="101">
        <v>5028.96</v>
      </c>
      <c r="N118" s="101">
        <v>5080.8100000000004</v>
      </c>
      <c r="O118" s="101">
        <v>5225.96</v>
      </c>
      <c r="P118" s="101">
        <v>5343.19</v>
      </c>
      <c r="Q118" s="101">
        <v>5369</v>
      </c>
      <c r="R118" s="101">
        <v>5069.58</v>
      </c>
      <c r="S118" s="101">
        <v>5265.75</v>
      </c>
      <c r="T118" s="101">
        <f t="shared" si="71"/>
        <v>62824.18</v>
      </c>
      <c r="U118" s="101"/>
      <c r="V118" s="101">
        <f t="shared" si="73"/>
        <v>53.249975889671134</v>
      </c>
      <c r="W118" s="101">
        <f t="shared" si="73"/>
        <v>50</v>
      </c>
      <c r="X118" s="101">
        <f t="shared" si="73"/>
        <v>51</v>
      </c>
      <c r="Y118" s="101">
        <f t="shared" si="72"/>
        <v>50</v>
      </c>
      <c r="Z118" s="101">
        <f t="shared" si="72"/>
        <v>50.749831227697946</v>
      </c>
      <c r="AA118" s="101">
        <f t="shared" si="72"/>
        <v>48.499951779342268</v>
      </c>
      <c r="AB118" s="101">
        <f t="shared" si="72"/>
        <v>49.000000000000007</v>
      </c>
      <c r="AC118" s="101">
        <f t="shared" si="72"/>
        <v>50.399845693895266</v>
      </c>
      <c r="AD118" s="101">
        <f t="shared" si="59"/>
        <v>51.750024213075058</v>
      </c>
      <c r="AE118" s="101">
        <f t="shared" si="59"/>
        <v>52</v>
      </c>
      <c r="AF118" s="101">
        <f t="shared" si="59"/>
        <v>49.100048426150117</v>
      </c>
      <c r="AG118" s="101">
        <f t="shared" si="59"/>
        <v>51</v>
      </c>
      <c r="AH118" s="175">
        <f t="shared" si="70"/>
        <v>606.74967722983172</v>
      </c>
      <c r="AI118" s="101">
        <f t="shared" si="54"/>
        <v>50.562473102485974</v>
      </c>
      <c r="AM118" s="98">
        <v>1</v>
      </c>
      <c r="AN118" s="98">
        <v>1</v>
      </c>
      <c r="AO118" s="128">
        <f t="shared" ref="AO118:AO130" si="74">+AN118*AI118</f>
        <v>50.562473102485974</v>
      </c>
      <c r="AR118" s="100" t="e">
        <f>+VLOOKUP(C118,#REF!,3,FALSE)</f>
        <v>#REF!</v>
      </c>
      <c r="AS118" s="101">
        <f t="shared" si="60"/>
        <v>0</v>
      </c>
      <c r="AT118" s="128">
        <f t="shared" si="61"/>
        <v>-62824.18</v>
      </c>
      <c r="AW118" s="89">
        <f t="shared" ca="1" si="62"/>
        <v>105.79240503100941</v>
      </c>
      <c r="AX118" s="90">
        <f t="shared" ca="1" si="63"/>
        <v>64189.50760593258</v>
      </c>
      <c r="AY118" s="86">
        <f t="shared" ca="1" si="64"/>
        <v>1365.3276059325799</v>
      </c>
      <c r="AZ118" s="402">
        <f t="shared" ca="1" si="65"/>
        <v>245.98329692180653</v>
      </c>
      <c r="BA118" s="402">
        <f t="shared" ca="1" si="66"/>
        <v>64435.490902854384</v>
      </c>
      <c r="BC118" s="129"/>
      <c r="BD118" s="129"/>
    </row>
    <row r="119" spans="1:56" s="98" customFormat="1" ht="12" customHeight="1">
      <c r="A119" s="98" t="str">
        <f t="shared" si="57"/>
        <v>Joes TC Refuse UTCRL001.0YEO001</v>
      </c>
      <c r="B119" s="98">
        <f t="shared" si="55"/>
        <v>1</v>
      </c>
      <c r="C119" s="99" t="s">
        <v>498</v>
      </c>
      <c r="D119" s="99" t="s">
        <v>401</v>
      </c>
      <c r="E119" s="176">
        <v>57.36</v>
      </c>
      <c r="F119" s="176">
        <v>57.11</v>
      </c>
      <c r="G119" s="176" t="s">
        <v>703</v>
      </c>
      <c r="H119" s="101">
        <v>3804.87</v>
      </c>
      <c r="I119" s="101">
        <v>3957.84</v>
      </c>
      <c r="J119" s="101">
        <v>4015.2</v>
      </c>
      <c r="K119" s="101">
        <v>4072.56</v>
      </c>
      <c r="L119" s="101">
        <v>4120.3500000000004</v>
      </c>
      <c r="M119" s="101">
        <v>4043.88</v>
      </c>
      <c r="N119" s="101">
        <v>4158.6000000000004</v>
      </c>
      <c r="O119" s="101">
        <v>3976.95</v>
      </c>
      <c r="P119" s="101">
        <v>3954.88</v>
      </c>
      <c r="Q119" s="101">
        <v>4102.41</v>
      </c>
      <c r="R119" s="101">
        <v>4188.07</v>
      </c>
      <c r="S119" s="101">
        <v>4083.37</v>
      </c>
      <c r="T119" s="101">
        <f t="shared" si="71"/>
        <v>48478.98000000001</v>
      </c>
      <c r="U119" s="101"/>
      <c r="V119" s="101">
        <f t="shared" si="73"/>
        <v>66.333158995815893</v>
      </c>
      <c r="W119" s="101">
        <f t="shared" si="73"/>
        <v>69</v>
      </c>
      <c r="X119" s="101">
        <f t="shared" si="73"/>
        <v>70</v>
      </c>
      <c r="Y119" s="101">
        <f t="shared" si="72"/>
        <v>71</v>
      </c>
      <c r="Z119" s="101">
        <f t="shared" si="72"/>
        <v>71.833158995815907</v>
      </c>
      <c r="AA119" s="101">
        <f t="shared" si="72"/>
        <v>70.5</v>
      </c>
      <c r="AB119" s="101">
        <f t="shared" si="72"/>
        <v>72.5</v>
      </c>
      <c r="AC119" s="101">
        <f t="shared" si="72"/>
        <v>69.333158995815893</v>
      </c>
      <c r="AD119" s="101">
        <f t="shared" si="59"/>
        <v>69.250218875853619</v>
      </c>
      <c r="AE119" s="101">
        <f t="shared" si="59"/>
        <v>71.83347925056907</v>
      </c>
      <c r="AF119" s="101">
        <f t="shared" si="59"/>
        <v>73.333391700227622</v>
      </c>
      <c r="AG119" s="101">
        <f t="shared" si="59"/>
        <v>71.500087550341448</v>
      </c>
      <c r="AH119" s="175">
        <f t="shared" si="70"/>
        <v>846.41665436443941</v>
      </c>
      <c r="AI119" s="101">
        <f t="shared" si="54"/>
        <v>70.534721197036617</v>
      </c>
      <c r="AM119" s="98">
        <v>1</v>
      </c>
      <c r="AN119" s="98">
        <v>1</v>
      </c>
      <c r="AO119" s="128">
        <f t="shared" si="74"/>
        <v>70.534721197036617</v>
      </c>
      <c r="AR119" s="100" t="e">
        <f>+VLOOKUP(C119,#REF!,3,FALSE)</f>
        <v>#REF!</v>
      </c>
      <c r="AS119" s="101">
        <f t="shared" si="60"/>
        <v>0</v>
      </c>
      <c r="AT119" s="128">
        <f t="shared" si="61"/>
        <v>-48478.98000000001</v>
      </c>
      <c r="AW119" s="89">
        <f t="shared" ca="1" si="62"/>
        <v>58.516263935311834</v>
      </c>
      <c r="AX119" s="90">
        <f t="shared" ca="1" si="63"/>
        <v>49529.140346033142</v>
      </c>
      <c r="AY119" s="86">
        <f t="shared" ca="1" si="64"/>
        <v>1050.1603460331316</v>
      </c>
      <c r="AZ119" s="402">
        <f t="shared" ca="1" si="65"/>
        <v>189.80269035268435</v>
      </c>
      <c r="BA119" s="402">
        <f t="shared" ca="1" si="66"/>
        <v>49718.943036385826</v>
      </c>
      <c r="BC119" s="129"/>
      <c r="BD119" s="129"/>
    </row>
    <row r="120" spans="1:56" s="98" customFormat="1" ht="12" customHeight="1">
      <c r="A120" s="98" t="str">
        <f t="shared" si="57"/>
        <v>Joes TC Refuse UTCRL001.5Y1W001</v>
      </c>
      <c r="B120" s="98">
        <f t="shared" si="55"/>
        <v>1</v>
      </c>
      <c r="C120" s="99" t="s">
        <v>499</v>
      </c>
      <c r="D120" s="99" t="s">
        <v>403</v>
      </c>
      <c r="E120" s="176">
        <v>145.11000000000001</v>
      </c>
      <c r="F120" s="176">
        <v>144.47999999999999</v>
      </c>
      <c r="G120" s="176" t="s">
        <v>703</v>
      </c>
      <c r="H120" s="101">
        <v>2582.96</v>
      </c>
      <c r="I120" s="101">
        <v>2611.98</v>
      </c>
      <c r="J120" s="101">
        <v>2582.9499999999998</v>
      </c>
      <c r="K120" s="101">
        <v>2466.87</v>
      </c>
      <c r="L120" s="101">
        <v>2466.87</v>
      </c>
      <c r="M120" s="101">
        <v>2321.7600000000002</v>
      </c>
      <c r="N120" s="101">
        <v>2176.65</v>
      </c>
      <c r="O120" s="101">
        <v>2176.65</v>
      </c>
      <c r="P120" s="101">
        <v>2312.31</v>
      </c>
      <c r="Q120" s="101">
        <v>2420.67</v>
      </c>
      <c r="R120" s="101">
        <v>2456.79</v>
      </c>
      <c r="S120" s="101">
        <v>2456.79</v>
      </c>
      <c r="T120" s="101">
        <f t="shared" si="71"/>
        <v>29033.250000000007</v>
      </c>
      <c r="U120" s="101"/>
      <c r="V120" s="101">
        <f t="shared" si="73"/>
        <v>17.800013782647646</v>
      </c>
      <c r="W120" s="101">
        <f t="shared" si="73"/>
        <v>18</v>
      </c>
      <c r="X120" s="101">
        <f t="shared" si="73"/>
        <v>17.799944869409412</v>
      </c>
      <c r="Y120" s="101">
        <f t="shared" si="72"/>
        <v>16.999999999999996</v>
      </c>
      <c r="Z120" s="101">
        <f t="shared" si="72"/>
        <v>16.999999999999996</v>
      </c>
      <c r="AA120" s="101">
        <f t="shared" si="72"/>
        <v>16</v>
      </c>
      <c r="AB120" s="101">
        <f t="shared" si="72"/>
        <v>15</v>
      </c>
      <c r="AC120" s="101">
        <f t="shared" si="72"/>
        <v>15</v>
      </c>
      <c r="AD120" s="101">
        <f t="shared" si="59"/>
        <v>16.004360465116278</v>
      </c>
      <c r="AE120" s="101">
        <f t="shared" si="59"/>
        <v>16.754360465116282</v>
      </c>
      <c r="AF120" s="101">
        <f t="shared" si="59"/>
        <v>17.004360465116282</v>
      </c>
      <c r="AG120" s="101">
        <f t="shared" si="59"/>
        <v>17.004360465116282</v>
      </c>
      <c r="AH120" s="175">
        <f t="shared" si="70"/>
        <v>200.36740051252224</v>
      </c>
      <c r="AI120" s="101">
        <f t="shared" si="54"/>
        <v>16.697283376043519</v>
      </c>
      <c r="AM120" s="98">
        <v>1.5</v>
      </c>
      <c r="AN120" s="98">
        <v>1</v>
      </c>
      <c r="AO120" s="128">
        <f t="shared" si="74"/>
        <v>16.697283376043519</v>
      </c>
      <c r="AR120" s="100" t="e">
        <f>+VLOOKUP(C120,#REF!,3,FALSE)</f>
        <v>#REF!</v>
      </c>
      <c r="AS120" s="101">
        <f t="shared" si="60"/>
        <v>0</v>
      </c>
      <c r="AT120" s="128">
        <f t="shared" si="61"/>
        <v>-29033.250000000007</v>
      </c>
      <c r="AW120" s="89">
        <f t="shared" ca="1" si="62"/>
        <v>148.03764337898534</v>
      </c>
      <c r="AX120" s="90">
        <f t="shared" ca="1" si="63"/>
        <v>29661.917781847089</v>
      </c>
      <c r="AY120" s="86">
        <f t="shared" ca="1" si="64"/>
        <v>628.66778184708164</v>
      </c>
      <c r="AZ120" s="402">
        <f t="shared" ca="1" si="65"/>
        <v>113.66867578725525</v>
      </c>
      <c r="BA120" s="402">
        <f t="shared" ca="1" si="66"/>
        <v>29775.586457634345</v>
      </c>
      <c r="BC120" s="129"/>
      <c r="BD120" s="129"/>
    </row>
    <row r="121" spans="1:56" s="98" customFormat="1" ht="12" customHeight="1">
      <c r="A121" s="98" t="str">
        <f t="shared" si="57"/>
        <v>Joes TC Refuse UTCRL001.5Y2W001</v>
      </c>
      <c r="B121" s="98">
        <f t="shared" si="55"/>
        <v>1</v>
      </c>
      <c r="C121" s="99" t="s">
        <v>500</v>
      </c>
      <c r="D121" s="99" t="s">
        <v>501</v>
      </c>
      <c r="E121" s="176">
        <v>272.93</v>
      </c>
      <c r="F121" s="176">
        <v>271.74</v>
      </c>
      <c r="G121" s="176" t="s">
        <v>703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>
        <v>0</v>
      </c>
      <c r="N121" s="101">
        <v>0</v>
      </c>
      <c r="O121" s="101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f t="shared" si="71"/>
        <v>0</v>
      </c>
      <c r="U121" s="101"/>
      <c r="V121" s="101">
        <f t="shared" si="73"/>
        <v>0</v>
      </c>
      <c r="W121" s="101">
        <f t="shared" si="73"/>
        <v>0</v>
      </c>
      <c r="X121" s="101">
        <f t="shared" si="73"/>
        <v>0</v>
      </c>
      <c r="Y121" s="101">
        <f t="shared" si="72"/>
        <v>0</v>
      </c>
      <c r="Z121" s="101">
        <f t="shared" si="72"/>
        <v>0</v>
      </c>
      <c r="AA121" s="101">
        <f t="shared" si="72"/>
        <v>0</v>
      </c>
      <c r="AB121" s="101">
        <f t="shared" si="72"/>
        <v>0</v>
      </c>
      <c r="AC121" s="101">
        <f t="shared" si="72"/>
        <v>0</v>
      </c>
      <c r="AD121" s="101">
        <f t="shared" si="59"/>
        <v>0</v>
      </c>
      <c r="AE121" s="101">
        <f t="shared" si="59"/>
        <v>0</v>
      </c>
      <c r="AF121" s="101">
        <f t="shared" si="59"/>
        <v>0</v>
      </c>
      <c r="AG121" s="101">
        <f t="shared" si="59"/>
        <v>0</v>
      </c>
      <c r="AH121" s="175">
        <f t="shared" ref="AH121" si="75">SUM(V121:AG121)</f>
        <v>0</v>
      </c>
      <c r="AI121" s="101">
        <f t="shared" si="54"/>
        <v>0</v>
      </c>
      <c r="AM121" s="98">
        <v>1.5</v>
      </c>
      <c r="AN121" s="98">
        <v>1</v>
      </c>
      <c r="AO121" s="128">
        <f t="shared" si="74"/>
        <v>0</v>
      </c>
      <c r="AR121" s="100" t="e">
        <f>+VLOOKUP(C121,#REF!,3,FALSE)</f>
        <v>#REF!</v>
      </c>
      <c r="AS121" s="101">
        <f t="shared" si="60"/>
        <v>0</v>
      </c>
      <c r="AT121" s="128">
        <f t="shared" si="61"/>
        <v>0</v>
      </c>
      <c r="AW121" s="89">
        <f t="shared" ca="1" si="62"/>
        <v>278.43126530873121</v>
      </c>
      <c r="AX121" s="90">
        <f t="shared" ca="1" si="63"/>
        <v>0</v>
      </c>
      <c r="AY121" s="86">
        <f t="shared" ca="1" si="64"/>
        <v>0</v>
      </c>
      <c r="AZ121" s="402">
        <f t="shared" ca="1" si="65"/>
        <v>0</v>
      </c>
      <c r="BA121" s="402">
        <f t="shared" ca="1" si="66"/>
        <v>0</v>
      </c>
      <c r="BC121" s="129"/>
      <c r="BD121" s="129"/>
    </row>
    <row r="122" spans="1:56" s="98" customFormat="1" ht="12" customHeight="1">
      <c r="A122" s="98" t="str">
        <f t="shared" si="57"/>
        <v>Joes TC Refuse UTCRL001.5YEO001</v>
      </c>
      <c r="B122" s="98">
        <f t="shared" si="55"/>
        <v>1</v>
      </c>
      <c r="C122" s="99" t="s">
        <v>504</v>
      </c>
      <c r="D122" s="99" t="s">
        <v>407</v>
      </c>
      <c r="E122" s="176">
        <v>81.349999999999994</v>
      </c>
      <c r="F122" s="176">
        <v>81</v>
      </c>
      <c r="G122" s="176" t="s">
        <v>703</v>
      </c>
      <c r="H122" s="101">
        <v>1260.92</v>
      </c>
      <c r="I122" s="101">
        <v>1220.25</v>
      </c>
      <c r="J122" s="101">
        <v>1220.25</v>
      </c>
      <c r="K122" s="101">
        <v>1220.25</v>
      </c>
      <c r="L122" s="101">
        <v>1247.3599999999999</v>
      </c>
      <c r="M122" s="101">
        <v>1301.5999999999999</v>
      </c>
      <c r="N122" s="101">
        <v>1342.27</v>
      </c>
      <c r="O122" s="101">
        <v>1450.73</v>
      </c>
      <c r="P122" s="101">
        <v>1498.5</v>
      </c>
      <c r="Q122" s="101">
        <v>1512</v>
      </c>
      <c r="R122" s="101">
        <v>1539</v>
      </c>
      <c r="S122" s="101">
        <v>1660.5</v>
      </c>
      <c r="T122" s="101">
        <f t="shared" si="71"/>
        <v>16473.629999999997</v>
      </c>
      <c r="U122" s="101"/>
      <c r="V122" s="101">
        <f t="shared" si="73"/>
        <v>15.499938537185004</v>
      </c>
      <c r="W122" s="101">
        <f t="shared" si="73"/>
        <v>15.000000000000002</v>
      </c>
      <c r="X122" s="101">
        <f t="shared" si="73"/>
        <v>15.000000000000002</v>
      </c>
      <c r="Y122" s="101">
        <f t="shared" si="72"/>
        <v>15.000000000000002</v>
      </c>
      <c r="Z122" s="101">
        <f t="shared" si="72"/>
        <v>15.333251382913337</v>
      </c>
      <c r="AA122" s="101">
        <f t="shared" si="72"/>
        <v>16</v>
      </c>
      <c r="AB122" s="101">
        <f t="shared" si="72"/>
        <v>16.499938537185002</v>
      </c>
      <c r="AC122" s="101">
        <f t="shared" si="72"/>
        <v>17.833189920098341</v>
      </c>
      <c r="AD122" s="101">
        <f t="shared" si="59"/>
        <v>18.5</v>
      </c>
      <c r="AE122" s="101">
        <f t="shared" si="59"/>
        <v>18.666666666666668</v>
      </c>
      <c r="AF122" s="101">
        <f t="shared" si="59"/>
        <v>19</v>
      </c>
      <c r="AG122" s="101">
        <f t="shared" si="59"/>
        <v>20.5</v>
      </c>
      <c r="AH122" s="175">
        <f t="shared" si="70"/>
        <v>202.83298504404834</v>
      </c>
      <c r="AI122" s="101">
        <f t="shared" si="54"/>
        <v>16.902748753670696</v>
      </c>
      <c r="AM122" s="98">
        <v>1.5</v>
      </c>
      <c r="AN122" s="98">
        <v>1</v>
      </c>
      <c r="AO122" s="128">
        <f t="shared" si="74"/>
        <v>16.902748753670696</v>
      </c>
      <c r="AR122" s="100" t="e">
        <f>+VLOOKUP(C122,#REF!,3,FALSE)</f>
        <v>#REF!</v>
      </c>
      <c r="AS122" s="101">
        <f t="shared" si="60"/>
        <v>0</v>
      </c>
      <c r="AT122" s="128">
        <f t="shared" si="61"/>
        <v>-16473.629999999997</v>
      </c>
      <c r="AW122" s="89">
        <f t="shared" ca="1" si="62"/>
        <v>82.994525980743447</v>
      </c>
      <c r="AX122" s="90">
        <f t="shared" ca="1" si="63"/>
        <v>16834.027446990018</v>
      </c>
      <c r="AY122" s="86">
        <f t="shared" ca="1" si="64"/>
        <v>360.3974469900204</v>
      </c>
      <c r="AZ122" s="402">
        <f t="shared" ca="1" si="65"/>
        <v>64.510380688760307</v>
      </c>
      <c r="BA122" s="402">
        <f t="shared" ca="1" si="66"/>
        <v>16898.537827678778</v>
      </c>
      <c r="BC122" s="129"/>
      <c r="BD122" s="129"/>
    </row>
    <row r="123" spans="1:56" s="98" customFormat="1" ht="12" customHeight="1">
      <c r="A123" s="98" t="str">
        <f t="shared" si="57"/>
        <v>Joes TC Refuse UTCRL002.0Y1W001</v>
      </c>
      <c r="B123" s="98">
        <f t="shared" si="55"/>
        <v>1</v>
      </c>
      <c r="C123" s="99" t="s">
        <v>505</v>
      </c>
      <c r="D123" s="99" t="s">
        <v>409</v>
      </c>
      <c r="E123" s="176">
        <v>181.5</v>
      </c>
      <c r="F123" s="176">
        <v>180.71</v>
      </c>
      <c r="G123" s="176" t="s">
        <v>703</v>
      </c>
      <c r="H123" s="101">
        <v>4582.87</v>
      </c>
      <c r="I123" s="101">
        <v>4719</v>
      </c>
      <c r="J123" s="101">
        <v>4755.3</v>
      </c>
      <c r="K123" s="101">
        <v>4855.12</v>
      </c>
      <c r="L123" s="101">
        <v>5127.37</v>
      </c>
      <c r="M123" s="101">
        <v>5336.09</v>
      </c>
      <c r="N123" s="101">
        <v>5218.12</v>
      </c>
      <c r="O123" s="101">
        <v>5454.07</v>
      </c>
      <c r="P123" s="101">
        <v>5285.77</v>
      </c>
      <c r="Q123" s="101">
        <v>5059.88</v>
      </c>
      <c r="R123" s="101">
        <v>5132.17</v>
      </c>
      <c r="S123" s="101">
        <v>5330.95</v>
      </c>
      <c r="T123" s="101">
        <f t="shared" si="71"/>
        <v>60856.709999999985</v>
      </c>
      <c r="U123" s="101"/>
      <c r="V123" s="101">
        <f t="shared" si="73"/>
        <v>25.249972451790633</v>
      </c>
      <c r="W123" s="101">
        <f t="shared" si="73"/>
        <v>26</v>
      </c>
      <c r="X123" s="101">
        <f t="shared" si="73"/>
        <v>26.2</v>
      </c>
      <c r="Y123" s="101">
        <f t="shared" si="72"/>
        <v>26.749972451790633</v>
      </c>
      <c r="Z123" s="101">
        <f t="shared" si="72"/>
        <v>28.249972451790633</v>
      </c>
      <c r="AA123" s="101">
        <f t="shared" si="72"/>
        <v>29.399944903581268</v>
      </c>
      <c r="AB123" s="101">
        <f t="shared" si="72"/>
        <v>28.749972451790633</v>
      </c>
      <c r="AC123" s="101">
        <f t="shared" si="72"/>
        <v>30.049972451790634</v>
      </c>
      <c r="AD123" s="101">
        <f t="shared" si="59"/>
        <v>29.250013834320182</v>
      </c>
      <c r="AE123" s="101">
        <f t="shared" si="59"/>
        <v>28</v>
      </c>
      <c r="AF123" s="101">
        <f t="shared" si="59"/>
        <v>28.400033202368434</v>
      </c>
      <c r="AG123" s="101">
        <f t="shared" si="59"/>
        <v>29.50002766864036</v>
      </c>
      <c r="AH123" s="175">
        <f t="shared" si="70"/>
        <v>335.79988186786341</v>
      </c>
      <c r="AI123" s="101">
        <f t="shared" si="54"/>
        <v>27.983323488988617</v>
      </c>
      <c r="AM123" s="98">
        <v>2</v>
      </c>
      <c r="AN123" s="98">
        <v>1</v>
      </c>
      <c r="AO123" s="128">
        <f t="shared" si="74"/>
        <v>27.983323488988617</v>
      </c>
      <c r="AR123" s="100" t="e">
        <f>+VLOOKUP(C123,#REF!,3,FALSE)</f>
        <v>#REF!</v>
      </c>
      <c r="AS123" s="101">
        <f t="shared" si="60"/>
        <v>0</v>
      </c>
      <c r="AT123" s="128">
        <f t="shared" si="61"/>
        <v>-60856.709999999985</v>
      </c>
      <c r="AW123" s="89">
        <f t="shared" ca="1" si="62"/>
        <v>185.15976283926111</v>
      </c>
      <c r="AX123" s="90">
        <f t="shared" ca="1" si="63"/>
        <v>62176.626488105489</v>
      </c>
      <c r="AY123" s="86">
        <f t="shared" ca="1" si="64"/>
        <v>1319.916488105504</v>
      </c>
      <c r="AZ123" s="402">
        <f t="shared" ca="1" si="65"/>
        <v>238.26965099832546</v>
      </c>
      <c r="BA123" s="402">
        <f t="shared" ca="1" si="66"/>
        <v>62414.896139103817</v>
      </c>
      <c r="BC123" s="129"/>
      <c r="BD123" s="129"/>
    </row>
    <row r="124" spans="1:56" s="98" customFormat="1" ht="12" customHeight="1">
      <c r="A124" s="98" t="str">
        <f t="shared" si="57"/>
        <v>Joes TC Refuse UTCRL002.0Y2W001</v>
      </c>
      <c r="B124" s="98">
        <f t="shared" si="55"/>
        <v>1</v>
      </c>
      <c r="C124" s="99" t="s">
        <v>508</v>
      </c>
      <c r="D124" s="99" t="s">
        <v>411</v>
      </c>
      <c r="E124" s="176">
        <v>341.79</v>
      </c>
      <c r="F124" s="176">
        <v>340.32</v>
      </c>
      <c r="G124" s="176" t="s">
        <v>703</v>
      </c>
      <c r="H124" s="101">
        <v>1611.33</v>
      </c>
      <c r="I124" s="101">
        <v>1611.33</v>
      </c>
      <c r="J124" s="101">
        <v>1611.33</v>
      </c>
      <c r="K124" s="101">
        <v>1611.33</v>
      </c>
      <c r="L124" s="101">
        <v>1611.33</v>
      </c>
      <c r="M124" s="101">
        <v>1611.33</v>
      </c>
      <c r="N124" s="101">
        <v>1611.33</v>
      </c>
      <c r="O124" s="101">
        <v>1611.33</v>
      </c>
      <c r="P124" s="101">
        <v>1608.39</v>
      </c>
      <c r="Q124" s="101">
        <v>1608.39</v>
      </c>
      <c r="R124" s="101">
        <v>1608.39</v>
      </c>
      <c r="S124" s="101">
        <v>1608.39</v>
      </c>
      <c r="T124" s="101">
        <f t="shared" si="71"/>
        <v>19324.199999999997</v>
      </c>
      <c r="U124" s="101"/>
      <c r="V124" s="101">
        <f t="shared" si="73"/>
        <v>4.7143860265075039</v>
      </c>
      <c r="W124" s="101">
        <f t="shared" si="73"/>
        <v>4.7143860265075039</v>
      </c>
      <c r="X124" s="101">
        <f t="shared" si="73"/>
        <v>4.7143860265075039</v>
      </c>
      <c r="Y124" s="101">
        <f t="shared" si="72"/>
        <v>4.7143860265075039</v>
      </c>
      <c r="Z124" s="101">
        <f t="shared" si="72"/>
        <v>4.7143860265075039</v>
      </c>
      <c r="AA124" s="101">
        <f t="shared" si="72"/>
        <v>4.7143860265075039</v>
      </c>
      <c r="AB124" s="101">
        <f t="shared" si="72"/>
        <v>4.7143860265075039</v>
      </c>
      <c r="AC124" s="101">
        <f t="shared" si="72"/>
        <v>4.7143860265075039</v>
      </c>
      <c r="AD124" s="101">
        <f t="shared" si="59"/>
        <v>4.7261107193229908</v>
      </c>
      <c r="AE124" s="101">
        <f t="shared" si="59"/>
        <v>4.7261107193229908</v>
      </c>
      <c r="AF124" s="101">
        <f t="shared" si="59"/>
        <v>4.7261107193229908</v>
      </c>
      <c r="AG124" s="101">
        <f t="shared" si="59"/>
        <v>4.7261107193229908</v>
      </c>
      <c r="AH124" s="175">
        <f t="shared" si="70"/>
        <v>56.619531089351987</v>
      </c>
      <c r="AI124" s="101">
        <f t="shared" si="54"/>
        <v>4.718294257445999</v>
      </c>
      <c r="AM124" s="98">
        <v>2</v>
      </c>
      <c r="AN124" s="98">
        <v>1</v>
      </c>
      <c r="AO124" s="128">
        <f t="shared" si="74"/>
        <v>4.718294257445999</v>
      </c>
      <c r="AR124" s="100" t="e">
        <f>+VLOOKUP(C124,#REF!,3,FALSE)</f>
        <v>#REF!</v>
      </c>
      <c r="AS124" s="101">
        <f t="shared" si="60"/>
        <v>0</v>
      </c>
      <c r="AT124" s="128">
        <f t="shared" si="61"/>
        <v>-19324.199999999997</v>
      </c>
      <c r="AW124" s="89">
        <f t="shared" ca="1" si="62"/>
        <v>348.69996397242733</v>
      </c>
      <c r="AX124" s="90">
        <f t="shared" ca="1" si="63"/>
        <v>19743.228450992767</v>
      </c>
      <c r="AY124" s="86">
        <f t="shared" ca="1" si="64"/>
        <v>419.02845099276965</v>
      </c>
      <c r="AZ124" s="402">
        <f t="shared" ca="1" si="65"/>
        <v>75.658851538016165</v>
      </c>
      <c r="BA124" s="402">
        <f t="shared" ca="1" si="66"/>
        <v>19818.887302530784</v>
      </c>
      <c r="BC124" s="129"/>
      <c r="BD124" s="129"/>
    </row>
    <row r="125" spans="1:56" s="98" customFormat="1" ht="12" customHeight="1">
      <c r="A125" s="98" t="str">
        <f t="shared" si="57"/>
        <v>Joes TC Refuse UTCRL002.0Y2W002</v>
      </c>
      <c r="B125" s="98">
        <f t="shared" si="55"/>
        <v>1</v>
      </c>
      <c r="C125" s="99" t="s">
        <v>704</v>
      </c>
      <c r="D125" s="99" t="s">
        <v>413</v>
      </c>
      <c r="E125" s="176">
        <v>683.58</v>
      </c>
      <c r="F125" s="176">
        <v>680.64</v>
      </c>
      <c r="G125" s="176" t="s">
        <v>703</v>
      </c>
      <c r="H125" s="101">
        <v>683.58</v>
      </c>
      <c r="I125" s="101">
        <v>683.58</v>
      </c>
      <c r="J125" s="101">
        <v>683.58</v>
      </c>
      <c r="K125" s="101">
        <v>683.58</v>
      </c>
      <c r="L125" s="101">
        <v>683.58</v>
      </c>
      <c r="M125" s="101">
        <v>683.58</v>
      </c>
      <c r="N125" s="101">
        <v>683.58</v>
      </c>
      <c r="O125" s="101">
        <v>683.58</v>
      </c>
      <c r="P125" s="101">
        <v>680.64</v>
      </c>
      <c r="Q125" s="101">
        <v>680.64</v>
      </c>
      <c r="R125" s="101">
        <v>680.64</v>
      </c>
      <c r="S125" s="101">
        <v>680.64</v>
      </c>
      <c r="T125" s="101">
        <f t="shared" si="71"/>
        <v>8191.2000000000016</v>
      </c>
      <c r="U125" s="101"/>
      <c r="V125" s="101">
        <f t="shared" si="73"/>
        <v>1</v>
      </c>
      <c r="W125" s="101">
        <f t="shared" si="73"/>
        <v>1</v>
      </c>
      <c r="X125" s="101">
        <f t="shared" si="73"/>
        <v>1</v>
      </c>
      <c r="Y125" s="101">
        <f t="shared" si="72"/>
        <v>1</v>
      </c>
      <c r="Z125" s="101">
        <f t="shared" si="72"/>
        <v>1</v>
      </c>
      <c r="AA125" s="101">
        <f t="shared" si="72"/>
        <v>1</v>
      </c>
      <c r="AB125" s="101">
        <f t="shared" si="72"/>
        <v>1</v>
      </c>
      <c r="AC125" s="101">
        <f t="shared" si="72"/>
        <v>1</v>
      </c>
      <c r="AD125" s="101">
        <f t="shared" si="59"/>
        <v>1</v>
      </c>
      <c r="AE125" s="101">
        <f t="shared" si="59"/>
        <v>1</v>
      </c>
      <c r="AF125" s="101">
        <f t="shared" si="59"/>
        <v>1</v>
      </c>
      <c r="AG125" s="101">
        <f t="shared" si="59"/>
        <v>1</v>
      </c>
      <c r="AH125" s="175">
        <f t="shared" si="70"/>
        <v>12</v>
      </c>
      <c r="AI125" s="101">
        <f t="shared" si="54"/>
        <v>1</v>
      </c>
      <c r="AM125" s="98">
        <v>2</v>
      </c>
      <c r="AN125" s="98">
        <v>2</v>
      </c>
      <c r="AO125" s="128">
        <f t="shared" si="74"/>
        <v>2</v>
      </c>
      <c r="AR125" s="100">
        <f>51.05+(25.99*7.66)*2</f>
        <v>449.21679999999998</v>
      </c>
      <c r="AS125" s="101">
        <f t="shared" si="60"/>
        <v>5390.6016</v>
      </c>
      <c r="AT125" s="128">
        <f t="shared" si="61"/>
        <v>-2800.5984000000017</v>
      </c>
      <c r="AW125" s="89">
        <f t="shared" ca="1" si="62"/>
        <v>697.39992794485465</v>
      </c>
      <c r="AX125" s="90">
        <f t="shared" ca="1" si="63"/>
        <v>8368.7991353382567</v>
      </c>
      <c r="AY125" s="86">
        <f t="shared" ca="1" si="64"/>
        <v>177.59913533825511</v>
      </c>
      <c r="AZ125" s="402">
        <f t="shared" ca="1" si="65"/>
        <v>32.070425204455191</v>
      </c>
      <c r="BA125" s="402">
        <f t="shared" ca="1" si="66"/>
        <v>8400.869560542711</v>
      </c>
      <c r="BC125" s="129"/>
      <c r="BD125" s="129"/>
    </row>
    <row r="126" spans="1:56" s="98" customFormat="1" ht="12" customHeight="1">
      <c r="A126" s="98" t="str">
        <f t="shared" si="57"/>
        <v>Joes TC Refuse UTCRL002.0Y3W001</v>
      </c>
      <c r="B126" s="98">
        <f t="shared" si="55"/>
        <v>1</v>
      </c>
      <c r="C126" s="99" t="s">
        <v>509</v>
      </c>
      <c r="D126" s="99" t="s">
        <v>415</v>
      </c>
      <c r="E126" s="176">
        <v>502.09</v>
      </c>
      <c r="F126" s="176">
        <v>499.92</v>
      </c>
      <c r="G126" s="176" t="s">
        <v>703</v>
      </c>
      <c r="H126" s="101">
        <v>0</v>
      </c>
      <c r="I126" s="101">
        <v>0</v>
      </c>
      <c r="J126" s="101">
        <v>0</v>
      </c>
      <c r="K126" s="101">
        <v>0</v>
      </c>
      <c r="L126" s="101">
        <v>0</v>
      </c>
      <c r="M126" s="101">
        <v>0</v>
      </c>
      <c r="N126" s="101">
        <v>0</v>
      </c>
      <c r="O126" s="101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f t="shared" si="71"/>
        <v>0</v>
      </c>
      <c r="U126" s="101"/>
      <c r="V126" s="101">
        <f t="shared" si="73"/>
        <v>0</v>
      </c>
      <c r="W126" s="101">
        <f t="shared" si="73"/>
        <v>0</v>
      </c>
      <c r="X126" s="101">
        <f t="shared" si="73"/>
        <v>0</v>
      </c>
      <c r="Y126" s="101">
        <f t="shared" si="72"/>
        <v>0</v>
      </c>
      <c r="Z126" s="101">
        <f t="shared" si="72"/>
        <v>0</v>
      </c>
      <c r="AA126" s="101">
        <f t="shared" si="72"/>
        <v>0</v>
      </c>
      <c r="AB126" s="101">
        <f t="shared" si="72"/>
        <v>0</v>
      </c>
      <c r="AC126" s="101">
        <f t="shared" si="72"/>
        <v>0</v>
      </c>
      <c r="AD126" s="101">
        <f t="shared" si="59"/>
        <v>0</v>
      </c>
      <c r="AE126" s="101">
        <f t="shared" si="59"/>
        <v>0</v>
      </c>
      <c r="AF126" s="101">
        <f t="shared" si="59"/>
        <v>0</v>
      </c>
      <c r="AG126" s="101">
        <f t="shared" si="59"/>
        <v>0</v>
      </c>
      <c r="AH126" s="175">
        <f t="shared" si="70"/>
        <v>0</v>
      </c>
      <c r="AI126" s="101">
        <f t="shared" si="54"/>
        <v>0</v>
      </c>
      <c r="AM126" s="98">
        <v>2</v>
      </c>
      <c r="AN126" s="98">
        <v>1</v>
      </c>
      <c r="AO126" s="128">
        <f t="shared" si="74"/>
        <v>0</v>
      </c>
      <c r="AR126" s="100" t="e">
        <f>+VLOOKUP(C126,#REF!,3,FALSE)</f>
        <v>#REF!</v>
      </c>
      <c r="AS126" s="101">
        <f t="shared" si="60"/>
        <v>0</v>
      </c>
      <c r="AT126" s="128">
        <f t="shared" si="61"/>
        <v>0</v>
      </c>
      <c r="AW126" s="89">
        <f t="shared" ca="1" si="62"/>
        <v>512.22991886781813</v>
      </c>
      <c r="AX126" s="90">
        <f t="shared" ca="1" si="63"/>
        <v>0</v>
      </c>
      <c r="AY126" s="86">
        <f t="shared" ca="1" si="64"/>
        <v>0</v>
      </c>
      <c r="AZ126" s="402">
        <f t="shared" ca="1" si="65"/>
        <v>0</v>
      </c>
      <c r="BA126" s="402">
        <f t="shared" ca="1" si="66"/>
        <v>0</v>
      </c>
      <c r="BC126" s="129"/>
      <c r="BD126" s="129"/>
    </row>
    <row r="127" spans="1:56" s="98" customFormat="1" ht="12" customHeight="1">
      <c r="A127" s="98" t="str">
        <f t="shared" si="57"/>
        <v>Joes TC Refuse UTCRL002.0YEO001</v>
      </c>
      <c r="B127" s="98">
        <f t="shared" si="55"/>
        <v>1</v>
      </c>
      <c r="C127" s="99" t="s">
        <v>510</v>
      </c>
      <c r="D127" s="99" t="s">
        <v>417</v>
      </c>
      <c r="E127" s="176">
        <v>101.53</v>
      </c>
      <c r="F127" s="176">
        <v>101.1</v>
      </c>
      <c r="G127" s="176" t="s">
        <v>703</v>
      </c>
      <c r="H127" s="101">
        <v>4264.26</v>
      </c>
      <c r="I127" s="101">
        <v>4213.49</v>
      </c>
      <c r="J127" s="101">
        <v>4213.49</v>
      </c>
      <c r="K127" s="101">
        <v>4111.96</v>
      </c>
      <c r="L127" s="101">
        <v>4061.2</v>
      </c>
      <c r="M127" s="101">
        <v>4111.96</v>
      </c>
      <c r="N127" s="101">
        <v>4061.19</v>
      </c>
      <c r="O127" s="101">
        <v>4027.35</v>
      </c>
      <c r="P127" s="101">
        <v>3942.9</v>
      </c>
      <c r="Q127" s="101">
        <v>3892.35</v>
      </c>
      <c r="R127" s="101">
        <v>3841.8</v>
      </c>
      <c r="S127" s="101">
        <v>3740.7</v>
      </c>
      <c r="T127" s="101">
        <f t="shared" si="71"/>
        <v>48482.65</v>
      </c>
      <c r="U127" s="101"/>
      <c r="V127" s="101">
        <f t="shared" si="73"/>
        <v>42</v>
      </c>
      <c r="W127" s="101">
        <f t="shared" si="73"/>
        <v>41.499950753471879</v>
      </c>
      <c r="X127" s="101">
        <f t="shared" si="73"/>
        <v>41.499950753471879</v>
      </c>
      <c r="Y127" s="101">
        <f t="shared" si="72"/>
        <v>40.499950753471879</v>
      </c>
      <c r="Z127" s="101">
        <f t="shared" si="72"/>
        <v>40</v>
      </c>
      <c r="AA127" s="101">
        <f t="shared" si="72"/>
        <v>40.499950753471879</v>
      </c>
      <c r="AB127" s="101">
        <f t="shared" si="72"/>
        <v>39.999901506943758</v>
      </c>
      <c r="AC127" s="101">
        <f t="shared" si="72"/>
        <v>39.666601004629172</v>
      </c>
      <c r="AD127" s="101">
        <f t="shared" si="59"/>
        <v>39</v>
      </c>
      <c r="AE127" s="101">
        <f t="shared" si="59"/>
        <v>38.5</v>
      </c>
      <c r="AF127" s="101">
        <f t="shared" si="59"/>
        <v>38.000000000000007</v>
      </c>
      <c r="AG127" s="101">
        <f t="shared" si="59"/>
        <v>37</v>
      </c>
      <c r="AH127" s="175">
        <f t="shared" si="70"/>
        <v>478.16630552546047</v>
      </c>
      <c r="AI127" s="101">
        <f t="shared" ref="AI127:AI151" si="76">AH127/12</f>
        <v>39.847192127121708</v>
      </c>
      <c r="AM127" s="98">
        <v>2</v>
      </c>
      <c r="AN127" s="98">
        <v>1</v>
      </c>
      <c r="AO127" s="128">
        <f t="shared" si="74"/>
        <v>39.847192127121708</v>
      </c>
      <c r="AR127" s="100">
        <f>51.05+(25.99*1.17)</f>
        <v>81.458299999999994</v>
      </c>
      <c r="AS127" s="101">
        <f t="shared" si="60"/>
        <v>38950.614365384616</v>
      </c>
      <c r="AT127" s="128">
        <f t="shared" si="61"/>
        <v>-9532.0356346153858</v>
      </c>
      <c r="AW127" s="89">
        <f t="shared" ca="1" si="62"/>
        <v>103.5894639092983</v>
      </c>
      <c r="AX127" s="90">
        <f t="shared" ca="1" si="63"/>
        <v>49532.991248872189</v>
      </c>
      <c r="AY127" s="86">
        <f t="shared" ca="1" si="64"/>
        <v>1050.3412488721879</v>
      </c>
      <c r="AZ127" s="402">
        <f t="shared" ca="1" si="65"/>
        <v>189.81744755852381</v>
      </c>
      <c r="BA127" s="402">
        <f t="shared" ca="1" si="66"/>
        <v>49722.808696430715</v>
      </c>
      <c r="BC127" s="129"/>
      <c r="BD127" s="129"/>
    </row>
    <row r="128" spans="1:56" s="98" customFormat="1" ht="12" customHeight="1">
      <c r="A128" s="98" t="str">
        <f t="shared" si="57"/>
        <v>Joes TC Refuse UTCRL001.0YXX001TEMPC</v>
      </c>
      <c r="B128" s="98">
        <f t="shared" si="55"/>
        <v>1</v>
      </c>
      <c r="C128" s="99" t="s">
        <v>511</v>
      </c>
      <c r="D128" s="99" t="s">
        <v>461</v>
      </c>
      <c r="E128" s="176">
        <v>26.72</v>
      </c>
      <c r="F128" s="176">
        <v>26.6</v>
      </c>
      <c r="G128" s="176" t="s">
        <v>703</v>
      </c>
      <c r="H128" s="101">
        <v>0</v>
      </c>
      <c r="I128" s="101">
        <v>0</v>
      </c>
      <c r="J128" s="101">
        <v>0</v>
      </c>
      <c r="K128" s="101">
        <v>0</v>
      </c>
      <c r="L128" s="101">
        <v>0</v>
      </c>
      <c r="M128" s="101">
        <v>26.72</v>
      </c>
      <c r="N128" s="101">
        <v>0</v>
      </c>
      <c r="O128" s="101">
        <v>0</v>
      </c>
      <c r="P128" s="101">
        <v>0</v>
      </c>
      <c r="Q128" s="101">
        <v>0</v>
      </c>
      <c r="R128" s="101">
        <v>53.2</v>
      </c>
      <c r="S128" s="101">
        <v>26.6</v>
      </c>
      <c r="T128" s="101">
        <f t="shared" si="71"/>
        <v>106.52000000000001</v>
      </c>
      <c r="U128" s="101"/>
      <c r="V128" s="101">
        <f t="shared" si="73"/>
        <v>0</v>
      </c>
      <c r="W128" s="101">
        <f t="shared" si="73"/>
        <v>0</v>
      </c>
      <c r="X128" s="101">
        <f t="shared" si="73"/>
        <v>0</v>
      </c>
      <c r="Y128" s="101">
        <f t="shared" si="72"/>
        <v>0</v>
      </c>
      <c r="Z128" s="101">
        <f t="shared" si="72"/>
        <v>0</v>
      </c>
      <c r="AA128" s="101">
        <f t="shared" si="72"/>
        <v>1</v>
      </c>
      <c r="AB128" s="101">
        <f t="shared" si="72"/>
        <v>0</v>
      </c>
      <c r="AC128" s="101">
        <f t="shared" si="72"/>
        <v>0</v>
      </c>
      <c r="AD128" s="101">
        <f t="shared" ref="AD128:AG151" si="77">IFERROR(P128/$F128,0)</f>
        <v>0</v>
      </c>
      <c r="AE128" s="101">
        <f t="shared" si="77"/>
        <v>0</v>
      </c>
      <c r="AF128" s="101">
        <f t="shared" si="77"/>
        <v>2</v>
      </c>
      <c r="AG128" s="101">
        <f t="shared" si="77"/>
        <v>1</v>
      </c>
      <c r="AH128" s="175">
        <f t="shared" si="70"/>
        <v>4</v>
      </c>
      <c r="AI128" s="101">
        <f t="shared" si="76"/>
        <v>0.33333333333333331</v>
      </c>
      <c r="AM128" s="98">
        <v>1</v>
      </c>
      <c r="AN128" s="98">
        <v>1</v>
      </c>
      <c r="AO128" s="128">
        <f t="shared" si="74"/>
        <v>0.33333333333333331</v>
      </c>
      <c r="AR128" s="100" t="e">
        <f>+VLOOKUP(C128,#REF!,3,FALSE)</f>
        <v>#REF!</v>
      </c>
      <c r="AS128" s="101">
        <f t="shared" si="60"/>
        <v>0</v>
      </c>
      <c r="AT128" s="128">
        <f t="shared" si="61"/>
        <v>-106.52000000000001</v>
      </c>
      <c r="AW128" s="89">
        <f t="shared" ca="1" si="62"/>
        <v>27.254992482565136</v>
      </c>
      <c r="AX128" s="90">
        <f t="shared" ca="1" si="63"/>
        <v>109.01996993026054</v>
      </c>
      <c r="AY128" s="86">
        <f t="shared" ca="1" si="64"/>
        <v>2.4999699302605336</v>
      </c>
      <c r="AZ128" s="402">
        <f t="shared" ca="1" si="65"/>
        <v>0.41777998669806254</v>
      </c>
      <c r="BA128" s="402">
        <f t="shared" ca="1" si="66"/>
        <v>109.43774991695861</v>
      </c>
      <c r="BC128" s="129"/>
      <c r="BD128" s="129"/>
    </row>
    <row r="129" spans="1:56" s="98" customFormat="1" ht="12" customHeight="1">
      <c r="A129" s="98" t="str">
        <f t="shared" si="57"/>
        <v>Joes TC Refuse UTCRL001.5YXX001TEMPC</v>
      </c>
      <c r="B129" s="98">
        <f t="shared" ref="B129:B151" si="78">COUNTIF(C:C,C129)</f>
        <v>1</v>
      </c>
      <c r="C129" s="99" t="s">
        <v>512</v>
      </c>
      <c r="D129" s="99" t="s">
        <v>463</v>
      </c>
      <c r="E129" s="176">
        <v>34.979999999999997</v>
      </c>
      <c r="F129" s="176">
        <v>34.83</v>
      </c>
      <c r="G129" s="176" t="s">
        <v>703</v>
      </c>
      <c r="H129" s="101">
        <v>34.979999999999997</v>
      </c>
      <c r="I129" s="101">
        <v>0</v>
      </c>
      <c r="J129" s="101">
        <v>0</v>
      </c>
      <c r="K129" s="101">
        <v>0</v>
      </c>
      <c r="L129" s="101">
        <v>0</v>
      </c>
      <c r="M129" s="101">
        <v>0</v>
      </c>
      <c r="N129" s="101">
        <v>0</v>
      </c>
      <c r="O129" s="101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f t="shared" ref="T129:T151" si="79">SUM(H129:S129)</f>
        <v>34.979999999999997</v>
      </c>
      <c r="U129" s="101"/>
      <c r="V129" s="101">
        <f t="shared" si="73"/>
        <v>1</v>
      </c>
      <c r="W129" s="101">
        <f t="shared" si="73"/>
        <v>0</v>
      </c>
      <c r="X129" s="101">
        <f t="shared" si="73"/>
        <v>0</v>
      </c>
      <c r="Y129" s="101">
        <f t="shared" si="72"/>
        <v>0</v>
      </c>
      <c r="Z129" s="101">
        <f t="shared" si="72"/>
        <v>0</v>
      </c>
      <c r="AA129" s="101">
        <f t="shared" si="72"/>
        <v>0</v>
      </c>
      <c r="AB129" s="101">
        <f t="shared" si="72"/>
        <v>0</v>
      </c>
      <c r="AC129" s="101">
        <f t="shared" si="72"/>
        <v>0</v>
      </c>
      <c r="AD129" s="101">
        <f t="shared" si="77"/>
        <v>0</v>
      </c>
      <c r="AE129" s="101">
        <f t="shared" si="77"/>
        <v>0</v>
      </c>
      <c r="AF129" s="101">
        <f t="shared" si="77"/>
        <v>0</v>
      </c>
      <c r="AG129" s="101">
        <f t="shared" si="77"/>
        <v>0</v>
      </c>
      <c r="AH129" s="175">
        <f t="shared" si="70"/>
        <v>1</v>
      </c>
      <c r="AI129" s="101">
        <f t="shared" si="76"/>
        <v>8.3333333333333329E-2</v>
      </c>
      <c r="AM129" s="98">
        <v>1.5</v>
      </c>
      <c r="AN129" s="98">
        <v>1</v>
      </c>
      <c r="AO129" s="128">
        <f t="shared" si="74"/>
        <v>8.3333333333333329E-2</v>
      </c>
      <c r="AR129" s="100" t="e">
        <f>+VLOOKUP(C129,#REF!,3,FALSE)</f>
        <v>#REF!</v>
      </c>
      <c r="AS129" s="101">
        <f t="shared" si="60"/>
        <v>0</v>
      </c>
      <c r="AT129" s="128">
        <f t="shared" si="61"/>
        <v>-34.979999999999997</v>
      </c>
      <c r="AW129" s="89">
        <f t="shared" ca="1" si="62"/>
        <v>35.687646171719685</v>
      </c>
      <c r="AX129" s="90">
        <f t="shared" ca="1" si="63"/>
        <v>35.687646171719685</v>
      </c>
      <c r="AY129" s="86">
        <f t="shared" ca="1" si="64"/>
        <v>0.7076461717196878</v>
      </c>
      <c r="AZ129" s="402">
        <f t="shared" ca="1" si="65"/>
        <v>0.13676012158546538</v>
      </c>
      <c r="BA129" s="402">
        <f t="shared" ca="1" si="66"/>
        <v>35.824406293305152</v>
      </c>
      <c r="BC129" s="129"/>
      <c r="BD129" s="129"/>
    </row>
    <row r="130" spans="1:56" s="98" customFormat="1" ht="12" customHeight="1">
      <c r="A130" s="98" t="str">
        <f t="shared" ref="A130:A151" si="80">$A$1&amp;C130</f>
        <v>Joes TC Refuse UTCRL002.0YXX001TEMPC</v>
      </c>
      <c r="B130" s="98">
        <f t="shared" si="78"/>
        <v>1</v>
      </c>
      <c r="C130" s="99" t="s">
        <v>513</v>
      </c>
      <c r="D130" s="99" t="s">
        <v>465</v>
      </c>
      <c r="E130" s="176">
        <v>42.49</v>
      </c>
      <c r="F130" s="176">
        <v>42.3</v>
      </c>
      <c r="G130" s="176" t="s">
        <v>703</v>
      </c>
      <c r="H130" s="101">
        <v>84.98</v>
      </c>
      <c r="I130" s="101">
        <v>297.43</v>
      </c>
      <c r="J130" s="101">
        <v>382.41</v>
      </c>
      <c r="K130" s="101">
        <v>297.43</v>
      </c>
      <c r="L130" s="101">
        <v>254.94</v>
      </c>
      <c r="M130" s="101">
        <v>212.45</v>
      </c>
      <c r="N130" s="101">
        <v>127.47</v>
      </c>
      <c r="O130" s="101">
        <v>1062.25</v>
      </c>
      <c r="P130" s="101">
        <v>211.5</v>
      </c>
      <c r="Q130" s="101">
        <v>211.5</v>
      </c>
      <c r="R130" s="101">
        <v>126.9</v>
      </c>
      <c r="S130" s="101">
        <v>169.2</v>
      </c>
      <c r="T130" s="101">
        <f t="shared" si="79"/>
        <v>3438.46</v>
      </c>
      <c r="U130" s="101"/>
      <c r="V130" s="101">
        <f t="shared" si="73"/>
        <v>2</v>
      </c>
      <c r="W130" s="101">
        <f t="shared" si="73"/>
        <v>7</v>
      </c>
      <c r="X130" s="101">
        <f t="shared" si="73"/>
        <v>9</v>
      </c>
      <c r="Y130" s="101">
        <f t="shared" si="72"/>
        <v>7</v>
      </c>
      <c r="Z130" s="101">
        <f t="shared" si="72"/>
        <v>6</v>
      </c>
      <c r="AA130" s="101">
        <f t="shared" si="72"/>
        <v>4.9999999999999991</v>
      </c>
      <c r="AB130" s="101">
        <f t="shared" si="72"/>
        <v>3</v>
      </c>
      <c r="AC130" s="101">
        <f t="shared" si="72"/>
        <v>25</v>
      </c>
      <c r="AD130" s="101">
        <f t="shared" si="77"/>
        <v>5</v>
      </c>
      <c r="AE130" s="101">
        <f t="shared" si="77"/>
        <v>5</v>
      </c>
      <c r="AF130" s="101">
        <f t="shared" si="77"/>
        <v>3.0000000000000004</v>
      </c>
      <c r="AG130" s="101">
        <f t="shared" si="77"/>
        <v>4</v>
      </c>
      <c r="AH130" s="175">
        <f t="shared" si="70"/>
        <v>81</v>
      </c>
      <c r="AI130" s="101">
        <f t="shared" si="76"/>
        <v>6.75</v>
      </c>
      <c r="AM130" s="98">
        <v>2</v>
      </c>
      <c r="AN130" s="98">
        <v>1</v>
      </c>
      <c r="AO130" s="128">
        <f t="shared" si="74"/>
        <v>6.75</v>
      </c>
      <c r="AR130" s="100" t="e">
        <f>+VLOOKUP(C130,#REF!,3,FALSE)</f>
        <v>#REF!</v>
      </c>
      <c r="AS130" s="101">
        <f t="shared" ref="AS130:AS151" si="81">+IFERROR(AH130*AR130,0)</f>
        <v>0</v>
      </c>
      <c r="AT130" s="128">
        <f t="shared" ref="AT130:AT151" si="82">+AS130-T130</f>
        <v>-3438.46</v>
      </c>
      <c r="AW130" s="89">
        <f t="shared" ref="AW130:AW151" ca="1" si="83">+F130*(1+$BE$2)</f>
        <v>43.3415857899438</v>
      </c>
      <c r="AX130" s="90">
        <f t="shared" ref="AX130:AX151" ca="1" si="84">+AW130*AI130*12</f>
        <v>3510.6684489854479</v>
      </c>
      <c r="AY130" s="86">
        <f t="shared" ref="AY130:AY151" ca="1" si="85">+AX130-T130</f>
        <v>72.208448985447831</v>
      </c>
      <c r="AZ130" s="402">
        <f t="shared" ref="AZ130:AZ151" ca="1" si="86">AX130*BA$2</f>
        <v>13.453379402477177</v>
      </c>
      <c r="BA130" s="402">
        <f t="shared" ref="BA130:BA151" ca="1" si="87">+AX130+AZ130</f>
        <v>3524.1218283879252</v>
      </c>
      <c r="BC130" s="129"/>
      <c r="BD130" s="129"/>
    </row>
    <row r="131" spans="1:56" ht="12" customHeight="1">
      <c r="A131" s="38" t="str">
        <f t="shared" si="80"/>
        <v>Joes TC Refuse UTCROLL-COMM</v>
      </c>
      <c r="B131" s="38">
        <f t="shared" si="78"/>
        <v>1</v>
      </c>
      <c r="C131" s="87" t="s">
        <v>514</v>
      </c>
      <c r="D131" s="87" t="s">
        <v>515</v>
      </c>
      <c r="E131" s="174">
        <v>19.920000000000002</v>
      </c>
      <c r="F131" s="174">
        <v>19.829999999999998</v>
      </c>
      <c r="G131" s="174" t="s">
        <v>705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f t="shared" si="79"/>
        <v>0</v>
      </c>
      <c r="U131" s="88"/>
      <c r="V131" s="88">
        <f t="shared" si="73"/>
        <v>0</v>
      </c>
      <c r="W131" s="88">
        <f t="shared" si="73"/>
        <v>0</v>
      </c>
      <c r="X131" s="88">
        <f t="shared" si="73"/>
        <v>0</v>
      </c>
      <c r="Y131" s="88">
        <f t="shared" si="72"/>
        <v>0</v>
      </c>
      <c r="Z131" s="88">
        <f t="shared" si="72"/>
        <v>0</v>
      </c>
      <c r="AA131" s="88">
        <f t="shared" si="72"/>
        <v>0</v>
      </c>
      <c r="AB131" s="88">
        <f t="shared" si="72"/>
        <v>0</v>
      </c>
      <c r="AC131" s="88">
        <f t="shared" si="72"/>
        <v>0</v>
      </c>
      <c r="AD131" s="88">
        <f t="shared" si="77"/>
        <v>0</v>
      </c>
      <c r="AE131" s="88">
        <f t="shared" si="77"/>
        <v>0</v>
      </c>
      <c r="AF131" s="88">
        <f t="shared" si="77"/>
        <v>0</v>
      </c>
      <c r="AG131" s="88">
        <f t="shared" si="77"/>
        <v>0</v>
      </c>
      <c r="AH131" s="70">
        <f t="shared" si="70"/>
        <v>0</v>
      </c>
      <c r="AI131" s="88">
        <f t="shared" si="76"/>
        <v>0</v>
      </c>
      <c r="AR131" s="69">
        <f>+IFERROR((VLOOKUP(C131,#REF!,3,FALSE)),0)</f>
        <v>0</v>
      </c>
      <c r="AS131" s="88">
        <f t="shared" si="81"/>
        <v>0</v>
      </c>
      <c r="AT131" s="90">
        <f t="shared" si="82"/>
        <v>0</v>
      </c>
      <c r="AW131" s="89">
        <f t="shared" ca="1" si="83"/>
        <v>20.318289508619042</v>
      </c>
      <c r="AX131" s="90">
        <f t="shared" ca="1" si="84"/>
        <v>0</v>
      </c>
      <c r="AY131" s="86">
        <f t="shared" ca="1" si="85"/>
        <v>0</v>
      </c>
      <c r="AZ131" s="402">
        <f t="shared" ca="1" si="86"/>
        <v>0</v>
      </c>
      <c r="BA131" s="402">
        <f t="shared" ca="1" si="87"/>
        <v>0</v>
      </c>
      <c r="BC131" s="129"/>
      <c r="BD131" s="129"/>
    </row>
    <row r="132" spans="1:56" ht="12" customHeight="1">
      <c r="A132" s="38" t="str">
        <f t="shared" si="80"/>
        <v>Joes TC Refuse UTCROLLEOW-COMM</v>
      </c>
      <c r="B132" s="38">
        <f t="shared" si="78"/>
        <v>1</v>
      </c>
      <c r="C132" s="87" t="s">
        <v>518</v>
      </c>
      <c r="D132" s="87" t="s">
        <v>519</v>
      </c>
      <c r="E132" s="174">
        <v>9.98</v>
      </c>
      <c r="F132" s="174">
        <v>9.94</v>
      </c>
      <c r="G132" s="174" t="s">
        <v>705</v>
      </c>
      <c r="H132" s="88">
        <v>9.98</v>
      </c>
      <c r="I132" s="88">
        <v>9.98</v>
      </c>
      <c r="J132" s="88">
        <v>9.98</v>
      </c>
      <c r="K132" s="88">
        <v>9.98</v>
      </c>
      <c r="L132" s="88">
        <v>9.98</v>
      </c>
      <c r="M132" s="88">
        <v>9.98</v>
      </c>
      <c r="N132" s="88">
        <v>9.98</v>
      </c>
      <c r="O132" s="88">
        <v>9.98</v>
      </c>
      <c r="P132" s="88">
        <v>9.94</v>
      </c>
      <c r="Q132" s="88">
        <v>9.94</v>
      </c>
      <c r="R132" s="88">
        <v>9.94</v>
      </c>
      <c r="S132" s="88">
        <v>9.94</v>
      </c>
      <c r="T132" s="88">
        <f t="shared" si="79"/>
        <v>119.60000000000001</v>
      </c>
      <c r="U132" s="88"/>
      <c r="V132" s="88">
        <f t="shared" si="73"/>
        <v>1</v>
      </c>
      <c r="W132" s="88">
        <f t="shared" si="73"/>
        <v>1</v>
      </c>
      <c r="X132" s="88">
        <f t="shared" si="73"/>
        <v>1</v>
      </c>
      <c r="Y132" s="88">
        <f t="shared" si="72"/>
        <v>1</v>
      </c>
      <c r="Z132" s="88">
        <f t="shared" si="72"/>
        <v>1</v>
      </c>
      <c r="AA132" s="88">
        <f t="shared" si="72"/>
        <v>1</v>
      </c>
      <c r="AB132" s="88">
        <f t="shared" si="72"/>
        <v>1</v>
      </c>
      <c r="AC132" s="88">
        <f t="shared" si="72"/>
        <v>1</v>
      </c>
      <c r="AD132" s="88">
        <f t="shared" si="77"/>
        <v>1</v>
      </c>
      <c r="AE132" s="88">
        <f t="shared" si="77"/>
        <v>1</v>
      </c>
      <c r="AF132" s="88">
        <f t="shared" si="77"/>
        <v>1</v>
      </c>
      <c r="AG132" s="88">
        <f t="shared" si="77"/>
        <v>1</v>
      </c>
      <c r="AH132" s="70">
        <f t="shared" si="70"/>
        <v>12</v>
      </c>
      <c r="AI132" s="88">
        <f t="shared" si="76"/>
        <v>1</v>
      </c>
      <c r="AR132" s="69">
        <f>2.56*2.17</f>
        <v>5.5552000000000001</v>
      </c>
      <c r="AS132" s="88">
        <f t="shared" si="81"/>
        <v>66.662400000000005</v>
      </c>
      <c r="AT132" s="90">
        <f t="shared" si="82"/>
        <v>-52.937600000000003</v>
      </c>
      <c r="AW132" s="89">
        <f t="shared" ca="1" si="83"/>
        <v>10.184760348748023</v>
      </c>
      <c r="AX132" s="90">
        <f t="shared" ca="1" si="84"/>
        <v>122.21712418497629</v>
      </c>
      <c r="AY132" s="86">
        <f t="shared" ca="1" si="85"/>
        <v>2.6171241849762765</v>
      </c>
      <c r="AZ132" s="402">
        <f t="shared" ca="1" si="86"/>
        <v>0.46835335350888063</v>
      </c>
      <c r="BA132" s="402">
        <f t="shared" ca="1" si="87"/>
        <v>122.68547753848516</v>
      </c>
      <c r="BC132" s="129"/>
      <c r="BD132" s="129"/>
    </row>
    <row r="133" spans="1:56" ht="12" customHeight="1">
      <c r="A133" s="38" t="str">
        <f t="shared" si="80"/>
        <v>Joes TC Refuse UTCRTRNCAN-COMM</v>
      </c>
      <c r="B133" s="38">
        <f t="shared" si="78"/>
        <v>1</v>
      </c>
      <c r="C133" s="87" t="s">
        <v>520</v>
      </c>
      <c r="D133" s="87" t="s">
        <v>521</v>
      </c>
      <c r="E133" s="174">
        <v>23.3</v>
      </c>
      <c r="F133" s="174">
        <v>23.2</v>
      </c>
      <c r="G133" s="174" t="s">
        <v>255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23.3</v>
      </c>
      <c r="O133" s="88">
        <v>23.3</v>
      </c>
      <c r="P133" s="88">
        <v>0</v>
      </c>
      <c r="Q133" s="88">
        <v>0</v>
      </c>
      <c r="R133" s="88">
        <v>0</v>
      </c>
      <c r="S133" s="88">
        <v>23.2</v>
      </c>
      <c r="T133" s="88">
        <f t="shared" si="79"/>
        <v>69.8</v>
      </c>
      <c r="U133" s="88"/>
      <c r="V133" s="88">
        <f t="shared" si="73"/>
        <v>0</v>
      </c>
      <c r="W133" s="88">
        <f t="shared" si="73"/>
        <v>0</v>
      </c>
      <c r="X133" s="88">
        <f t="shared" si="73"/>
        <v>0</v>
      </c>
      <c r="Y133" s="88">
        <f t="shared" si="72"/>
        <v>0</v>
      </c>
      <c r="Z133" s="88">
        <f t="shared" si="72"/>
        <v>0</v>
      </c>
      <c r="AA133" s="88">
        <f t="shared" si="72"/>
        <v>0</v>
      </c>
      <c r="AB133" s="88">
        <f t="shared" si="72"/>
        <v>1</v>
      </c>
      <c r="AC133" s="88">
        <f t="shared" si="72"/>
        <v>1</v>
      </c>
      <c r="AD133" s="88">
        <f t="shared" si="77"/>
        <v>0</v>
      </c>
      <c r="AE133" s="88">
        <f t="shared" si="77"/>
        <v>0</v>
      </c>
      <c r="AF133" s="88">
        <f t="shared" si="77"/>
        <v>0</v>
      </c>
      <c r="AG133" s="88">
        <f t="shared" si="77"/>
        <v>1</v>
      </c>
      <c r="AH133" s="70">
        <f t="shared" si="70"/>
        <v>3</v>
      </c>
      <c r="AI133" s="88">
        <f t="shared" si="76"/>
        <v>0.25</v>
      </c>
      <c r="AR133" s="69" t="e">
        <f>+VLOOKUP(C133,#REF!,3,FALSE)</f>
        <v>#REF!</v>
      </c>
      <c r="AS133" s="88">
        <f t="shared" si="81"/>
        <v>0</v>
      </c>
      <c r="AT133" s="90">
        <f t="shared" si="82"/>
        <v>-69.8</v>
      </c>
      <c r="AW133" s="89">
        <f t="shared" ca="1" si="83"/>
        <v>23.771271638928987</v>
      </c>
      <c r="AX133" s="90">
        <f t="shared" ca="1" si="84"/>
        <v>71.313814916786953</v>
      </c>
      <c r="AY133" s="86">
        <f t="shared" ca="1" si="85"/>
        <v>1.5138149167869557</v>
      </c>
      <c r="AZ133" s="402">
        <f t="shared" ca="1" si="86"/>
        <v>0.27328465295286791</v>
      </c>
      <c r="BA133" s="402">
        <f t="shared" ca="1" si="87"/>
        <v>71.58709956973982</v>
      </c>
      <c r="BC133" s="129"/>
      <c r="BD133" s="129"/>
    </row>
    <row r="134" spans="1:56" ht="12" customHeight="1">
      <c r="A134" s="38" t="str">
        <f t="shared" si="80"/>
        <v>Joes TC Refuse UTCRTRNCART65-COMM</v>
      </c>
      <c r="B134" s="38">
        <f t="shared" si="78"/>
        <v>1</v>
      </c>
      <c r="C134" s="87" t="s">
        <v>522</v>
      </c>
      <c r="D134" s="87" t="s">
        <v>523</v>
      </c>
      <c r="E134" s="174">
        <v>23.3</v>
      </c>
      <c r="F134" s="174">
        <v>23.2</v>
      </c>
      <c r="G134" s="174" t="s">
        <v>255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f t="shared" si="79"/>
        <v>0</v>
      </c>
      <c r="U134" s="88"/>
      <c r="V134" s="88">
        <f t="shared" si="73"/>
        <v>0</v>
      </c>
      <c r="W134" s="88">
        <f t="shared" si="73"/>
        <v>0</v>
      </c>
      <c r="X134" s="88">
        <f t="shared" si="73"/>
        <v>0</v>
      </c>
      <c r="Y134" s="88">
        <f t="shared" si="72"/>
        <v>0</v>
      </c>
      <c r="Z134" s="88">
        <f t="shared" si="72"/>
        <v>0</v>
      </c>
      <c r="AA134" s="88">
        <f t="shared" si="72"/>
        <v>0</v>
      </c>
      <c r="AB134" s="88">
        <f t="shared" si="72"/>
        <v>0</v>
      </c>
      <c r="AC134" s="88">
        <f t="shared" si="72"/>
        <v>0</v>
      </c>
      <c r="AD134" s="88">
        <f t="shared" si="77"/>
        <v>0</v>
      </c>
      <c r="AE134" s="88">
        <f t="shared" si="77"/>
        <v>0</v>
      </c>
      <c r="AF134" s="88">
        <f t="shared" si="77"/>
        <v>0</v>
      </c>
      <c r="AG134" s="88">
        <f t="shared" si="77"/>
        <v>0</v>
      </c>
      <c r="AH134" s="70">
        <f t="shared" si="70"/>
        <v>0</v>
      </c>
      <c r="AI134" s="88">
        <f t="shared" si="76"/>
        <v>0</v>
      </c>
      <c r="AR134" s="69" t="e">
        <f>+VLOOKUP(C134,#REF!,3,FALSE)</f>
        <v>#REF!</v>
      </c>
      <c r="AS134" s="88">
        <f t="shared" si="81"/>
        <v>0</v>
      </c>
      <c r="AT134" s="90">
        <f t="shared" si="82"/>
        <v>0</v>
      </c>
      <c r="AW134" s="89">
        <f t="shared" ca="1" si="83"/>
        <v>23.771271638928987</v>
      </c>
      <c r="AX134" s="90">
        <f t="shared" ca="1" si="84"/>
        <v>0</v>
      </c>
      <c r="AY134" s="86">
        <f t="shared" ca="1" si="85"/>
        <v>0</v>
      </c>
      <c r="AZ134" s="402">
        <f t="shared" ca="1" si="86"/>
        <v>0</v>
      </c>
      <c r="BA134" s="402">
        <f t="shared" ca="1" si="87"/>
        <v>0</v>
      </c>
      <c r="BC134" s="129"/>
      <c r="BD134" s="129"/>
    </row>
    <row r="135" spans="1:56" ht="12" customHeight="1">
      <c r="A135" s="38" t="str">
        <f t="shared" si="80"/>
        <v>Joes TC Refuse UTCRTRNTRIP1-COMM</v>
      </c>
      <c r="B135" s="38">
        <f t="shared" si="78"/>
        <v>1</v>
      </c>
      <c r="C135" s="87" t="s">
        <v>528</v>
      </c>
      <c r="D135" s="87" t="s">
        <v>529</v>
      </c>
      <c r="E135" s="174">
        <v>29</v>
      </c>
      <c r="F135" s="174">
        <v>28.87</v>
      </c>
      <c r="G135" s="174" t="s">
        <v>255</v>
      </c>
      <c r="H135" s="88">
        <v>0</v>
      </c>
      <c r="I135" s="88">
        <v>0</v>
      </c>
      <c r="J135" s="88">
        <v>0</v>
      </c>
      <c r="K135" s="88">
        <v>0</v>
      </c>
      <c r="L135" s="88">
        <v>0</v>
      </c>
      <c r="M135" s="88">
        <v>0</v>
      </c>
      <c r="N135" s="88">
        <v>0</v>
      </c>
      <c r="O135" s="88">
        <v>0</v>
      </c>
      <c r="P135" s="88">
        <v>0</v>
      </c>
      <c r="Q135" s="88">
        <v>0</v>
      </c>
      <c r="R135" s="88">
        <v>0</v>
      </c>
      <c r="S135" s="88">
        <v>0</v>
      </c>
      <c r="T135" s="88">
        <f t="shared" si="79"/>
        <v>0</v>
      </c>
      <c r="U135" s="88"/>
      <c r="V135" s="88">
        <f t="shared" si="73"/>
        <v>0</v>
      </c>
      <c r="W135" s="88">
        <f t="shared" si="73"/>
        <v>0</v>
      </c>
      <c r="X135" s="88">
        <f t="shared" si="73"/>
        <v>0</v>
      </c>
      <c r="Y135" s="88">
        <f t="shared" si="72"/>
        <v>0</v>
      </c>
      <c r="Z135" s="88">
        <f t="shared" si="72"/>
        <v>0</v>
      </c>
      <c r="AA135" s="88">
        <f t="shared" si="72"/>
        <v>0</v>
      </c>
      <c r="AB135" s="88">
        <f t="shared" si="72"/>
        <v>0</v>
      </c>
      <c r="AC135" s="88">
        <f t="shared" si="72"/>
        <v>0</v>
      </c>
      <c r="AD135" s="88">
        <f t="shared" si="77"/>
        <v>0</v>
      </c>
      <c r="AE135" s="88">
        <f t="shared" si="77"/>
        <v>0</v>
      </c>
      <c r="AF135" s="88">
        <f t="shared" si="77"/>
        <v>0</v>
      </c>
      <c r="AG135" s="88">
        <f t="shared" si="77"/>
        <v>0</v>
      </c>
      <c r="AH135" s="70">
        <f t="shared" si="70"/>
        <v>0</v>
      </c>
      <c r="AI135" s="88">
        <f t="shared" si="76"/>
        <v>0</v>
      </c>
      <c r="AR135" s="69" t="e">
        <f>+VLOOKUP(C135,#REF!,3,FALSE)</f>
        <v>#REF!</v>
      </c>
      <c r="AS135" s="88">
        <f t="shared" si="81"/>
        <v>0</v>
      </c>
      <c r="AT135" s="90">
        <f t="shared" si="82"/>
        <v>0</v>
      </c>
      <c r="AW135" s="89">
        <f t="shared" ca="1" si="83"/>
        <v>29.580888457581032</v>
      </c>
      <c r="AX135" s="90">
        <f t="shared" ca="1" si="84"/>
        <v>0</v>
      </c>
      <c r="AY135" s="86">
        <f t="shared" ca="1" si="85"/>
        <v>0</v>
      </c>
      <c r="AZ135" s="402">
        <f t="shared" ca="1" si="86"/>
        <v>0</v>
      </c>
      <c r="BA135" s="402">
        <f t="shared" ca="1" si="87"/>
        <v>0</v>
      </c>
      <c r="BC135" s="129"/>
      <c r="BD135" s="129"/>
    </row>
    <row r="136" spans="1:56" ht="12" customHeight="1">
      <c r="A136" s="38" t="str">
        <f t="shared" si="80"/>
        <v>Joes TC Refuse UTCRTRNTRIP3-COMM</v>
      </c>
      <c r="B136" s="38">
        <f t="shared" si="78"/>
        <v>1</v>
      </c>
      <c r="C136" s="87" t="s">
        <v>532</v>
      </c>
      <c r="D136" s="87" t="s">
        <v>533</v>
      </c>
      <c r="E136" s="174">
        <v>29</v>
      </c>
      <c r="F136" s="174">
        <v>28.87</v>
      </c>
      <c r="G136" s="174" t="s">
        <v>255</v>
      </c>
      <c r="H136" s="88">
        <v>0</v>
      </c>
      <c r="I136" s="88">
        <v>0</v>
      </c>
      <c r="J136" s="88">
        <v>0</v>
      </c>
      <c r="K136" s="88">
        <v>0</v>
      </c>
      <c r="L136" s="88">
        <v>0</v>
      </c>
      <c r="M136" s="88">
        <v>0</v>
      </c>
      <c r="N136" s="88">
        <v>0</v>
      </c>
      <c r="O136" s="88">
        <v>0</v>
      </c>
      <c r="P136" s="88">
        <v>0</v>
      </c>
      <c r="Q136" s="88">
        <v>0</v>
      </c>
      <c r="R136" s="88">
        <v>0</v>
      </c>
      <c r="S136" s="88">
        <v>0</v>
      </c>
      <c r="T136" s="88">
        <f t="shared" si="79"/>
        <v>0</v>
      </c>
      <c r="U136" s="88"/>
      <c r="V136" s="88">
        <f t="shared" si="73"/>
        <v>0</v>
      </c>
      <c r="W136" s="88">
        <f t="shared" si="73"/>
        <v>0</v>
      </c>
      <c r="X136" s="88">
        <f t="shared" si="73"/>
        <v>0</v>
      </c>
      <c r="Y136" s="88">
        <f t="shared" si="72"/>
        <v>0</v>
      </c>
      <c r="Z136" s="88">
        <f t="shared" si="72"/>
        <v>0</v>
      </c>
      <c r="AA136" s="88">
        <f t="shared" si="72"/>
        <v>0</v>
      </c>
      <c r="AB136" s="88">
        <f t="shared" si="72"/>
        <v>0</v>
      </c>
      <c r="AC136" s="88">
        <f t="shared" si="72"/>
        <v>0</v>
      </c>
      <c r="AD136" s="88">
        <f t="shared" si="77"/>
        <v>0</v>
      </c>
      <c r="AE136" s="88">
        <f t="shared" si="77"/>
        <v>0</v>
      </c>
      <c r="AF136" s="88">
        <f t="shared" si="77"/>
        <v>0</v>
      </c>
      <c r="AG136" s="88">
        <f t="shared" si="77"/>
        <v>0</v>
      </c>
      <c r="AH136" s="70">
        <f t="shared" si="70"/>
        <v>0</v>
      </c>
      <c r="AI136" s="88">
        <f t="shared" si="76"/>
        <v>0</v>
      </c>
      <c r="AR136" s="69" t="e">
        <f>+VLOOKUP(C136,#REF!,3,FALSE)</f>
        <v>#REF!</v>
      </c>
      <c r="AS136" s="88">
        <f t="shared" si="81"/>
        <v>0</v>
      </c>
      <c r="AT136" s="90">
        <f t="shared" si="82"/>
        <v>0</v>
      </c>
      <c r="AW136" s="89">
        <f t="shared" ca="1" si="83"/>
        <v>29.580888457581032</v>
      </c>
      <c r="AX136" s="90">
        <f t="shared" ca="1" si="84"/>
        <v>0</v>
      </c>
      <c r="AY136" s="86">
        <f t="shared" ca="1" si="85"/>
        <v>0</v>
      </c>
      <c r="AZ136" s="402">
        <f t="shared" ca="1" si="86"/>
        <v>0</v>
      </c>
      <c r="BA136" s="402">
        <f t="shared" ca="1" si="87"/>
        <v>0</v>
      </c>
      <c r="BC136" s="129"/>
      <c r="BD136" s="129"/>
    </row>
    <row r="137" spans="1:56" ht="12" customHeight="1">
      <c r="A137" s="38" t="str">
        <f t="shared" si="80"/>
        <v>Joes TC Refuse UTCRTRNTRIP6-COMM</v>
      </c>
      <c r="B137" s="38">
        <f t="shared" si="78"/>
        <v>1</v>
      </c>
      <c r="C137" s="87" t="s">
        <v>371</v>
      </c>
      <c r="D137" s="87" t="s">
        <v>372</v>
      </c>
      <c r="E137" s="174">
        <v>29</v>
      </c>
      <c r="F137" s="174">
        <v>28.87</v>
      </c>
      <c r="G137" s="174" t="s">
        <v>255</v>
      </c>
      <c r="H137" s="88">
        <v>0</v>
      </c>
      <c r="I137" s="88">
        <v>0</v>
      </c>
      <c r="J137" s="88">
        <v>0</v>
      </c>
      <c r="K137" s="88">
        <v>0</v>
      </c>
      <c r="L137" s="88">
        <v>0</v>
      </c>
      <c r="M137" s="88">
        <v>0</v>
      </c>
      <c r="N137" s="88">
        <v>0</v>
      </c>
      <c r="O137" s="88">
        <v>0</v>
      </c>
      <c r="P137" s="88">
        <v>0</v>
      </c>
      <c r="Q137" s="88">
        <v>0</v>
      </c>
      <c r="R137" s="88">
        <v>0</v>
      </c>
      <c r="S137" s="88">
        <v>0</v>
      </c>
      <c r="T137" s="88">
        <f t="shared" si="79"/>
        <v>0</v>
      </c>
      <c r="U137" s="88"/>
      <c r="V137" s="88">
        <f t="shared" si="73"/>
        <v>0</v>
      </c>
      <c r="W137" s="88">
        <f t="shared" si="73"/>
        <v>0</v>
      </c>
      <c r="X137" s="88">
        <f t="shared" si="73"/>
        <v>0</v>
      </c>
      <c r="Y137" s="88">
        <f t="shared" si="72"/>
        <v>0</v>
      </c>
      <c r="Z137" s="88">
        <f t="shared" si="72"/>
        <v>0</v>
      </c>
      <c r="AA137" s="88">
        <f t="shared" si="72"/>
        <v>0</v>
      </c>
      <c r="AB137" s="88">
        <f t="shared" si="72"/>
        <v>0</v>
      </c>
      <c r="AC137" s="88">
        <f t="shared" si="72"/>
        <v>0</v>
      </c>
      <c r="AD137" s="88">
        <f t="shared" si="77"/>
        <v>0</v>
      </c>
      <c r="AE137" s="88">
        <f t="shared" si="77"/>
        <v>0</v>
      </c>
      <c r="AF137" s="88">
        <f t="shared" si="77"/>
        <v>0</v>
      </c>
      <c r="AG137" s="88">
        <f t="shared" si="77"/>
        <v>0</v>
      </c>
      <c r="AH137" s="70">
        <f t="shared" si="70"/>
        <v>0</v>
      </c>
      <c r="AI137" s="88">
        <f t="shared" si="76"/>
        <v>0</v>
      </c>
      <c r="AR137" s="69" t="e">
        <f>+VLOOKUP(C137,#REF!,3,FALSE)</f>
        <v>#REF!</v>
      </c>
      <c r="AS137" s="88">
        <f t="shared" si="81"/>
        <v>0</v>
      </c>
      <c r="AT137" s="90">
        <f t="shared" si="82"/>
        <v>0</v>
      </c>
      <c r="AW137" s="89">
        <f t="shared" ca="1" si="83"/>
        <v>29.580888457581032</v>
      </c>
      <c r="AX137" s="90">
        <f t="shared" ca="1" si="84"/>
        <v>0</v>
      </c>
      <c r="AY137" s="86">
        <f t="shared" ca="1" si="85"/>
        <v>0</v>
      </c>
      <c r="AZ137" s="402">
        <f t="shared" ca="1" si="86"/>
        <v>0</v>
      </c>
      <c r="BA137" s="402">
        <f t="shared" ca="1" si="87"/>
        <v>0</v>
      </c>
      <c r="BC137" s="129"/>
      <c r="BD137" s="129"/>
    </row>
    <row r="138" spans="1:56" s="98" customFormat="1" ht="12" customHeight="1">
      <c r="A138" s="98" t="str">
        <f t="shared" si="80"/>
        <v>Joes TC Refuse UTCSL065.0G1W001NORECC</v>
      </c>
      <c r="B138" s="98">
        <f t="shared" si="78"/>
        <v>1</v>
      </c>
      <c r="C138" s="99" t="s">
        <v>536</v>
      </c>
      <c r="D138" s="99" t="s">
        <v>537</v>
      </c>
      <c r="E138" s="176">
        <v>26.76</v>
      </c>
      <c r="F138" s="176">
        <v>26.63</v>
      </c>
      <c r="G138" s="176" t="s">
        <v>701</v>
      </c>
      <c r="H138" s="101">
        <v>1016.88</v>
      </c>
      <c r="I138" s="101">
        <v>1016.88</v>
      </c>
      <c r="J138" s="101">
        <v>1059.68</v>
      </c>
      <c r="K138" s="101">
        <v>1204.2</v>
      </c>
      <c r="L138" s="101">
        <v>1230.96</v>
      </c>
      <c r="M138" s="101">
        <v>1228.28</v>
      </c>
      <c r="N138" s="101">
        <v>1204.2</v>
      </c>
      <c r="O138" s="101">
        <v>1217.58</v>
      </c>
      <c r="P138" s="101">
        <v>1072.6400000000001</v>
      </c>
      <c r="Q138" s="101">
        <v>948.16</v>
      </c>
      <c r="R138" s="101">
        <v>932.18</v>
      </c>
      <c r="S138" s="101">
        <v>948.16</v>
      </c>
      <c r="T138" s="101">
        <f t="shared" si="79"/>
        <v>13079.8</v>
      </c>
      <c r="U138" s="101"/>
      <c r="V138" s="101">
        <f t="shared" si="73"/>
        <v>38</v>
      </c>
      <c r="W138" s="101">
        <f t="shared" si="73"/>
        <v>38</v>
      </c>
      <c r="X138" s="101">
        <f t="shared" si="73"/>
        <v>39.599402092675632</v>
      </c>
      <c r="Y138" s="101">
        <f t="shared" si="72"/>
        <v>45</v>
      </c>
      <c r="Z138" s="101">
        <f t="shared" si="72"/>
        <v>46</v>
      </c>
      <c r="AA138" s="101">
        <f t="shared" si="72"/>
        <v>45.899850523168908</v>
      </c>
      <c r="AB138" s="101">
        <f t="shared" si="72"/>
        <v>45</v>
      </c>
      <c r="AC138" s="101">
        <f t="shared" si="72"/>
        <v>45.499999999999993</v>
      </c>
      <c r="AD138" s="101">
        <f t="shared" si="77"/>
        <v>40.279384153210671</v>
      </c>
      <c r="AE138" s="101">
        <f t="shared" si="77"/>
        <v>35.604956815621478</v>
      </c>
      <c r="AF138" s="101">
        <f t="shared" si="77"/>
        <v>35.004881712354489</v>
      </c>
      <c r="AG138" s="101">
        <f t="shared" si="77"/>
        <v>35.604956815621478</v>
      </c>
      <c r="AH138" s="175">
        <f t="shared" si="70"/>
        <v>489.49343211265261</v>
      </c>
      <c r="AI138" s="101">
        <f t="shared" si="76"/>
        <v>40.791119342721053</v>
      </c>
      <c r="AK138" s="98">
        <v>65</v>
      </c>
      <c r="AN138" s="98">
        <v>1</v>
      </c>
      <c r="AO138" s="128">
        <f t="shared" ref="AO138:AO141" si="88">+AN138*AI138</f>
        <v>40.791119342721053</v>
      </c>
      <c r="AR138" s="100">
        <f>4.85*4.33</f>
        <v>21.000499999999999</v>
      </c>
      <c r="AS138" s="101">
        <f t="shared" si="81"/>
        <v>10279.606821081761</v>
      </c>
      <c r="AT138" s="128">
        <f t="shared" si="82"/>
        <v>-2800.1931789182381</v>
      </c>
      <c r="AW138" s="89">
        <f t="shared" ca="1" si="83"/>
        <v>27.285731195891334</v>
      </c>
      <c r="AX138" s="90">
        <f t="shared" ca="1" si="84"/>
        <v>13356.186210780123</v>
      </c>
      <c r="AY138" s="86">
        <f t="shared" ca="1" si="85"/>
        <v>276.38621078012329</v>
      </c>
      <c r="AZ138" s="402">
        <f t="shared" ca="1" si="86"/>
        <v>51.182799821409112</v>
      </c>
      <c r="BA138" s="402">
        <f t="shared" ca="1" si="87"/>
        <v>13407.369010601531</v>
      </c>
      <c r="BC138" s="129"/>
      <c r="BD138" s="129"/>
    </row>
    <row r="139" spans="1:56" s="98" customFormat="1" ht="12" customHeight="1">
      <c r="A139" s="98" t="str">
        <f t="shared" si="80"/>
        <v>Joes TC Refuse UTCSL065.0GEO001NORECC</v>
      </c>
      <c r="B139" s="98">
        <f t="shared" si="78"/>
        <v>1</v>
      </c>
      <c r="C139" s="99" t="s">
        <v>540</v>
      </c>
      <c r="D139" s="99" t="s">
        <v>541</v>
      </c>
      <c r="E139" s="176">
        <v>26.76</v>
      </c>
      <c r="F139" s="176">
        <v>26.63</v>
      </c>
      <c r="G139" s="176" t="s">
        <v>701</v>
      </c>
      <c r="H139" s="101">
        <v>481.68</v>
      </c>
      <c r="I139" s="101">
        <v>481.68</v>
      </c>
      <c r="J139" s="101">
        <v>481.68</v>
      </c>
      <c r="K139" s="101">
        <v>481.68</v>
      </c>
      <c r="L139" s="101">
        <v>481.68</v>
      </c>
      <c r="M139" s="101">
        <v>481.68</v>
      </c>
      <c r="N139" s="101">
        <v>481.68</v>
      </c>
      <c r="O139" s="101">
        <v>481.68</v>
      </c>
      <c r="P139" s="101">
        <v>479.34</v>
      </c>
      <c r="Q139" s="101">
        <v>479.34</v>
      </c>
      <c r="R139" s="101">
        <v>479.34</v>
      </c>
      <c r="S139" s="101">
        <v>479.34</v>
      </c>
      <c r="T139" s="101">
        <f t="shared" si="79"/>
        <v>5770.8</v>
      </c>
      <c r="U139" s="101"/>
      <c r="V139" s="101">
        <f t="shared" si="73"/>
        <v>18</v>
      </c>
      <c r="W139" s="101">
        <f t="shared" si="73"/>
        <v>18</v>
      </c>
      <c r="X139" s="101">
        <f t="shared" si="73"/>
        <v>18</v>
      </c>
      <c r="Y139" s="101">
        <f t="shared" si="72"/>
        <v>18</v>
      </c>
      <c r="Z139" s="101">
        <f t="shared" si="72"/>
        <v>18</v>
      </c>
      <c r="AA139" s="101">
        <f t="shared" si="72"/>
        <v>18</v>
      </c>
      <c r="AB139" s="101">
        <f t="shared" si="72"/>
        <v>18</v>
      </c>
      <c r="AC139" s="101">
        <f t="shared" si="72"/>
        <v>18</v>
      </c>
      <c r="AD139" s="101">
        <f t="shared" si="77"/>
        <v>18</v>
      </c>
      <c r="AE139" s="101">
        <f t="shared" si="77"/>
        <v>18</v>
      </c>
      <c r="AF139" s="101">
        <f t="shared" si="77"/>
        <v>18</v>
      </c>
      <c r="AG139" s="101">
        <f t="shared" si="77"/>
        <v>18</v>
      </c>
      <c r="AH139" s="175">
        <f t="shared" si="70"/>
        <v>216</v>
      </c>
      <c r="AI139" s="101">
        <f t="shared" si="76"/>
        <v>18</v>
      </c>
      <c r="AK139" s="98">
        <v>65</v>
      </c>
      <c r="AN139" s="98">
        <v>1</v>
      </c>
      <c r="AO139" s="128">
        <f t="shared" si="88"/>
        <v>18</v>
      </c>
      <c r="AR139" s="100">
        <v>21</v>
      </c>
      <c r="AS139" s="101">
        <f t="shared" si="81"/>
        <v>4536</v>
      </c>
      <c r="AT139" s="128">
        <f t="shared" si="82"/>
        <v>-1234.8000000000002</v>
      </c>
      <c r="AW139" s="89">
        <f t="shared" ca="1" si="83"/>
        <v>27.285731195891334</v>
      </c>
      <c r="AX139" s="90">
        <f t="shared" ca="1" si="84"/>
        <v>5893.7179383125285</v>
      </c>
      <c r="AY139" s="86">
        <f t="shared" ca="1" si="85"/>
        <v>122.91793831252835</v>
      </c>
      <c r="AZ139" s="402">
        <f t="shared" ca="1" si="86"/>
        <v>22.585563025246163</v>
      </c>
      <c r="BA139" s="402">
        <f t="shared" ca="1" si="87"/>
        <v>5916.3035013377748</v>
      </c>
      <c r="BC139" s="129"/>
      <c r="BD139" s="129"/>
    </row>
    <row r="140" spans="1:56" s="98" customFormat="1" ht="12" customHeight="1">
      <c r="A140" s="98" t="str">
        <f t="shared" si="80"/>
        <v>Joes TC Refuse UTCSL095.0G1W001NORECC</v>
      </c>
      <c r="B140" s="98">
        <f t="shared" si="78"/>
        <v>1</v>
      </c>
      <c r="C140" s="99" t="s">
        <v>544</v>
      </c>
      <c r="D140" s="99" t="s">
        <v>545</v>
      </c>
      <c r="E140" s="176">
        <v>37.799999999999997</v>
      </c>
      <c r="F140" s="176">
        <v>37.630000000000003</v>
      </c>
      <c r="G140" s="176" t="s">
        <v>701</v>
      </c>
      <c r="H140" s="101">
        <v>922.32</v>
      </c>
      <c r="I140" s="101">
        <v>1323</v>
      </c>
      <c r="J140" s="101">
        <v>1493.1</v>
      </c>
      <c r="K140" s="101">
        <v>2419.1999999999998</v>
      </c>
      <c r="L140" s="101">
        <v>2419.1999999999998</v>
      </c>
      <c r="M140" s="101">
        <v>2457</v>
      </c>
      <c r="N140" s="101">
        <v>2463.5</v>
      </c>
      <c r="O140" s="101">
        <v>2509.92</v>
      </c>
      <c r="P140" s="101">
        <v>1734.38</v>
      </c>
      <c r="Q140" s="101">
        <v>1044.23</v>
      </c>
      <c r="R140" s="101">
        <v>1053.6400000000001</v>
      </c>
      <c r="S140" s="101">
        <v>1053.6400000000001</v>
      </c>
      <c r="T140" s="101">
        <f t="shared" si="79"/>
        <v>20893.129999999997</v>
      </c>
      <c r="U140" s="101"/>
      <c r="V140" s="101">
        <f t="shared" si="73"/>
        <v>24.400000000000002</v>
      </c>
      <c r="W140" s="101">
        <f t="shared" si="73"/>
        <v>35</v>
      </c>
      <c r="X140" s="101">
        <f t="shared" si="73"/>
        <v>39.5</v>
      </c>
      <c r="Y140" s="101">
        <f t="shared" si="72"/>
        <v>64</v>
      </c>
      <c r="Z140" s="101">
        <f t="shared" si="72"/>
        <v>64</v>
      </c>
      <c r="AA140" s="101">
        <f t="shared" si="72"/>
        <v>65</v>
      </c>
      <c r="AB140" s="101">
        <f t="shared" si="72"/>
        <v>65.171957671957671</v>
      </c>
      <c r="AC140" s="101">
        <f t="shared" si="72"/>
        <v>66.400000000000006</v>
      </c>
      <c r="AD140" s="101">
        <f t="shared" si="77"/>
        <v>46.090353441403138</v>
      </c>
      <c r="AE140" s="101">
        <f t="shared" si="77"/>
        <v>27.749933563646024</v>
      </c>
      <c r="AF140" s="101">
        <f t="shared" si="77"/>
        <v>28</v>
      </c>
      <c r="AG140" s="101">
        <f t="shared" si="77"/>
        <v>28</v>
      </c>
      <c r="AH140" s="175">
        <f t="shared" si="70"/>
        <v>553.31224467700679</v>
      </c>
      <c r="AI140" s="101">
        <f t="shared" si="76"/>
        <v>46.109353723083899</v>
      </c>
      <c r="AK140" s="98">
        <v>95</v>
      </c>
      <c r="AN140" s="98">
        <v>1</v>
      </c>
      <c r="AO140" s="128">
        <f t="shared" si="88"/>
        <v>46.109353723083899</v>
      </c>
      <c r="AR140" s="100">
        <f>6.49*4.33</f>
        <v>28.101700000000001</v>
      </c>
      <c r="AS140" s="101">
        <f t="shared" si="81"/>
        <v>15549.014706239843</v>
      </c>
      <c r="AT140" s="128">
        <f t="shared" si="82"/>
        <v>-5344.1152937601546</v>
      </c>
      <c r="AW140" s="89">
        <f t="shared" ca="1" si="83"/>
        <v>38.556592748831804</v>
      </c>
      <c r="AX140" s="90">
        <f t="shared" ca="1" si="84"/>
        <v>21333.834880953327</v>
      </c>
      <c r="AY140" s="86">
        <f t="shared" ca="1" si="85"/>
        <v>440.70488095332985</v>
      </c>
      <c r="AZ140" s="402">
        <f t="shared" ca="1" si="86"/>
        <v>81.754280967834092</v>
      </c>
      <c r="BA140" s="402">
        <f t="shared" ca="1" si="87"/>
        <v>21415.589161921162</v>
      </c>
      <c r="BC140" s="129"/>
      <c r="BD140" s="129"/>
    </row>
    <row r="141" spans="1:56" s="98" customFormat="1" ht="12" customHeight="1">
      <c r="A141" s="98" t="str">
        <f t="shared" si="80"/>
        <v>Joes TC Refuse UTCSL095.0GEO001NORECC</v>
      </c>
      <c r="B141" s="98">
        <f t="shared" si="78"/>
        <v>1</v>
      </c>
      <c r="C141" s="99" t="s">
        <v>546</v>
      </c>
      <c r="D141" s="99" t="s">
        <v>547</v>
      </c>
      <c r="E141" s="176">
        <v>37.799999999999997</v>
      </c>
      <c r="F141" s="176">
        <v>37.630000000000003</v>
      </c>
      <c r="G141" s="176" t="s">
        <v>701</v>
      </c>
      <c r="H141" s="101">
        <v>113.4</v>
      </c>
      <c r="I141" s="101">
        <v>113.4</v>
      </c>
      <c r="J141" s="101">
        <v>113.4</v>
      </c>
      <c r="K141" s="101">
        <v>113.4</v>
      </c>
      <c r="L141" s="101">
        <v>113.4</v>
      </c>
      <c r="M141" s="101">
        <v>113.4</v>
      </c>
      <c r="N141" s="101">
        <v>113.4</v>
      </c>
      <c r="O141" s="101">
        <v>113.4</v>
      </c>
      <c r="P141" s="101">
        <v>112.89</v>
      </c>
      <c r="Q141" s="101">
        <v>112.89</v>
      </c>
      <c r="R141" s="101">
        <v>112.89</v>
      </c>
      <c r="S141" s="101">
        <v>112.89</v>
      </c>
      <c r="T141" s="101">
        <f t="shared" si="79"/>
        <v>1358.7600000000002</v>
      </c>
      <c r="U141" s="101"/>
      <c r="V141" s="101">
        <f t="shared" si="73"/>
        <v>3.0000000000000004</v>
      </c>
      <c r="W141" s="101">
        <f t="shared" si="73"/>
        <v>3.0000000000000004</v>
      </c>
      <c r="X141" s="101">
        <f t="shared" si="73"/>
        <v>3.0000000000000004</v>
      </c>
      <c r="Y141" s="101">
        <f t="shared" si="72"/>
        <v>3.0000000000000004</v>
      </c>
      <c r="Z141" s="101">
        <f t="shared" si="72"/>
        <v>3.0000000000000004</v>
      </c>
      <c r="AA141" s="101">
        <f t="shared" si="72"/>
        <v>3.0000000000000004</v>
      </c>
      <c r="AB141" s="101">
        <f t="shared" si="72"/>
        <v>3.0000000000000004</v>
      </c>
      <c r="AC141" s="101">
        <f t="shared" si="72"/>
        <v>3.0000000000000004</v>
      </c>
      <c r="AD141" s="101">
        <f t="shared" si="77"/>
        <v>3</v>
      </c>
      <c r="AE141" s="101">
        <f t="shared" si="77"/>
        <v>3</v>
      </c>
      <c r="AF141" s="101">
        <f t="shared" si="77"/>
        <v>3</v>
      </c>
      <c r="AG141" s="101">
        <f t="shared" si="77"/>
        <v>3</v>
      </c>
      <c r="AH141" s="175">
        <f t="shared" si="70"/>
        <v>36</v>
      </c>
      <c r="AI141" s="101">
        <f t="shared" si="76"/>
        <v>3</v>
      </c>
      <c r="AK141" s="98">
        <v>95</v>
      </c>
      <c r="AN141" s="98">
        <v>1</v>
      </c>
      <c r="AO141" s="128">
        <f t="shared" si="88"/>
        <v>3</v>
      </c>
      <c r="AR141" s="100">
        <v>28.1</v>
      </c>
      <c r="AS141" s="101">
        <f t="shared" si="81"/>
        <v>1011.6</v>
      </c>
      <c r="AT141" s="128">
        <f t="shared" si="82"/>
        <v>-347.1600000000002</v>
      </c>
      <c r="AW141" s="89">
        <f t="shared" ca="1" si="83"/>
        <v>38.556592748831804</v>
      </c>
      <c r="AX141" s="90">
        <f t="shared" ca="1" si="84"/>
        <v>1388.0373389579449</v>
      </c>
      <c r="AY141" s="86">
        <f t="shared" ca="1" si="85"/>
        <v>29.277338957944721</v>
      </c>
      <c r="AZ141" s="402">
        <f t="shared" ca="1" si="86"/>
        <v>5.3191559434222873</v>
      </c>
      <c r="BA141" s="402">
        <f t="shared" ca="1" si="87"/>
        <v>1393.3564949013671</v>
      </c>
      <c r="BC141" s="129"/>
      <c r="BD141" s="129"/>
    </row>
    <row r="142" spans="1:56" ht="12" customHeight="1">
      <c r="A142" s="38" t="str">
        <f t="shared" si="80"/>
        <v>Joes TC Refuse UTCRTRNTRIP2-COMM</v>
      </c>
      <c r="B142" s="38">
        <f t="shared" si="78"/>
        <v>1</v>
      </c>
      <c r="C142" s="87" t="s">
        <v>530</v>
      </c>
      <c r="D142" s="87" t="s">
        <v>531</v>
      </c>
      <c r="E142" s="174">
        <v>29</v>
      </c>
      <c r="F142" s="174">
        <v>28.87</v>
      </c>
      <c r="G142" s="174" t="s">
        <v>255</v>
      </c>
      <c r="H142" s="88">
        <v>0</v>
      </c>
      <c r="I142" s="88">
        <v>0</v>
      </c>
      <c r="J142" s="88">
        <v>0</v>
      </c>
      <c r="K142" s="88">
        <v>0</v>
      </c>
      <c r="L142" s="88">
        <v>0</v>
      </c>
      <c r="M142" s="88">
        <v>0</v>
      </c>
      <c r="N142" s="88">
        <v>0</v>
      </c>
      <c r="O142" s="88">
        <v>0</v>
      </c>
      <c r="P142" s="88">
        <v>29</v>
      </c>
      <c r="Q142" s="88">
        <v>0</v>
      </c>
      <c r="R142" s="88">
        <v>0</v>
      </c>
      <c r="S142" s="88">
        <v>28.87</v>
      </c>
      <c r="T142" s="88">
        <f t="shared" ref="T142:T143" si="89">SUM(H142:S142)</f>
        <v>57.870000000000005</v>
      </c>
      <c r="U142" s="88"/>
      <c r="V142" s="88">
        <f t="shared" si="73"/>
        <v>0</v>
      </c>
      <c r="W142" s="88">
        <f t="shared" si="73"/>
        <v>0</v>
      </c>
      <c r="X142" s="88">
        <f t="shared" si="73"/>
        <v>0</v>
      </c>
      <c r="Y142" s="88">
        <f t="shared" si="72"/>
        <v>0</v>
      </c>
      <c r="Z142" s="88">
        <f t="shared" si="72"/>
        <v>0</v>
      </c>
      <c r="AA142" s="88">
        <f t="shared" si="72"/>
        <v>0</v>
      </c>
      <c r="AB142" s="88">
        <f t="shared" si="72"/>
        <v>0</v>
      </c>
      <c r="AC142" s="88">
        <f t="shared" si="72"/>
        <v>0</v>
      </c>
      <c r="AD142" s="88">
        <f t="shared" si="77"/>
        <v>1.0045029442327675</v>
      </c>
      <c r="AE142" s="88">
        <f t="shared" si="77"/>
        <v>0</v>
      </c>
      <c r="AF142" s="88">
        <f t="shared" si="77"/>
        <v>0</v>
      </c>
      <c r="AG142" s="88">
        <f t="shared" si="77"/>
        <v>1</v>
      </c>
      <c r="AH142" s="70">
        <f t="shared" ref="AH142:AH143" si="90">SUM(V142:AG142)</f>
        <v>2.0045029442327675</v>
      </c>
      <c r="AI142" s="88">
        <f t="shared" si="76"/>
        <v>0.1670419120193973</v>
      </c>
      <c r="AO142" s="90"/>
      <c r="AR142" s="69">
        <f>+IFERROR((VLOOKUP(C142,#REF!,3,FALSE)),0)</f>
        <v>0</v>
      </c>
      <c r="AS142" s="88">
        <f t="shared" si="81"/>
        <v>0</v>
      </c>
      <c r="AT142" s="90">
        <f t="shared" si="82"/>
        <v>-57.870000000000005</v>
      </c>
      <c r="AW142" s="89">
        <f t="shared" ca="1" si="83"/>
        <v>29.580888457581032</v>
      </c>
      <c r="AX142" s="90">
        <f t="shared" ca="1" si="84"/>
        <v>59.294978006242275</v>
      </c>
      <c r="AY142" s="86">
        <f t="shared" ca="1" si="85"/>
        <v>1.4249780062422701</v>
      </c>
      <c r="AZ142" s="402">
        <f t="shared" ca="1" si="86"/>
        <v>0.22722676532158723</v>
      </c>
      <c r="BA142" s="402">
        <f t="shared" ca="1" si="87"/>
        <v>59.522204771563864</v>
      </c>
    </row>
    <row r="143" spans="1:56" ht="12" customHeight="1">
      <c r="A143" s="38" t="str">
        <f t="shared" si="80"/>
        <v>Joes TC Refuse UTCUNRETURN-COMM</v>
      </c>
      <c r="B143" s="38">
        <f t="shared" si="78"/>
        <v>1</v>
      </c>
      <c r="C143" s="87" t="s">
        <v>573</v>
      </c>
      <c r="D143" s="87" t="s">
        <v>574</v>
      </c>
      <c r="E143" s="174">
        <v>94</v>
      </c>
      <c r="F143" s="174">
        <v>94</v>
      </c>
      <c r="G143" s="174" t="s">
        <v>690</v>
      </c>
      <c r="H143" s="88">
        <v>0</v>
      </c>
      <c r="I143" s="88">
        <v>0</v>
      </c>
      <c r="J143" s="88">
        <v>0</v>
      </c>
      <c r="K143" s="88">
        <v>0</v>
      </c>
      <c r="L143" s="88">
        <v>0</v>
      </c>
      <c r="M143" s="88">
        <v>0</v>
      </c>
      <c r="N143" s="88">
        <v>0</v>
      </c>
      <c r="O143" s="88">
        <v>0</v>
      </c>
      <c r="P143" s="88">
        <v>0</v>
      </c>
      <c r="Q143" s="88">
        <v>0</v>
      </c>
      <c r="R143" s="88">
        <v>0</v>
      </c>
      <c r="S143" s="88">
        <v>0</v>
      </c>
      <c r="T143" s="88">
        <f t="shared" si="89"/>
        <v>0</v>
      </c>
      <c r="U143" s="88"/>
      <c r="V143" s="88">
        <f t="shared" si="73"/>
        <v>0</v>
      </c>
      <c r="W143" s="88">
        <f t="shared" si="73"/>
        <v>0</v>
      </c>
      <c r="X143" s="88">
        <f t="shared" si="73"/>
        <v>0</v>
      </c>
      <c r="Y143" s="88">
        <f t="shared" si="72"/>
        <v>0</v>
      </c>
      <c r="Z143" s="88">
        <f t="shared" si="72"/>
        <v>0</v>
      </c>
      <c r="AA143" s="88">
        <f t="shared" si="72"/>
        <v>0</v>
      </c>
      <c r="AB143" s="88">
        <f t="shared" si="72"/>
        <v>0</v>
      </c>
      <c r="AC143" s="88">
        <f t="shared" si="72"/>
        <v>0</v>
      </c>
      <c r="AD143" s="88">
        <f t="shared" si="77"/>
        <v>0</v>
      </c>
      <c r="AE143" s="88">
        <f t="shared" si="77"/>
        <v>0</v>
      </c>
      <c r="AF143" s="88">
        <f t="shared" si="77"/>
        <v>0</v>
      </c>
      <c r="AG143" s="88">
        <f t="shared" si="77"/>
        <v>0</v>
      </c>
      <c r="AH143" s="70">
        <f t="shared" si="90"/>
        <v>0</v>
      </c>
      <c r="AI143" s="88">
        <f t="shared" si="76"/>
        <v>0</v>
      </c>
      <c r="AO143" s="90"/>
      <c r="AR143" s="69">
        <f>+IFERROR((VLOOKUP(C143,#REF!,3,FALSE)),0)</f>
        <v>0</v>
      </c>
      <c r="AS143" s="88">
        <f t="shared" si="81"/>
        <v>0</v>
      </c>
      <c r="AT143" s="90">
        <f t="shared" si="82"/>
        <v>0</v>
      </c>
      <c r="AW143" s="89">
        <f t="shared" ca="1" si="83"/>
        <v>96.314635088764007</v>
      </c>
      <c r="AX143" s="90">
        <f t="shared" ca="1" si="84"/>
        <v>0</v>
      </c>
      <c r="AY143" s="86">
        <f t="shared" ca="1" si="85"/>
        <v>0</v>
      </c>
      <c r="AZ143" s="402">
        <f t="shared" ca="1" si="86"/>
        <v>0</v>
      </c>
      <c r="BA143" s="402">
        <f t="shared" ca="1" si="87"/>
        <v>0</v>
      </c>
    </row>
    <row r="144" spans="1:56" ht="12" customHeight="1">
      <c r="A144" s="38" t="str">
        <f t="shared" si="80"/>
        <v>Joes TC Refuse UTCSP1.5-COMM</v>
      </c>
      <c r="B144" s="38">
        <f t="shared" si="78"/>
        <v>1</v>
      </c>
      <c r="C144" s="87" t="s">
        <v>548</v>
      </c>
      <c r="D144" s="87" t="s">
        <v>549</v>
      </c>
      <c r="E144" s="174">
        <v>34.979999999999997</v>
      </c>
      <c r="F144" s="174">
        <v>34.83</v>
      </c>
      <c r="G144" s="174" t="s">
        <v>703</v>
      </c>
      <c r="H144" s="88">
        <v>0</v>
      </c>
      <c r="I144" s="88">
        <v>0</v>
      </c>
      <c r="J144" s="88">
        <v>0</v>
      </c>
      <c r="K144" s="88">
        <v>0</v>
      </c>
      <c r="L144" s="88">
        <v>0</v>
      </c>
      <c r="M144" s="88">
        <v>0</v>
      </c>
      <c r="N144" s="88">
        <v>0</v>
      </c>
      <c r="O144" s="88">
        <v>0</v>
      </c>
      <c r="P144" s="88">
        <v>0</v>
      </c>
      <c r="Q144" s="88">
        <v>34.83</v>
      </c>
      <c r="R144" s="88">
        <v>0</v>
      </c>
      <c r="S144" s="88">
        <v>0</v>
      </c>
      <c r="T144" s="88">
        <f t="shared" si="79"/>
        <v>34.83</v>
      </c>
      <c r="U144" s="88"/>
      <c r="V144" s="88">
        <f t="shared" si="73"/>
        <v>0</v>
      </c>
      <c r="W144" s="88">
        <f t="shared" si="73"/>
        <v>0</v>
      </c>
      <c r="X144" s="88">
        <f t="shared" si="73"/>
        <v>0</v>
      </c>
      <c r="Y144" s="88">
        <f t="shared" si="72"/>
        <v>0</v>
      </c>
      <c r="Z144" s="88">
        <f t="shared" si="72"/>
        <v>0</v>
      </c>
      <c r="AA144" s="88">
        <f t="shared" si="72"/>
        <v>0</v>
      </c>
      <c r="AB144" s="88">
        <f t="shared" si="72"/>
        <v>0</v>
      </c>
      <c r="AC144" s="88">
        <f t="shared" si="72"/>
        <v>0</v>
      </c>
      <c r="AD144" s="88">
        <f t="shared" si="77"/>
        <v>0</v>
      </c>
      <c r="AE144" s="88">
        <f t="shared" si="77"/>
        <v>1</v>
      </c>
      <c r="AF144" s="88">
        <f t="shared" si="77"/>
        <v>0</v>
      </c>
      <c r="AG144" s="88">
        <f t="shared" si="77"/>
        <v>0</v>
      </c>
      <c r="AH144" s="175">
        <f t="shared" si="70"/>
        <v>1</v>
      </c>
      <c r="AI144" s="88">
        <f t="shared" si="76"/>
        <v>8.3333333333333329E-2</v>
      </c>
      <c r="AR144" s="69">
        <v>26.17</v>
      </c>
      <c r="AS144" s="88">
        <f t="shared" si="81"/>
        <v>26.17</v>
      </c>
      <c r="AT144" s="90">
        <f t="shared" si="82"/>
        <v>-8.6599999999999966</v>
      </c>
      <c r="AW144" s="89">
        <f t="shared" ca="1" si="83"/>
        <v>35.687646171719685</v>
      </c>
      <c r="AX144" s="90">
        <f t="shared" ca="1" si="84"/>
        <v>35.687646171719685</v>
      </c>
      <c r="AY144" s="86">
        <f t="shared" ca="1" si="85"/>
        <v>0.85764617171968638</v>
      </c>
      <c r="AZ144" s="402">
        <f t="shared" ca="1" si="86"/>
        <v>0.13676012158546538</v>
      </c>
      <c r="BA144" s="402">
        <f t="shared" ca="1" si="87"/>
        <v>35.824406293305152</v>
      </c>
    </row>
    <row r="145" spans="1:53" ht="12" customHeight="1">
      <c r="A145" s="38" t="str">
        <f t="shared" si="80"/>
        <v>Joes TC Refuse UTCSP1-COMM</v>
      </c>
      <c r="B145" s="38">
        <f t="shared" si="78"/>
        <v>1</v>
      </c>
      <c r="C145" s="87" t="s">
        <v>550</v>
      </c>
      <c r="D145" s="87" t="s">
        <v>551</v>
      </c>
      <c r="E145" s="174">
        <v>26.72</v>
      </c>
      <c r="F145" s="174">
        <v>26.6</v>
      </c>
      <c r="G145" s="174" t="s">
        <v>703</v>
      </c>
      <c r="H145" s="88">
        <v>26.72</v>
      </c>
      <c r="I145" s="88">
        <v>0</v>
      </c>
      <c r="J145" s="88">
        <v>26.72</v>
      </c>
      <c r="K145" s="88">
        <v>26.72</v>
      </c>
      <c r="L145" s="88">
        <v>53.44</v>
      </c>
      <c r="M145" s="88">
        <v>80.16</v>
      </c>
      <c r="N145" s="88">
        <v>26.72</v>
      </c>
      <c r="O145" s="88">
        <v>26.72</v>
      </c>
      <c r="P145" s="88">
        <v>0</v>
      </c>
      <c r="Q145" s="88">
        <v>53.2</v>
      </c>
      <c r="R145" s="88">
        <v>53.2</v>
      </c>
      <c r="S145" s="88">
        <v>0</v>
      </c>
      <c r="T145" s="88">
        <f t="shared" si="79"/>
        <v>373.59999999999997</v>
      </c>
      <c r="U145" s="88"/>
      <c r="V145" s="88">
        <f t="shared" si="73"/>
        <v>1</v>
      </c>
      <c r="W145" s="88">
        <f t="shared" si="73"/>
        <v>0</v>
      </c>
      <c r="X145" s="88">
        <f t="shared" si="73"/>
        <v>1</v>
      </c>
      <c r="Y145" s="88">
        <f t="shared" si="72"/>
        <v>1</v>
      </c>
      <c r="Z145" s="88">
        <f t="shared" si="72"/>
        <v>2</v>
      </c>
      <c r="AA145" s="88">
        <f t="shared" si="72"/>
        <v>3</v>
      </c>
      <c r="AB145" s="88">
        <f t="shared" si="72"/>
        <v>1</v>
      </c>
      <c r="AC145" s="88">
        <f t="shared" si="72"/>
        <v>1</v>
      </c>
      <c r="AD145" s="88">
        <f t="shared" si="77"/>
        <v>0</v>
      </c>
      <c r="AE145" s="88">
        <f t="shared" si="77"/>
        <v>2</v>
      </c>
      <c r="AF145" s="88">
        <f t="shared" si="77"/>
        <v>2</v>
      </c>
      <c r="AG145" s="88">
        <f t="shared" si="77"/>
        <v>0</v>
      </c>
      <c r="AH145" s="175">
        <f t="shared" si="70"/>
        <v>14</v>
      </c>
      <c r="AI145" s="88">
        <f t="shared" si="76"/>
        <v>1.1666666666666667</v>
      </c>
      <c r="AR145" s="69">
        <v>20.170000000000002</v>
      </c>
      <c r="AS145" s="88">
        <f t="shared" si="81"/>
        <v>282.38</v>
      </c>
      <c r="AT145" s="90">
        <f t="shared" si="82"/>
        <v>-91.21999999999997</v>
      </c>
      <c r="AW145" s="89">
        <f t="shared" ca="1" si="83"/>
        <v>27.254992482565136</v>
      </c>
      <c r="AX145" s="90">
        <f t="shared" ca="1" si="84"/>
        <v>381.56989475591195</v>
      </c>
      <c r="AY145" s="86">
        <f t="shared" ca="1" si="85"/>
        <v>7.9698947559119802</v>
      </c>
      <c r="AZ145" s="402">
        <f t="shared" ca="1" si="86"/>
        <v>1.462229953443219</v>
      </c>
      <c r="BA145" s="402">
        <f t="shared" ca="1" si="87"/>
        <v>383.03212470935517</v>
      </c>
    </row>
    <row r="146" spans="1:53" ht="12" customHeight="1">
      <c r="A146" s="38" t="str">
        <f t="shared" si="80"/>
        <v>Joes TC Refuse UTCSP2-COMM</v>
      </c>
      <c r="B146" s="38">
        <f t="shared" si="78"/>
        <v>1</v>
      </c>
      <c r="C146" s="87" t="s">
        <v>552</v>
      </c>
      <c r="D146" s="87" t="s">
        <v>553</v>
      </c>
      <c r="E146" s="174">
        <v>42.49</v>
      </c>
      <c r="F146" s="174">
        <v>42.3</v>
      </c>
      <c r="G146" s="174" t="s">
        <v>703</v>
      </c>
      <c r="H146" s="88">
        <v>0</v>
      </c>
      <c r="I146" s="88">
        <v>0</v>
      </c>
      <c r="J146" s="88">
        <v>42.49</v>
      </c>
      <c r="K146" s="88">
        <v>42.49</v>
      </c>
      <c r="L146" s="88">
        <v>0</v>
      </c>
      <c r="M146" s="88">
        <v>0</v>
      </c>
      <c r="N146" s="88">
        <v>0</v>
      </c>
      <c r="O146" s="88">
        <v>84.98</v>
      </c>
      <c r="P146" s="88">
        <v>42.3</v>
      </c>
      <c r="Q146" s="88">
        <v>0</v>
      </c>
      <c r="R146" s="88">
        <v>42.3</v>
      </c>
      <c r="S146" s="88">
        <v>0</v>
      </c>
      <c r="T146" s="88">
        <f t="shared" si="79"/>
        <v>254.56</v>
      </c>
      <c r="U146" s="88"/>
      <c r="V146" s="88">
        <f t="shared" si="73"/>
        <v>0</v>
      </c>
      <c r="W146" s="88">
        <f t="shared" si="73"/>
        <v>0</v>
      </c>
      <c r="X146" s="88">
        <f t="shared" si="73"/>
        <v>1</v>
      </c>
      <c r="Y146" s="88">
        <f t="shared" si="72"/>
        <v>1</v>
      </c>
      <c r="Z146" s="88">
        <f t="shared" si="72"/>
        <v>0</v>
      </c>
      <c r="AA146" s="88">
        <f t="shared" si="72"/>
        <v>0</v>
      </c>
      <c r="AB146" s="88">
        <f t="shared" si="72"/>
        <v>0</v>
      </c>
      <c r="AC146" s="88">
        <f t="shared" si="72"/>
        <v>2</v>
      </c>
      <c r="AD146" s="88">
        <f t="shared" si="77"/>
        <v>1</v>
      </c>
      <c r="AE146" s="88">
        <f t="shared" si="77"/>
        <v>0</v>
      </c>
      <c r="AF146" s="88">
        <f t="shared" si="77"/>
        <v>1</v>
      </c>
      <c r="AG146" s="88">
        <f t="shared" si="77"/>
        <v>0</v>
      </c>
      <c r="AH146" s="175">
        <f t="shared" si="70"/>
        <v>6</v>
      </c>
      <c r="AI146" s="88">
        <f t="shared" si="76"/>
        <v>0.5</v>
      </c>
      <c r="AR146" s="69">
        <v>32.43</v>
      </c>
      <c r="AS146" s="88">
        <f t="shared" si="81"/>
        <v>194.57999999999998</v>
      </c>
      <c r="AT146" s="90">
        <f t="shared" si="82"/>
        <v>-59.980000000000018</v>
      </c>
      <c r="AW146" s="89">
        <f t="shared" ca="1" si="83"/>
        <v>43.3415857899438</v>
      </c>
      <c r="AX146" s="90">
        <f t="shared" ca="1" si="84"/>
        <v>260.04951473966281</v>
      </c>
      <c r="AY146" s="86">
        <f t="shared" ca="1" si="85"/>
        <v>5.489514739662809</v>
      </c>
      <c r="AZ146" s="402">
        <f t="shared" ca="1" si="86"/>
        <v>0.99654662240571679</v>
      </c>
      <c r="BA146" s="402">
        <f t="shared" ca="1" si="87"/>
        <v>261.04606136206854</v>
      </c>
    </row>
    <row r="147" spans="1:53" ht="12" customHeight="1">
      <c r="A147" s="38" t="str">
        <f t="shared" si="80"/>
        <v>Joes TC Refuse UTCSP3-COMM</v>
      </c>
      <c r="B147" s="38">
        <f t="shared" si="78"/>
        <v>1</v>
      </c>
      <c r="C147" s="87" t="s">
        <v>554</v>
      </c>
      <c r="D147" s="87" t="s">
        <v>555</v>
      </c>
      <c r="E147" s="174">
        <v>63.49</v>
      </c>
      <c r="F147" s="174">
        <v>63.21</v>
      </c>
      <c r="G147" s="174" t="s">
        <v>703</v>
      </c>
      <c r="H147" s="88">
        <v>0</v>
      </c>
      <c r="I147" s="88">
        <v>0</v>
      </c>
      <c r="J147" s="88">
        <v>0</v>
      </c>
      <c r="K147" s="88">
        <v>0</v>
      </c>
      <c r="L147" s="88">
        <v>0</v>
      </c>
      <c r="M147" s="88">
        <v>0</v>
      </c>
      <c r="N147" s="88">
        <v>0</v>
      </c>
      <c r="O147" s="88">
        <v>0</v>
      </c>
      <c r="P147" s="88">
        <v>0</v>
      </c>
      <c r="Q147" s="88">
        <v>0</v>
      </c>
      <c r="R147" s="88">
        <v>0</v>
      </c>
      <c r="S147" s="88">
        <v>63.21</v>
      </c>
      <c r="T147" s="88">
        <f t="shared" si="79"/>
        <v>63.21</v>
      </c>
      <c r="U147" s="88"/>
      <c r="V147" s="88">
        <f t="shared" si="73"/>
        <v>0</v>
      </c>
      <c r="W147" s="88">
        <f t="shared" si="73"/>
        <v>0</v>
      </c>
      <c r="X147" s="88">
        <f t="shared" si="73"/>
        <v>0</v>
      </c>
      <c r="Y147" s="88">
        <f t="shared" si="72"/>
        <v>0</v>
      </c>
      <c r="Z147" s="88">
        <f t="shared" si="72"/>
        <v>0</v>
      </c>
      <c r="AA147" s="88">
        <f t="shared" si="72"/>
        <v>0</v>
      </c>
      <c r="AB147" s="88">
        <f t="shared" si="72"/>
        <v>0</v>
      </c>
      <c r="AC147" s="88">
        <f t="shared" si="72"/>
        <v>0</v>
      </c>
      <c r="AD147" s="88">
        <f t="shared" si="77"/>
        <v>0</v>
      </c>
      <c r="AE147" s="88">
        <f t="shared" si="77"/>
        <v>0</v>
      </c>
      <c r="AF147" s="88">
        <f t="shared" si="77"/>
        <v>0</v>
      </c>
      <c r="AG147" s="88">
        <f t="shared" si="77"/>
        <v>1</v>
      </c>
      <c r="AH147" s="175">
        <f t="shared" si="70"/>
        <v>1</v>
      </c>
      <c r="AI147" s="88">
        <f t="shared" si="76"/>
        <v>8.3333333333333329E-2</v>
      </c>
      <c r="AR147" s="69">
        <v>47.48</v>
      </c>
      <c r="AS147" s="88">
        <f t="shared" si="81"/>
        <v>47.48</v>
      </c>
      <c r="AT147" s="90">
        <f t="shared" si="82"/>
        <v>-15.730000000000004</v>
      </c>
      <c r="AW147" s="89">
        <f t="shared" ca="1" si="83"/>
        <v>64.766468978306094</v>
      </c>
      <c r="AX147" s="90">
        <f t="shared" ca="1" si="84"/>
        <v>64.766468978306094</v>
      </c>
      <c r="AY147" s="86">
        <f t="shared" ca="1" si="85"/>
        <v>1.5564689783060928</v>
      </c>
      <c r="AZ147" s="402">
        <f t="shared" ca="1" si="86"/>
        <v>0.24819429472917792</v>
      </c>
      <c r="BA147" s="402">
        <f t="shared" ca="1" si="87"/>
        <v>65.014663273035268</v>
      </c>
    </row>
    <row r="148" spans="1:53" ht="12" customHeight="1">
      <c r="A148" s="38" t="str">
        <f t="shared" si="80"/>
        <v>Joes TC Refuse UTCSP4-COMM</v>
      </c>
      <c r="B148" s="38">
        <f t="shared" si="78"/>
        <v>1</v>
      </c>
      <c r="C148" s="87" t="s">
        <v>556</v>
      </c>
      <c r="D148" s="87" t="s">
        <v>557</v>
      </c>
      <c r="E148" s="174">
        <v>84.78</v>
      </c>
      <c r="F148" s="174">
        <v>84.41</v>
      </c>
      <c r="G148" s="174" t="s">
        <v>703</v>
      </c>
      <c r="H148" s="88">
        <v>0</v>
      </c>
      <c r="I148" s="88">
        <v>0</v>
      </c>
      <c r="J148" s="88">
        <v>0</v>
      </c>
      <c r="K148" s="88">
        <v>0</v>
      </c>
      <c r="L148" s="88">
        <v>0</v>
      </c>
      <c r="M148" s="88">
        <v>0</v>
      </c>
      <c r="N148" s="88">
        <v>0</v>
      </c>
      <c r="O148" s="88">
        <v>0</v>
      </c>
      <c r="P148" s="88">
        <v>0</v>
      </c>
      <c r="Q148" s="88">
        <v>0</v>
      </c>
      <c r="R148" s="88">
        <v>0</v>
      </c>
      <c r="S148" s="88">
        <v>0</v>
      </c>
      <c r="T148" s="88">
        <f t="shared" si="79"/>
        <v>0</v>
      </c>
      <c r="U148" s="88"/>
      <c r="V148" s="88">
        <f t="shared" si="73"/>
        <v>0</v>
      </c>
      <c r="W148" s="88">
        <f t="shared" si="73"/>
        <v>0</v>
      </c>
      <c r="X148" s="88">
        <f t="shared" si="73"/>
        <v>0</v>
      </c>
      <c r="Y148" s="88">
        <f t="shared" si="73"/>
        <v>0</v>
      </c>
      <c r="Z148" s="88">
        <f t="shared" si="73"/>
        <v>0</v>
      </c>
      <c r="AA148" s="88">
        <f t="shared" si="73"/>
        <v>0</v>
      </c>
      <c r="AB148" s="88">
        <f t="shared" si="73"/>
        <v>0</v>
      </c>
      <c r="AC148" s="88">
        <f t="shared" si="73"/>
        <v>0</v>
      </c>
      <c r="AD148" s="88">
        <f t="shared" si="77"/>
        <v>0</v>
      </c>
      <c r="AE148" s="88">
        <f t="shared" si="77"/>
        <v>0</v>
      </c>
      <c r="AF148" s="88">
        <f t="shared" si="77"/>
        <v>0</v>
      </c>
      <c r="AG148" s="88">
        <f t="shared" si="77"/>
        <v>0</v>
      </c>
      <c r="AH148" s="175">
        <f t="shared" si="70"/>
        <v>0</v>
      </c>
      <c r="AI148" s="88">
        <f t="shared" si="76"/>
        <v>0</v>
      </c>
      <c r="AR148" s="69">
        <v>58.23</v>
      </c>
      <c r="AS148" s="88">
        <f t="shared" si="81"/>
        <v>0</v>
      </c>
      <c r="AT148" s="90">
        <f t="shared" si="82"/>
        <v>0</v>
      </c>
      <c r="AW148" s="89">
        <f t="shared" ca="1" si="83"/>
        <v>86.488493062155001</v>
      </c>
      <c r="AX148" s="90">
        <f t="shared" ca="1" si="84"/>
        <v>0</v>
      </c>
      <c r="AY148" s="86">
        <f t="shared" ca="1" si="85"/>
        <v>0</v>
      </c>
      <c r="AZ148" s="402">
        <f t="shared" ca="1" si="86"/>
        <v>0</v>
      </c>
      <c r="BA148" s="402">
        <f t="shared" ca="1" si="87"/>
        <v>0</v>
      </c>
    </row>
    <row r="149" spans="1:53" ht="12" customHeight="1">
      <c r="A149" s="38" t="str">
        <f t="shared" si="80"/>
        <v>Joes TC Refuse UTCSP6-COMM</v>
      </c>
      <c r="B149" s="38">
        <f t="shared" si="78"/>
        <v>1</v>
      </c>
      <c r="C149" s="87" t="s">
        <v>558</v>
      </c>
      <c r="D149" s="87" t="s">
        <v>559</v>
      </c>
      <c r="E149" s="174">
        <v>125.11</v>
      </c>
      <c r="F149" s="174">
        <v>124.57</v>
      </c>
      <c r="G149" s="174" t="s">
        <v>703</v>
      </c>
      <c r="H149" s="88">
        <v>0</v>
      </c>
      <c r="I149" s="88">
        <v>250.22</v>
      </c>
      <c r="J149" s="88">
        <v>0</v>
      </c>
      <c r="K149" s="88">
        <v>0</v>
      </c>
      <c r="L149" s="88">
        <v>0</v>
      </c>
      <c r="M149" s="88">
        <v>0</v>
      </c>
      <c r="N149" s="88">
        <v>0</v>
      </c>
      <c r="O149" s="88">
        <v>0</v>
      </c>
      <c r="P149" s="88">
        <v>0</v>
      </c>
      <c r="Q149" s="88">
        <v>0</v>
      </c>
      <c r="R149" s="88">
        <v>0</v>
      </c>
      <c r="S149" s="88">
        <v>0</v>
      </c>
      <c r="T149" s="88">
        <f t="shared" si="79"/>
        <v>250.22</v>
      </c>
      <c r="U149" s="88"/>
      <c r="V149" s="88">
        <f t="shared" si="73"/>
        <v>0</v>
      </c>
      <c r="W149" s="88">
        <f t="shared" si="73"/>
        <v>2</v>
      </c>
      <c r="X149" s="88">
        <f t="shared" si="73"/>
        <v>0</v>
      </c>
      <c r="Y149" s="88">
        <f t="shared" si="73"/>
        <v>0</v>
      </c>
      <c r="Z149" s="88">
        <f t="shared" si="73"/>
        <v>0</v>
      </c>
      <c r="AA149" s="88">
        <f t="shared" si="73"/>
        <v>0</v>
      </c>
      <c r="AB149" s="88">
        <f t="shared" si="73"/>
        <v>0</v>
      </c>
      <c r="AC149" s="88">
        <f t="shared" si="73"/>
        <v>0</v>
      </c>
      <c r="AD149" s="88">
        <f t="shared" si="77"/>
        <v>0</v>
      </c>
      <c r="AE149" s="88">
        <f t="shared" si="77"/>
        <v>0</v>
      </c>
      <c r="AF149" s="88">
        <f t="shared" si="77"/>
        <v>0</v>
      </c>
      <c r="AG149" s="88">
        <f t="shared" si="77"/>
        <v>0</v>
      </c>
      <c r="AH149" s="175">
        <f t="shared" si="70"/>
        <v>2</v>
      </c>
      <c r="AI149" s="88">
        <f t="shared" si="76"/>
        <v>0.16666666666666666</v>
      </c>
      <c r="AR149" s="69">
        <v>78.650000000000006</v>
      </c>
      <c r="AS149" s="88">
        <f t="shared" si="81"/>
        <v>157.30000000000001</v>
      </c>
      <c r="AT149" s="90">
        <f t="shared" si="82"/>
        <v>-92.919999999999987</v>
      </c>
      <c r="AW149" s="89">
        <f t="shared" ca="1" si="83"/>
        <v>127.63738396816311</v>
      </c>
      <c r="AX149" s="90">
        <f t="shared" ca="1" si="84"/>
        <v>255.27476793632621</v>
      </c>
      <c r="AY149" s="86">
        <f t="shared" ca="1" si="85"/>
        <v>5.0547679363262148</v>
      </c>
      <c r="AZ149" s="402">
        <f t="shared" ca="1" si="86"/>
        <v>0.97824911546950466</v>
      </c>
      <c r="BA149" s="402">
        <f t="shared" ca="1" si="87"/>
        <v>256.25301705179572</v>
      </c>
    </row>
    <row r="150" spans="1:53" ht="12" customHeight="1">
      <c r="A150" s="38" t="str">
        <f t="shared" si="80"/>
        <v>Joes TC Refuse UTCSPCL65-COMM</v>
      </c>
      <c r="B150" s="38">
        <f t="shared" si="78"/>
        <v>1</v>
      </c>
      <c r="C150" s="87" t="s">
        <v>560</v>
      </c>
      <c r="D150" s="87" t="s">
        <v>561</v>
      </c>
      <c r="E150" s="174">
        <v>28.25</v>
      </c>
      <c r="F150" s="174">
        <v>28.13</v>
      </c>
      <c r="G150" s="174" t="s">
        <v>701</v>
      </c>
      <c r="H150" s="88">
        <v>0</v>
      </c>
      <c r="I150" s="88">
        <v>0</v>
      </c>
      <c r="J150" s="88">
        <v>0</v>
      </c>
      <c r="K150" s="88">
        <v>0</v>
      </c>
      <c r="L150" s="88">
        <v>0</v>
      </c>
      <c r="M150" s="88">
        <v>0</v>
      </c>
      <c r="N150" s="88">
        <v>0</v>
      </c>
      <c r="O150" s="88">
        <v>0</v>
      </c>
      <c r="P150" s="88">
        <v>0</v>
      </c>
      <c r="Q150" s="88">
        <v>0</v>
      </c>
      <c r="R150" s="88">
        <v>0</v>
      </c>
      <c r="S150" s="88">
        <v>0</v>
      </c>
      <c r="T150" s="88">
        <f t="shared" si="79"/>
        <v>0</v>
      </c>
      <c r="U150" s="88"/>
      <c r="V150" s="88">
        <f t="shared" si="73"/>
        <v>0</v>
      </c>
      <c r="W150" s="88">
        <f t="shared" si="73"/>
        <v>0</v>
      </c>
      <c r="X150" s="88">
        <f t="shared" si="73"/>
        <v>0</v>
      </c>
      <c r="Y150" s="88">
        <f t="shared" si="73"/>
        <v>0</v>
      </c>
      <c r="Z150" s="88">
        <f t="shared" si="73"/>
        <v>0</v>
      </c>
      <c r="AA150" s="88">
        <f t="shared" si="73"/>
        <v>0</v>
      </c>
      <c r="AB150" s="88">
        <f t="shared" si="73"/>
        <v>0</v>
      </c>
      <c r="AC150" s="88">
        <f t="shared" si="73"/>
        <v>0</v>
      </c>
      <c r="AD150" s="88">
        <f t="shared" si="77"/>
        <v>0</v>
      </c>
      <c r="AE150" s="88">
        <f t="shared" si="77"/>
        <v>0</v>
      </c>
      <c r="AF150" s="88">
        <f t="shared" si="77"/>
        <v>0</v>
      </c>
      <c r="AG150" s="88">
        <f t="shared" si="77"/>
        <v>0</v>
      </c>
      <c r="AH150" s="175">
        <f t="shared" si="70"/>
        <v>0</v>
      </c>
      <c r="AI150" s="88">
        <f t="shared" si="76"/>
        <v>0</v>
      </c>
      <c r="AR150" s="69">
        <v>0</v>
      </c>
      <c r="AS150" s="88">
        <f t="shared" si="81"/>
        <v>0</v>
      </c>
      <c r="AT150" s="90">
        <f t="shared" si="82"/>
        <v>0</v>
      </c>
      <c r="AW150" s="89">
        <f t="shared" ca="1" si="83"/>
        <v>28.822666862201398</v>
      </c>
      <c r="AX150" s="90">
        <f t="shared" ca="1" si="84"/>
        <v>0</v>
      </c>
      <c r="AY150" s="86">
        <f t="shared" ca="1" si="85"/>
        <v>0</v>
      </c>
      <c r="AZ150" s="402">
        <f t="shared" ca="1" si="86"/>
        <v>0</v>
      </c>
      <c r="BA150" s="402">
        <f t="shared" ca="1" si="87"/>
        <v>0</v>
      </c>
    </row>
    <row r="151" spans="1:53" ht="12" customHeight="1">
      <c r="A151" s="38" t="str">
        <f t="shared" si="80"/>
        <v>Joes TC Refuse UTCSPCL95-COMM</v>
      </c>
      <c r="B151" s="38">
        <f t="shared" si="78"/>
        <v>1</v>
      </c>
      <c r="C151" s="87" t="s">
        <v>562</v>
      </c>
      <c r="D151" s="87" t="s">
        <v>563</v>
      </c>
      <c r="E151" s="174">
        <v>39.299999999999997</v>
      </c>
      <c r="F151" s="174">
        <v>39.130000000000003</v>
      </c>
      <c r="G151" s="174" t="s">
        <v>701</v>
      </c>
      <c r="H151" s="88">
        <v>0</v>
      </c>
      <c r="I151" s="88">
        <v>0</v>
      </c>
      <c r="J151" s="88">
        <v>0</v>
      </c>
      <c r="K151" s="88">
        <v>0</v>
      </c>
      <c r="L151" s="88">
        <v>0</v>
      </c>
      <c r="M151" s="88">
        <v>0</v>
      </c>
      <c r="N151" s="88">
        <v>0</v>
      </c>
      <c r="O151" s="88">
        <v>0</v>
      </c>
      <c r="P151" s="88">
        <v>0</v>
      </c>
      <c r="Q151" s="88">
        <v>0</v>
      </c>
      <c r="R151" s="88">
        <v>0</v>
      </c>
      <c r="S151" s="88">
        <v>0</v>
      </c>
      <c r="T151" s="88">
        <f t="shared" si="79"/>
        <v>0</v>
      </c>
      <c r="U151" s="88"/>
      <c r="V151" s="88">
        <f t="shared" si="73"/>
        <v>0</v>
      </c>
      <c r="W151" s="88">
        <f t="shared" si="73"/>
        <v>0</v>
      </c>
      <c r="X151" s="88">
        <f t="shared" si="73"/>
        <v>0</v>
      </c>
      <c r="Y151" s="88">
        <f t="shared" si="73"/>
        <v>0</v>
      </c>
      <c r="Z151" s="88">
        <f t="shared" si="73"/>
        <v>0</v>
      </c>
      <c r="AA151" s="88">
        <f t="shared" si="73"/>
        <v>0</v>
      </c>
      <c r="AB151" s="88">
        <f t="shared" si="73"/>
        <v>0</v>
      </c>
      <c r="AC151" s="88">
        <f t="shared" si="73"/>
        <v>0</v>
      </c>
      <c r="AD151" s="88">
        <f t="shared" si="77"/>
        <v>0</v>
      </c>
      <c r="AE151" s="88">
        <f t="shared" si="77"/>
        <v>0</v>
      </c>
      <c r="AF151" s="88">
        <f t="shared" si="77"/>
        <v>0</v>
      </c>
      <c r="AG151" s="88">
        <f t="shared" si="77"/>
        <v>0</v>
      </c>
      <c r="AH151" s="175">
        <f t="shared" si="70"/>
        <v>0</v>
      </c>
      <c r="AI151" s="88">
        <f t="shared" si="76"/>
        <v>0</v>
      </c>
      <c r="AR151" s="69">
        <v>0</v>
      </c>
      <c r="AS151" s="88">
        <f t="shared" si="81"/>
        <v>0</v>
      </c>
      <c r="AT151" s="90">
        <f t="shared" si="82"/>
        <v>0</v>
      </c>
      <c r="AW151" s="89">
        <f t="shared" ca="1" si="83"/>
        <v>40.093528415141868</v>
      </c>
      <c r="AX151" s="90">
        <f t="shared" ca="1" si="84"/>
        <v>0</v>
      </c>
      <c r="AY151" s="86">
        <f t="shared" ca="1" si="85"/>
        <v>0</v>
      </c>
      <c r="AZ151" s="402">
        <f t="shared" ca="1" si="86"/>
        <v>0</v>
      </c>
      <c r="BA151" s="402">
        <f t="shared" ca="1" si="87"/>
        <v>0</v>
      </c>
    </row>
    <row r="152" spans="1:53" ht="12" customHeight="1">
      <c r="C152" s="165"/>
      <c r="D152" s="165"/>
      <c r="E152" s="174"/>
      <c r="F152" s="174"/>
      <c r="G152" s="174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70"/>
      <c r="AI152" s="88"/>
      <c r="AJ152" s="131" t="s">
        <v>699</v>
      </c>
      <c r="AK152" s="180">
        <f>SUM(AO138:AO141,AO67:AO68)</f>
        <v>241.16698875748716</v>
      </c>
      <c r="AR152" s="69"/>
      <c r="BA152" s="401"/>
    </row>
    <row r="153" spans="1:53" ht="12" customHeight="1">
      <c r="B153" s="38">
        <f>COUNTIF(C:C,C153)</f>
        <v>0</v>
      </c>
      <c r="C153" s="165"/>
      <c r="D153" s="182" t="s">
        <v>579</v>
      </c>
      <c r="E153" s="174"/>
      <c r="F153" s="174"/>
      <c r="G153" s="174"/>
      <c r="H153" s="115">
        <f t="shared" ref="H153:S153" si="91">SUM(H66:H152)</f>
        <v>65907.22500000002</v>
      </c>
      <c r="I153" s="115">
        <f t="shared" si="91"/>
        <v>65879.85500000001</v>
      </c>
      <c r="J153" s="115">
        <f t="shared" si="91"/>
        <v>67015.675000000017</v>
      </c>
      <c r="K153" s="115">
        <f t="shared" si="91"/>
        <v>67508.895000000019</v>
      </c>
      <c r="L153" s="115">
        <f t="shared" si="91"/>
        <v>69470.024999999994</v>
      </c>
      <c r="M153" s="115">
        <f t="shared" si="91"/>
        <v>68523.624999999985</v>
      </c>
      <c r="N153" s="115">
        <f t="shared" si="91"/>
        <v>69873.374999999971</v>
      </c>
      <c r="O153" s="115">
        <f t="shared" si="91"/>
        <v>69791.564999999988</v>
      </c>
      <c r="P153" s="115">
        <f t="shared" si="91"/>
        <v>68453.365000000005</v>
      </c>
      <c r="Q153" s="115">
        <f t="shared" si="91"/>
        <v>68913.114999999976</v>
      </c>
      <c r="R153" s="115">
        <f t="shared" si="91"/>
        <v>67668.14499999999</v>
      </c>
      <c r="S153" s="115">
        <f t="shared" si="91"/>
        <v>67539.564999999988</v>
      </c>
      <c r="T153" s="116">
        <f>SUM(T66:T152)</f>
        <v>816544.43</v>
      </c>
      <c r="U153" s="143"/>
      <c r="V153" s="118">
        <f t="shared" ref="V153:AH153" si="92">+SUM(V67:V68,V79:V105,V118:V130,V138:V141)</f>
        <v>558.84725756965736</v>
      </c>
      <c r="W153" s="118">
        <f t="shared" si="92"/>
        <v>558.99379764128764</v>
      </c>
      <c r="X153" s="118">
        <f t="shared" si="92"/>
        <v>582.90230626248967</v>
      </c>
      <c r="Y153" s="118">
        <f t="shared" si="92"/>
        <v>595.24476628223545</v>
      </c>
      <c r="Z153" s="118">
        <f t="shared" si="92"/>
        <v>638.61390989596362</v>
      </c>
      <c r="AA153" s="118">
        <f t="shared" si="92"/>
        <v>607.06717574590073</v>
      </c>
      <c r="AB153" s="118">
        <f t="shared" si="92"/>
        <v>617.50337765087056</v>
      </c>
      <c r="AC153" s="118">
        <f t="shared" si="92"/>
        <v>630.62880334840213</v>
      </c>
      <c r="AD153" s="118">
        <f t="shared" si="92"/>
        <v>590.86601189274666</v>
      </c>
      <c r="AE153" s="118">
        <f t="shared" si="92"/>
        <v>592.40196595642283</v>
      </c>
      <c r="AF153" s="118">
        <f t="shared" si="92"/>
        <v>559.86684164402448</v>
      </c>
      <c r="AG153" s="118">
        <f t="shared" si="92"/>
        <v>555.16031602709199</v>
      </c>
      <c r="AH153" s="118">
        <f t="shared" si="92"/>
        <v>7085.5885277142661</v>
      </c>
      <c r="AI153" s="118">
        <f>+SUM(AI67:AI68,AI79:AI105,AI118:AI130,AI138:AI141)</f>
        <v>590.46571064285547</v>
      </c>
      <c r="AJ153" s="187" t="s">
        <v>706</v>
      </c>
      <c r="AK153" s="180">
        <f>+SUM(AO118:AO130,AO79:AO105)</f>
        <v>354.34038821969324</v>
      </c>
      <c r="AL153" s="143"/>
      <c r="AM153" s="143"/>
      <c r="AN153" s="143"/>
      <c r="AO153" s="143"/>
      <c r="AP153" s="143"/>
      <c r="AQ153" s="143"/>
      <c r="AR153" s="145"/>
      <c r="AS153" s="118">
        <f>SUM(AS66:AS152)</f>
        <v>145543.14055928789</v>
      </c>
      <c r="AT153" s="116">
        <f>SUM(AT66:AT152)</f>
        <v>-671001.28944071208</v>
      </c>
      <c r="AU153" s="143"/>
      <c r="AV153" s="143"/>
      <c r="AW153" s="116">
        <f t="shared" ref="AW153:BA153" ca="1" si="93">SUM(AW66:AW152)</f>
        <v>14587.374042319856</v>
      </c>
      <c r="AX153" s="116">
        <f t="shared" ca="1" si="93"/>
        <v>834148.24322283559</v>
      </c>
      <c r="AY153" s="116">
        <f t="shared" ca="1" si="93"/>
        <v>17603.813222835477</v>
      </c>
      <c r="AZ153" s="406">
        <f t="shared" ca="1" si="93"/>
        <v>3196.574372390452</v>
      </c>
      <c r="BA153" s="406">
        <f t="shared" ca="1" si="93"/>
        <v>837344.81759522588</v>
      </c>
    </row>
    <row r="154" spans="1:53" ht="12" customHeight="1">
      <c r="C154" s="165"/>
      <c r="D154" s="165"/>
      <c r="E154" s="174"/>
      <c r="F154" s="174"/>
      <c r="G154" s="174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90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175" t="s">
        <v>581</v>
      </c>
      <c r="AI154" s="175">
        <f>SUM(AH67:AH68,AH77:AH105,AH118:AH130,AH138:AH141,AH144:AH151)</f>
        <v>7285.6536960922376</v>
      </c>
      <c r="AR154" s="69"/>
    </row>
    <row r="155" spans="1:53" ht="12" customHeight="1">
      <c r="B155" s="38">
        <f>COUNTIF(C:C,C155)</f>
        <v>1</v>
      </c>
      <c r="C155" s="185" t="s">
        <v>582</v>
      </c>
      <c r="D155" s="185" t="s">
        <v>583</v>
      </c>
      <c r="E155" s="174"/>
      <c r="F155" s="174"/>
      <c r="G155" s="174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90"/>
      <c r="V155" s="88">
        <f t="shared" ref="V155:W157" si="94">IFERROR(H155/$E155,0)</f>
        <v>0</v>
      </c>
      <c r="W155" s="88">
        <f t="shared" si="94"/>
        <v>0</v>
      </c>
      <c r="X155" s="88">
        <f>IFERROR(J155/$E155,0)</f>
        <v>0</v>
      </c>
      <c r="Y155" s="88">
        <f t="shared" ref="Y155:AG157" si="95">IFERROR(K155/$E155,0)</f>
        <v>0</v>
      </c>
      <c r="Z155" s="88">
        <f t="shared" si="95"/>
        <v>0</v>
      </c>
      <c r="AA155" s="88">
        <f t="shared" si="95"/>
        <v>0</v>
      </c>
      <c r="AB155" s="88">
        <f t="shared" si="95"/>
        <v>0</v>
      </c>
      <c r="AC155" s="88">
        <f t="shared" si="95"/>
        <v>0</v>
      </c>
      <c r="AD155" s="88">
        <f t="shared" si="95"/>
        <v>0</v>
      </c>
      <c r="AE155" s="88">
        <f t="shared" si="95"/>
        <v>0</v>
      </c>
      <c r="AF155" s="88">
        <f t="shared" si="95"/>
        <v>0</v>
      </c>
      <c r="AG155" s="88">
        <f t="shared" si="95"/>
        <v>0</v>
      </c>
      <c r="AH155" s="70">
        <f>SUM(V155:AG155)</f>
        <v>0</v>
      </c>
      <c r="AI155" s="88">
        <f>AH155/12</f>
        <v>0</v>
      </c>
      <c r="AR155" s="69"/>
    </row>
    <row r="156" spans="1:53" ht="12" hidden="1" customHeight="1">
      <c r="A156" s="38" t="str">
        <f t="shared" ref="A156" si="96">$A$1&amp;C156</f>
        <v>Joes TC Refuse UTCMFWBINS</v>
      </c>
      <c r="B156" s="38">
        <f>COUNTIF(C:C,C156)</f>
        <v>2</v>
      </c>
      <c r="C156" s="87" t="s">
        <v>584</v>
      </c>
      <c r="D156" s="87" t="s">
        <v>585</v>
      </c>
      <c r="E156" s="174">
        <v>4.72</v>
      </c>
      <c r="F156" s="69">
        <v>4.7</v>
      </c>
      <c r="H156" s="88">
        <v>0</v>
      </c>
      <c r="I156" s="88">
        <v>0</v>
      </c>
      <c r="J156" s="88">
        <v>0</v>
      </c>
      <c r="K156" s="88">
        <v>0</v>
      </c>
      <c r="L156" s="88">
        <v>0</v>
      </c>
      <c r="M156" s="88">
        <v>0</v>
      </c>
      <c r="N156" s="88">
        <v>0</v>
      </c>
      <c r="O156" s="88">
        <v>0</v>
      </c>
      <c r="P156" s="88">
        <v>0</v>
      </c>
      <c r="Q156" s="88">
        <v>0</v>
      </c>
      <c r="R156" s="88">
        <v>0</v>
      </c>
      <c r="S156" s="88">
        <v>0</v>
      </c>
      <c r="T156" s="88">
        <f>SUM(H156:S156)</f>
        <v>0</v>
      </c>
      <c r="U156" s="88"/>
      <c r="V156" s="88">
        <f t="shared" si="94"/>
        <v>0</v>
      </c>
      <c r="W156" s="88">
        <f t="shared" si="94"/>
        <v>0</v>
      </c>
      <c r="X156" s="88">
        <f>IFERROR(J156/$E156,0)</f>
        <v>0</v>
      </c>
      <c r="Y156" s="88">
        <f t="shared" si="95"/>
        <v>0</v>
      </c>
      <c r="Z156" s="88">
        <f t="shared" si="95"/>
        <v>0</v>
      </c>
      <c r="AA156" s="88">
        <f t="shared" si="95"/>
        <v>0</v>
      </c>
      <c r="AB156" s="88">
        <f t="shared" si="95"/>
        <v>0</v>
      </c>
      <c r="AC156" s="88">
        <f t="shared" si="95"/>
        <v>0</v>
      </c>
      <c r="AD156" s="88">
        <f t="shared" ref="AD156:AG157" si="97">IFERROR(P156/$F156,0)</f>
        <v>0</v>
      </c>
      <c r="AE156" s="88">
        <f t="shared" si="97"/>
        <v>0</v>
      </c>
      <c r="AF156" s="88">
        <f t="shared" si="97"/>
        <v>0</v>
      </c>
      <c r="AG156" s="88">
        <f t="shared" si="97"/>
        <v>0</v>
      </c>
      <c r="AH156" s="70">
        <f>SUM(V156:AG156)</f>
        <v>0</v>
      </c>
      <c r="AI156" s="88">
        <f>AH156/12</f>
        <v>0</v>
      </c>
      <c r="AR156" s="69" t="e">
        <f>+VLOOKUP(C156,#REF!,3,FALSE)</f>
        <v>#REF!</v>
      </c>
      <c r="AS156" s="88">
        <f>+IFERROR(AH156*AR156,0)</f>
        <v>0</v>
      </c>
      <c r="AT156" s="90">
        <f>+AS156-T156</f>
        <v>0</v>
      </c>
    </row>
    <row r="157" spans="1:53" customFormat="1" ht="12" customHeight="1">
      <c r="A157" s="38" t="s">
        <v>707</v>
      </c>
      <c r="B157" s="38">
        <f>COUNTIF(C$157:C$157,C157)</f>
        <v>1</v>
      </c>
      <c r="C157" s="46" t="s">
        <v>584</v>
      </c>
      <c r="D157" s="87" t="s">
        <v>585</v>
      </c>
      <c r="E157" s="174">
        <f>+E156</f>
        <v>4.72</v>
      </c>
      <c r="F157" s="69">
        <f>F156</f>
        <v>4.7</v>
      </c>
      <c r="G157" s="69" t="s">
        <v>708</v>
      </c>
      <c r="H157" s="88">
        <v>1354.64</v>
      </c>
      <c r="I157" s="88">
        <v>1354.64</v>
      </c>
      <c r="J157" s="88">
        <v>1354.64</v>
      </c>
      <c r="K157" s="88">
        <v>1354.64</v>
      </c>
      <c r="L157" s="88">
        <v>1354.64</v>
      </c>
      <c r="M157" s="88">
        <v>1354.64</v>
      </c>
      <c r="N157" s="88">
        <v>1354.64</v>
      </c>
      <c r="O157" s="88">
        <v>1354.64</v>
      </c>
      <c r="P157" s="88">
        <v>1348.9</v>
      </c>
      <c r="Q157" s="88">
        <v>1348.9</v>
      </c>
      <c r="R157" s="88">
        <v>1348.9</v>
      </c>
      <c r="S157" s="88">
        <v>1348.9</v>
      </c>
      <c r="T157" s="188">
        <f>SUM(H157:S157)</f>
        <v>16232.72</v>
      </c>
      <c r="V157" s="88">
        <f t="shared" si="94"/>
        <v>287.00000000000006</v>
      </c>
      <c r="W157" s="88">
        <f t="shared" si="94"/>
        <v>287.00000000000006</v>
      </c>
      <c r="X157" s="88">
        <f>IFERROR(J157/$E157,0)</f>
        <v>287.00000000000006</v>
      </c>
      <c r="Y157" s="88">
        <f t="shared" si="95"/>
        <v>287.00000000000006</v>
      </c>
      <c r="Z157" s="88">
        <f t="shared" si="95"/>
        <v>287.00000000000006</v>
      </c>
      <c r="AA157" s="88">
        <f t="shared" si="95"/>
        <v>287.00000000000006</v>
      </c>
      <c r="AB157" s="88">
        <f t="shared" si="95"/>
        <v>287.00000000000006</v>
      </c>
      <c r="AC157" s="88">
        <f t="shared" si="95"/>
        <v>287.00000000000006</v>
      </c>
      <c r="AD157" s="88">
        <f t="shared" si="97"/>
        <v>287</v>
      </c>
      <c r="AE157" s="88">
        <f t="shared" si="97"/>
        <v>287</v>
      </c>
      <c r="AF157" s="88">
        <f t="shared" si="97"/>
        <v>287</v>
      </c>
      <c r="AG157" s="88">
        <f t="shared" si="97"/>
        <v>287</v>
      </c>
      <c r="AH157" s="188">
        <f>SUM(V157:AG157)</f>
        <v>3444.0000000000005</v>
      </c>
      <c r="AI157" s="88">
        <f>AH157/12</f>
        <v>287.00000000000006</v>
      </c>
      <c r="AK157">
        <v>96</v>
      </c>
      <c r="AN157">
        <v>1</v>
      </c>
      <c r="AO157" s="133">
        <f>+AN157*AI157</f>
        <v>287.00000000000006</v>
      </c>
      <c r="AR157" s="69" t="e">
        <f>+VLOOKUP(C157,#REF!,3,FALSE)</f>
        <v>#REF!</v>
      </c>
      <c r="AS157" s="88">
        <f>+IFERROR(AH157*AR157,0)</f>
        <v>0</v>
      </c>
      <c r="AT157" s="90">
        <f>+AS157-T157</f>
        <v>-16232.72</v>
      </c>
      <c r="AW157" s="89">
        <f ca="1">+F157*(1+$BE$3)</f>
        <v>7.6192917653844212</v>
      </c>
      <c r="AX157" s="90">
        <f ca="1">+AW157*AI157*12</f>
        <v>26240.840839983954</v>
      </c>
      <c r="AY157" s="86">
        <f t="shared" ref="AY157" ca="1" si="98">+AX157-T157</f>
        <v>10008.120839983954</v>
      </c>
      <c r="AZ157" s="402">
        <f ca="1">AX157*BA$3</f>
        <v>96.989391884819483</v>
      </c>
      <c r="BA157" s="402">
        <f t="shared" ref="BA157" ca="1" si="99">+AX157+AZ157</f>
        <v>26337.830231868775</v>
      </c>
    </row>
    <row r="158" spans="1:53" ht="12" customHeight="1">
      <c r="C158" s="165"/>
      <c r="D158" s="165"/>
      <c r="E158" s="174"/>
      <c r="F158" s="174"/>
      <c r="G158" s="174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90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70"/>
      <c r="AI158" s="88"/>
      <c r="AR158" s="69"/>
    </row>
    <row r="159" spans="1:53" ht="12" customHeight="1">
      <c r="B159" s="38">
        <f>COUNTIF(C:C,C159)</f>
        <v>0</v>
      </c>
      <c r="C159" s="165"/>
      <c r="D159" s="114" t="s">
        <v>587</v>
      </c>
      <c r="E159" s="174"/>
      <c r="F159" s="174"/>
      <c r="G159" s="174"/>
      <c r="H159" s="115">
        <f t="shared" ref="H159:S159" si="100">SUM(H156:H158)</f>
        <v>1354.64</v>
      </c>
      <c r="I159" s="115">
        <f t="shared" si="100"/>
        <v>1354.64</v>
      </c>
      <c r="J159" s="115">
        <f t="shared" si="100"/>
        <v>1354.64</v>
      </c>
      <c r="K159" s="115">
        <f t="shared" si="100"/>
        <v>1354.64</v>
      </c>
      <c r="L159" s="115">
        <f t="shared" si="100"/>
        <v>1354.64</v>
      </c>
      <c r="M159" s="115">
        <f t="shared" si="100"/>
        <v>1354.64</v>
      </c>
      <c r="N159" s="115">
        <f t="shared" si="100"/>
        <v>1354.64</v>
      </c>
      <c r="O159" s="115">
        <f t="shared" si="100"/>
        <v>1354.64</v>
      </c>
      <c r="P159" s="115">
        <f t="shared" si="100"/>
        <v>1348.9</v>
      </c>
      <c r="Q159" s="115">
        <f t="shared" si="100"/>
        <v>1348.9</v>
      </c>
      <c r="R159" s="115">
        <f t="shared" si="100"/>
        <v>1348.9</v>
      </c>
      <c r="S159" s="115">
        <f t="shared" si="100"/>
        <v>1348.9</v>
      </c>
      <c r="T159" s="116">
        <f>SUM(T156:T158)</f>
        <v>16232.72</v>
      </c>
      <c r="U159" s="143"/>
      <c r="V159" s="144">
        <f t="shared" ref="V159:AI159" si="101">SUM(V156:V158)</f>
        <v>287.00000000000006</v>
      </c>
      <c r="W159" s="144">
        <f t="shared" si="101"/>
        <v>287.00000000000006</v>
      </c>
      <c r="X159" s="144">
        <f t="shared" si="101"/>
        <v>287.00000000000006</v>
      </c>
      <c r="Y159" s="144">
        <f t="shared" si="101"/>
        <v>287.00000000000006</v>
      </c>
      <c r="Z159" s="144">
        <f t="shared" si="101"/>
        <v>287.00000000000006</v>
      </c>
      <c r="AA159" s="144">
        <f t="shared" si="101"/>
        <v>287.00000000000006</v>
      </c>
      <c r="AB159" s="144">
        <f t="shared" si="101"/>
        <v>287.00000000000006</v>
      </c>
      <c r="AC159" s="144">
        <f t="shared" si="101"/>
        <v>287.00000000000006</v>
      </c>
      <c r="AD159" s="144">
        <f t="shared" si="101"/>
        <v>287</v>
      </c>
      <c r="AE159" s="144">
        <f t="shared" si="101"/>
        <v>287</v>
      </c>
      <c r="AF159" s="144">
        <f t="shared" si="101"/>
        <v>287</v>
      </c>
      <c r="AG159" s="144">
        <f t="shared" si="101"/>
        <v>287</v>
      </c>
      <c r="AH159" s="118">
        <f t="shared" si="101"/>
        <v>3444.0000000000005</v>
      </c>
      <c r="AI159" s="118">
        <f t="shared" si="101"/>
        <v>287.00000000000006</v>
      </c>
      <c r="AJ159" s="143"/>
      <c r="AK159" s="143"/>
      <c r="AL159" s="143"/>
      <c r="AM159" s="143"/>
      <c r="AN159" s="143"/>
      <c r="AO159" s="143"/>
      <c r="AP159" s="143"/>
      <c r="AQ159" s="143"/>
      <c r="AR159" s="145"/>
      <c r="AS159" s="118">
        <f>SUM(AS156:AS158)</f>
        <v>0</v>
      </c>
      <c r="AT159" s="116">
        <f>SUM(AT156:AT158)</f>
        <v>-16232.72</v>
      </c>
      <c r="AU159" s="143"/>
      <c r="AV159" s="143"/>
      <c r="AX159" s="116">
        <f t="shared" ref="AX159:AY159" ca="1" si="102">SUM(AX156:AX158)</f>
        <v>26240.840839983954</v>
      </c>
      <c r="AY159" s="116">
        <f t="shared" ca="1" si="102"/>
        <v>10008.120839983954</v>
      </c>
      <c r="BA159" s="401"/>
    </row>
    <row r="160" spans="1:53" ht="12" customHeight="1">
      <c r="C160" s="165"/>
      <c r="D160" s="165"/>
      <c r="E160" s="174"/>
      <c r="F160" s="174"/>
      <c r="G160" s="174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90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70"/>
      <c r="AI160" s="88"/>
      <c r="AR160" s="69"/>
    </row>
    <row r="161" spans="1:53" ht="12" customHeight="1">
      <c r="B161" s="38">
        <f>COUNTIF(C:C,C161)</f>
        <v>1</v>
      </c>
      <c r="C161" s="170" t="s">
        <v>588</v>
      </c>
      <c r="D161" s="168" t="s">
        <v>588</v>
      </c>
      <c r="E161" s="174"/>
      <c r="F161" s="174"/>
      <c r="G161" s="174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90"/>
      <c r="V161" s="88">
        <f>IFERROR(H161/#REF!,0)</f>
        <v>0</v>
      </c>
      <c r="W161" s="88">
        <f>IFERROR(I161/#REF!,0)</f>
        <v>0</v>
      </c>
      <c r="X161" s="88">
        <f>IFERROR(J161/#REF!,0)</f>
        <v>0</v>
      </c>
      <c r="Y161" s="88">
        <f>IFERROR(K161/#REF!,0)</f>
        <v>0</v>
      </c>
      <c r="Z161" s="88">
        <f>IFERROR(L161/#REF!,0)</f>
        <v>0</v>
      </c>
      <c r="AA161" s="88">
        <f>IFERROR(M161/#REF!,0)</f>
        <v>0</v>
      </c>
      <c r="AB161" s="88">
        <f>IFERROR(N161/#REF!,0)</f>
        <v>0</v>
      </c>
      <c r="AC161" s="88">
        <f>IFERROR(O161/#REF!,0)</f>
        <v>0</v>
      </c>
      <c r="AD161" s="88">
        <f>IFERROR(P161/#REF!,0)</f>
        <v>0</v>
      </c>
      <c r="AE161" s="88">
        <f>IFERROR(Q161/#REF!,0)</f>
        <v>0</v>
      </c>
      <c r="AF161" s="88">
        <f>IFERROR(R161/#REF!,0)</f>
        <v>0</v>
      </c>
      <c r="AG161" s="88">
        <f>IFERROR(S161/#REF!,0)</f>
        <v>0</v>
      </c>
      <c r="AH161" s="70">
        <f t="shared" ref="AH161:AH196" si="103">SUM(V161:AG161)</f>
        <v>0</v>
      </c>
      <c r="AI161" s="88">
        <f t="shared" ref="AI161:AI196" si="104">AH161/12</f>
        <v>0</v>
      </c>
      <c r="AR161" s="69"/>
    </row>
    <row r="162" spans="1:53" ht="12" customHeight="1">
      <c r="C162" s="170"/>
      <c r="D162" s="170"/>
      <c r="E162" s="174"/>
      <c r="F162" s="174"/>
      <c r="G162" s="174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90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70"/>
      <c r="AI162" s="88"/>
      <c r="AR162" s="69"/>
    </row>
    <row r="163" spans="1:53" ht="12" customHeight="1">
      <c r="B163" s="38">
        <f t="shared" ref="B163:B195" si="105">COUNTIF(C:C,C163)</f>
        <v>1</v>
      </c>
      <c r="C163" s="185" t="s">
        <v>589</v>
      </c>
      <c r="D163" s="185" t="s">
        <v>589</v>
      </c>
      <c r="E163" s="174"/>
      <c r="F163" s="174"/>
      <c r="G163" s="174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90"/>
      <c r="V163" s="88">
        <f t="shared" ref="V163:AC196" si="106">IFERROR(H163/$E163,0)</f>
        <v>0</v>
      </c>
      <c r="W163" s="88">
        <f t="shared" si="106"/>
        <v>0</v>
      </c>
      <c r="X163" s="88">
        <f t="shared" si="106"/>
        <v>0</v>
      </c>
      <c r="Y163" s="88">
        <f t="shared" si="106"/>
        <v>0</v>
      </c>
      <c r="Z163" s="88">
        <f t="shared" si="106"/>
        <v>0</v>
      </c>
      <c r="AA163" s="88">
        <f t="shared" si="106"/>
        <v>0</v>
      </c>
      <c r="AB163" s="88">
        <f t="shared" si="106"/>
        <v>0</v>
      </c>
      <c r="AC163" s="88">
        <f t="shared" si="106"/>
        <v>0</v>
      </c>
      <c r="AD163" s="88">
        <f t="shared" ref="AD163:AG196" si="107">IFERROR(P163/$F163,0)</f>
        <v>0</v>
      </c>
      <c r="AE163" s="88">
        <f t="shared" si="107"/>
        <v>0</v>
      </c>
      <c r="AF163" s="88">
        <f t="shared" si="107"/>
        <v>0</v>
      </c>
      <c r="AG163" s="88">
        <f t="shared" si="107"/>
        <v>0</v>
      </c>
      <c r="AH163" s="70">
        <f t="shared" si="103"/>
        <v>0</v>
      </c>
      <c r="AI163" s="88">
        <f t="shared" si="104"/>
        <v>0</v>
      </c>
      <c r="AR163" s="69"/>
    </row>
    <row r="164" spans="1:53" ht="12" customHeight="1">
      <c r="A164" s="38" t="str">
        <f t="shared" ref="A164:A207" si="108">$A$1&amp;C164</f>
        <v>Joes TC Refuse UTCHAUL20-RO</v>
      </c>
      <c r="B164" s="38">
        <f t="shared" si="105"/>
        <v>1</v>
      </c>
      <c r="C164" s="87" t="s">
        <v>590</v>
      </c>
      <c r="D164" s="87" t="s">
        <v>591</v>
      </c>
      <c r="E164" s="174">
        <v>139.68</v>
      </c>
      <c r="F164" s="69">
        <v>139.07</v>
      </c>
      <c r="G164" s="69" t="s">
        <v>709</v>
      </c>
      <c r="H164" s="88">
        <v>2933.28</v>
      </c>
      <c r="I164" s="88">
        <v>3492</v>
      </c>
      <c r="J164" s="88">
        <v>2933.28</v>
      </c>
      <c r="K164" s="88">
        <v>2234.88</v>
      </c>
      <c r="L164" s="88">
        <v>3072.96</v>
      </c>
      <c r="M164" s="88">
        <v>1955.52</v>
      </c>
      <c r="N164" s="88">
        <v>1117.44</v>
      </c>
      <c r="O164" s="88">
        <v>1117.44</v>
      </c>
      <c r="P164" s="88">
        <v>2782.62</v>
      </c>
      <c r="Q164" s="88">
        <v>2642.33</v>
      </c>
      <c r="R164" s="88">
        <v>2920.47</v>
      </c>
      <c r="S164" s="88">
        <v>2642.33</v>
      </c>
      <c r="T164" s="88">
        <f t="shared" ref="T164:T196" si="109">SUM(H164:S164)</f>
        <v>29844.550000000003</v>
      </c>
      <c r="U164" s="88"/>
      <c r="V164" s="88">
        <f t="shared" si="106"/>
        <v>21</v>
      </c>
      <c r="W164" s="88">
        <f t="shared" si="106"/>
        <v>25</v>
      </c>
      <c r="X164" s="88">
        <f t="shared" si="106"/>
        <v>21</v>
      </c>
      <c r="Y164" s="88">
        <f t="shared" si="106"/>
        <v>16</v>
      </c>
      <c r="Z164" s="88">
        <f t="shared" si="106"/>
        <v>22</v>
      </c>
      <c r="AA164" s="88">
        <f t="shared" si="106"/>
        <v>14</v>
      </c>
      <c r="AB164" s="88">
        <f t="shared" si="106"/>
        <v>8</v>
      </c>
      <c r="AC164" s="88">
        <f t="shared" si="106"/>
        <v>8</v>
      </c>
      <c r="AD164" s="88">
        <f t="shared" si="107"/>
        <v>20.008772560581004</v>
      </c>
      <c r="AE164" s="88">
        <f t="shared" si="107"/>
        <v>19</v>
      </c>
      <c r="AF164" s="88">
        <f t="shared" si="107"/>
        <v>21</v>
      </c>
      <c r="AG164" s="88">
        <f t="shared" si="107"/>
        <v>19</v>
      </c>
      <c r="AH164" s="70">
        <f t="shared" si="103"/>
        <v>214.00877256058101</v>
      </c>
      <c r="AI164" s="88">
        <f t="shared" si="104"/>
        <v>17.834064380048417</v>
      </c>
      <c r="AR164" s="69" t="e">
        <f>+VLOOKUP(C164,#REF!,3,FALSE)</f>
        <v>#REF!</v>
      </c>
      <c r="AS164" s="88">
        <f t="shared" ref="AS164:AS196" si="110">+IFERROR(AH164*AR164,0)</f>
        <v>0</v>
      </c>
      <c r="AT164" s="90">
        <f t="shared" ref="AT164:AT196" si="111">+AS164-T164</f>
        <v>-29844.550000000003</v>
      </c>
      <c r="AW164" s="89">
        <f t="shared" ref="AW164:AW196" ca="1" si="112">+F164*(1+$BE$2)</f>
        <v>142.49442874249371</v>
      </c>
      <c r="AX164" s="90">
        <f t="shared" ref="AX164:AX196" ca="1" si="113">+AW164*AI164*12</f>
        <v>30495.057791902254</v>
      </c>
      <c r="AY164" s="86">
        <f t="shared" ref="AY164:AY196" ca="1" si="114">+AX164-T164</f>
        <v>650.50779190225148</v>
      </c>
      <c r="AZ164" s="402">
        <f t="shared" ref="AZ164:AZ195" ca="1" si="115">AX164*BA$2</f>
        <v>116.86138646715297</v>
      </c>
      <c r="BA164" s="402">
        <f t="shared" ref="BA164:BA195" ca="1" si="116">+AX164+AZ164</f>
        <v>30611.919178369408</v>
      </c>
    </row>
    <row r="165" spans="1:53" ht="12" customHeight="1">
      <c r="A165" s="38" t="str">
        <f t="shared" si="108"/>
        <v>Joes TC Refuse UTCFINAL20-RO</v>
      </c>
      <c r="B165" s="38">
        <f t="shared" si="105"/>
        <v>1</v>
      </c>
      <c r="C165" s="87" t="s">
        <v>593</v>
      </c>
      <c r="D165" s="87" t="s">
        <v>594</v>
      </c>
      <c r="E165" s="174">
        <v>139.68</v>
      </c>
      <c r="F165" s="69">
        <v>139.07</v>
      </c>
      <c r="G165" s="69" t="s">
        <v>709</v>
      </c>
      <c r="H165" s="88">
        <v>139.68</v>
      </c>
      <c r="I165" s="88">
        <v>0</v>
      </c>
      <c r="J165" s="88">
        <v>139.68</v>
      </c>
      <c r="K165" s="88">
        <v>0</v>
      </c>
      <c r="L165" s="88">
        <v>0</v>
      </c>
      <c r="M165" s="88">
        <v>139.68</v>
      </c>
      <c r="N165" s="88">
        <v>0</v>
      </c>
      <c r="O165" s="88">
        <v>139.68</v>
      </c>
      <c r="P165" s="88">
        <v>0</v>
      </c>
      <c r="Q165" s="88">
        <v>0</v>
      </c>
      <c r="R165" s="88">
        <v>139.07</v>
      </c>
      <c r="S165" s="88">
        <v>278.14</v>
      </c>
      <c r="T165" s="88">
        <f t="shared" si="109"/>
        <v>975.93</v>
      </c>
      <c r="U165" s="88"/>
      <c r="V165" s="88">
        <f t="shared" si="106"/>
        <v>1</v>
      </c>
      <c r="W165" s="88">
        <f t="shared" si="106"/>
        <v>0</v>
      </c>
      <c r="X165" s="88">
        <f t="shared" si="106"/>
        <v>1</v>
      </c>
      <c r="Y165" s="88">
        <f t="shared" si="106"/>
        <v>0</v>
      </c>
      <c r="Z165" s="88">
        <f t="shared" si="106"/>
        <v>0</v>
      </c>
      <c r="AA165" s="88">
        <f t="shared" si="106"/>
        <v>1</v>
      </c>
      <c r="AB165" s="88">
        <f t="shared" si="106"/>
        <v>0</v>
      </c>
      <c r="AC165" s="88">
        <f t="shared" si="106"/>
        <v>1</v>
      </c>
      <c r="AD165" s="88">
        <f t="shared" si="107"/>
        <v>0</v>
      </c>
      <c r="AE165" s="88">
        <f t="shared" si="107"/>
        <v>0</v>
      </c>
      <c r="AF165" s="88">
        <f t="shared" si="107"/>
        <v>1</v>
      </c>
      <c r="AG165" s="88">
        <f t="shared" si="107"/>
        <v>2</v>
      </c>
      <c r="AH165" s="70">
        <f t="shared" si="103"/>
        <v>7</v>
      </c>
      <c r="AI165" s="88">
        <f t="shared" si="104"/>
        <v>0.58333333333333337</v>
      </c>
      <c r="AR165" s="69" t="e">
        <f>+VLOOKUP(C165,#REF!,3,FALSE)</f>
        <v>#REF!</v>
      </c>
      <c r="AS165" s="88">
        <f t="shared" si="110"/>
        <v>0</v>
      </c>
      <c r="AT165" s="90">
        <f t="shared" si="111"/>
        <v>-975.93</v>
      </c>
      <c r="AW165" s="89">
        <f t="shared" ca="1" si="112"/>
        <v>142.49442874249371</v>
      </c>
      <c r="AX165" s="90">
        <f t="shared" ca="1" si="113"/>
        <v>997.46100119745597</v>
      </c>
      <c r="AY165" s="86">
        <f t="shared" ca="1" si="114"/>
        <v>21.531001197456021</v>
      </c>
      <c r="AZ165" s="402">
        <f t="shared" ca="1" si="115"/>
        <v>3.8224120230328649</v>
      </c>
      <c r="BA165" s="402">
        <f t="shared" ca="1" si="116"/>
        <v>1001.2834132204888</v>
      </c>
    </row>
    <row r="166" spans="1:53" ht="12" customHeight="1">
      <c r="A166" s="38" t="str">
        <f t="shared" si="108"/>
        <v>Joes TC Refuse UTCHAUL30-RO</v>
      </c>
      <c r="B166" s="38">
        <f t="shared" si="105"/>
        <v>1</v>
      </c>
      <c r="C166" s="87" t="s">
        <v>595</v>
      </c>
      <c r="D166" s="87" t="s">
        <v>596</v>
      </c>
      <c r="E166" s="174">
        <v>157.19</v>
      </c>
      <c r="F166" s="69">
        <v>156.51</v>
      </c>
      <c r="G166" s="69" t="s">
        <v>709</v>
      </c>
      <c r="H166" s="88">
        <v>157.19</v>
      </c>
      <c r="I166" s="88">
        <v>471.57</v>
      </c>
      <c r="J166" s="88">
        <v>157.19</v>
      </c>
      <c r="K166" s="88">
        <v>0</v>
      </c>
      <c r="L166" s="88">
        <v>0</v>
      </c>
      <c r="M166" s="88">
        <v>0</v>
      </c>
      <c r="N166" s="88">
        <v>157.19</v>
      </c>
      <c r="O166" s="88">
        <v>314.38</v>
      </c>
      <c r="P166" s="88">
        <v>156.51</v>
      </c>
      <c r="Q166" s="88">
        <v>0</v>
      </c>
      <c r="R166" s="88">
        <v>313.02</v>
      </c>
      <c r="S166" s="88">
        <v>469.53</v>
      </c>
      <c r="T166" s="88">
        <f t="shared" si="109"/>
        <v>2196.58</v>
      </c>
      <c r="U166" s="88"/>
      <c r="V166" s="88">
        <f t="shared" si="106"/>
        <v>1</v>
      </c>
      <c r="W166" s="88">
        <f t="shared" si="106"/>
        <v>3</v>
      </c>
      <c r="X166" s="88">
        <f t="shared" si="106"/>
        <v>1</v>
      </c>
      <c r="Y166" s="88">
        <f t="shared" si="106"/>
        <v>0</v>
      </c>
      <c r="Z166" s="88">
        <f t="shared" si="106"/>
        <v>0</v>
      </c>
      <c r="AA166" s="88">
        <f t="shared" si="106"/>
        <v>0</v>
      </c>
      <c r="AB166" s="88">
        <f t="shared" si="106"/>
        <v>1</v>
      </c>
      <c r="AC166" s="88">
        <f t="shared" si="106"/>
        <v>2</v>
      </c>
      <c r="AD166" s="88">
        <f t="shared" si="107"/>
        <v>1</v>
      </c>
      <c r="AE166" s="88">
        <f t="shared" si="107"/>
        <v>0</v>
      </c>
      <c r="AF166" s="88">
        <f t="shared" si="107"/>
        <v>2</v>
      </c>
      <c r="AG166" s="88">
        <f t="shared" si="107"/>
        <v>3</v>
      </c>
      <c r="AH166" s="70">
        <f t="shared" si="103"/>
        <v>14</v>
      </c>
      <c r="AI166" s="88">
        <f t="shared" si="104"/>
        <v>1.1666666666666667</v>
      </c>
      <c r="AR166" s="69" t="e">
        <f>+VLOOKUP(C166,#REF!,3,FALSE)</f>
        <v>#REF!</v>
      </c>
      <c r="AS166" s="88">
        <f t="shared" si="110"/>
        <v>0</v>
      </c>
      <c r="AT166" s="90">
        <f t="shared" si="111"/>
        <v>-2196.58</v>
      </c>
      <c r="AW166" s="89">
        <f t="shared" ca="1" si="112"/>
        <v>160.36386742279205</v>
      </c>
      <c r="AX166" s="90">
        <f t="shared" ca="1" si="113"/>
        <v>2245.0941439190892</v>
      </c>
      <c r="AY166" s="86">
        <f t="shared" ca="1" si="114"/>
        <v>48.514143919089292</v>
      </c>
      <c r="AZ166" s="402">
        <f t="shared" ca="1" si="115"/>
        <v>8.6035191734360232</v>
      </c>
      <c r="BA166" s="402">
        <f t="shared" ca="1" si="116"/>
        <v>2253.6976630925251</v>
      </c>
    </row>
    <row r="167" spans="1:53" ht="12" customHeight="1">
      <c r="A167" s="38" t="str">
        <f t="shared" si="108"/>
        <v>Joes TC Refuse UTCHAUL25-CP</v>
      </c>
      <c r="B167" s="38">
        <f t="shared" si="105"/>
        <v>1</v>
      </c>
      <c r="C167" s="87" t="s">
        <v>622</v>
      </c>
      <c r="D167" s="87" t="s">
        <v>623</v>
      </c>
      <c r="E167" s="174">
        <v>172.22</v>
      </c>
      <c r="F167" s="69">
        <v>171.47</v>
      </c>
      <c r="G167" s="69" t="s">
        <v>710</v>
      </c>
      <c r="H167" s="88">
        <v>0</v>
      </c>
      <c r="I167" s="88">
        <v>0</v>
      </c>
      <c r="J167" s="88">
        <v>0</v>
      </c>
      <c r="K167" s="88">
        <v>0</v>
      </c>
      <c r="L167" s="88">
        <v>0</v>
      </c>
      <c r="M167" s="88">
        <v>0</v>
      </c>
      <c r="N167" s="88">
        <v>0</v>
      </c>
      <c r="O167" s="88">
        <v>0</v>
      </c>
      <c r="P167" s="88">
        <v>0</v>
      </c>
      <c r="Q167" s="88">
        <v>0</v>
      </c>
      <c r="R167" s="88">
        <v>0</v>
      </c>
      <c r="S167" s="88">
        <v>0</v>
      </c>
      <c r="T167" s="88">
        <f t="shared" si="109"/>
        <v>0</v>
      </c>
      <c r="U167" s="88"/>
      <c r="V167" s="88">
        <f t="shared" si="106"/>
        <v>0</v>
      </c>
      <c r="W167" s="88">
        <f t="shared" si="106"/>
        <v>0</v>
      </c>
      <c r="X167" s="88">
        <f t="shared" si="106"/>
        <v>0</v>
      </c>
      <c r="Y167" s="88">
        <f t="shared" si="106"/>
        <v>0</v>
      </c>
      <c r="Z167" s="88">
        <f t="shared" si="106"/>
        <v>0</v>
      </c>
      <c r="AA167" s="88">
        <f t="shared" si="106"/>
        <v>0</v>
      </c>
      <c r="AB167" s="88">
        <f t="shared" si="106"/>
        <v>0</v>
      </c>
      <c r="AC167" s="88">
        <f t="shared" si="106"/>
        <v>0</v>
      </c>
      <c r="AD167" s="88">
        <f t="shared" si="107"/>
        <v>0</v>
      </c>
      <c r="AE167" s="88">
        <f t="shared" si="107"/>
        <v>0</v>
      </c>
      <c r="AF167" s="88">
        <f t="shared" si="107"/>
        <v>0</v>
      </c>
      <c r="AG167" s="88">
        <f t="shared" si="107"/>
        <v>0</v>
      </c>
      <c r="AH167" s="70">
        <f t="shared" si="103"/>
        <v>0</v>
      </c>
      <c r="AI167" s="88">
        <f t="shared" si="104"/>
        <v>0</v>
      </c>
      <c r="AR167" s="69" t="e">
        <f>+VLOOKUP(C167,#REF!,3,FALSE)</f>
        <v>#REF!</v>
      </c>
      <c r="AS167" s="88">
        <f t="shared" si="110"/>
        <v>0</v>
      </c>
      <c r="AT167" s="90">
        <f t="shared" si="111"/>
        <v>0</v>
      </c>
      <c r="AW167" s="89">
        <f t="shared" ca="1" si="112"/>
        <v>175.69223913479112</v>
      </c>
      <c r="AX167" s="90">
        <f t="shared" ca="1" si="113"/>
        <v>0</v>
      </c>
      <c r="AY167" s="86">
        <f t="shared" ca="1" si="114"/>
        <v>0</v>
      </c>
      <c r="AZ167" s="402">
        <f t="shared" ca="1" si="115"/>
        <v>0</v>
      </c>
      <c r="BA167" s="402">
        <f t="shared" ca="1" si="116"/>
        <v>0</v>
      </c>
    </row>
    <row r="168" spans="1:53" ht="12" customHeight="1">
      <c r="A168" s="38" t="str">
        <f t="shared" si="108"/>
        <v>Joes TC Refuse UTCFINAL30-RO</v>
      </c>
      <c r="B168" s="38">
        <f t="shared" si="105"/>
        <v>1</v>
      </c>
      <c r="C168" s="87" t="s">
        <v>601</v>
      </c>
      <c r="D168" s="87" t="s">
        <v>602</v>
      </c>
      <c r="E168" s="174">
        <v>157.19</v>
      </c>
      <c r="F168" s="69">
        <v>156.51</v>
      </c>
      <c r="G168" s="69" t="s">
        <v>709</v>
      </c>
      <c r="H168" s="88">
        <v>0</v>
      </c>
      <c r="I168" s="88">
        <v>0</v>
      </c>
      <c r="J168" s="88">
        <v>0</v>
      </c>
      <c r="K168" s="88">
        <v>0</v>
      </c>
      <c r="L168" s="88">
        <v>0</v>
      </c>
      <c r="M168" s="88">
        <v>0</v>
      </c>
      <c r="N168" s="88">
        <v>0</v>
      </c>
      <c r="O168" s="88">
        <v>0</v>
      </c>
      <c r="P168" s="88">
        <v>0</v>
      </c>
      <c r="Q168" s="88">
        <v>0</v>
      </c>
      <c r="R168" s="88">
        <v>0</v>
      </c>
      <c r="S168" s="88">
        <v>0</v>
      </c>
      <c r="T168" s="88">
        <f t="shared" si="109"/>
        <v>0</v>
      </c>
      <c r="U168" s="88"/>
      <c r="V168" s="88">
        <f t="shared" si="106"/>
        <v>0</v>
      </c>
      <c r="W168" s="88">
        <f t="shared" si="106"/>
        <v>0</v>
      </c>
      <c r="X168" s="88">
        <f t="shared" si="106"/>
        <v>0</v>
      </c>
      <c r="Y168" s="88">
        <f t="shared" si="106"/>
        <v>0</v>
      </c>
      <c r="Z168" s="88">
        <f t="shared" si="106"/>
        <v>0</v>
      </c>
      <c r="AA168" s="88">
        <f t="shared" si="106"/>
        <v>0</v>
      </c>
      <c r="AB168" s="88">
        <f t="shared" si="106"/>
        <v>0</v>
      </c>
      <c r="AC168" s="88">
        <f t="shared" si="106"/>
        <v>0</v>
      </c>
      <c r="AD168" s="88">
        <f t="shared" si="107"/>
        <v>0</v>
      </c>
      <c r="AE168" s="88">
        <f t="shared" si="107"/>
        <v>0</v>
      </c>
      <c r="AF168" s="88">
        <f t="shared" si="107"/>
        <v>0</v>
      </c>
      <c r="AG168" s="88">
        <f t="shared" si="107"/>
        <v>0</v>
      </c>
      <c r="AH168" s="70">
        <f t="shared" si="103"/>
        <v>0</v>
      </c>
      <c r="AI168" s="88">
        <f t="shared" si="104"/>
        <v>0</v>
      </c>
      <c r="AR168" s="69" t="e">
        <f>+VLOOKUP(C168,#REF!,3,FALSE)</f>
        <v>#REF!</v>
      </c>
      <c r="AS168" s="88">
        <f t="shared" si="110"/>
        <v>0</v>
      </c>
      <c r="AT168" s="90">
        <f t="shared" si="111"/>
        <v>0</v>
      </c>
      <c r="AW168" s="89">
        <f t="shared" ca="1" si="112"/>
        <v>160.36386742279205</v>
      </c>
      <c r="AX168" s="90">
        <f t="shared" ca="1" si="113"/>
        <v>0</v>
      </c>
      <c r="AY168" s="86">
        <f t="shared" ca="1" si="114"/>
        <v>0</v>
      </c>
      <c r="AZ168" s="402">
        <f t="shared" ca="1" si="115"/>
        <v>0</v>
      </c>
      <c r="BA168" s="402">
        <f t="shared" ca="1" si="116"/>
        <v>0</v>
      </c>
    </row>
    <row r="169" spans="1:53" ht="12" customHeight="1">
      <c r="A169" s="38" t="str">
        <f t="shared" si="108"/>
        <v>Joes TC Refuse UTCHAUL40-RO</v>
      </c>
      <c r="B169" s="38">
        <f t="shared" si="105"/>
        <v>1</v>
      </c>
      <c r="C169" s="87" t="s">
        <v>597</v>
      </c>
      <c r="D169" s="87" t="s">
        <v>598</v>
      </c>
      <c r="E169" s="174">
        <v>173.72</v>
      </c>
      <c r="F169" s="69">
        <v>172.96</v>
      </c>
      <c r="G169" s="69" t="s">
        <v>709</v>
      </c>
      <c r="H169" s="88">
        <v>4343</v>
      </c>
      <c r="I169" s="88">
        <v>3126.96</v>
      </c>
      <c r="J169" s="88">
        <v>4690.4399999999996</v>
      </c>
      <c r="K169" s="88">
        <v>3474.4</v>
      </c>
      <c r="L169" s="88">
        <v>4864.16</v>
      </c>
      <c r="M169" s="88">
        <v>4516.72</v>
      </c>
      <c r="N169" s="88">
        <v>4690.4399999999996</v>
      </c>
      <c r="O169" s="88">
        <v>5559.04</v>
      </c>
      <c r="P169" s="88">
        <v>4672.2</v>
      </c>
      <c r="Q169" s="88">
        <v>4842.88</v>
      </c>
      <c r="R169" s="88">
        <v>4496.96</v>
      </c>
      <c r="S169" s="88">
        <v>4151.04</v>
      </c>
      <c r="T169" s="88">
        <f t="shared" si="109"/>
        <v>53428.239999999991</v>
      </c>
      <c r="U169" s="88"/>
      <c r="V169" s="88">
        <f t="shared" si="106"/>
        <v>25</v>
      </c>
      <c r="W169" s="88">
        <f t="shared" si="106"/>
        <v>18</v>
      </c>
      <c r="X169" s="88">
        <f t="shared" si="106"/>
        <v>26.999999999999996</v>
      </c>
      <c r="Y169" s="88">
        <f t="shared" si="106"/>
        <v>20</v>
      </c>
      <c r="Z169" s="88">
        <f t="shared" si="106"/>
        <v>28</v>
      </c>
      <c r="AA169" s="88">
        <f t="shared" si="106"/>
        <v>26</v>
      </c>
      <c r="AB169" s="88">
        <f t="shared" si="106"/>
        <v>26.999999999999996</v>
      </c>
      <c r="AC169" s="88">
        <f t="shared" si="106"/>
        <v>32</v>
      </c>
      <c r="AD169" s="88">
        <f t="shared" si="107"/>
        <v>27.013182238667898</v>
      </c>
      <c r="AE169" s="88">
        <f t="shared" si="107"/>
        <v>28</v>
      </c>
      <c r="AF169" s="88">
        <f t="shared" si="107"/>
        <v>26</v>
      </c>
      <c r="AG169" s="88">
        <f t="shared" si="107"/>
        <v>24</v>
      </c>
      <c r="AH169" s="70">
        <f t="shared" si="103"/>
        <v>308.01318223866792</v>
      </c>
      <c r="AI169" s="88">
        <f t="shared" si="104"/>
        <v>25.667765186555659</v>
      </c>
      <c r="AR169" s="69" t="e">
        <f>+VLOOKUP(C169,#REF!,3,FALSE)</f>
        <v>#REF!</v>
      </c>
      <c r="AS169" s="88">
        <f t="shared" si="110"/>
        <v>0</v>
      </c>
      <c r="AT169" s="90">
        <f t="shared" si="111"/>
        <v>-53428.239999999991</v>
      </c>
      <c r="AW169" s="89">
        <f t="shared" ca="1" si="112"/>
        <v>177.21892856332579</v>
      </c>
      <c r="AX169" s="90">
        <f t="shared" ca="1" si="113"/>
        <v>54585.76613971714</v>
      </c>
      <c r="AY169" s="86">
        <f t="shared" ca="1" si="114"/>
        <v>1157.5261397171489</v>
      </c>
      <c r="AZ169" s="402">
        <f t="shared" ca="1" si="115"/>
        <v>209.18039755783008</v>
      </c>
      <c r="BA169" s="402">
        <f t="shared" ca="1" si="116"/>
        <v>54794.946537274969</v>
      </c>
    </row>
    <row r="170" spans="1:53" ht="12" customHeight="1">
      <c r="A170" s="38" t="str">
        <f t="shared" si="108"/>
        <v>Joes TC Refuse UTCFINAL40-RO</v>
      </c>
      <c r="B170" s="38">
        <f t="shared" si="105"/>
        <v>1</v>
      </c>
      <c r="C170" s="87" t="s">
        <v>599</v>
      </c>
      <c r="D170" s="87" t="s">
        <v>600</v>
      </c>
      <c r="E170" s="174">
        <v>173.72</v>
      </c>
      <c r="F170" s="69">
        <v>172.96</v>
      </c>
      <c r="G170" s="69" t="s">
        <v>709</v>
      </c>
      <c r="H170" s="88">
        <v>0</v>
      </c>
      <c r="I170" s="88">
        <v>173.72</v>
      </c>
      <c r="J170" s="88">
        <v>0</v>
      </c>
      <c r="K170" s="88">
        <v>0</v>
      </c>
      <c r="L170" s="88">
        <v>0</v>
      </c>
      <c r="M170" s="88">
        <v>0</v>
      </c>
      <c r="N170" s="88">
        <v>0</v>
      </c>
      <c r="O170" s="88">
        <v>0</v>
      </c>
      <c r="P170" s="88">
        <v>0</v>
      </c>
      <c r="Q170" s="88">
        <v>172.96</v>
      </c>
      <c r="R170" s="88">
        <v>0</v>
      </c>
      <c r="S170" s="88">
        <v>0</v>
      </c>
      <c r="T170" s="88">
        <f t="shared" si="109"/>
        <v>346.68</v>
      </c>
      <c r="U170" s="88"/>
      <c r="V170" s="88">
        <f t="shared" si="106"/>
        <v>0</v>
      </c>
      <c r="W170" s="88">
        <f t="shared" si="106"/>
        <v>1</v>
      </c>
      <c r="X170" s="88">
        <f t="shared" si="106"/>
        <v>0</v>
      </c>
      <c r="Y170" s="88">
        <f t="shared" si="106"/>
        <v>0</v>
      </c>
      <c r="Z170" s="88">
        <f t="shared" si="106"/>
        <v>0</v>
      </c>
      <c r="AA170" s="88">
        <f t="shared" si="106"/>
        <v>0</v>
      </c>
      <c r="AB170" s="88">
        <f t="shared" si="106"/>
        <v>0</v>
      </c>
      <c r="AC170" s="88">
        <f t="shared" si="106"/>
        <v>0</v>
      </c>
      <c r="AD170" s="88">
        <f t="shared" si="107"/>
        <v>0</v>
      </c>
      <c r="AE170" s="88">
        <f t="shared" si="107"/>
        <v>1</v>
      </c>
      <c r="AF170" s="88">
        <f t="shared" si="107"/>
        <v>0</v>
      </c>
      <c r="AG170" s="88">
        <f t="shared" si="107"/>
        <v>0</v>
      </c>
      <c r="AH170" s="70">
        <f t="shared" si="103"/>
        <v>2</v>
      </c>
      <c r="AI170" s="88">
        <f t="shared" si="104"/>
        <v>0.16666666666666666</v>
      </c>
      <c r="AR170" s="69" t="e">
        <f>+VLOOKUP(C170,#REF!,3,FALSE)</f>
        <v>#REF!</v>
      </c>
      <c r="AS170" s="88">
        <f t="shared" si="110"/>
        <v>0</v>
      </c>
      <c r="AT170" s="90">
        <f t="shared" si="111"/>
        <v>-346.68</v>
      </c>
      <c r="AW170" s="89">
        <f t="shared" ca="1" si="112"/>
        <v>177.21892856332579</v>
      </c>
      <c r="AX170" s="90">
        <f t="shared" ca="1" si="113"/>
        <v>354.43785712665158</v>
      </c>
      <c r="AY170" s="86">
        <f t="shared" ca="1" si="114"/>
        <v>7.7578571266515723</v>
      </c>
      <c r="AZ170" s="402">
        <f t="shared" ca="1" si="115"/>
        <v>1.358256137204829</v>
      </c>
      <c r="BA170" s="402">
        <f t="shared" ca="1" si="116"/>
        <v>355.7961132638564</v>
      </c>
    </row>
    <row r="171" spans="1:53" ht="12" customHeight="1">
      <c r="A171" s="38" t="str">
        <f t="shared" si="108"/>
        <v>Joes TC Refuse UTCFINAL20TEMP-RO</v>
      </c>
      <c r="B171" s="38">
        <f t="shared" si="105"/>
        <v>1</v>
      </c>
      <c r="C171" s="87" t="s">
        <v>605</v>
      </c>
      <c r="D171" s="87" t="s">
        <v>606</v>
      </c>
      <c r="E171" s="174">
        <v>148.69</v>
      </c>
      <c r="F171" s="69">
        <v>148.04</v>
      </c>
      <c r="G171" s="69" t="s">
        <v>709</v>
      </c>
      <c r="H171" s="88">
        <v>297.38</v>
      </c>
      <c r="I171" s="88">
        <v>297.38</v>
      </c>
      <c r="J171" s="88">
        <v>594.76</v>
      </c>
      <c r="K171" s="88">
        <v>594.76</v>
      </c>
      <c r="L171" s="88">
        <v>892.14</v>
      </c>
      <c r="M171" s="88">
        <v>1486.9</v>
      </c>
      <c r="N171" s="88">
        <v>594.76</v>
      </c>
      <c r="O171" s="88">
        <v>1338.21</v>
      </c>
      <c r="P171" s="88">
        <v>592.80999999999995</v>
      </c>
      <c r="Q171" s="88">
        <v>1184.32</v>
      </c>
      <c r="R171" s="88">
        <v>296.08</v>
      </c>
      <c r="S171" s="88">
        <v>444.12</v>
      </c>
      <c r="T171" s="88">
        <f t="shared" si="109"/>
        <v>8613.6200000000008</v>
      </c>
      <c r="U171" s="88"/>
      <c r="V171" s="88">
        <f t="shared" si="106"/>
        <v>2</v>
      </c>
      <c r="W171" s="88">
        <f t="shared" si="106"/>
        <v>2</v>
      </c>
      <c r="X171" s="88">
        <f t="shared" si="106"/>
        <v>4</v>
      </c>
      <c r="Y171" s="88">
        <f t="shared" si="106"/>
        <v>4</v>
      </c>
      <c r="Z171" s="88">
        <f t="shared" si="106"/>
        <v>6</v>
      </c>
      <c r="AA171" s="88">
        <f t="shared" si="106"/>
        <v>10</v>
      </c>
      <c r="AB171" s="88">
        <f t="shared" si="106"/>
        <v>4</v>
      </c>
      <c r="AC171" s="88">
        <f t="shared" si="106"/>
        <v>9</v>
      </c>
      <c r="AD171" s="88">
        <f t="shared" si="107"/>
        <v>4.0043907052148064</v>
      </c>
      <c r="AE171" s="88">
        <f t="shared" si="107"/>
        <v>8</v>
      </c>
      <c r="AF171" s="88">
        <f t="shared" si="107"/>
        <v>2</v>
      </c>
      <c r="AG171" s="88">
        <f t="shared" si="107"/>
        <v>3</v>
      </c>
      <c r="AH171" s="70">
        <f t="shared" si="103"/>
        <v>58.004390705214803</v>
      </c>
      <c r="AI171" s="88">
        <f t="shared" si="104"/>
        <v>4.8336992254345672</v>
      </c>
      <c r="AR171" s="69" t="e">
        <f>+VLOOKUP(C171,#REF!,3,FALSE)</f>
        <v>#REF!</v>
      </c>
      <c r="AS171" s="88">
        <f t="shared" si="110"/>
        <v>0</v>
      </c>
      <c r="AT171" s="90">
        <f t="shared" si="111"/>
        <v>-8613.6200000000008</v>
      </c>
      <c r="AW171" s="89">
        <f t="shared" ca="1" si="112"/>
        <v>151.68530402702791</v>
      </c>
      <c r="AX171" s="90">
        <f t="shared" ca="1" si="113"/>
        <v>8798.4136390230196</v>
      </c>
      <c r="AY171" s="86">
        <f t="shared" ca="1" si="114"/>
        <v>184.79363902301884</v>
      </c>
      <c r="AZ171" s="402">
        <f t="shared" ca="1" si="115"/>
        <v>33.716768913314489</v>
      </c>
      <c r="BA171" s="402">
        <f t="shared" ca="1" si="116"/>
        <v>8832.1304079363344</v>
      </c>
    </row>
    <row r="172" spans="1:53" ht="12" customHeight="1">
      <c r="A172" s="38" t="str">
        <f t="shared" si="108"/>
        <v>Joes TC Refuse UTCHAUL20TEMP-RO</v>
      </c>
      <c r="B172" s="38">
        <f t="shared" si="105"/>
        <v>1</v>
      </c>
      <c r="C172" s="87" t="s">
        <v>603</v>
      </c>
      <c r="D172" s="87" t="s">
        <v>604</v>
      </c>
      <c r="E172" s="174">
        <v>148.69</v>
      </c>
      <c r="F172" s="69">
        <v>148.04</v>
      </c>
      <c r="G172" s="69" t="s">
        <v>709</v>
      </c>
      <c r="H172" s="88">
        <v>446.07</v>
      </c>
      <c r="I172" s="88">
        <v>148.69</v>
      </c>
      <c r="J172" s="88">
        <v>297.38</v>
      </c>
      <c r="K172" s="88">
        <v>892.14</v>
      </c>
      <c r="L172" s="88">
        <v>1189.52</v>
      </c>
      <c r="M172" s="88">
        <v>594.76</v>
      </c>
      <c r="N172" s="88">
        <v>148.69</v>
      </c>
      <c r="O172" s="88">
        <v>594.76</v>
      </c>
      <c r="P172" s="88">
        <v>148.69</v>
      </c>
      <c r="Q172" s="88">
        <v>592.16</v>
      </c>
      <c r="R172" s="88">
        <v>148.04</v>
      </c>
      <c r="S172" s="88">
        <v>296.08</v>
      </c>
      <c r="T172" s="88">
        <f t="shared" si="109"/>
        <v>5496.98</v>
      </c>
      <c r="U172" s="88"/>
      <c r="V172" s="88">
        <f t="shared" si="106"/>
        <v>3</v>
      </c>
      <c r="W172" s="88">
        <f t="shared" si="106"/>
        <v>1</v>
      </c>
      <c r="X172" s="88">
        <f t="shared" si="106"/>
        <v>2</v>
      </c>
      <c r="Y172" s="88">
        <f t="shared" si="106"/>
        <v>6</v>
      </c>
      <c r="Z172" s="88">
        <f t="shared" si="106"/>
        <v>8</v>
      </c>
      <c r="AA172" s="88">
        <f t="shared" si="106"/>
        <v>4</v>
      </c>
      <c r="AB172" s="88">
        <f t="shared" si="106"/>
        <v>1</v>
      </c>
      <c r="AC172" s="88">
        <f t="shared" si="106"/>
        <v>4</v>
      </c>
      <c r="AD172" s="88">
        <f t="shared" si="107"/>
        <v>1.0043907052148069</v>
      </c>
      <c r="AE172" s="88">
        <f t="shared" si="107"/>
        <v>4</v>
      </c>
      <c r="AF172" s="88">
        <f t="shared" si="107"/>
        <v>1</v>
      </c>
      <c r="AG172" s="88">
        <f t="shared" si="107"/>
        <v>2</v>
      </c>
      <c r="AH172" s="70">
        <f t="shared" si="103"/>
        <v>37.004390705214803</v>
      </c>
      <c r="AI172" s="88">
        <f t="shared" si="104"/>
        <v>3.0836992254345668</v>
      </c>
      <c r="AR172" s="69" t="e">
        <f>+VLOOKUP(C172,#REF!,3,FALSE)</f>
        <v>#REF!</v>
      </c>
      <c r="AS172" s="88">
        <f t="shared" si="110"/>
        <v>0</v>
      </c>
      <c r="AT172" s="90">
        <f t="shared" si="111"/>
        <v>-5496.98</v>
      </c>
      <c r="AW172" s="89">
        <f t="shared" ca="1" si="112"/>
        <v>151.68530402702791</v>
      </c>
      <c r="AX172" s="90">
        <f t="shared" ca="1" si="113"/>
        <v>5613.0222544554326</v>
      </c>
      <c r="AY172" s="86">
        <f t="shared" ca="1" si="114"/>
        <v>116.04225445543307</v>
      </c>
      <c r="AZ172" s="402">
        <f t="shared" ca="1" si="115"/>
        <v>21.509897354607677</v>
      </c>
      <c r="BA172" s="402">
        <f t="shared" ca="1" si="116"/>
        <v>5634.53215181004</v>
      </c>
    </row>
    <row r="173" spans="1:53" ht="12" customHeight="1">
      <c r="A173" s="38" t="str">
        <f t="shared" si="108"/>
        <v>Joes TC Refuse UTCFINAL30TEMP-RO</v>
      </c>
      <c r="B173" s="38">
        <f t="shared" si="105"/>
        <v>1</v>
      </c>
      <c r="C173" s="87" t="s">
        <v>609</v>
      </c>
      <c r="D173" s="87" t="s">
        <v>610</v>
      </c>
      <c r="E173" s="174">
        <v>166.2</v>
      </c>
      <c r="F173" s="69">
        <v>165.48</v>
      </c>
      <c r="G173" s="69" t="s">
        <v>709</v>
      </c>
      <c r="H173" s="88">
        <v>0</v>
      </c>
      <c r="I173" s="88">
        <v>166.2</v>
      </c>
      <c r="J173" s="88">
        <v>166.2</v>
      </c>
      <c r="K173" s="88">
        <v>332.4</v>
      </c>
      <c r="L173" s="88">
        <v>166.2</v>
      </c>
      <c r="M173" s="88">
        <v>1329.6</v>
      </c>
      <c r="N173" s="88">
        <v>166.2</v>
      </c>
      <c r="O173" s="88">
        <v>664.8</v>
      </c>
      <c r="P173" s="88">
        <v>496.44</v>
      </c>
      <c r="Q173" s="88">
        <v>330.96</v>
      </c>
      <c r="R173" s="88">
        <v>330.96</v>
      </c>
      <c r="S173" s="88">
        <v>0</v>
      </c>
      <c r="T173" s="88">
        <f t="shared" si="109"/>
        <v>4149.9599999999991</v>
      </c>
      <c r="U173" s="88"/>
      <c r="V173" s="88">
        <f t="shared" si="106"/>
        <v>0</v>
      </c>
      <c r="W173" s="88">
        <f t="shared" si="106"/>
        <v>1</v>
      </c>
      <c r="X173" s="88">
        <f t="shared" si="106"/>
        <v>1</v>
      </c>
      <c r="Y173" s="88">
        <f t="shared" si="106"/>
        <v>2</v>
      </c>
      <c r="Z173" s="88">
        <f t="shared" si="106"/>
        <v>1</v>
      </c>
      <c r="AA173" s="88">
        <f t="shared" si="106"/>
        <v>8</v>
      </c>
      <c r="AB173" s="88">
        <f t="shared" si="106"/>
        <v>1</v>
      </c>
      <c r="AC173" s="88">
        <f t="shared" si="106"/>
        <v>4</v>
      </c>
      <c r="AD173" s="88">
        <f t="shared" si="107"/>
        <v>3</v>
      </c>
      <c r="AE173" s="88">
        <f t="shared" si="107"/>
        <v>2</v>
      </c>
      <c r="AF173" s="88">
        <f t="shared" si="107"/>
        <v>2</v>
      </c>
      <c r="AG173" s="88">
        <f t="shared" si="107"/>
        <v>0</v>
      </c>
      <c r="AH173" s="70">
        <f t="shared" si="103"/>
        <v>25</v>
      </c>
      <c r="AI173" s="88">
        <f t="shared" si="104"/>
        <v>2.0833333333333335</v>
      </c>
      <c r="AR173" s="69" t="e">
        <f>+VLOOKUP(C173,#REF!,3,FALSE)</f>
        <v>#REF!</v>
      </c>
      <c r="AS173" s="88">
        <f t="shared" si="110"/>
        <v>0</v>
      </c>
      <c r="AT173" s="90">
        <f t="shared" si="111"/>
        <v>-4149.9599999999991</v>
      </c>
      <c r="AW173" s="89">
        <f t="shared" ca="1" si="112"/>
        <v>169.55474270732626</v>
      </c>
      <c r="AX173" s="90">
        <f t="shared" ca="1" si="113"/>
        <v>4238.8685676831565</v>
      </c>
      <c r="AY173" s="86">
        <f t="shared" ca="1" si="114"/>
        <v>88.908567683157344</v>
      </c>
      <c r="AZ173" s="402">
        <f t="shared" ca="1" si="115"/>
        <v>16.243945535431248</v>
      </c>
      <c r="BA173" s="402">
        <f t="shared" ca="1" si="116"/>
        <v>4255.112513218588</v>
      </c>
    </row>
    <row r="174" spans="1:53" ht="12" customHeight="1">
      <c r="A174" s="38" t="str">
        <f t="shared" si="108"/>
        <v>Joes TC Refuse UTCFINAL40TEMP-RO</v>
      </c>
      <c r="B174" s="38">
        <f t="shared" si="105"/>
        <v>1</v>
      </c>
      <c r="C174" s="87" t="s">
        <v>613</v>
      </c>
      <c r="D174" s="87" t="s">
        <v>614</v>
      </c>
      <c r="E174" s="174">
        <v>192.24</v>
      </c>
      <c r="F174" s="69">
        <v>191.4</v>
      </c>
      <c r="G174" s="69" t="s">
        <v>709</v>
      </c>
      <c r="H174" s="88">
        <v>0</v>
      </c>
      <c r="I174" s="88">
        <v>0</v>
      </c>
      <c r="J174" s="88">
        <v>384.48</v>
      </c>
      <c r="K174" s="88">
        <v>384.48</v>
      </c>
      <c r="L174" s="88">
        <v>192.24</v>
      </c>
      <c r="M174" s="88">
        <v>384.48</v>
      </c>
      <c r="N174" s="88">
        <v>768.96</v>
      </c>
      <c r="O174" s="88">
        <v>192.24</v>
      </c>
      <c r="P174" s="88">
        <v>382.8</v>
      </c>
      <c r="Q174" s="88">
        <v>0</v>
      </c>
      <c r="R174" s="88">
        <v>191.4</v>
      </c>
      <c r="S174" s="88">
        <v>765.6</v>
      </c>
      <c r="T174" s="88">
        <f t="shared" si="109"/>
        <v>3646.6800000000003</v>
      </c>
      <c r="U174" s="88"/>
      <c r="V174" s="88">
        <f t="shared" si="106"/>
        <v>0</v>
      </c>
      <c r="W174" s="88">
        <f t="shared" si="106"/>
        <v>0</v>
      </c>
      <c r="X174" s="88">
        <f t="shared" si="106"/>
        <v>2</v>
      </c>
      <c r="Y174" s="88">
        <f t="shared" si="106"/>
        <v>2</v>
      </c>
      <c r="Z174" s="88">
        <f t="shared" si="106"/>
        <v>1</v>
      </c>
      <c r="AA174" s="88">
        <f t="shared" si="106"/>
        <v>2</v>
      </c>
      <c r="AB174" s="88">
        <f t="shared" si="106"/>
        <v>4</v>
      </c>
      <c r="AC174" s="88">
        <f t="shared" si="106"/>
        <v>1</v>
      </c>
      <c r="AD174" s="88">
        <f t="shared" si="107"/>
        <v>2</v>
      </c>
      <c r="AE174" s="88">
        <f t="shared" si="107"/>
        <v>0</v>
      </c>
      <c r="AF174" s="88">
        <f t="shared" si="107"/>
        <v>1</v>
      </c>
      <c r="AG174" s="88">
        <f t="shared" si="107"/>
        <v>4</v>
      </c>
      <c r="AH174" s="70">
        <f t="shared" si="103"/>
        <v>19</v>
      </c>
      <c r="AI174" s="88">
        <f t="shared" si="104"/>
        <v>1.5833333333333333</v>
      </c>
      <c r="AR174" s="69" t="e">
        <f>+VLOOKUP(C174,#REF!,3,FALSE)</f>
        <v>#REF!</v>
      </c>
      <c r="AS174" s="88">
        <f t="shared" si="110"/>
        <v>0</v>
      </c>
      <c r="AT174" s="90">
        <f t="shared" si="111"/>
        <v>-3646.6800000000003</v>
      </c>
      <c r="AW174" s="89">
        <f t="shared" ca="1" si="112"/>
        <v>196.11299102116416</v>
      </c>
      <c r="AX174" s="90">
        <f t="shared" ca="1" si="113"/>
        <v>3726.1468294021192</v>
      </c>
      <c r="AY174" s="86">
        <f t="shared" ca="1" si="114"/>
        <v>79.466829402118947</v>
      </c>
      <c r="AZ174" s="402">
        <f t="shared" ca="1" si="115"/>
        <v>14.279123116787352</v>
      </c>
      <c r="BA174" s="402">
        <f t="shared" ca="1" si="116"/>
        <v>3740.4259525189068</v>
      </c>
    </row>
    <row r="175" spans="1:53" ht="12" customHeight="1">
      <c r="A175" s="38" t="str">
        <f t="shared" si="108"/>
        <v>Joes TC Refuse UTCHAUL30TEMP-RO</v>
      </c>
      <c r="B175" s="38">
        <f t="shared" si="105"/>
        <v>1</v>
      </c>
      <c r="C175" s="87" t="s">
        <v>607</v>
      </c>
      <c r="D175" s="87" t="s">
        <v>608</v>
      </c>
      <c r="E175" s="174">
        <v>166.2</v>
      </c>
      <c r="F175" s="69">
        <v>165.48</v>
      </c>
      <c r="G175" s="69" t="s">
        <v>709</v>
      </c>
      <c r="H175" s="88">
        <v>0</v>
      </c>
      <c r="I175" s="88">
        <v>332.4</v>
      </c>
      <c r="J175" s="88">
        <v>166.2</v>
      </c>
      <c r="K175" s="88">
        <v>2825.4</v>
      </c>
      <c r="L175" s="88">
        <v>10470.6</v>
      </c>
      <c r="M175" s="88">
        <v>7977.6</v>
      </c>
      <c r="N175" s="88">
        <v>664.8</v>
      </c>
      <c r="O175" s="88">
        <v>0</v>
      </c>
      <c r="P175" s="88">
        <v>0</v>
      </c>
      <c r="Q175" s="88">
        <v>330.96</v>
      </c>
      <c r="R175" s="88">
        <v>0</v>
      </c>
      <c r="S175" s="88">
        <v>0</v>
      </c>
      <c r="T175" s="88">
        <f t="shared" si="109"/>
        <v>22767.96</v>
      </c>
      <c r="U175" s="88"/>
      <c r="V175" s="88">
        <f t="shared" si="106"/>
        <v>0</v>
      </c>
      <c r="W175" s="88">
        <f t="shared" si="106"/>
        <v>2</v>
      </c>
      <c r="X175" s="88">
        <f t="shared" si="106"/>
        <v>1</v>
      </c>
      <c r="Y175" s="88">
        <f t="shared" si="106"/>
        <v>17</v>
      </c>
      <c r="Z175" s="88">
        <f t="shared" si="106"/>
        <v>63.000000000000007</v>
      </c>
      <c r="AA175" s="88">
        <f t="shared" si="106"/>
        <v>48.000000000000007</v>
      </c>
      <c r="AB175" s="88">
        <f t="shared" si="106"/>
        <v>4</v>
      </c>
      <c r="AC175" s="88">
        <f t="shared" si="106"/>
        <v>0</v>
      </c>
      <c r="AD175" s="88">
        <f t="shared" si="107"/>
        <v>0</v>
      </c>
      <c r="AE175" s="88">
        <f t="shared" si="107"/>
        <v>2</v>
      </c>
      <c r="AF175" s="88">
        <f t="shared" si="107"/>
        <v>0</v>
      </c>
      <c r="AG175" s="88">
        <f t="shared" si="107"/>
        <v>0</v>
      </c>
      <c r="AH175" s="70">
        <f t="shared" si="103"/>
        <v>137</v>
      </c>
      <c r="AI175" s="88">
        <f t="shared" si="104"/>
        <v>11.416666666666666</v>
      </c>
      <c r="AR175" s="69" t="e">
        <f>+VLOOKUP(C175,#REF!,3,FALSE)</f>
        <v>#REF!</v>
      </c>
      <c r="AS175" s="88">
        <f t="shared" si="110"/>
        <v>0</v>
      </c>
      <c r="AT175" s="90">
        <f t="shared" si="111"/>
        <v>-22767.96</v>
      </c>
      <c r="AW175" s="89">
        <f t="shared" ca="1" si="112"/>
        <v>169.55474270732626</v>
      </c>
      <c r="AX175" s="90">
        <f t="shared" ca="1" si="113"/>
        <v>23228.999750903695</v>
      </c>
      <c r="AY175" s="86">
        <f t="shared" ca="1" si="114"/>
        <v>461.03975090369568</v>
      </c>
      <c r="AZ175" s="402">
        <f t="shared" ca="1" si="115"/>
        <v>89.016821534163228</v>
      </c>
      <c r="BA175" s="402">
        <f t="shared" ca="1" si="116"/>
        <v>23318.016572437857</v>
      </c>
    </row>
    <row r="176" spans="1:53" ht="12" customHeight="1">
      <c r="A176" s="38" t="str">
        <f t="shared" si="108"/>
        <v>Joes TC Refuse UTCHAUL40TEMP-RO</v>
      </c>
      <c r="B176" s="38">
        <f t="shared" si="105"/>
        <v>1</v>
      </c>
      <c r="C176" s="87" t="s">
        <v>611</v>
      </c>
      <c r="D176" s="87" t="s">
        <v>612</v>
      </c>
      <c r="E176" s="174">
        <v>192.24</v>
      </c>
      <c r="F176" s="69">
        <v>191.4</v>
      </c>
      <c r="G176" s="69" t="s">
        <v>709</v>
      </c>
      <c r="H176" s="88">
        <v>0</v>
      </c>
      <c r="I176" s="88">
        <v>192.24</v>
      </c>
      <c r="J176" s="88">
        <v>192.24</v>
      </c>
      <c r="K176" s="88">
        <v>0</v>
      </c>
      <c r="L176" s="88">
        <v>0</v>
      </c>
      <c r="M176" s="88">
        <v>192.24</v>
      </c>
      <c r="N176" s="88">
        <v>192.24</v>
      </c>
      <c r="O176" s="88">
        <v>576.72</v>
      </c>
      <c r="P176" s="88">
        <v>191.4</v>
      </c>
      <c r="Q176" s="88">
        <v>0</v>
      </c>
      <c r="R176" s="88">
        <v>0</v>
      </c>
      <c r="S176" s="88">
        <v>574.20000000000005</v>
      </c>
      <c r="T176" s="88">
        <f t="shared" si="109"/>
        <v>2111.2800000000002</v>
      </c>
      <c r="U176" s="88"/>
      <c r="V176" s="88">
        <f t="shared" si="106"/>
        <v>0</v>
      </c>
      <c r="W176" s="88">
        <f t="shared" si="106"/>
        <v>1</v>
      </c>
      <c r="X176" s="88">
        <f t="shared" si="106"/>
        <v>1</v>
      </c>
      <c r="Y176" s="88">
        <f t="shared" si="106"/>
        <v>0</v>
      </c>
      <c r="Z176" s="88">
        <f t="shared" si="106"/>
        <v>0</v>
      </c>
      <c r="AA176" s="88">
        <f t="shared" si="106"/>
        <v>1</v>
      </c>
      <c r="AB176" s="88">
        <f t="shared" si="106"/>
        <v>1</v>
      </c>
      <c r="AC176" s="88">
        <f t="shared" si="106"/>
        <v>3</v>
      </c>
      <c r="AD176" s="88">
        <f t="shared" si="107"/>
        <v>1</v>
      </c>
      <c r="AE176" s="88">
        <f t="shared" si="107"/>
        <v>0</v>
      </c>
      <c r="AF176" s="88">
        <f t="shared" si="107"/>
        <v>0</v>
      </c>
      <c r="AG176" s="88">
        <f t="shared" si="107"/>
        <v>3</v>
      </c>
      <c r="AH176" s="70">
        <f t="shared" si="103"/>
        <v>11</v>
      </c>
      <c r="AI176" s="88">
        <f t="shared" si="104"/>
        <v>0.91666666666666663</v>
      </c>
      <c r="AR176" s="69" t="e">
        <f>+VLOOKUP(C176,#REF!,3,FALSE)</f>
        <v>#REF!</v>
      </c>
      <c r="AS176" s="88">
        <f t="shared" si="110"/>
        <v>0</v>
      </c>
      <c r="AT176" s="90">
        <f t="shared" si="111"/>
        <v>-2111.2800000000002</v>
      </c>
      <c r="AW176" s="89">
        <f t="shared" ca="1" si="112"/>
        <v>196.11299102116416</v>
      </c>
      <c r="AX176" s="90">
        <f t="shared" ca="1" si="113"/>
        <v>2157.2429012328057</v>
      </c>
      <c r="AY176" s="86">
        <f t="shared" ca="1" si="114"/>
        <v>45.962901232805507</v>
      </c>
      <c r="AZ176" s="402">
        <f t="shared" ca="1" si="115"/>
        <v>8.2668607518242556</v>
      </c>
      <c r="BA176" s="402">
        <f t="shared" ca="1" si="116"/>
        <v>2165.5097619846301</v>
      </c>
    </row>
    <row r="177" spans="1:53" ht="12" customHeight="1">
      <c r="A177" s="38" t="str">
        <f t="shared" si="108"/>
        <v>Joes TC Refuse UTCHAUL15-CP</v>
      </c>
      <c r="B177" s="38">
        <f t="shared" si="105"/>
        <v>1</v>
      </c>
      <c r="C177" s="87" t="s">
        <v>618</v>
      </c>
      <c r="D177" s="87" t="s">
        <v>619</v>
      </c>
      <c r="E177" s="174">
        <v>155</v>
      </c>
      <c r="F177" s="69">
        <v>154.32</v>
      </c>
      <c r="G177" s="69" t="s">
        <v>710</v>
      </c>
      <c r="H177" s="88">
        <v>0</v>
      </c>
      <c r="I177" s="88">
        <v>155</v>
      </c>
      <c r="J177" s="88">
        <v>0</v>
      </c>
      <c r="K177" s="88">
        <v>0</v>
      </c>
      <c r="L177" s="88">
        <v>0</v>
      </c>
      <c r="M177" s="88">
        <v>155</v>
      </c>
      <c r="N177" s="88">
        <v>0</v>
      </c>
      <c r="O177" s="88">
        <v>155</v>
      </c>
      <c r="P177" s="88">
        <v>0</v>
      </c>
      <c r="Q177" s="88">
        <v>0</v>
      </c>
      <c r="R177" s="88">
        <v>154.32</v>
      </c>
      <c r="S177" s="88">
        <v>0</v>
      </c>
      <c r="T177" s="88">
        <f t="shared" si="109"/>
        <v>619.31999999999994</v>
      </c>
      <c r="U177" s="88"/>
      <c r="V177" s="88">
        <f t="shared" si="106"/>
        <v>0</v>
      </c>
      <c r="W177" s="88">
        <f t="shared" si="106"/>
        <v>1</v>
      </c>
      <c r="X177" s="88">
        <f t="shared" si="106"/>
        <v>0</v>
      </c>
      <c r="Y177" s="88">
        <f t="shared" si="106"/>
        <v>0</v>
      </c>
      <c r="Z177" s="88">
        <f t="shared" si="106"/>
        <v>0</v>
      </c>
      <c r="AA177" s="88">
        <f t="shared" si="106"/>
        <v>1</v>
      </c>
      <c r="AB177" s="88">
        <f t="shared" si="106"/>
        <v>0</v>
      </c>
      <c r="AC177" s="88">
        <f t="shared" si="106"/>
        <v>1</v>
      </c>
      <c r="AD177" s="88">
        <f t="shared" si="107"/>
        <v>0</v>
      </c>
      <c r="AE177" s="88">
        <f t="shared" si="107"/>
        <v>0</v>
      </c>
      <c r="AF177" s="88">
        <f t="shared" si="107"/>
        <v>1</v>
      </c>
      <c r="AG177" s="88">
        <f t="shared" si="107"/>
        <v>0</v>
      </c>
      <c r="AH177" s="70">
        <f t="shared" si="103"/>
        <v>4</v>
      </c>
      <c r="AI177" s="88">
        <f t="shared" si="104"/>
        <v>0.33333333333333331</v>
      </c>
      <c r="AR177" s="69" t="e">
        <f>+VLOOKUP(C177,#REF!,3,FALSE)</f>
        <v>#REF!</v>
      </c>
      <c r="AS177" s="88">
        <f t="shared" si="110"/>
        <v>0</v>
      </c>
      <c r="AT177" s="90">
        <f t="shared" si="111"/>
        <v>-619.31999999999994</v>
      </c>
      <c r="AW177" s="89">
        <f t="shared" ca="1" si="112"/>
        <v>158.11994134997937</v>
      </c>
      <c r="AX177" s="90">
        <f t="shared" ca="1" si="113"/>
        <v>632.47976539991748</v>
      </c>
      <c r="AY177" s="86">
        <f t="shared" ca="1" si="114"/>
        <v>13.159765399917546</v>
      </c>
      <c r="AZ177" s="402">
        <f t="shared" ca="1" si="115"/>
        <v>2.4237521634302635</v>
      </c>
      <c r="BA177" s="402">
        <f t="shared" ca="1" si="116"/>
        <v>634.90351756334769</v>
      </c>
    </row>
    <row r="178" spans="1:53" ht="12" customHeight="1">
      <c r="A178" s="38" t="str">
        <f t="shared" si="108"/>
        <v>Joes TC Refuse UTCHAUL30-CP</v>
      </c>
      <c r="B178" s="38">
        <f t="shared" si="105"/>
        <v>1</v>
      </c>
      <c r="C178" s="87" t="s">
        <v>624</v>
      </c>
      <c r="D178" s="87" t="s">
        <v>625</v>
      </c>
      <c r="E178" s="174">
        <v>183.73</v>
      </c>
      <c r="F178" s="69">
        <v>182.93</v>
      </c>
      <c r="G178" s="69" t="s">
        <v>710</v>
      </c>
      <c r="H178" s="88">
        <v>2572.2199999999998</v>
      </c>
      <c r="I178" s="88">
        <v>2021.03</v>
      </c>
      <c r="J178" s="88">
        <v>2021.03</v>
      </c>
      <c r="K178" s="88">
        <v>2021.03</v>
      </c>
      <c r="L178" s="88">
        <v>2572.2199999999998</v>
      </c>
      <c r="M178" s="88">
        <v>2388.4899999999998</v>
      </c>
      <c r="N178" s="88">
        <v>2204.7600000000002</v>
      </c>
      <c r="O178" s="88">
        <v>2388.4899999999998</v>
      </c>
      <c r="P178" s="88">
        <v>2378.89</v>
      </c>
      <c r="Q178" s="88">
        <v>2561.02</v>
      </c>
      <c r="R178" s="88">
        <v>2195.16</v>
      </c>
      <c r="S178" s="88">
        <v>2378.09</v>
      </c>
      <c r="T178" s="88">
        <f t="shared" si="109"/>
        <v>27702.429999999997</v>
      </c>
      <c r="U178" s="88"/>
      <c r="V178" s="88">
        <f t="shared" si="106"/>
        <v>14</v>
      </c>
      <c r="W178" s="88">
        <f t="shared" si="106"/>
        <v>11</v>
      </c>
      <c r="X178" s="88">
        <f t="shared" si="106"/>
        <v>11</v>
      </c>
      <c r="Y178" s="88">
        <f t="shared" si="106"/>
        <v>11</v>
      </c>
      <c r="Z178" s="88">
        <f t="shared" si="106"/>
        <v>14</v>
      </c>
      <c r="AA178" s="88">
        <f t="shared" si="106"/>
        <v>13</v>
      </c>
      <c r="AB178" s="88">
        <f t="shared" si="106"/>
        <v>12.000000000000002</v>
      </c>
      <c r="AC178" s="88">
        <f t="shared" si="106"/>
        <v>13</v>
      </c>
      <c r="AD178" s="88">
        <f t="shared" si="107"/>
        <v>13.004373257530201</v>
      </c>
      <c r="AE178" s="88">
        <f t="shared" si="107"/>
        <v>14</v>
      </c>
      <c r="AF178" s="88">
        <f t="shared" si="107"/>
        <v>11.999999999999998</v>
      </c>
      <c r="AG178" s="88">
        <f t="shared" si="107"/>
        <v>13</v>
      </c>
      <c r="AH178" s="70">
        <f t="shared" si="103"/>
        <v>151.0043732575302</v>
      </c>
      <c r="AI178" s="88">
        <f t="shared" si="104"/>
        <v>12.58369777146085</v>
      </c>
      <c r="AR178" s="69" t="e">
        <f>+VLOOKUP(C178,#REF!,3,FALSE)</f>
        <v>#REF!</v>
      </c>
      <c r="AS178" s="88">
        <f t="shared" si="110"/>
        <v>0</v>
      </c>
      <c r="AT178" s="90">
        <f t="shared" si="111"/>
        <v>-27702.429999999997</v>
      </c>
      <c r="AW178" s="89">
        <f t="shared" ca="1" si="112"/>
        <v>187.43442762540002</v>
      </c>
      <c r="AX178" s="90">
        <f t="shared" ca="1" si="113"/>
        <v>28303.418270457434</v>
      </c>
      <c r="AY178" s="86">
        <f t="shared" ca="1" si="114"/>
        <v>600.98827045743747</v>
      </c>
      <c r="AZ178" s="402">
        <f t="shared" ca="1" si="115"/>
        <v>108.46271298832258</v>
      </c>
      <c r="BA178" s="402">
        <f t="shared" ca="1" si="116"/>
        <v>28411.880983445757</v>
      </c>
    </row>
    <row r="179" spans="1:53" ht="12" customHeight="1">
      <c r="A179" s="38" t="str">
        <f t="shared" si="108"/>
        <v>Joes TC Refuse UTCHAUL40-CP</v>
      </c>
      <c r="B179" s="38">
        <f t="shared" si="105"/>
        <v>1</v>
      </c>
      <c r="C179" s="87" t="s">
        <v>626</v>
      </c>
      <c r="D179" s="87" t="s">
        <v>627</v>
      </c>
      <c r="E179" s="174">
        <v>192.24</v>
      </c>
      <c r="F179" s="69">
        <v>191.4</v>
      </c>
      <c r="G179" s="69" t="s">
        <v>710</v>
      </c>
      <c r="H179" s="88">
        <v>1922.4</v>
      </c>
      <c r="I179" s="88">
        <v>1537.92</v>
      </c>
      <c r="J179" s="88">
        <v>1537.92</v>
      </c>
      <c r="K179" s="88">
        <v>1537.92</v>
      </c>
      <c r="L179" s="88">
        <v>1922.4</v>
      </c>
      <c r="M179" s="88">
        <v>1537.92</v>
      </c>
      <c r="N179" s="88">
        <v>1730.16</v>
      </c>
      <c r="O179" s="88">
        <v>1730.16</v>
      </c>
      <c r="P179" s="88">
        <v>1340.64</v>
      </c>
      <c r="Q179" s="88">
        <v>1914</v>
      </c>
      <c r="R179" s="88">
        <v>1531.2</v>
      </c>
      <c r="S179" s="88">
        <v>1531.2</v>
      </c>
      <c r="T179" s="88">
        <f t="shared" si="109"/>
        <v>19773.84</v>
      </c>
      <c r="U179" s="88"/>
      <c r="V179" s="88">
        <f t="shared" si="106"/>
        <v>10</v>
      </c>
      <c r="W179" s="88">
        <f t="shared" si="106"/>
        <v>8</v>
      </c>
      <c r="X179" s="88">
        <f t="shared" si="106"/>
        <v>8</v>
      </c>
      <c r="Y179" s="88">
        <f t="shared" si="106"/>
        <v>8</v>
      </c>
      <c r="Z179" s="88">
        <f t="shared" si="106"/>
        <v>10</v>
      </c>
      <c r="AA179" s="88">
        <f t="shared" si="106"/>
        <v>8</v>
      </c>
      <c r="AB179" s="88">
        <f t="shared" si="106"/>
        <v>9</v>
      </c>
      <c r="AC179" s="88">
        <f t="shared" si="106"/>
        <v>9</v>
      </c>
      <c r="AD179" s="88">
        <f t="shared" si="107"/>
        <v>7.0043887147335431</v>
      </c>
      <c r="AE179" s="88">
        <f t="shared" si="107"/>
        <v>10</v>
      </c>
      <c r="AF179" s="88">
        <f t="shared" si="107"/>
        <v>8</v>
      </c>
      <c r="AG179" s="88">
        <f t="shared" si="107"/>
        <v>8</v>
      </c>
      <c r="AH179" s="70">
        <f t="shared" si="103"/>
        <v>103.00438871473354</v>
      </c>
      <c r="AI179" s="88">
        <f t="shared" si="104"/>
        <v>8.5836990595611287</v>
      </c>
      <c r="AR179" s="69" t="e">
        <f>+VLOOKUP(C179,#REF!,3,FALSE)</f>
        <v>#REF!</v>
      </c>
      <c r="AS179" s="88">
        <f t="shared" si="110"/>
        <v>0</v>
      </c>
      <c r="AT179" s="90">
        <f t="shared" si="111"/>
        <v>-19773.84</v>
      </c>
      <c r="AW179" s="89">
        <f t="shared" ca="1" si="112"/>
        <v>196.11299102116416</v>
      </c>
      <c r="AX179" s="90">
        <f t="shared" ca="1" si="113"/>
        <v>20200.498759153044</v>
      </c>
      <c r="AY179" s="86">
        <f t="shared" ca="1" si="114"/>
        <v>426.65875915304423</v>
      </c>
      <c r="AZ179" s="402">
        <f t="shared" ca="1" si="115"/>
        <v>77.411176211952736</v>
      </c>
      <c r="BA179" s="402">
        <f t="shared" ca="1" si="116"/>
        <v>20277.909935364998</v>
      </c>
    </row>
    <row r="180" spans="1:53" ht="12" customHeight="1">
      <c r="A180" s="38" t="str">
        <f t="shared" si="108"/>
        <v>Joes TC Refuse UTCMILE-RO</v>
      </c>
      <c r="B180" s="38">
        <f t="shared" si="105"/>
        <v>1</v>
      </c>
      <c r="C180" s="87" t="s">
        <v>649</v>
      </c>
      <c r="D180" s="87" t="s">
        <v>650</v>
      </c>
      <c r="E180" s="174">
        <v>3.36</v>
      </c>
      <c r="F180" s="69">
        <v>3.35</v>
      </c>
      <c r="G180" s="69" t="s">
        <v>709</v>
      </c>
      <c r="H180" s="88">
        <v>6746.88</v>
      </c>
      <c r="I180" s="88">
        <v>6434.4</v>
      </c>
      <c r="J180" s="88">
        <v>6998.88</v>
      </c>
      <c r="K180" s="88">
        <v>7778.4</v>
      </c>
      <c r="L180" s="88">
        <v>12260.64</v>
      </c>
      <c r="M180" s="88">
        <v>10893.12</v>
      </c>
      <c r="N180" s="88">
        <v>6205.92</v>
      </c>
      <c r="O180" s="88">
        <v>7415.52</v>
      </c>
      <c r="P180" s="88">
        <v>6732.22</v>
      </c>
      <c r="Q180" s="88">
        <v>7547.55</v>
      </c>
      <c r="R180" s="88">
        <v>6663.15</v>
      </c>
      <c r="S180" s="88">
        <v>6870.85</v>
      </c>
      <c r="T180" s="88">
        <f t="shared" si="109"/>
        <v>92547.53</v>
      </c>
      <c r="U180" s="88"/>
      <c r="V180" s="88">
        <f t="shared" si="106"/>
        <v>2008</v>
      </c>
      <c r="W180" s="88">
        <f t="shared" si="106"/>
        <v>1915</v>
      </c>
      <c r="X180" s="88">
        <f t="shared" si="106"/>
        <v>2083</v>
      </c>
      <c r="Y180" s="88">
        <f t="shared" si="106"/>
        <v>2315</v>
      </c>
      <c r="Z180" s="88">
        <f t="shared" si="106"/>
        <v>3649</v>
      </c>
      <c r="AA180" s="88">
        <f t="shared" si="106"/>
        <v>3242.0000000000005</v>
      </c>
      <c r="AB180" s="88">
        <f t="shared" si="106"/>
        <v>1847</v>
      </c>
      <c r="AC180" s="88">
        <f t="shared" si="106"/>
        <v>2207</v>
      </c>
      <c r="AD180" s="88">
        <f t="shared" si="107"/>
        <v>2009.6179104477612</v>
      </c>
      <c r="AE180" s="88">
        <f t="shared" si="107"/>
        <v>2253</v>
      </c>
      <c r="AF180" s="88">
        <f t="shared" si="107"/>
        <v>1988.9999999999998</v>
      </c>
      <c r="AG180" s="88">
        <f t="shared" si="107"/>
        <v>2051</v>
      </c>
      <c r="AH180" s="70">
        <f t="shared" si="103"/>
        <v>27568.61791044776</v>
      </c>
      <c r="AI180" s="88">
        <f t="shared" si="104"/>
        <v>2297.3848258706466</v>
      </c>
      <c r="AR180" s="69" t="e">
        <f>+VLOOKUP(C180,#REF!,3,FALSE)</f>
        <v>#REF!</v>
      </c>
      <c r="AS180" s="88">
        <f t="shared" si="110"/>
        <v>0</v>
      </c>
      <c r="AT180" s="90">
        <f t="shared" si="111"/>
        <v>-92547.53</v>
      </c>
      <c r="AW180" s="89">
        <f t="shared" ca="1" si="112"/>
        <v>3.4324896547591428</v>
      </c>
      <c r="AX180" s="90">
        <f t="shared" ca="1" si="113"/>
        <v>94628.99577361955</v>
      </c>
      <c r="AY180" s="86">
        <f t="shared" ca="1" si="114"/>
        <v>2081.4657736195513</v>
      </c>
      <c r="AZ180" s="402">
        <f t="shared" ca="1" si="115"/>
        <v>362.63173270771892</v>
      </c>
      <c r="BA180" s="402">
        <f t="shared" ca="1" si="116"/>
        <v>94991.627506327262</v>
      </c>
    </row>
    <row r="181" spans="1:53" ht="12" customHeight="1">
      <c r="A181" s="38" t="str">
        <f t="shared" si="108"/>
        <v>Joes TC Refuse UTCTIME-RO</v>
      </c>
      <c r="B181" s="38">
        <f t="shared" si="105"/>
        <v>1</v>
      </c>
      <c r="C181" s="87" t="s">
        <v>655</v>
      </c>
      <c r="D181" s="87" t="s">
        <v>656</v>
      </c>
      <c r="E181" s="174">
        <v>125.39</v>
      </c>
      <c r="F181" s="69">
        <v>124.84</v>
      </c>
      <c r="G181" s="69" t="s">
        <v>711</v>
      </c>
      <c r="H181" s="88">
        <v>0</v>
      </c>
      <c r="I181" s="88">
        <v>0</v>
      </c>
      <c r="J181" s="88">
        <v>0</v>
      </c>
      <c r="K181" s="88">
        <v>62.7</v>
      </c>
      <c r="L181" s="88">
        <v>501.57</v>
      </c>
      <c r="M181" s="88">
        <v>815.04</v>
      </c>
      <c r="N181" s="88">
        <v>125.39</v>
      </c>
      <c r="O181" s="88">
        <v>0</v>
      </c>
      <c r="P181" s="88">
        <v>0</v>
      </c>
      <c r="Q181" s="88">
        <v>0</v>
      </c>
      <c r="R181" s="88">
        <v>62.42</v>
      </c>
      <c r="S181" s="88">
        <v>124.84</v>
      </c>
      <c r="T181" s="88">
        <f t="shared" si="109"/>
        <v>1691.96</v>
      </c>
      <c r="U181" s="88"/>
      <c r="V181" s="88">
        <f t="shared" si="106"/>
        <v>0</v>
      </c>
      <c r="W181" s="88">
        <f t="shared" si="106"/>
        <v>0</v>
      </c>
      <c r="X181" s="88">
        <f t="shared" si="106"/>
        <v>0</v>
      </c>
      <c r="Y181" s="88">
        <f t="shared" si="106"/>
        <v>0.50003987558816498</v>
      </c>
      <c r="Z181" s="88">
        <f t="shared" si="106"/>
        <v>4.0000797511763295</v>
      </c>
      <c r="AA181" s="88">
        <f t="shared" si="106"/>
        <v>6.5000398755881648</v>
      </c>
      <c r="AB181" s="88">
        <f t="shared" si="106"/>
        <v>1</v>
      </c>
      <c r="AC181" s="88">
        <f t="shared" si="106"/>
        <v>0</v>
      </c>
      <c r="AD181" s="88">
        <f t="shared" si="107"/>
        <v>0</v>
      </c>
      <c r="AE181" s="88">
        <f t="shared" si="107"/>
        <v>0</v>
      </c>
      <c r="AF181" s="88">
        <f t="shared" si="107"/>
        <v>0.5</v>
      </c>
      <c r="AG181" s="88">
        <f t="shared" si="107"/>
        <v>1</v>
      </c>
      <c r="AH181" s="70">
        <f t="shared" si="103"/>
        <v>13.500159502352659</v>
      </c>
      <c r="AI181" s="88">
        <f t="shared" si="104"/>
        <v>1.1250132918627216</v>
      </c>
      <c r="AR181" s="69" t="e">
        <f>+VLOOKUP(C181,#REF!,3,FALSE)</f>
        <v>#REF!</v>
      </c>
      <c r="AS181" s="88">
        <f t="shared" si="110"/>
        <v>0</v>
      </c>
      <c r="AT181" s="90">
        <f t="shared" si="111"/>
        <v>-1691.96</v>
      </c>
      <c r="AW181" s="89">
        <f t="shared" ca="1" si="112"/>
        <v>127.91403238809893</v>
      </c>
      <c r="AX181" s="90">
        <f t="shared" ca="1" si="113"/>
        <v>1726.8598398284394</v>
      </c>
      <c r="AY181" s="86">
        <f t="shared" ca="1" si="114"/>
        <v>34.899839828439326</v>
      </c>
      <c r="AZ181" s="402">
        <f t="shared" ca="1" si="115"/>
        <v>6.6175718207815475</v>
      </c>
      <c r="BA181" s="402">
        <f t="shared" ca="1" si="116"/>
        <v>1733.4774116492208</v>
      </c>
    </row>
    <row r="182" spans="1:53" ht="12" customHeight="1">
      <c r="A182" s="38" t="str">
        <f t="shared" si="108"/>
        <v>Joes TC Refuse UTCDEL20TEMP-RO</v>
      </c>
      <c r="B182" s="38">
        <f t="shared" si="105"/>
        <v>1</v>
      </c>
      <c r="C182" s="87" t="s">
        <v>643</v>
      </c>
      <c r="D182" s="87" t="s">
        <v>644</v>
      </c>
      <c r="E182" s="174">
        <v>113.64</v>
      </c>
      <c r="F182" s="69">
        <v>113.15</v>
      </c>
      <c r="G182" s="69" t="s">
        <v>709</v>
      </c>
      <c r="H182" s="88">
        <v>227.28</v>
      </c>
      <c r="I182" s="88">
        <v>113.64</v>
      </c>
      <c r="J182" s="88">
        <v>795.48</v>
      </c>
      <c r="K182" s="88">
        <v>227.28</v>
      </c>
      <c r="L182" s="88">
        <v>1136.4000000000001</v>
      </c>
      <c r="M182" s="88">
        <v>909.12</v>
      </c>
      <c r="N182" s="88">
        <v>795.48</v>
      </c>
      <c r="O182" s="88">
        <v>454.56</v>
      </c>
      <c r="P182" s="88">
        <v>566.73</v>
      </c>
      <c r="Q182" s="88">
        <v>565.75</v>
      </c>
      <c r="R182" s="88">
        <v>339.45</v>
      </c>
      <c r="S182" s="88">
        <v>678.9</v>
      </c>
      <c r="T182" s="88">
        <f t="shared" si="109"/>
        <v>6810.0700000000006</v>
      </c>
      <c r="U182" s="88"/>
      <c r="V182" s="88">
        <f t="shared" si="106"/>
        <v>2</v>
      </c>
      <c r="W182" s="88">
        <f t="shared" si="106"/>
        <v>1</v>
      </c>
      <c r="X182" s="88">
        <f t="shared" si="106"/>
        <v>7</v>
      </c>
      <c r="Y182" s="88">
        <f t="shared" si="106"/>
        <v>2</v>
      </c>
      <c r="Z182" s="88">
        <f t="shared" si="106"/>
        <v>10</v>
      </c>
      <c r="AA182" s="88">
        <f t="shared" si="106"/>
        <v>8</v>
      </c>
      <c r="AB182" s="88">
        <f t="shared" si="106"/>
        <v>7</v>
      </c>
      <c r="AC182" s="88">
        <f t="shared" si="106"/>
        <v>4</v>
      </c>
      <c r="AD182" s="88">
        <f t="shared" si="107"/>
        <v>5.0086610693769336</v>
      </c>
      <c r="AE182" s="88">
        <f t="shared" si="107"/>
        <v>5</v>
      </c>
      <c r="AF182" s="88">
        <f t="shared" si="107"/>
        <v>2.9999999999999996</v>
      </c>
      <c r="AG182" s="88">
        <f t="shared" si="107"/>
        <v>5.9999999999999991</v>
      </c>
      <c r="AH182" s="70">
        <f t="shared" si="103"/>
        <v>60.008661069376934</v>
      </c>
      <c r="AI182" s="88">
        <f t="shared" si="104"/>
        <v>5.0007217557814112</v>
      </c>
      <c r="AR182" s="69" t="e">
        <f>+VLOOKUP(C182,#REF!,3,FALSE)</f>
        <v>#REF!</v>
      </c>
      <c r="AS182" s="88">
        <f t="shared" si="110"/>
        <v>0</v>
      </c>
      <c r="AT182" s="90">
        <f t="shared" si="111"/>
        <v>-6810.0700000000006</v>
      </c>
      <c r="AW182" s="89">
        <f t="shared" ca="1" si="112"/>
        <v>115.93618042865583</v>
      </c>
      <c r="AX182" s="90">
        <f t="shared" ca="1" si="113"/>
        <v>6957.1749570213387</v>
      </c>
      <c r="AY182" s="86">
        <f t="shared" ca="1" si="114"/>
        <v>147.10495702133812</v>
      </c>
      <c r="AZ182" s="402">
        <f t="shared" ca="1" si="115"/>
        <v>26.660881147369462</v>
      </c>
      <c r="BA182" s="402">
        <f t="shared" ca="1" si="116"/>
        <v>6983.8358381687085</v>
      </c>
    </row>
    <row r="183" spans="1:53" ht="12" customHeight="1">
      <c r="A183" s="38" t="str">
        <f t="shared" si="108"/>
        <v>Joes TC Refuse UTCDEL30TEMP-RO</v>
      </c>
      <c r="B183" s="38">
        <f t="shared" si="105"/>
        <v>1</v>
      </c>
      <c r="C183" s="87" t="s">
        <v>645</v>
      </c>
      <c r="D183" s="87" t="s">
        <v>646</v>
      </c>
      <c r="E183" s="174">
        <v>113.64</v>
      </c>
      <c r="F183" s="69">
        <v>113.15</v>
      </c>
      <c r="G183" s="69" t="s">
        <v>709</v>
      </c>
      <c r="H183" s="88">
        <v>227.28</v>
      </c>
      <c r="I183" s="88">
        <v>113.64</v>
      </c>
      <c r="J183" s="88">
        <v>340.92</v>
      </c>
      <c r="K183" s="88">
        <v>795.48</v>
      </c>
      <c r="L183" s="88">
        <v>568.20000000000005</v>
      </c>
      <c r="M183" s="88">
        <v>227.28</v>
      </c>
      <c r="N183" s="88">
        <v>340.92</v>
      </c>
      <c r="O183" s="88">
        <v>227.28</v>
      </c>
      <c r="P183" s="88">
        <v>453.09</v>
      </c>
      <c r="Q183" s="88">
        <v>0</v>
      </c>
      <c r="R183" s="88">
        <v>0</v>
      </c>
      <c r="S183" s="88">
        <v>0</v>
      </c>
      <c r="T183" s="88">
        <f t="shared" si="109"/>
        <v>3294.0900000000006</v>
      </c>
      <c r="U183" s="88"/>
      <c r="V183" s="88">
        <f t="shared" si="106"/>
        <v>2</v>
      </c>
      <c r="W183" s="88">
        <f t="shared" si="106"/>
        <v>1</v>
      </c>
      <c r="X183" s="88">
        <f t="shared" si="106"/>
        <v>3</v>
      </c>
      <c r="Y183" s="88">
        <f t="shared" si="106"/>
        <v>7</v>
      </c>
      <c r="Z183" s="88">
        <f t="shared" si="106"/>
        <v>5</v>
      </c>
      <c r="AA183" s="88">
        <f t="shared" si="106"/>
        <v>2</v>
      </c>
      <c r="AB183" s="88">
        <f t="shared" si="106"/>
        <v>3</v>
      </c>
      <c r="AC183" s="88">
        <f t="shared" si="106"/>
        <v>2</v>
      </c>
      <c r="AD183" s="88">
        <f t="shared" si="107"/>
        <v>4.0043305346884663</v>
      </c>
      <c r="AE183" s="88">
        <f t="shared" si="107"/>
        <v>0</v>
      </c>
      <c r="AF183" s="88">
        <f t="shared" si="107"/>
        <v>0</v>
      </c>
      <c r="AG183" s="88">
        <f t="shared" si="107"/>
        <v>0</v>
      </c>
      <c r="AH183" s="70">
        <f t="shared" si="103"/>
        <v>29.004330534688467</v>
      </c>
      <c r="AI183" s="88">
        <f t="shared" si="104"/>
        <v>2.4170275445573721</v>
      </c>
      <c r="AR183" s="69" t="e">
        <f>+VLOOKUP(C183,#REF!,3,FALSE)</f>
        <v>#REF!</v>
      </c>
      <c r="AS183" s="88">
        <f t="shared" si="110"/>
        <v>0</v>
      </c>
      <c r="AT183" s="90">
        <f t="shared" si="111"/>
        <v>-3294.0900000000006</v>
      </c>
      <c r="AW183" s="89">
        <f t="shared" ca="1" si="112"/>
        <v>115.93618042865583</v>
      </c>
      <c r="AX183" s="90">
        <f t="shared" ca="1" si="113"/>
        <v>3362.6512980820139</v>
      </c>
      <c r="AY183" s="86">
        <f t="shared" ca="1" si="114"/>
        <v>68.561298082013309</v>
      </c>
      <c r="AZ183" s="402">
        <f t="shared" ca="1" si="115"/>
        <v>12.886156687454603</v>
      </c>
      <c r="BA183" s="402">
        <f t="shared" ca="1" si="116"/>
        <v>3375.5374547694687</v>
      </c>
    </row>
    <row r="184" spans="1:53" ht="12" customHeight="1">
      <c r="A184" s="38" t="str">
        <f t="shared" si="108"/>
        <v>Joes TC Refuse UTCDEL40TEMP-RO</v>
      </c>
      <c r="B184" s="38">
        <f t="shared" si="105"/>
        <v>1</v>
      </c>
      <c r="C184" s="87" t="s">
        <v>647</v>
      </c>
      <c r="D184" s="87" t="s">
        <v>648</v>
      </c>
      <c r="E184" s="174">
        <v>113.64</v>
      </c>
      <c r="F184" s="69">
        <v>113.15</v>
      </c>
      <c r="G184" s="69" t="s">
        <v>709</v>
      </c>
      <c r="H184" s="88">
        <v>0</v>
      </c>
      <c r="I184" s="88">
        <v>227.28</v>
      </c>
      <c r="J184" s="88">
        <v>113.64</v>
      </c>
      <c r="K184" s="88">
        <v>113.64</v>
      </c>
      <c r="L184" s="88">
        <v>113.64</v>
      </c>
      <c r="M184" s="88">
        <v>113.64</v>
      </c>
      <c r="N184" s="88">
        <v>568.20000000000005</v>
      </c>
      <c r="O184" s="88">
        <v>340.92</v>
      </c>
      <c r="P184" s="88">
        <v>226.3</v>
      </c>
      <c r="Q184" s="88">
        <v>0</v>
      </c>
      <c r="R184" s="88">
        <v>113.15</v>
      </c>
      <c r="S184" s="88">
        <v>339.45</v>
      </c>
      <c r="T184" s="88">
        <f t="shared" si="109"/>
        <v>2269.86</v>
      </c>
      <c r="U184" s="88"/>
      <c r="V184" s="88">
        <f t="shared" si="106"/>
        <v>0</v>
      </c>
      <c r="W184" s="88">
        <f t="shared" si="106"/>
        <v>2</v>
      </c>
      <c r="X184" s="88">
        <f t="shared" si="106"/>
        <v>1</v>
      </c>
      <c r="Y184" s="88">
        <f t="shared" si="106"/>
        <v>1</v>
      </c>
      <c r="Z184" s="88">
        <f t="shared" si="106"/>
        <v>1</v>
      </c>
      <c r="AA184" s="88">
        <f t="shared" si="106"/>
        <v>1</v>
      </c>
      <c r="AB184" s="88">
        <f t="shared" si="106"/>
        <v>5</v>
      </c>
      <c r="AC184" s="88">
        <f t="shared" si="106"/>
        <v>3</v>
      </c>
      <c r="AD184" s="88">
        <f t="shared" si="107"/>
        <v>2</v>
      </c>
      <c r="AE184" s="88">
        <f t="shared" si="107"/>
        <v>0</v>
      </c>
      <c r="AF184" s="88">
        <f t="shared" si="107"/>
        <v>1</v>
      </c>
      <c r="AG184" s="88">
        <f t="shared" si="107"/>
        <v>2.9999999999999996</v>
      </c>
      <c r="AH184" s="70">
        <f t="shared" si="103"/>
        <v>20</v>
      </c>
      <c r="AI184" s="88">
        <f t="shared" si="104"/>
        <v>1.6666666666666667</v>
      </c>
      <c r="AR184" s="69" t="e">
        <f>+VLOOKUP(C184,#REF!,3,FALSE)</f>
        <v>#REF!</v>
      </c>
      <c r="AS184" s="88">
        <f t="shared" si="110"/>
        <v>0</v>
      </c>
      <c r="AT184" s="90">
        <f t="shared" si="111"/>
        <v>-2269.86</v>
      </c>
      <c r="AW184" s="89">
        <f ca="1">+F184*(1+$BE$2)</f>
        <v>115.93618042865583</v>
      </c>
      <c r="AX184" s="90">
        <f t="shared" ca="1" si="113"/>
        <v>2318.7236085731165</v>
      </c>
      <c r="AY184" s="86">
        <f t="shared" ca="1" si="114"/>
        <v>48.86360857311638</v>
      </c>
      <c r="AZ184" s="402">
        <f t="shared" ca="1" si="115"/>
        <v>8.8856777246025889</v>
      </c>
      <c r="BA184" s="402">
        <f t="shared" ca="1" si="116"/>
        <v>2327.6092862977189</v>
      </c>
    </row>
    <row r="185" spans="1:53">
      <c r="A185" s="38" t="str">
        <f t="shared" si="108"/>
        <v>Joes TC Refuse UTCDISCO-CP</v>
      </c>
      <c r="B185" s="38">
        <f t="shared" si="105"/>
        <v>1</v>
      </c>
      <c r="C185" s="87" t="s">
        <v>660</v>
      </c>
      <c r="D185" s="87" t="s">
        <v>661</v>
      </c>
      <c r="E185" s="174">
        <v>10.45</v>
      </c>
      <c r="F185" s="69">
        <v>10.4</v>
      </c>
      <c r="G185" s="69" t="s">
        <v>617</v>
      </c>
      <c r="H185" s="88">
        <v>250.8</v>
      </c>
      <c r="I185" s="88">
        <v>209</v>
      </c>
      <c r="J185" s="88">
        <v>198.55</v>
      </c>
      <c r="K185" s="88">
        <v>198.55</v>
      </c>
      <c r="L185" s="88">
        <v>250.8</v>
      </c>
      <c r="M185" s="88">
        <v>229.9</v>
      </c>
      <c r="N185" s="88">
        <v>219.45</v>
      </c>
      <c r="O185" s="88">
        <v>240.35</v>
      </c>
      <c r="P185" s="88">
        <v>208.1</v>
      </c>
      <c r="Q185" s="88">
        <v>249.6</v>
      </c>
      <c r="R185" s="88">
        <v>218.4</v>
      </c>
      <c r="S185" s="88">
        <v>218.4</v>
      </c>
      <c r="T185" s="88">
        <f>SUM(H185:S185)</f>
        <v>2691.9</v>
      </c>
      <c r="U185" s="88"/>
      <c r="V185" s="88">
        <f t="shared" si="106"/>
        <v>24.000000000000004</v>
      </c>
      <c r="W185" s="88">
        <f t="shared" si="106"/>
        <v>20</v>
      </c>
      <c r="X185" s="88">
        <f t="shared" si="106"/>
        <v>19.000000000000004</v>
      </c>
      <c r="Y185" s="88">
        <f t="shared" si="106"/>
        <v>19.000000000000004</v>
      </c>
      <c r="Z185" s="88">
        <f t="shared" si="106"/>
        <v>24.000000000000004</v>
      </c>
      <c r="AA185" s="88">
        <f t="shared" si="106"/>
        <v>22.000000000000004</v>
      </c>
      <c r="AB185" s="88">
        <f t="shared" si="106"/>
        <v>21</v>
      </c>
      <c r="AC185" s="88">
        <f t="shared" si="106"/>
        <v>23</v>
      </c>
      <c r="AD185" s="88">
        <f t="shared" si="107"/>
        <v>20.009615384615383</v>
      </c>
      <c r="AE185" s="88">
        <f t="shared" si="107"/>
        <v>24</v>
      </c>
      <c r="AF185" s="88">
        <f t="shared" si="107"/>
        <v>21</v>
      </c>
      <c r="AG185" s="88">
        <f t="shared" si="107"/>
        <v>21</v>
      </c>
      <c r="AH185" s="70">
        <f>SUM(V185:AG185)</f>
        <v>258.00961538461536</v>
      </c>
      <c r="AI185" s="88">
        <f>AH185/12</f>
        <v>21.500801282051281</v>
      </c>
      <c r="AR185" s="69"/>
      <c r="AW185" s="89">
        <f t="shared" ca="1" si="112"/>
        <v>10.656087286416444</v>
      </c>
      <c r="AX185" s="90">
        <f t="shared" ca="1" si="113"/>
        <v>2749.3729822731966</v>
      </c>
      <c r="AY185" s="86">
        <f t="shared" ca="1" si="114"/>
        <v>57.472982273196521</v>
      </c>
      <c r="AZ185" s="402">
        <f t="shared" ca="1" si="115"/>
        <v>10.535987202132626</v>
      </c>
      <c r="BA185" s="402">
        <f t="shared" ca="1" si="116"/>
        <v>2759.9089694753293</v>
      </c>
    </row>
    <row r="186" spans="1:53" s="104" customFormat="1" ht="12" customHeight="1">
      <c r="A186" s="104" t="str">
        <f t="shared" si="108"/>
        <v>Joes TC Refuse UTCRENT20MO-RO</v>
      </c>
      <c r="B186" s="104">
        <f t="shared" si="105"/>
        <v>1</v>
      </c>
      <c r="C186" s="106" t="s">
        <v>628</v>
      </c>
      <c r="D186" s="99" t="s">
        <v>629</v>
      </c>
      <c r="E186" s="177">
        <v>104.93</v>
      </c>
      <c r="F186" s="100">
        <v>104.47</v>
      </c>
      <c r="G186" s="100" t="s">
        <v>709</v>
      </c>
      <c r="H186" s="101">
        <v>1469.02</v>
      </c>
      <c r="I186" s="101">
        <v>1364.09</v>
      </c>
      <c r="J186" s="101">
        <v>1364.09</v>
      </c>
      <c r="K186" s="101">
        <v>1259.1600000000001</v>
      </c>
      <c r="L186" s="101">
        <v>1259.1600000000001</v>
      </c>
      <c r="M186" s="101">
        <v>1259.1600000000001</v>
      </c>
      <c r="N186" s="101">
        <v>1259.1600000000001</v>
      </c>
      <c r="O186" s="101">
        <v>1259.1600000000001</v>
      </c>
      <c r="P186" s="101">
        <v>1149.17</v>
      </c>
      <c r="Q186" s="101">
        <v>1358.11</v>
      </c>
      <c r="R186" s="101">
        <v>1358.11</v>
      </c>
      <c r="S186" s="101">
        <v>1253.6400000000001</v>
      </c>
      <c r="T186" s="108">
        <f t="shared" si="109"/>
        <v>15612.03</v>
      </c>
      <c r="U186" s="108"/>
      <c r="V186" s="108">
        <f t="shared" si="106"/>
        <v>13.999999999999998</v>
      </c>
      <c r="W186" s="108">
        <f t="shared" si="106"/>
        <v>12.999999999999998</v>
      </c>
      <c r="X186" s="108">
        <f t="shared" si="106"/>
        <v>12.999999999999998</v>
      </c>
      <c r="Y186" s="108">
        <f t="shared" si="106"/>
        <v>12</v>
      </c>
      <c r="Z186" s="108">
        <f t="shared" si="106"/>
        <v>12</v>
      </c>
      <c r="AA186" s="108">
        <f t="shared" si="106"/>
        <v>12</v>
      </c>
      <c r="AB186" s="108">
        <f t="shared" si="106"/>
        <v>12</v>
      </c>
      <c r="AC186" s="108">
        <f t="shared" si="106"/>
        <v>12</v>
      </c>
      <c r="AD186" s="108">
        <f t="shared" si="107"/>
        <v>11</v>
      </c>
      <c r="AE186" s="108">
        <f t="shared" si="107"/>
        <v>13</v>
      </c>
      <c r="AF186" s="108">
        <f t="shared" si="107"/>
        <v>13</v>
      </c>
      <c r="AG186" s="108">
        <f t="shared" si="107"/>
        <v>12.000000000000002</v>
      </c>
      <c r="AH186" s="111">
        <f t="shared" si="103"/>
        <v>149</v>
      </c>
      <c r="AI186" s="108">
        <f t="shared" si="104"/>
        <v>12.416666666666666</v>
      </c>
      <c r="AR186" s="107" t="e">
        <f>+VLOOKUP(C186,#REF!,3,FALSE)</f>
        <v>#REF!</v>
      </c>
      <c r="AS186" s="108">
        <f t="shared" si="110"/>
        <v>0</v>
      </c>
      <c r="AT186" s="179">
        <f t="shared" si="111"/>
        <v>-15612.03</v>
      </c>
      <c r="AW186" s="89">
        <f t="shared" ca="1" si="112"/>
        <v>107.04244603960825</v>
      </c>
      <c r="AX186" s="90">
        <f t="shared" ca="1" si="113"/>
        <v>15949.324459901629</v>
      </c>
      <c r="AY186" s="86">
        <f t="shared" ca="1" si="114"/>
        <v>337.29445990162822</v>
      </c>
      <c r="AZ186" s="402">
        <f t="shared" ca="1" si="115"/>
        <v>61.120073367872578</v>
      </c>
      <c r="BA186" s="402">
        <f t="shared" ca="1" si="116"/>
        <v>16010.444533269501</v>
      </c>
    </row>
    <row r="187" spans="1:53" s="104" customFormat="1" ht="12" customHeight="1">
      <c r="A187" s="104" t="str">
        <f t="shared" si="108"/>
        <v>Joes TC Refuse UTCRENT20TEMP-RO</v>
      </c>
      <c r="B187" s="104">
        <f t="shared" si="105"/>
        <v>1</v>
      </c>
      <c r="C187" s="106" t="s">
        <v>634</v>
      </c>
      <c r="D187" s="99" t="s">
        <v>635</v>
      </c>
      <c r="E187" s="177">
        <v>7.86</v>
      </c>
      <c r="F187" s="100">
        <v>7.83</v>
      </c>
      <c r="G187" s="100" t="s">
        <v>709</v>
      </c>
      <c r="H187" s="101">
        <v>1067.6600000000001</v>
      </c>
      <c r="I187" s="101">
        <v>572.48</v>
      </c>
      <c r="J187" s="101">
        <v>860.02</v>
      </c>
      <c r="K187" s="101">
        <v>1385.34</v>
      </c>
      <c r="L187" s="101">
        <v>1677.46</v>
      </c>
      <c r="M187" s="101">
        <v>1308.04</v>
      </c>
      <c r="N187" s="101">
        <v>1745.6</v>
      </c>
      <c r="O187" s="101">
        <v>1182.28</v>
      </c>
      <c r="P187" s="101">
        <v>752.21</v>
      </c>
      <c r="Q187" s="101">
        <v>806.97</v>
      </c>
      <c r="R187" s="101">
        <v>172.26</v>
      </c>
      <c r="S187" s="101">
        <v>755.86</v>
      </c>
      <c r="T187" s="108">
        <f t="shared" si="109"/>
        <v>12286.18</v>
      </c>
      <c r="U187" s="108"/>
      <c r="V187" s="108">
        <f>IFERROR(H187/$E187,0)/30</f>
        <v>4.527820186598813</v>
      </c>
      <c r="W187" s="108">
        <f t="shared" ref="W187:AC187" si="117">IFERROR(I187/$E187,0)/30</f>
        <v>2.4278201865988125</v>
      </c>
      <c r="X187" s="108">
        <f t="shared" si="117"/>
        <v>3.6472434266327394</v>
      </c>
      <c r="Y187" s="108">
        <f t="shared" si="117"/>
        <v>5.8750636132315517</v>
      </c>
      <c r="Z187" s="108">
        <f t="shared" si="117"/>
        <v>7.1139100932994062</v>
      </c>
      <c r="AA187" s="108">
        <f t="shared" si="117"/>
        <v>5.5472434266327388</v>
      </c>
      <c r="AB187" s="108">
        <f t="shared" si="117"/>
        <v>7.4028837998303638</v>
      </c>
      <c r="AC187" s="108">
        <f t="shared" si="117"/>
        <v>5.0139100932994056</v>
      </c>
      <c r="AD187" s="108">
        <f>IFERROR(P187/$F187,0)/30</f>
        <v>3.2022562792677736</v>
      </c>
      <c r="AE187" s="108">
        <f t="shared" ref="AE187:AG187" si="118">IFERROR(Q187/$F187,0)/30</f>
        <v>3.4353767560664115</v>
      </c>
      <c r="AF187" s="108">
        <f t="shared" si="118"/>
        <v>0.73333333333333328</v>
      </c>
      <c r="AG187" s="108">
        <f t="shared" si="118"/>
        <v>3.2177948063005535</v>
      </c>
      <c r="AH187" s="111">
        <f t="shared" si="103"/>
        <v>52.14465600109191</v>
      </c>
      <c r="AI187" s="108">
        <f t="shared" si="104"/>
        <v>4.3453880000909928</v>
      </c>
      <c r="AM187" s="104">
        <v>20</v>
      </c>
      <c r="AN187" s="104">
        <v>1</v>
      </c>
      <c r="AO187" s="179">
        <f>+(AN187)*AI187</f>
        <v>4.3453880000909928</v>
      </c>
      <c r="AR187" s="107" t="e">
        <f>+VLOOKUP(C187,#REF!,3,FALSE)</f>
        <v>#REF!</v>
      </c>
      <c r="AS187" s="108">
        <f t="shared" si="110"/>
        <v>0</v>
      </c>
      <c r="AT187" s="179">
        <f t="shared" si="111"/>
        <v>-12286.18</v>
      </c>
      <c r="AW187" s="89">
        <f t="shared" ca="1" si="112"/>
        <v>8.022804178138534</v>
      </c>
      <c r="AX187" s="90">
        <f ca="1">+AW187*AI187*12*30</f>
        <v>12550.390920994705</v>
      </c>
      <c r="AY187" s="86">
        <f t="shared" ca="1" si="114"/>
        <v>264.21092099470479</v>
      </c>
      <c r="AZ187" s="402">
        <f t="shared" ca="1" si="115"/>
        <v>48.094877987792181</v>
      </c>
      <c r="BA187" s="402">
        <f t="shared" ca="1" si="116"/>
        <v>12598.485798982498</v>
      </c>
    </row>
    <row r="188" spans="1:53" ht="12" customHeight="1">
      <c r="A188" s="38" t="str">
        <f t="shared" si="108"/>
        <v>Joes TC Refuse UTCEXWGHT-RO</v>
      </c>
      <c r="B188" s="38">
        <f t="shared" si="105"/>
        <v>1</v>
      </c>
      <c r="C188" s="87" t="s">
        <v>657</v>
      </c>
      <c r="D188" s="87" t="s">
        <v>658</v>
      </c>
      <c r="E188" s="174">
        <v>0.15</v>
      </c>
      <c r="F188" s="69">
        <v>0.15</v>
      </c>
      <c r="G188" s="96" t="s">
        <v>659</v>
      </c>
      <c r="H188" s="88">
        <v>0</v>
      </c>
      <c r="I188" s="88">
        <v>0</v>
      </c>
      <c r="J188" s="88">
        <v>0</v>
      </c>
      <c r="K188" s="88">
        <v>0</v>
      </c>
      <c r="L188" s="88">
        <v>0</v>
      </c>
      <c r="M188" s="88">
        <v>33</v>
      </c>
      <c r="N188" s="88">
        <v>0</v>
      </c>
      <c r="O188" s="88">
        <v>24</v>
      </c>
      <c r="P188" s="88">
        <v>0</v>
      </c>
      <c r="Q188" s="88">
        <v>363</v>
      </c>
      <c r="R188" s="88">
        <v>0</v>
      </c>
      <c r="S188" s="88">
        <v>0</v>
      </c>
      <c r="T188" s="88">
        <f t="shared" si="109"/>
        <v>420</v>
      </c>
      <c r="U188" s="88"/>
      <c r="V188" s="88">
        <f t="shared" si="106"/>
        <v>0</v>
      </c>
      <c r="W188" s="88">
        <f t="shared" si="106"/>
        <v>0</v>
      </c>
      <c r="X188" s="88">
        <f t="shared" si="106"/>
        <v>0</v>
      </c>
      <c r="Y188" s="88">
        <f t="shared" si="106"/>
        <v>0</v>
      </c>
      <c r="Z188" s="88">
        <f t="shared" si="106"/>
        <v>0</v>
      </c>
      <c r="AA188" s="88">
        <f t="shared" si="106"/>
        <v>220</v>
      </c>
      <c r="AB188" s="88">
        <f t="shared" si="106"/>
        <v>0</v>
      </c>
      <c r="AC188" s="88">
        <f t="shared" si="106"/>
        <v>160</v>
      </c>
      <c r="AD188" s="88">
        <f t="shared" si="107"/>
        <v>0</v>
      </c>
      <c r="AE188" s="88">
        <f t="shared" si="107"/>
        <v>2420</v>
      </c>
      <c r="AF188" s="88">
        <f t="shared" si="107"/>
        <v>0</v>
      </c>
      <c r="AG188" s="88">
        <f t="shared" si="107"/>
        <v>0</v>
      </c>
      <c r="AH188" s="70">
        <f t="shared" si="103"/>
        <v>2800</v>
      </c>
      <c r="AI188" s="88">
        <f t="shared" si="104"/>
        <v>233.33333333333334</v>
      </c>
      <c r="AR188" s="69" t="e">
        <f>+VLOOKUP(C188,#REF!,3,FALSE)</f>
        <v>#REF!</v>
      </c>
      <c r="AS188" s="88">
        <f t="shared" si="110"/>
        <v>0</v>
      </c>
      <c r="AT188" s="90">
        <f t="shared" si="111"/>
        <v>-420</v>
      </c>
      <c r="AW188" s="89">
        <f t="shared" ca="1" si="112"/>
        <v>0.15369356663100639</v>
      </c>
      <c r="AX188" s="90">
        <f t="shared" ca="1" si="113"/>
        <v>430.34198656681792</v>
      </c>
      <c r="AY188" s="86">
        <f t="shared" ca="1" si="114"/>
        <v>10.341986566817923</v>
      </c>
      <c r="AZ188" s="402">
        <f t="shared" ca="1" si="115"/>
        <v>1.6491315264397206</v>
      </c>
      <c r="BA188" s="402">
        <f t="shared" ca="1" si="116"/>
        <v>431.99111809325763</v>
      </c>
    </row>
    <row r="189" spans="1:53" s="104" customFormat="1" ht="12" customHeight="1">
      <c r="A189" s="104" t="str">
        <f t="shared" si="108"/>
        <v>Joes TC Refuse UTCRENT30MO-RO</v>
      </c>
      <c r="B189" s="104">
        <f t="shared" si="105"/>
        <v>1</v>
      </c>
      <c r="C189" s="106" t="s">
        <v>630</v>
      </c>
      <c r="D189" s="99" t="s">
        <v>631</v>
      </c>
      <c r="E189" s="177">
        <v>148.69</v>
      </c>
      <c r="F189" s="100">
        <v>148.04</v>
      </c>
      <c r="G189" s="100" t="s">
        <v>709</v>
      </c>
      <c r="H189" s="101">
        <v>148.69</v>
      </c>
      <c r="I189" s="101">
        <v>148.69</v>
      </c>
      <c r="J189" s="101">
        <v>148.69</v>
      </c>
      <c r="K189" s="101">
        <v>148.69</v>
      </c>
      <c r="L189" s="101">
        <v>297.38</v>
      </c>
      <c r="M189" s="101">
        <v>446.07</v>
      </c>
      <c r="N189" s="101">
        <v>446.07</v>
      </c>
      <c r="O189" s="101">
        <v>446.07</v>
      </c>
      <c r="P189" s="101">
        <v>444.12</v>
      </c>
      <c r="Q189" s="101">
        <v>444.12</v>
      </c>
      <c r="R189" s="101">
        <v>444.12</v>
      </c>
      <c r="S189" s="101">
        <v>444.12</v>
      </c>
      <c r="T189" s="108">
        <f t="shared" si="109"/>
        <v>4006.8299999999995</v>
      </c>
      <c r="U189" s="108"/>
      <c r="V189" s="108">
        <f t="shared" si="106"/>
        <v>1</v>
      </c>
      <c r="W189" s="108">
        <f t="shared" si="106"/>
        <v>1</v>
      </c>
      <c r="X189" s="108">
        <f t="shared" si="106"/>
        <v>1</v>
      </c>
      <c r="Y189" s="108">
        <f t="shared" si="106"/>
        <v>1</v>
      </c>
      <c r="Z189" s="108">
        <f t="shared" si="106"/>
        <v>2</v>
      </c>
      <c r="AA189" s="108">
        <f t="shared" si="106"/>
        <v>3</v>
      </c>
      <c r="AB189" s="108">
        <f t="shared" si="106"/>
        <v>3</v>
      </c>
      <c r="AC189" s="108">
        <f t="shared" si="106"/>
        <v>3</v>
      </c>
      <c r="AD189" s="108">
        <f t="shared" si="107"/>
        <v>3</v>
      </c>
      <c r="AE189" s="108">
        <f t="shared" si="107"/>
        <v>3</v>
      </c>
      <c r="AF189" s="108">
        <f t="shared" si="107"/>
        <v>3</v>
      </c>
      <c r="AG189" s="108">
        <f t="shared" si="107"/>
        <v>3</v>
      </c>
      <c r="AH189" s="111">
        <f t="shared" si="103"/>
        <v>27</v>
      </c>
      <c r="AI189" s="108">
        <f t="shared" si="104"/>
        <v>2.25</v>
      </c>
      <c r="AM189" s="104">
        <v>30</v>
      </c>
      <c r="AN189" s="104">
        <v>1</v>
      </c>
      <c r="AO189" s="179">
        <f t="shared" ref="AO189:AO191" si="119">+AN189*AI189</f>
        <v>2.25</v>
      </c>
      <c r="AR189" s="107" t="e">
        <f>+VLOOKUP(C189,#REF!,3,FALSE)</f>
        <v>#REF!</v>
      </c>
      <c r="AS189" s="108">
        <f t="shared" si="110"/>
        <v>0</v>
      </c>
      <c r="AT189" s="179">
        <f t="shared" si="111"/>
        <v>-4006.8299999999995</v>
      </c>
      <c r="AW189" s="89">
        <f t="shared" ca="1" si="112"/>
        <v>151.68530402702791</v>
      </c>
      <c r="AX189" s="90">
        <f t="shared" ca="1" si="113"/>
        <v>4095.5032087297541</v>
      </c>
      <c r="AY189" s="86">
        <f t="shared" ca="1" si="114"/>
        <v>88.673208729754606</v>
      </c>
      <c r="AZ189" s="402">
        <f t="shared" ca="1" si="115"/>
        <v>15.694549146908759</v>
      </c>
      <c r="BA189" s="402">
        <f t="shared" ca="1" si="116"/>
        <v>4111.1977578766628</v>
      </c>
    </row>
    <row r="190" spans="1:53" s="104" customFormat="1" ht="12" customHeight="1">
      <c r="A190" s="104" t="str">
        <f t="shared" si="108"/>
        <v>Joes TC Refuse UTCRENT30TEMP-RO</v>
      </c>
      <c r="B190" s="104">
        <f t="shared" si="105"/>
        <v>1</v>
      </c>
      <c r="C190" s="106" t="s">
        <v>637</v>
      </c>
      <c r="D190" s="99" t="s">
        <v>638</v>
      </c>
      <c r="E190" s="177">
        <v>9.61</v>
      </c>
      <c r="F190" s="100">
        <v>9.57</v>
      </c>
      <c r="G190" s="100" t="s">
        <v>709</v>
      </c>
      <c r="H190" s="101">
        <v>297.91000000000003</v>
      </c>
      <c r="I190" s="101">
        <v>532.54999999999995</v>
      </c>
      <c r="J190" s="101">
        <v>1253.3</v>
      </c>
      <c r="K190" s="101">
        <v>1620.87</v>
      </c>
      <c r="L190" s="101">
        <v>2315.1799999999998</v>
      </c>
      <c r="M190" s="101">
        <v>2429.7199999999998</v>
      </c>
      <c r="N190" s="101">
        <v>959.39</v>
      </c>
      <c r="O190" s="101">
        <v>599.82000000000005</v>
      </c>
      <c r="P190" s="101">
        <v>1053.53</v>
      </c>
      <c r="Q190" s="101">
        <v>833.42</v>
      </c>
      <c r="R190" s="101">
        <v>296.67</v>
      </c>
      <c r="S190" s="101">
        <v>0</v>
      </c>
      <c r="T190" s="108">
        <f t="shared" si="109"/>
        <v>12192.359999999999</v>
      </c>
      <c r="U190" s="108"/>
      <c r="V190" s="108">
        <f>IFERROR(H190/$E190,0)/30</f>
        <v>1.0333333333333334</v>
      </c>
      <c r="W190" s="108">
        <f t="shared" ref="W190:AC190" si="120">IFERROR(I190/$E190,0)/30</f>
        <v>1.8472077696843565</v>
      </c>
      <c r="X190" s="108">
        <f t="shared" si="120"/>
        <v>4.3472077696843572</v>
      </c>
      <c r="Y190" s="108">
        <f t="shared" si="120"/>
        <v>5.6221644120707595</v>
      </c>
      <c r="Z190" s="108">
        <f t="shared" si="120"/>
        <v>8.0304543877904955</v>
      </c>
      <c r="AA190" s="108">
        <f t="shared" si="120"/>
        <v>8.4277488727020469</v>
      </c>
      <c r="AB190" s="108">
        <f t="shared" si="120"/>
        <v>3.3277488727020463</v>
      </c>
      <c r="AC190" s="108">
        <f t="shared" si="120"/>
        <v>2.0805411030176901</v>
      </c>
      <c r="AD190" s="108">
        <f>IFERROR(P190/$F190,0)/30</f>
        <v>3.6695576454197143</v>
      </c>
      <c r="AE190" s="108">
        <f t="shared" ref="AE190:AG190" si="121">IFERROR(Q190/$F190,0)/30</f>
        <v>2.9028909787530477</v>
      </c>
      <c r="AF190" s="108">
        <f t="shared" si="121"/>
        <v>1.0333333333333334</v>
      </c>
      <c r="AG190" s="108">
        <f t="shared" si="121"/>
        <v>0</v>
      </c>
      <c r="AH190" s="111">
        <f t="shared" si="103"/>
        <v>42.322188478491178</v>
      </c>
      <c r="AI190" s="108">
        <f t="shared" si="104"/>
        <v>3.5268490398742647</v>
      </c>
      <c r="AM190" s="104">
        <v>30</v>
      </c>
      <c r="AN190" s="104">
        <v>1</v>
      </c>
      <c r="AO190" s="179">
        <f>+(AN190)*AI190</f>
        <v>3.5268490398742647</v>
      </c>
      <c r="AR190" s="107" t="e">
        <f>+VLOOKUP(C190,#REF!,3,FALSE)</f>
        <v>#REF!</v>
      </c>
      <c r="AS190" s="108">
        <f t="shared" si="110"/>
        <v>0</v>
      </c>
      <c r="AT190" s="179">
        <f t="shared" si="111"/>
        <v>-12192.359999999999</v>
      </c>
      <c r="AW190" s="89">
        <f t="shared" ca="1" si="112"/>
        <v>9.8056495510582078</v>
      </c>
      <c r="AX190" s="90">
        <f ca="1">+AW190*AI190*12*30</f>
        <v>12449.896453617535</v>
      </c>
      <c r="AY190" s="86">
        <f t="shared" ca="1" si="114"/>
        <v>257.53645361753661</v>
      </c>
      <c r="AZ190" s="402">
        <f t="shared" ca="1" si="115"/>
        <v>47.709768936020104</v>
      </c>
      <c r="BA190" s="402">
        <f t="shared" ca="1" si="116"/>
        <v>12497.606222553555</v>
      </c>
    </row>
    <row r="191" spans="1:53" s="104" customFormat="1" ht="12" customHeight="1">
      <c r="A191" s="104" t="str">
        <f t="shared" si="108"/>
        <v>Joes TC Refuse UTCRENT40MO-RO</v>
      </c>
      <c r="B191" s="104">
        <f t="shared" si="105"/>
        <v>1</v>
      </c>
      <c r="C191" s="106" t="s">
        <v>632</v>
      </c>
      <c r="D191" s="99" t="s">
        <v>633</v>
      </c>
      <c r="E191" s="177">
        <v>193.24</v>
      </c>
      <c r="F191" s="100">
        <v>192.4</v>
      </c>
      <c r="G191" s="100" t="s">
        <v>709</v>
      </c>
      <c r="H191" s="101">
        <v>1159.44</v>
      </c>
      <c r="I191" s="101">
        <v>1159.44</v>
      </c>
      <c r="J191" s="101">
        <v>966.2</v>
      </c>
      <c r="K191" s="101">
        <v>966.2</v>
      </c>
      <c r="L191" s="101">
        <v>1159.44</v>
      </c>
      <c r="M191" s="101">
        <v>1159.44</v>
      </c>
      <c r="N191" s="101">
        <v>1159.44</v>
      </c>
      <c r="O191" s="101">
        <v>1159.44</v>
      </c>
      <c r="P191" s="101">
        <v>1154.4000000000001</v>
      </c>
      <c r="Q191" s="101">
        <v>1154.4000000000001</v>
      </c>
      <c r="R191" s="101">
        <v>962</v>
      </c>
      <c r="S191" s="101">
        <v>1154.4000000000001</v>
      </c>
      <c r="T191" s="108">
        <f t="shared" si="109"/>
        <v>13314.24</v>
      </c>
      <c r="U191" s="108"/>
      <c r="V191" s="108">
        <f t="shared" si="106"/>
        <v>6</v>
      </c>
      <c r="W191" s="108">
        <f t="shared" si="106"/>
        <v>6</v>
      </c>
      <c r="X191" s="108">
        <f t="shared" si="106"/>
        <v>5</v>
      </c>
      <c r="Y191" s="108">
        <f t="shared" si="106"/>
        <v>5</v>
      </c>
      <c r="Z191" s="108">
        <f t="shared" si="106"/>
        <v>6</v>
      </c>
      <c r="AA191" s="108">
        <f t="shared" si="106"/>
        <v>6</v>
      </c>
      <c r="AB191" s="108">
        <f t="shared" si="106"/>
        <v>6</v>
      </c>
      <c r="AC191" s="108">
        <f t="shared" si="106"/>
        <v>6</v>
      </c>
      <c r="AD191" s="108">
        <f t="shared" si="107"/>
        <v>6</v>
      </c>
      <c r="AE191" s="108">
        <f t="shared" si="107"/>
        <v>6</v>
      </c>
      <c r="AF191" s="108">
        <f t="shared" si="107"/>
        <v>5</v>
      </c>
      <c r="AG191" s="108">
        <f t="shared" si="107"/>
        <v>6</v>
      </c>
      <c r="AH191" s="111">
        <f t="shared" si="103"/>
        <v>69</v>
      </c>
      <c r="AI191" s="108">
        <f t="shared" si="104"/>
        <v>5.75</v>
      </c>
      <c r="AM191" s="104">
        <v>40</v>
      </c>
      <c r="AN191" s="104">
        <v>1</v>
      </c>
      <c r="AO191" s="179">
        <f t="shared" si="119"/>
        <v>5.75</v>
      </c>
      <c r="AR191" s="107" t="e">
        <f>+VLOOKUP(C191,#REF!,3,FALSE)</f>
        <v>#REF!</v>
      </c>
      <c r="AS191" s="108">
        <f t="shared" si="110"/>
        <v>0</v>
      </c>
      <c r="AT191" s="179">
        <f t="shared" si="111"/>
        <v>-13314.24</v>
      </c>
      <c r="AW191" s="89">
        <f t="shared" ca="1" si="112"/>
        <v>197.13761479870422</v>
      </c>
      <c r="AX191" s="90">
        <f t="shared" ca="1" si="113"/>
        <v>13602.495421110591</v>
      </c>
      <c r="AY191" s="86">
        <f t="shared" ca="1" si="114"/>
        <v>288.25542111059076</v>
      </c>
      <c r="AZ191" s="402">
        <f t="shared" ca="1" si="115"/>
        <v>52.126691648578941</v>
      </c>
      <c r="BA191" s="402">
        <f t="shared" ca="1" si="116"/>
        <v>13654.622112759169</v>
      </c>
    </row>
    <row r="192" spans="1:53" s="104" customFormat="1" ht="12" customHeight="1">
      <c r="A192" s="104" t="str">
        <f t="shared" si="108"/>
        <v>Joes TC Refuse UTCRENT40TEMP-RO</v>
      </c>
      <c r="B192" s="104">
        <f t="shared" si="105"/>
        <v>1</v>
      </c>
      <c r="C192" s="189" t="s">
        <v>639</v>
      </c>
      <c r="D192" s="99" t="s">
        <v>640</v>
      </c>
      <c r="E192" s="177">
        <v>11.12</v>
      </c>
      <c r="F192" s="100">
        <v>11.07</v>
      </c>
      <c r="G192" s="100" t="s">
        <v>709</v>
      </c>
      <c r="H192" s="101">
        <v>0</v>
      </c>
      <c r="I192" s="101">
        <v>266.88</v>
      </c>
      <c r="J192" s="101">
        <v>544.88</v>
      </c>
      <c r="K192" s="101">
        <v>200.16</v>
      </c>
      <c r="L192" s="101">
        <v>144.56</v>
      </c>
      <c r="M192" s="101">
        <v>100.08</v>
      </c>
      <c r="N192" s="101">
        <v>567.12</v>
      </c>
      <c r="O192" s="101">
        <v>994.31</v>
      </c>
      <c r="P192" s="101">
        <v>747.82</v>
      </c>
      <c r="Q192" s="101">
        <v>676.46</v>
      </c>
      <c r="R192" s="101">
        <v>360.37</v>
      </c>
      <c r="S192" s="101">
        <v>686.34</v>
      </c>
      <c r="T192" s="108">
        <f t="shared" si="109"/>
        <v>5288.9800000000005</v>
      </c>
      <c r="U192" s="108"/>
      <c r="V192" s="108">
        <f>IFERROR(H192/$E192,0)/30</f>
        <v>0</v>
      </c>
      <c r="W192" s="108">
        <f t="shared" ref="W192:AC192" si="122">IFERROR(I192/$E192,0)/30</f>
        <v>0.8</v>
      </c>
      <c r="X192" s="108">
        <f t="shared" si="122"/>
        <v>1.6333333333333333</v>
      </c>
      <c r="Y192" s="108">
        <f t="shared" si="122"/>
        <v>0.6</v>
      </c>
      <c r="Z192" s="108">
        <f t="shared" si="122"/>
        <v>0.4333333333333334</v>
      </c>
      <c r="AA192" s="108">
        <f t="shared" si="122"/>
        <v>0.3</v>
      </c>
      <c r="AB192" s="108">
        <f t="shared" si="122"/>
        <v>1.7000000000000002</v>
      </c>
      <c r="AC192" s="108">
        <f t="shared" si="122"/>
        <v>2.9805455635491609</v>
      </c>
      <c r="AD192" s="108">
        <f>IFERROR(P192/$F192,0)/30</f>
        <v>2.2517916290274016</v>
      </c>
      <c r="AE192" s="108">
        <f t="shared" ref="AE192:AG192" si="123">IFERROR(Q192/$F192,0)/30</f>
        <v>2.036916591388136</v>
      </c>
      <c r="AF192" s="108">
        <f t="shared" si="123"/>
        <v>1.0851249623607346</v>
      </c>
      <c r="AG192" s="108">
        <f t="shared" si="123"/>
        <v>2.0666666666666669</v>
      </c>
      <c r="AH192" s="111">
        <f t="shared" si="103"/>
        <v>15.887712079658765</v>
      </c>
      <c r="AI192" s="108">
        <f t="shared" si="104"/>
        <v>1.3239760066382305</v>
      </c>
      <c r="AM192" s="104">
        <v>40</v>
      </c>
      <c r="AN192" s="104">
        <v>1</v>
      </c>
      <c r="AO192" s="179">
        <f>+(AN192)*AI192</f>
        <v>1.3239760066382305</v>
      </c>
      <c r="AR192" s="107" t="e">
        <f>+VLOOKUP(C192,#REF!,3,FALSE)</f>
        <v>#REF!</v>
      </c>
      <c r="AS192" s="108">
        <f t="shared" si="110"/>
        <v>0</v>
      </c>
      <c r="AT192" s="179">
        <f t="shared" si="111"/>
        <v>-5288.9800000000005</v>
      </c>
      <c r="AW192" s="89">
        <f t="shared" ca="1" si="112"/>
        <v>11.342585217368272</v>
      </c>
      <c r="AX192" s="90">
        <f ca="1">+AW192*AI192*12*30</f>
        <v>5406.2318451762249</v>
      </c>
      <c r="AY192" s="86">
        <f t="shared" ca="1" si="114"/>
        <v>117.25184517622438</v>
      </c>
      <c r="AZ192" s="402">
        <f t="shared" ca="1" si="115"/>
        <v>20.717447177881162</v>
      </c>
      <c r="BA192" s="402">
        <f t="shared" ca="1" si="116"/>
        <v>5426.9492923541056</v>
      </c>
    </row>
    <row r="193" spans="1:53" ht="12" customHeight="1">
      <c r="A193" s="38" t="str">
        <f t="shared" si="108"/>
        <v>Joes TC Refuse UTCREDEL-RO</v>
      </c>
      <c r="B193" s="38">
        <f t="shared" si="105"/>
        <v>1</v>
      </c>
      <c r="C193" s="87" t="s">
        <v>653</v>
      </c>
      <c r="D193" s="87" t="s">
        <v>654</v>
      </c>
      <c r="E193" s="174">
        <v>60.07</v>
      </c>
      <c r="F193" s="69">
        <v>59.81</v>
      </c>
      <c r="G193" s="69" t="s">
        <v>693</v>
      </c>
      <c r="H193" s="88">
        <v>0</v>
      </c>
      <c r="I193" s="88">
        <v>0</v>
      </c>
      <c r="J193" s="88">
        <v>0</v>
      </c>
      <c r="K193" s="88">
        <v>0</v>
      </c>
      <c r="L193" s="88">
        <v>0</v>
      </c>
      <c r="M193" s="88">
        <v>0</v>
      </c>
      <c r="N193" s="88">
        <v>0</v>
      </c>
      <c r="O193" s="88">
        <v>0</v>
      </c>
      <c r="P193" s="88">
        <v>0</v>
      </c>
      <c r="Q193" s="88">
        <v>0</v>
      </c>
      <c r="R193" s="88">
        <v>0</v>
      </c>
      <c r="S193" s="88">
        <v>0</v>
      </c>
      <c r="T193" s="88">
        <f t="shared" si="109"/>
        <v>0</v>
      </c>
      <c r="V193" s="88">
        <f t="shared" si="106"/>
        <v>0</v>
      </c>
      <c r="W193" s="88">
        <f t="shared" si="106"/>
        <v>0</v>
      </c>
      <c r="X193" s="88">
        <f t="shared" si="106"/>
        <v>0</v>
      </c>
      <c r="Y193" s="88">
        <f t="shared" si="106"/>
        <v>0</v>
      </c>
      <c r="Z193" s="88">
        <f t="shared" si="106"/>
        <v>0</v>
      </c>
      <c r="AA193" s="88">
        <f t="shared" si="106"/>
        <v>0</v>
      </c>
      <c r="AB193" s="88">
        <f t="shared" si="106"/>
        <v>0</v>
      </c>
      <c r="AC193" s="88">
        <f t="shared" si="106"/>
        <v>0</v>
      </c>
      <c r="AD193" s="88">
        <f t="shared" si="107"/>
        <v>0</v>
      </c>
      <c r="AE193" s="88">
        <f t="shared" si="107"/>
        <v>0</v>
      </c>
      <c r="AF193" s="88">
        <f t="shared" si="107"/>
        <v>0</v>
      </c>
      <c r="AG193" s="88">
        <f t="shared" si="107"/>
        <v>0</v>
      </c>
      <c r="AH193" s="70">
        <f t="shared" si="103"/>
        <v>0</v>
      </c>
      <c r="AI193" s="88">
        <f t="shared" si="104"/>
        <v>0</v>
      </c>
      <c r="AR193" s="69" t="e">
        <f>+VLOOKUP(C193,#REF!,3,FALSE)</f>
        <v>#REF!</v>
      </c>
      <c r="AS193" s="88">
        <f t="shared" si="110"/>
        <v>0</v>
      </c>
      <c r="AT193" s="90">
        <f t="shared" si="111"/>
        <v>0</v>
      </c>
      <c r="AW193" s="89">
        <f t="shared" ca="1" si="112"/>
        <v>61.282748134669951</v>
      </c>
      <c r="AX193" s="90">
        <f t="shared" ca="1" si="113"/>
        <v>0</v>
      </c>
      <c r="AY193" s="86">
        <f t="shared" ca="1" si="114"/>
        <v>0</v>
      </c>
      <c r="AZ193" s="402">
        <f t="shared" ca="1" si="115"/>
        <v>0</v>
      </c>
      <c r="BA193" s="402">
        <f t="shared" ca="1" si="116"/>
        <v>0</v>
      </c>
    </row>
    <row r="194" spans="1:53" ht="12" customHeight="1">
      <c r="A194" s="38" t="str">
        <f t="shared" si="108"/>
        <v>Joes TC Refuse UTCLABOR-RO</v>
      </c>
      <c r="B194" s="38">
        <f t="shared" si="105"/>
        <v>1</v>
      </c>
      <c r="C194" s="87" t="s">
        <v>664</v>
      </c>
      <c r="D194" s="87" t="s">
        <v>665</v>
      </c>
      <c r="E194" s="174">
        <v>125.39</v>
      </c>
      <c r="F194" s="69">
        <v>124.84</v>
      </c>
      <c r="G194" s="69" t="s">
        <v>711</v>
      </c>
      <c r="H194" s="88">
        <v>0</v>
      </c>
      <c r="I194" s="88">
        <v>0</v>
      </c>
      <c r="J194" s="88">
        <v>0</v>
      </c>
      <c r="K194" s="88">
        <v>0</v>
      </c>
      <c r="L194" s="88">
        <v>0</v>
      </c>
      <c r="M194" s="88">
        <v>0</v>
      </c>
      <c r="N194" s="88">
        <v>0</v>
      </c>
      <c r="O194" s="88">
        <v>0</v>
      </c>
      <c r="P194" s="88">
        <v>0</v>
      </c>
      <c r="Q194" s="88">
        <v>0</v>
      </c>
      <c r="R194" s="88">
        <v>0</v>
      </c>
      <c r="S194" s="88">
        <v>0</v>
      </c>
      <c r="T194" s="88">
        <f t="shared" si="109"/>
        <v>0</v>
      </c>
      <c r="V194" s="88">
        <f t="shared" si="106"/>
        <v>0</v>
      </c>
      <c r="W194" s="88">
        <f t="shared" si="106"/>
        <v>0</v>
      </c>
      <c r="X194" s="88">
        <f t="shared" si="106"/>
        <v>0</v>
      </c>
      <c r="Y194" s="88">
        <f t="shared" si="106"/>
        <v>0</v>
      </c>
      <c r="Z194" s="88">
        <f t="shared" si="106"/>
        <v>0</v>
      </c>
      <c r="AA194" s="88">
        <f t="shared" si="106"/>
        <v>0</v>
      </c>
      <c r="AB194" s="88">
        <f t="shared" si="106"/>
        <v>0</v>
      </c>
      <c r="AC194" s="88">
        <f t="shared" si="106"/>
        <v>0</v>
      </c>
      <c r="AD194" s="88">
        <f t="shared" si="107"/>
        <v>0</v>
      </c>
      <c r="AE194" s="88">
        <f t="shared" si="107"/>
        <v>0</v>
      </c>
      <c r="AF194" s="88">
        <f t="shared" si="107"/>
        <v>0</v>
      </c>
      <c r="AG194" s="88">
        <f t="shared" si="107"/>
        <v>0</v>
      </c>
      <c r="AH194" s="70">
        <f t="shared" si="103"/>
        <v>0</v>
      </c>
      <c r="AI194" s="88">
        <f t="shared" si="104"/>
        <v>0</v>
      </c>
      <c r="AR194" s="69" t="e">
        <f>+VLOOKUP(C194,#REF!,3,FALSE)</f>
        <v>#REF!</v>
      </c>
      <c r="AS194" s="88">
        <f t="shared" si="110"/>
        <v>0</v>
      </c>
      <c r="AT194" s="90">
        <f t="shared" si="111"/>
        <v>0</v>
      </c>
      <c r="AW194" s="89">
        <f t="shared" ca="1" si="112"/>
        <v>127.91403238809893</v>
      </c>
      <c r="AX194" s="90">
        <f t="shared" ca="1" si="113"/>
        <v>0</v>
      </c>
      <c r="AY194" s="86">
        <f t="shared" ca="1" si="114"/>
        <v>0</v>
      </c>
      <c r="AZ194" s="402">
        <f t="shared" ca="1" si="115"/>
        <v>0</v>
      </c>
      <c r="BA194" s="402">
        <f t="shared" ca="1" si="116"/>
        <v>0</v>
      </c>
    </row>
    <row r="195" spans="1:53" ht="12" customHeight="1">
      <c r="A195" s="38" t="str">
        <f t="shared" si="108"/>
        <v>Joes TC Refuse UTCRTRNTRIP-RO</v>
      </c>
      <c r="B195" s="38">
        <f t="shared" si="105"/>
        <v>1</v>
      </c>
      <c r="C195" s="87" t="s">
        <v>641</v>
      </c>
      <c r="D195" s="87" t="s">
        <v>642</v>
      </c>
      <c r="E195" s="174">
        <v>105.13</v>
      </c>
      <c r="F195" s="69">
        <v>104.67</v>
      </c>
      <c r="G195" s="69" t="s">
        <v>255</v>
      </c>
      <c r="H195" s="88">
        <v>0</v>
      </c>
      <c r="I195" s="88">
        <v>0</v>
      </c>
      <c r="J195" s="88">
        <v>0</v>
      </c>
      <c r="K195" s="88">
        <v>0</v>
      </c>
      <c r="L195" s="88">
        <v>0</v>
      </c>
      <c r="M195" s="88">
        <v>0</v>
      </c>
      <c r="N195" s="88">
        <v>0</v>
      </c>
      <c r="O195" s="88">
        <v>0</v>
      </c>
      <c r="P195" s="88">
        <v>0</v>
      </c>
      <c r="Q195" s="88">
        <v>0</v>
      </c>
      <c r="R195" s="88">
        <v>0</v>
      </c>
      <c r="S195" s="88">
        <v>0</v>
      </c>
      <c r="T195" s="88">
        <f t="shared" si="109"/>
        <v>0</v>
      </c>
      <c r="V195" s="88">
        <f t="shared" si="106"/>
        <v>0</v>
      </c>
      <c r="W195" s="88">
        <f t="shared" si="106"/>
        <v>0</v>
      </c>
      <c r="X195" s="88">
        <f t="shared" si="106"/>
        <v>0</v>
      </c>
      <c r="Y195" s="88">
        <f t="shared" si="106"/>
        <v>0</v>
      </c>
      <c r="Z195" s="88">
        <f t="shared" si="106"/>
        <v>0</v>
      </c>
      <c r="AA195" s="88">
        <f t="shared" si="106"/>
        <v>0</v>
      </c>
      <c r="AB195" s="88">
        <f t="shared" si="106"/>
        <v>0</v>
      </c>
      <c r="AC195" s="88">
        <f t="shared" si="106"/>
        <v>0</v>
      </c>
      <c r="AD195" s="88">
        <f t="shared" si="107"/>
        <v>0</v>
      </c>
      <c r="AE195" s="88">
        <f t="shared" si="107"/>
        <v>0</v>
      </c>
      <c r="AF195" s="88">
        <f t="shared" si="107"/>
        <v>0</v>
      </c>
      <c r="AG195" s="88">
        <f t="shared" si="107"/>
        <v>0</v>
      </c>
      <c r="AH195" s="70">
        <f t="shared" si="103"/>
        <v>0</v>
      </c>
      <c r="AI195" s="88">
        <f t="shared" si="104"/>
        <v>0</v>
      </c>
      <c r="AR195" s="69" t="e">
        <f>+VLOOKUP(C195,#REF!,3,FALSE)</f>
        <v>#REF!</v>
      </c>
      <c r="AS195" s="88">
        <f t="shared" si="110"/>
        <v>0</v>
      </c>
      <c r="AT195" s="90">
        <f t="shared" si="111"/>
        <v>0</v>
      </c>
      <c r="AW195" s="89">
        <f t="shared" ca="1" si="112"/>
        <v>107.24737079511627</v>
      </c>
      <c r="AX195" s="90">
        <f t="shared" ca="1" si="113"/>
        <v>0</v>
      </c>
      <c r="AY195" s="86">
        <f t="shared" ca="1" si="114"/>
        <v>0</v>
      </c>
      <c r="AZ195" s="402">
        <f t="shared" ca="1" si="115"/>
        <v>0</v>
      </c>
      <c r="BA195" s="402">
        <f t="shared" ca="1" si="116"/>
        <v>0</v>
      </c>
    </row>
    <row r="196" spans="1:53" ht="12" customHeight="1">
      <c r="C196" s="87"/>
      <c r="D196" s="87"/>
      <c r="E196" s="174">
        <v>0</v>
      </c>
      <c r="F196" s="69">
        <v>0</v>
      </c>
      <c r="H196" s="88">
        <v>0</v>
      </c>
      <c r="I196" s="88">
        <v>0</v>
      </c>
      <c r="J196" s="88">
        <v>0</v>
      </c>
      <c r="K196" s="88">
        <v>0</v>
      </c>
      <c r="L196" s="88">
        <v>0</v>
      </c>
      <c r="M196" s="88">
        <v>0</v>
      </c>
      <c r="N196" s="88">
        <v>0</v>
      </c>
      <c r="O196" s="88">
        <v>0</v>
      </c>
      <c r="P196" s="88">
        <v>0</v>
      </c>
      <c r="Q196" s="88">
        <v>0</v>
      </c>
      <c r="R196" s="88">
        <v>0</v>
      </c>
      <c r="S196" s="88">
        <v>0</v>
      </c>
      <c r="T196" s="88">
        <f t="shared" si="109"/>
        <v>0</v>
      </c>
      <c r="V196" s="88">
        <f t="shared" si="106"/>
        <v>0</v>
      </c>
      <c r="W196" s="88">
        <f t="shared" si="106"/>
        <v>0</v>
      </c>
      <c r="X196" s="88">
        <f t="shared" si="106"/>
        <v>0</v>
      </c>
      <c r="Y196" s="88">
        <f t="shared" si="106"/>
        <v>0</v>
      </c>
      <c r="Z196" s="88">
        <f t="shared" si="106"/>
        <v>0</v>
      </c>
      <c r="AA196" s="88">
        <f t="shared" si="106"/>
        <v>0</v>
      </c>
      <c r="AB196" s="88">
        <f t="shared" si="106"/>
        <v>0</v>
      </c>
      <c r="AC196" s="88">
        <f t="shared" si="106"/>
        <v>0</v>
      </c>
      <c r="AD196" s="88">
        <f t="shared" si="107"/>
        <v>0</v>
      </c>
      <c r="AE196" s="88">
        <f t="shared" si="107"/>
        <v>0</v>
      </c>
      <c r="AF196" s="88">
        <f t="shared" si="107"/>
        <v>0</v>
      </c>
      <c r="AG196" s="88">
        <f t="shared" si="107"/>
        <v>0</v>
      </c>
      <c r="AH196" s="70">
        <f t="shared" si="103"/>
        <v>0</v>
      </c>
      <c r="AI196" s="88">
        <f t="shared" si="104"/>
        <v>0</v>
      </c>
      <c r="AJ196" s="131"/>
      <c r="AK196" s="131" t="s">
        <v>218</v>
      </c>
      <c r="AR196" s="69">
        <f>+IFERROR((VLOOKUP(C196,#REF!,3,FALSE)),0)</f>
        <v>0</v>
      </c>
      <c r="AS196" s="88">
        <f t="shared" si="110"/>
        <v>0</v>
      </c>
      <c r="AT196" s="90">
        <f t="shared" si="111"/>
        <v>0</v>
      </c>
      <c r="AW196" s="89">
        <f t="shared" ca="1" si="112"/>
        <v>0</v>
      </c>
      <c r="AX196" s="90">
        <f t="shared" ca="1" si="113"/>
        <v>0</v>
      </c>
      <c r="AY196" s="86">
        <f t="shared" ca="1" si="114"/>
        <v>0</v>
      </c>
      <c r="BA196" s="401"/>
    </row>
    <row r="197" spans="1:53" ht="12" customHeight="1">
      <c r="C197" s="165"/>
      <c r="D197" s="165"/>
      <c r="E197" s="174"/>
      <c r="F197" s="174"/>
      <c r="G197" s="174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70"/>
      <c r="AI197" s="88"/>
      <c r="AJ197" s="131"/>
      <c r="AK197" s="132">
        <f>SUM(AO187:AO192)</f>
        <v>17.196213046603489</v>
      </c>
      <c r="AR197" s="69"/>
    </row>
    <row r="198" spans="1:53" ht="12" customHeight="1">
      <c r="C198" s="165"/>
      <c r="D198" s="182" t="s">
        <v>668</v>
      </c>
      <c r="E198" s="174"/>
      <c r="F198" s="174"/>
      <c r="G198" s="174"/>
      <c r="H198" s="115">
        <f t="shared" ref="H198:S198" si="124">SUM(H164:H197)</f>
        <v>24406.179999999993</v>
      </c>
      <c r="I198" s="115">
        <f t="shared" si="124"/>
        <v>23257.199999999997</v>
      </c>
      <c r="J198" s="115">
        <f t="shared" si="124"/>
        <v>26865.449999999997</v>
      </c>
      <c r="K198" s="115">
        <f t="shared" si="124"/>
        <v>29053.879999999997</v>
      </c>
      <c r="L198" s="115">
        <f t="shared" si="124"/>
        <v>47026.87</v>
      </c>
      <c r="M198" s="115">
        <f t="shared" si="124"/>
        <v>42582.520000000019</v>
      </c>
      <c r="N198" s="115">
        <f t="shared" si="124"/>
        <v>26827.779999999992</v>
      </c>
      <c r="O198" s="115">
        <f t="shared" si="124"/>
        <v>29114.629999999994</v>
      </c>
      <c r="P198" s="115">
        <f t="shared" si="124"/>
        <v>26630.689999999991</v>
      </c>
      <c r="Q198" s="115">
        <f t="shared" si="124"/>
        <v>28570.969999999998</v>
      </c>
      <c r="R198" s="115">
        <f t="shared" si="124"/>
        <v>23706.78</v>
      </c>
      <c r="S198" s="115">
        <f t="shared" si="124"/>
        <v>26057.130000000005</v>
      </c>
      <c r="T198" s="116">
        <f>SUM(T164:T197)</f>
        <v>354100.08</v>
      </c>
      <c r="U198" s="143"/>
      <c r="V198" s="118">
        <f t="shared" ref="V198:AG198" si="125">+SUM(V186:V187,V189:V192)</f>
        <v>26.561153519932144</v>
      </c>
      <c r="W198" s="118">
        <f t="shared" si="125"/>
        <v>25.075027956283169</v>
      </c>
      <c r="X198" s="118">
        <f t="shared" si="125"/>
        <v>28.627784529650427</v>
      </c>
      <c r="Y198" s="118">
        <f t="shared" si="125"/>
        <v>30.097228025302314</v>
      </c>
      <c r="Z198" s="118">
        <f t="shared" si="125"/>
        <v>35.577697814423232</v>
      </c>
      <c r="AA198" s="118">
        <f t="shared" si="125"/>
        <v>35.274992299334784</v>
      </c>
      <c r="AB198" s="118">
        <f t="shared" si="125"/>
        <v>33.430632672532411</v>
      </c>
      <c r="AC198" s="118">
        <f t="shared" si="125"/>
        <v>31.074996759866256</v>
      </c>
      <c r="AD198" s="118">
        <f t="shared" si="125"/>
        <v>29.123605553714889</v>
      </c>
      <c r="AE198" s="118">
        <f t="shared" si="125"/>
        <v>30.375184326207595</v>
      </c>
      <c r="AF198" s="118">
        <f t="shared" si="125"/>
        <v>23.851791629027403</v>
      </c>
      <c r="AG198" s="118">
        <f t="shared" si="125"/>
        <v>26.284461472967219</v>
      </c>
      <c r="AH198" s="118">
        <f>+SUM(AH186:AH187,AH189:AH192)</f>
        <v>355.35455655924181</v>
      </c>
      <c r="AI198" s="118">
        <f>+SUM(AI186:AI187,AI189:AI192)</f>
        <v>29.612879713270154</v>
      </c>
      <c r="AJ198" s="143"/>
      <c r="AK198" s="143"/>
      <c r="AL198" s="143"/>
      <c r="AM198" s="143"/>
      <c r="AN198" s="143"/>
      <c r="AO198" s="143"/>
      <c r="AP198" s="143"/>
      <c r="AQ198" s="143"/>
      <c r="AR198" s="145"/>
      <c r="AS198" s="118">
        <f>SUM(AS164:AS197)</f>
        <v>0</v>
      </c>
      <c r="AT198" s="116">
        <f>SUM(AT164:AT197)</f>
        <v>-351408.18</v>
      </c>
      <c r="AU198" s="143"/>
      <c r="AV198" s="143"/>
      <c r="AX198" s="116">
        <f t="shared" ref="AX198:BA198" ca="1" si="126">SUM(AX164:AX197)</f>
        <v>361804.87042706803</v>
      </c>
      <c r="AY198" s="116">
        <f t="shared" ca="1" si="126"/>
        <v>7704.7904270681393</v>
      </c>
      <c r="AZ198" s="406">
        <f t="shared" ca="1" si="126"/>
        <v>1386.4875770100439</v>
      </c>
      <c r="BA198" s="406">
        <f t="shared" ca="1" si="126"/>
        <v>363191.35800407809</v>
      </c>
    </row>
    <row r="199" spans="1:53" ht="12" customHeight="1">
      <c r="C199" s="165"/>
      <c r="D199" s="165"/>
      <c r="E199" s="174"/>
      <c r="F199" s="174"/>
      <c r="G199" s="174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90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70"/>
      <c r="AI199" s="88"/>
      <c r="AR199" s="69"/>
    </row>
    <row r="200" spans="1:53" ht="12" customHeight="1">
      <c r="C200" s="185" t="s">
        <v>669</v>
      </c>
      <c r="D200" s="185" t="s">
        <v>669</v>
      </c>
      <c r="E200" s="174"/>
      <c r="F200" s="174"/>
      <c r="G200" s="174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V200" s="88">
        <f t="shared" ref="V200:AG201" si="127">IFERROR(H200/$E200,0)</f>
        <v>0</v>
      </c>
      <c r="W200" s="88">
        <f t="shared" si="127"/>
        <v>0</v>
      </c>
      <c r="X200" s="88">
        <f t="shared" si="127"/>
        <v>0</v>
      </c>
      <c r="Y200" s="88">
        <f t="shared" si="127"/>
        <v>0</v>
      </c>
      <c r="Z200" s="88">
        <f t="shared" si="127"/>
        <v>0</v>
      </c>
      <c r="AA200" s="88">
        <f t="shared" si="127"/>
        <v>0</v>
      </c>
      <c r="AB200" s="88">
        <f t="shared" si="127"/>
        <v>0</v>
      </c>
      <c r="AC200" s="88">
        <f t="shared" si="127"/>
        <v>0</v>
      </c>
      <c r="AD200" s="88">
        <f t="shared" si="127"/>
        <v>0</v>
      </c>
      <c r="AE200" s="88">
        <f t="shared" si="127"/>
        <v>0</v>
      </c>
      <c r="AF200" s="88">
        <f t="shared" si="127"/>
        <v>0</v>
      </c>
      <c r="AG200" s="88">
        <f t="shared" si="127"/>
        <v>0</v>
      </c>
      <c r="AH200" s="70">
        <f>SUM(V200:AG200)</f>
        <v>0</v>
      </c>
      <c r="AI200" s="88">
        <f>AH200/12</f>
        <v>0</v>
      </c>
      <c r="AR200" s="69"/>
    </row>
    <row r="201" spans="1:53" ht="12" customHeight="1">
      <c r="A201" s="38" t="str">
        <f t="shared" si="108"/>
        <v>Joes TC Refuse UTCDISP-RO</v>
      </c>
      <c r="B201" s="38">
        <f>COUNTIF(C:C,C201)</f>
        <v>1</v>
      </c>
      <c r="C201" s="87" t="s">
        <v>670</v>
      </c>
      <c r="D201" s="87" t="s">
        <v>671</v>
      </c>
      <c r="E201" s="174">
        <v>119</v>
      </c>
      <c r="F201" s="69">
        <v>119</v>
      </c>
      <c r="G201" s="96" t="s">
        <v>234</v>
      </c>
      <c r="H201" s="88">
        <v>23688</v>
      </c>
      <c r="I201" s="88">
        <v>22346</v>
      </c>
      <c r="J201" s="88">
        <v>24135</v>
      </c>
      <c r="K201" s="88">
        <v>26936</v>
      </c>
      <c r="L201" s="88">
        <v>46605</v>
      </c>
      <c r="M201" s="88">
        <v>45756</v>
      </c>
      <c r="N201" s="88">
        <v>22023</v>
      </c>
      <c r="O201" s="88">
        <v>29253</v>
      </c>
      <c r="P201" s="88">
        <v>22157</v>
      </c>
      <c r="Q201" s="88">
        <v>26716</v>
      </c>
      <c r="R201" s="88">
        <v>23415</v>
      </c>
      <c r="S201" s="88">
        <v>26533</v>
      </c>
      <c r="T201" s="88">
        <f>SUM(H201:S201)</f>
        <v>339563</v>
      </c>
      <c r="U201" s="88"/>
      <c r="V201" s="88">
        <f t="shared" si="127"/>
        <v>199.05882352941177</v>
      </c>
      <c r="W201" s="88">
        <f t="shared" si="127"/>
        <v>187.78151260504202</v>
      </c>
      <c r="X201" s="88">
        <f t="shared" si="127"/>
        <v>202.81512605042016</v>
      </c>
      <c r="Y201" s="88">
        <f t="shared" si="127"/>
        <v>226.35294117647058</v>
      </c>
      <c r="Z201" s="88">
        <f t="shared" si="127"/>
        <v>391.63865546218489</v>
      </c>
      <c r="AA201" s="88">
        <f t="shared" si="127"/>
        <v>384.50420168067228</v>
      </c>
      <c r="AB201" s="88">
        <f t="shared" si="127"/>
        <v>185.0672268907563</v>
      </c>
      <c r="AC201" s="88">
        <f t="shared" si="127"/>
        <v>245.8235294117647</v>
      </c>
      <c r="AD201" s="88">
        <f t="shared" ref="AD201:AG201" si="128">IFERROR(P201/$F201,0)</f>
        <v>186.19327731092437</v>
      </c>
      <c r="AE201" s="88">
        <f t="shared" si="128"/>
        <v>224.50420168067228</v>
      </c>
      <c r="AF201" s="88">
        <f t="shared" si="128"/>
        <v>196.76470588235293</v>
      </c>
      <c r="AG201" s="88">
        <f t="shared" si="128"/>
        <v>222.96638655462183</v>
      </c>
      <c r="AH201" s="70">
        <f>SUM(V201:AG201)</f>
        <v>2853.4705882352937</v>
      </c>
      <c r="AI201" s="88">
        <f>AH201/12</f>
        <v>237.78921568627447</v>
      </c>
      <c r="AR201" s="69" t="e">
        <f>+VLOOKUP(C201,#REF!,3,FALSE)</f>
        <v>#REF!</v>
      </c>
      <c r="AS201" s="88">
        <f>+IFERROR(AH201*AR201,0)</f>
        <v>0</v>
      </c>
      <c r="AT201" s="90">
        <f>+AS201-T201</f>
        <v>-339563</v>
      </c>
      <c r="AX201" s="38">
        <v>339563</v>
      </c>
      <c r="AY201" s="86">
        <f t="shared" ref="AY201" si="129">+AX201-T201</f>
        <v>0</v>
      </c>
    </row>
    <row r="202" spans="1:53" ht="12" customHeight="1">
      <c r="C202" s="165"/>
      <c r="D202" s="165"/>
      <c r="E202" s="174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70"/>
      <c r="AI202" s="88"/>
      <c r="AR202" s="69"/>
      <c r="AT202" s="69"/>
    </row>
    <row r="203" spans="1:53" ht="12" customHeight="1">
      <c r="C203" s="165"/>
      <c r="D203" s="182" t="s">
        <v>672</v>
      </c>
      <c r="E203" s="174"/>
      <c r="F203" s="174"/>
      <c r="G203" s="174"/>
      <c r="H203" s="115">
        <f t="shared" ref="H203:T203" si="130">SUM(H201:H202)</f>
        <v>23688</v>
      </c>
      <c r="I203" s="115">
        <f t="shared" si="130"/>
        <v>22346</v>
      </c>
      <c r="J203" s="115">
        <f t="shared" si="130"/>
        <v>24135</v>
      </c>
      <c r="K203" s="115">
        <f t="shared" si="130"/>
        <v>26936</v>
      </c>
      <c r="L203" s="115">
        <f t="shared" si="130"/>
        <v>46605</v>
      </c>
      <c r="M203" s="115">
        <f t="shared" si="130"/>
        <v>45756</v>
      </c>
      <c r="N203" s="115">
        <f t="shared" si="130"/>
        <v>22023</v>
      </c>
      <c r="O203" s="115">
        <f t="shared" si="130"/>
        <v>29253</v>
      </c>
      <c r="P203" s="115">
        <f t="shared" si="130"/>
        <v>22157</v>
      </c>
      <c r="Q203" s="115">
        <f t="shared" si="130"/>
        <v>26716</v>
      </c>
      <c r="R203" s="115">
        <f t="shared" si="130"/>
        <v>23415</v>
      </c>
      <c r="S203" s="115">
        <f t="shared" si="130"/>
        <v>26533</v>
      </c>
      <c r="T203" s="116">
        <f t="shared" si="130"/>
        <v>339563</v>
      </c>
      <c r="U203" s="143"/>
      <c r="V203" s="144">
        <f t="shared" ref="V203:AI203" si="131">SUM(V201:V202)</f>
        <v>199.05882352941177</v>
      </c>
      <c r="W203" s="144">
        <f t="shared" si="131"/>
        <v>187.78151260504202</v>
      </c>
      <c r="X203" s="144">
        <f t="shared" si="131"/>
        <v>202.81512605042016</v>
      </c>
      <c r="Y203" s="144">
        <f t="shared" si="131"/>
        <v>226.35294117647058</v>
      </c>
      <c r="Z203" s="144">
        <f t="shared" si="131"/>
        <v>391.63865546218489</v>
      </c>
      <c r="AA203" s="144">
        <f t="shared" si="131"/>
        <v>384.50420168067228</v>
      </c>
      <c r="AB203" s="144">
        <f t="shared" si="131"/>
        <v>185.0672268907563</v>
      </c>
      <c r="AC203" s="144">
        <f t="shared" si="131"/>
        <v>245.8235294117647</v>
      </c>
      <c r="AD203" s="144">
        <f t="shared" si="131"/>
        <v>186.19327731092437</v>
      </c>
      <c r="AE203" s="144">
        <f t="shared" si="131"/>
        <v>224.50420168067228</v>
      </c>
      <c r="AF203" s="144">
        <f t="shared" si="131"/>
        <v>196.76470588235293</v>
      </c>
      <c r="AG203" s="144">
        <f t="shared" si="131"/>
        <v>222.96638655462183</v>
      </c>
      <c r="AH203" s="118">
        <f>SUM(AH201:AH202)</f>
        <v>2853.4705882352937</v>
      </c>
      <c r="AI203" s="118">
        <f t="shared" si="131"/>
        <v>237.78921568627447</v>
      </c>
      <c r="AJ203" s="143"/>
      <c r="AK203" s="143"/>
      <c r="AL203" s="143"/>
      <c r="AM203" s="143"/>
      <c r="AN203" s="143"/>
      <c r="AO203" s="143"/>
      <c r="AP203" s="143"/>
      <c r="AQ203" s="143"/>
      <c r="AR203" s="145"/>
      <c r="AS203" s="118">
        <f>SUM(AS201:AS202)</f>
        <v>0</v>
      </c>
      <c r="AT203" s="116">
        <f>SUM(AT201:AT202)</f>
        <v>-339563</v>
      </c>
      <c r="AU203" s="143"/>
      <c r="AV203" s="143"/>
      <c r="AX203" s="116">
        <f t="shared" ref="AX203:AY203" si="132">SUM(AX201:AX202)</f>
        <v>339563</v>
      </c>
      <c r="AY203" s="116">
        <f t="shared" si="132"/>
        <v>0</v>
      </c>
    </row>
    <row r="204" spans="1:53" ht="12" customHeight="1">
      <c r="C204" s="165"/>
      <c r="D204" s="165"/>
      <c r="E204" s="174"/>
      <c r="F204" s="174"/>
      <c r="G204" s="174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70"/>
      <c r="AI204" s="88"/>
      <c r="AR204" s="69"/>
    </row>
    <row r="205" spans="1:53" ht="12" customHeight="1">
      <c r="C205" s="170" t="s">
        <v>673</v>
      </c>
      <c r="D205" s="170" t="s">
        <v>673</v>
      </c>
      <c r="E205" s="174"/>
      <c r="F205" s="174"/>
      <c r="G205" s="174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90"/>
      <c r="V205" s="88">
        <f t="shared" ref="V205:AC207" si="133">IFERROR(H205/$E205,0)</f>
        <v>0</v>
      </c>
      <c r="W205" s="88">
        <f t="shared" si="133"/>
        <v>0</v>
      </c>
      <c r="X205" s="88">
        <f t="shared" si="133"/>
        <v>0</v>
      </c>
      <c r="Y205" s="88">
        <f t="shared" si="133"/>
        <v>0</v>
      </c>
      <c r="Z205" s="88">
        <f t="shared" si="133"/>
        <v>0</v>
      </c>
      <c r="AA205" s="88">
        <f t="shared" si="133"/>
        <v>0</v>
      </c>
      <c r="AB205" s="88">
        <f t="shared" si="133"/>
        <v>0</v>
      </c>
      <c r="AC205" s="88">
        <f t="shared" si="133"/>
        <v>0</v>
      </c>
      <c r="AD205" s="88">
        <f t="shared" ref="AD205:AG207" si="134">IFERROR(P205/$F205,0)</f>
        <v>0</v>
      </c>
      <c r="AE205" s="88">
        <f t="shared" si="134"/>
        <v>0</v>
      </c>
      <c r="AF205" s="88">
        <f t="shared" si="134"/>
        <v>0</v>
      </c>
      <c r="AG205" s="88">
        <f t="shared" si="134"/>
        <v>0</v>
      </c>
      <c r="AH205" s="70">
        <f>SUM(V205:AG205)</f>
        <v>0</v>
      </c>
      <c r="AI205" s="88">
        <f>AH205/12</f>
        <v>0</v>
      </c>
      <c r="AR205" s="69"/>
    </row>
    <row r="206" spans="1:53" ht="12" customHeight="1">
      <c r="A206" s="38" t="str">
        <f t="shared" si="108"/>
        <v>Joes TC Refuse UTCFINCHG</v>
      </c>
      <c r="B206" s="38">
        <f>COUNTIF(C:C,C206)</f>
        <v>1</v>
      </c>
      <c r="C206" s="87" t="s">
        <v>674</v>
      </c>
      <c r="D206" s="87" t="e">
        <v>#N/A</v>
      </c>
      <c r="E206" s="174">
        <v>0</v>
      </c>
      <c r="F206" s="69">
        <v>0</v>
      </c>
      <c r="H206" s="88">
        <v>471.41</v>
      </c>
      <c r="I206" s="88">
        <v>270.98</v>
      </c>
      <c r="J206" s="88">
        <v>227.31</v>
      </c>
      <c r="K206" s="88">
        <v>300.49</v>
      </c>
      <c r="L206" s="88">
        <v>317.64</v>
      </c>
      <c r="M206" s="88">
        <v>236.03000000000003</v>
      </c>
      <c r="N206" s="88">
        <v>780.00000000000011</v>
      </c>
      <c r="O206" s="88">
        <v>258.99</v>
      </c>
      <c r="P206" s="88">
        <v>239.63</v>
      </c>
      <c r="Q206" s="88">
        <v>323.58</v>
      </c>
      <c r="R206" s="88">
        <v>188.61999999999998</v>
      </c>
      <c r="S206" s="88">
        <v>269.21000000000004</v>
      </c>
      <c r="T206" s="88">
        <f t="shared" ref="T206:T207" si="135">SUM(H206:S206)</f>
        <v>3883.8900000000003</v>
      </c>
      <c r="V206" s="88">
        <f t="shared" si="133"/>
        <v>0</v>
      </c>
      <c r="W206" s="88">
        <f t="shared" si="133"/>
        <v>0</v>
      </c>
      <c r="X206" s="88">
        <f t="shared" si="133"/>
        <v>0</v>
      </c>
      <c r="Y206" s="88">
        <f t="shared" si="133"/>
        <v>0</v>
      </c>
      <c r="Z206" s="88">
        <f t="shared" si="133"/>
        <v>0</v>
      </c>
      <c r="AA206" s="88">
        <f t="shared" si="133"/>
        <v>0</v>
      </c>
      <c r="AB206" s="88">
        <f t="shared" si="133"/>
        <v>0</v>
      </c>
      <c r="AC206" s="88">
        <f t="shared" si="133"/>
        <v>0</v>
      </c>
      <c r="AD206" s="88">
        <f t="shared" si="134"/>
        <v>0</v>
      </c>
      <c r="AE206" s="88">
        <f t="shared" si="134"/>
        <v>0</v>
      </c>
      <c r="AF206" s="88">
        <f t="shared" si="134"/>
        <v>0</v>
      </c>
      <c r="AG206" s="88">
        <f t="shared" si="134"/>
        <v>0</v>
      </c>
      <c r="AH206" s="70">
        <f>SUM(V206:AG206)</f>
        <v>0</v>
      </c>
      <c r="AI206" s="88">
        <f>AH206/12</f>
        <v>0</v>
      </c>
      <c r="AR206" s="69">
        <v>0</v>
      </c>
      <c r="AS206" s="88">
        <f>+IFERROR(AH206*AR206,0)</f>
        <v>0</v>
      </c>
      <c r="AT206" s="90">
        <f>+AS206-T206</f>
        <v>-3883.8900000000003</v>
      </c>
      <c r="AX206" s="38">
        <v>3883.8900000000003</v>
      </c>
      <c r="AY206" s="86">
        <f t="shared" ref="AY206:AY207" si="136">+AX206-T206</f>
        <v>0</v>
      </c>
      <c r="AZ206" s="402">
        <f t="shared" ref="AZ206:AZ207" ca="1" si="137">AX206*BA$2</f>
        <v>14.883617318686785</v>
      </c>
      <c r="BA206" s="402">
        <f t="shared" ref="BA206:BA207" ca="1" si="138">+AX206+AZ206</f>
        <v>3898.7736173186872</v>
      </c>
    </row>
    <row r="207" spans="1:53" ht="12" customHeight="1">
      <c r="A207" s="38" t="str">
        <f t="shared" si="108"/>
        <v>Joes TC Refuse UTCCOLLFEE</v>
      </c>
      <c r="B207" s="38">
        <f>COUNTIF(C:C,C207)</f>
        <v>1</v>
      </c>
      <c r="C207" s="190" t="s">
        <v>675</v>
      </c>
      <c r="D207" s="87" t="e">
        <v>#N/A</v>
      </c>
      <c r="E207" s="174">
        <v>0</v>
      </c>
      <c r="F207" s="69">
        <v>0</v>
      </c>
      <c r="H207" s="88">
        <v>-16.22</v>
      </c>
      <c r="I207" s="88">
        <v>0</v>
      </c>
      <c r="J207" s="88">
        <v>-149.22000000000003</v>
      </c>
      <c r="K207" s="88">
        <v>0</v>
      </c>
      <c r="L207" s="88">
        <v>0</v>
      </c>
      <c r="M207" s="88">
        <v>0</v>
      </c>
      <c r="N207" s="88">
        <v>0</v>
      </c>
      <c r="O207" s="88">
        <v>0</v>
      </c>
      <c r="P207" s="88">
        <v>0</v>
      </c>
      <c r="Q207" s="88">
        <v>0</v>
      </c>
      <c r="R207" s="88">
        <v>0</v>
      </c>
      <c r="S207" s="88">
        <v>0</v>
      </c>
      <c r="T207" s="88">
        <f t="shared" si="135"/>
        <v>-165.44000000000003</v>
      </c>
      <c r="V207" s="88">
        <f t="shared" si="133"/>
        <v>0</v>
      </c>
      <c r="W207" s="88">
        <f t="shared" si="133"/>
        <v>0</v>
      </c>
      <c r="X207" s="88">
        <f t="shared" si="133"/>
        <v>0</v>
      </c>
      <c r="Y207" s="88">
        <f t="shared" si="133"/>
        <v>0</v>
      </c>
      <c r="Z207" s="88">
        <f t="shared" si="133"/>
        <v>0</v>
      </c>
      <c r="AA207" s="88">
        <f t="shared" si="133"/>
        <v>0</v>
      </c>
      <c r="AB207" s="88">
        <f t="shared" si="133"/>
        <v>0</v>
      </c>
      <c r="AC207" s="88">
        <f t="shared" si="133"/>
        <v>0</v>
      </c>
      <c r="AD207" s="88">
        <f t="shared" si="134"/>
        <v>0</v>
      </c>
      <c r="AE207" s="88">
        <f t="shared" si="134"/>
        <v>0</v>
      </c>
      <c r="AF207" s="88">
        <f t="shared" si="134"/>
        <v>0</v>
      </c>
      <c r="AG207" s="88">
        <f t="shared" si="134"/>
        <v>0</v>
      </c>
      <c r="AH207" s="70">
        <f t="shared" ref="AH207" si="139">SUM(V207:AG207)</f>
        <v>0</v>
      </c>
      <c r="AI207" s="88">
        <f t="shared" ref="AI207" si="140">AH207/12</f>
        <v>0</v>
      </c>
      <c r="AR207" s="69">
        <v>0</v>
      </c>
      <c r="AS207" s="88">
        <f>+IFERROR(AH207*AR207,0)</f>
        <v>0</v>
      </c>
      <c r="AT207" s="90">
        <f>+AS207-T207</f>
        <v>165.44000000000003</v>
      </c>
      <c r="AX207" s="38">
        <v>-165.44000000000003</v>
      </c>
      <c r="AY207" s="86">
        <f t="shared" si="136"/>
        <v>0</v>
      </c>
      <c r="AZ207" s="402">
        <f t="shared" ca="1" si="137"/>
        <v>-0.63398954378304784</v>
      </c>
      <c r="BA207" s="402">
        <f t="shared" ca="1" si="138"/>
        <v>-166.07398954378309</v>
      </c>
    </row>
    <row r="208" spans="1:53" ht="12" customHeight="1">
      <c r="C208" s="165"/>
      <c r="D208" s="114" t="s">
        <v>677</v>
      </c>
      <c r="E208" s="174"/>
      <c r="F208" s="174"/>
      <c r="G208" s="174"/>
      <c r="H208" s="115">
        <f t="shared" ref="H208:T208" si="141">SUM(H206:H207)</f>
        <v>455.19000000000005</v>
      </c>
      <c r="I208" s="115">
        <f t="shared" si="141"/>
        <v>270.98</v>
      </c>
      <c r="J208" s="115">
        <f t="shared" si="141"/>
        <v>78.089999999999975</v>
      </c>
      <c r="K208" s="115">
        <f t="shared" si="141"/>
        <v>300.49</v>
      </c>
      <c r="L208" s="115">
        <f t="shared" si="141"/>
        <v>317.64</v>
      </c>
      <c r="M208" s="115">
        <f t="shared" si="141"/>
        <v>236.03000000000003</v>
      </c>
      <c r="N208" s="115">
        <f t="shared" si="141"/>
        <v>780.00000000000011</v>
      </c>
      <c r="O208" s="115">
        <f t="shared" si="141"/>
        <v>258.99</v>
      </c>
      <c r="P208" s="115">
        <f t="shared" si="141"/>
        <v>239.63</v>
      </c>
      <c r="Q208" s="115">
        <f t="shared" si="141"/>
        <v>323.58</v>
      </c>
      <c r="R208" s="115">
        <f t="shared" si="141"/>
        <v>188.61999999999998</v>
      </c>
      <c r="S208" s="115">
        <f t="shared" si="141"/>
        <v>269.21000000000004</v>
      </c>
      <c r="T208" s="116">
        <f t="shared" si="141"/>
        <v>3718.4500000000003</v>
      </c>
      <c r="U208" s="143"/>
      <c r="V208" s="144">
        <f t="shared" ref="V208:AI208" si="142">SUM(V206:V207)</f>
        <v>0</v>
      </c>
      <c r="W208" s="144">
        <f t="shared" si="142"/>
        <v>0</v>
      </c>
      <c r="X208" s="144">
        <f t="shared" si="142"/>
        <v>0</v>
      </c>
      <c r="Y208" s="144">
        <f t="shared" si="142"/>
        <v>0</v>
      </c>
      <c r="Z208" s="144">
        <f t="shared" si="142"/>
        <v>0</v>
      </c>
      <c r="AA208" s="144">
        <f t="shared" si="142"/>
        <v>0</v>
      </c>
      <c r="AB208" s="144">
        <f t="shared" si="142"/>
        <v>0</v>
      </c>
      <c r="AC208" s="144">
        <f t="shared" si="142"/>
        <v>0</v>
      </c>
      <c r="AD208" s="144">
        <f t="shared" si="142"/>
        <v>0</v>
      </c>
      <c r="AE208" s="144">
        <f t="shared" si="142"/>
        <v>0</v>
      </c>
      <c r="AF208" s="144">
        <f t="shared" si="142"/>
        <v>0</v>
      </c>
      <c r="AG208" s="144">
        <f t="shared" si="142"/>
        <v>0</v>
      </c>
      <c r="AH208" s="118">
        <f t="shared" si="142"/>
        <v>0</v>
      </c>
      <c r="AI208" s="118">
        <f t="shared" si="142"/>
        <v>0</v>
      </c>
      <c r="AJ208" s="143"/>
      <c r="AK208" s="143"/>
      <c r="AL208" s="143"/>
      <c r="AM208" s="143"/>
      <c r="AN208" s="143"/>
      <c r="AO208" s="143"/>
      <c r="AP208" s="143"/>
      <c r="AQ208" s="143"/>
      <c r="AR208" s="145"/>
      <c r="AS208" s="118">
        <f>SUM(AS206:AS207)</f>
        <v>0</v>
      </c>
      <c r="AT208" s="116">
        <f>SUM(AT206:AT207)</f>
        <v>-3718.4500000000003</v>
      </c>
      <c r="AU208" s="143"/>
      <c r="AV208" s="143"/>
      <c r="AX208" s="116">
        <f t="shared" ref="AX208:BA208" si="143">SUM(AX206:AX207)</f>
        <v>3718.4500000000003</v>
      </c>
      <c r="AY208" s="116">
        <f t="shared" si="143"/>
        <v>0</v>
      </c>
      <c r="AZ208" s="406">
        <f t="shared" ca="1" si="143"/>
        <v>14.249627774903736</v>
      </c>
      <c r="BA208" s="406">
        <f t="shared" ca="1" si="143"/>
        <v>3732.699627774904</v>
      </c>
    </row>
    <row r="209" spans="4:48" ht="12" customHeight="1">
      <c r="E209" s="174"/>
      <c r="F209" s="174"/>
      <c r="G209" s="174"/>
      <c r="T209" s="143"/>
      <c r="U209" s="143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88"/>
      <c r="AI209" s="88"/>
      <c r="AJ209" s="143"/>
      <c r="AK209" s="143"/>
      <c r="AL209" s="143"/>
      <c r="AM209" s="143"/>
      <c r="AN209" s="143"/>
      <c r="AO209" s="143"/>
      <c r="AP209" s="143"/>
      <c r="AQ209" s="143"/>
      <c r="AR209" s="145"/>
      <c r="AT209" s="143"/>
      <c r="AU209" s="143"/>
      <c r="AV209" s="143"/>
    </row>
    <row r="210" spans="4:48" ht="12" customHeight="1" thickBot="1">
      <c r="D210" s="114" t="s">
        <v>678</v>
      </c>
      <c r="E210" s="174"/>
      <c r="F210" s="174"/>
      <c r="G210" s="174"/>
      <c r="H210" s="146">
        <f t="shared" ref="H210:T210" si="144">H208+H203+H198+H159+H153+H61+H53+H47</f>
        <v>245078.77000000002</v>
      </c>
      <c r="I210" s="146">
        <f t="shared" si="144"/>
        <v>241523.8</v>
      </c>
      <c r="J210" s="146">
        <f t="shared" si="144"/>
        <v>248982.32</v>
      </c>
      <c r="K210" s="146">
        <f t="shared" si="144"/>
        <v>254110.63500000001</v>
      </c>
      <c r="L210" s="146">
        <f t="shared" si="144"/>
        <v>295346.27499999997</v>
      </c>
      <c r="M210" s="146">
        <f t="shared" si="144"/>
        <v>288262.44500000001</v>
      </c>
      <c r="N210" s="146">
        <f t="shared" si="144"/>
        <v>250823.51499999996</v>
      </c>
      <c r="O210" s="146">
        <f t="shared" si="144"/>
        <v>259990.36499999999</v>
      </c>
      <c r="P210" s="146">
        <f t="shared" si="144"/>
        <v>248735.50999999995</v>
      </c>
      <c r="Q210" s="146">
        <f t="shared" si="144"/>
        <v>256205.685</v>
      </c>
      <c r="R210" s="146">
        <f t="shared" si="144"/>
        <v>246304.36</v>
      </c>
      <c r="S210" s="146">
        <f t="shared" si="144"/>
        <v>252628.67499999999</v>
      </c>
      <c r="T210" s="147">
        <f t="shared" si="144"/>
        <v>3088042.5150000006</v>
      </c>
      <c r="U210" s="143"/>
      <c r="V210" s="149">
        <f t="shared" ref="V210:AH210" si="145">V208+V203+V198+V159+V153+V61+V53+V47</f>
        <v>10395.729911732302</v>
      </c>
      <c r="W210" s="149">
        <f t="shared" si="145"/>
        <v>10381.786907770173</v>
      </c>
      <c r="X210" s="149">
        <f t="shared" si="145"/>
        <v>10483.430651518624</v>
      </c>
      <c r="Y210" s="149">
        <f t="shared" si="145"/>
        <v>10486.747653718285</v>
      </c>
      <c r="Z210" s="149">
        <f t="shared" si="145"/>
        <v>10762.670454933537</v>
      </c>
      <c r="AA210" s="149">
        <f t="shared" si="145"/>
        <v>10742.679766977091</v>
      </c>
      <c r="AB210" s="149">
        <f t="shared" si="145"/>
        <v>10533.710727154084</v>
      </c>
      <c r="AC210" s="149">
        <f t="shared" si="145"/>
        <v>10599.551277748073</v>
      </c>
      <c r="AD210" s="149">
        <f t="shared" si="145"/>
        <v>10537.545714230062</v>
      </c>
      <c r="AE210" s="149">
        <f t="shared" si="145"/>
        <v>10546.28804304502</v>
      </c>
      <c r="AF210" s="149">
        <f t="shared" si="145"/>
        <v>10505.471716307336</v>
      </c>
      <c r="AG210" s="149">
        <f t="shared" si="145"/>
        <v>10530.603806668612</v>
      </c>
      <c r="AH210" s="191">
        <f t="shared" si="145"/>
        <v>126504.70862960035</v>
      </c>
      <c r="AI210" s="191">
        <f>AI208+AI198+AI159+AI153+AI61+AI53+AI47</f>
        <v>10304.519732352688</v>
      </c>
      <c r="AJ210" s="143"/>
      <c r="AK210" s="143"/>
      <c r="AL210" s="143"/>
      <c r="AM210" s="143"/>
      <c r="AN210" s="143"/>
      <c r="AO210" s="143"/>
      <c r="AP210" s="143"/>
      <c r="AQ210" s="143"/>
      <c r="AR210" s="145"/>
      <c r="AS210" s="191">
        <f>AS208+AS203+AS198+AS159+AS153+AS61+AS53+AS47</f>
        <v>822595.32177833607</v>
      </c>
      <c r="AT210" s="147">
        <f>AT208+AT203+AT198+AT159+AT153+AT61+AT53+AT47</f>
        <v>-2262705.133221664</v>
      </c>
      <c r="AU210" s="143"/>
      <c r="AV210" s="143"/>
    </row>
    <row r="211" spans="4:48" ht="12" customHeight="1" thickTop="1">
      <c r="E211" s="174"/>
      <c r="F211" s="174"/>
      <c r="G211" s="192"/>
    </row>
    <row r="212" spans="4:48" ht="12" customHeight="1">
      <c r="E212" s="174"/>
      <c r="F212" s="174"/>
      <c r="G212" s="192"/>
    </row>
    <row r="213" spans="4:48" ht="12" customHeight="1">
      <c r="H213" s="38">
        <f t="shared" ref="H213:AI213" si="146">SUM(H8:H208)/2</f>
        <v>245078.77000000008</v>
      </c>
      <c r="I213" s="38">
        <f t="shared" si="146"/>
        <v>241523.80000000005</v>
      </c>
      <c r="J213" s="38">
        <f t="shared" si="146"/>
        <v>248982.31999999998</v>
      </c>
      <c r="K213" s="38">
        <f t="shared" si="146"/>
        <v>254135.71500000005</v>
      </c>
      <c r="L213" s="38">
        <f t="shared" si="146"/>
        <v>295346.27500000014</v>
      </c>
      <c r="M213" s="38">
        <f t="shared" si="146"/>
        <v>288262.44500000018</v>
      </c>
      <c r="N213" s="38">
        <f t="shared" si="146"/>
        <v>250823.51500000001</v>
      </c>
      <c r="O213" s="38">
        <f t="shared" si="146"/>
        <v>259990.36500000002</v>
      </c>
      <c r="P213" s="38">
        <f t="shared" si="146"/>
        <v>248735.51000000007</v>
      </c>
      <c r="Q213" s="38">
        <f t="shared" si="146"/>
        <v>256205.68500000006</v>
      </c>
      <c r="R213" s="38">
        <f t="shared" si="146"/>
        <v>246304.36000000004</v>
      </c>
      <c r="S213" s="38">
        <f t="shared" si="146"/>
        <v>252628.67500000013</v>
      </c>
      <c r="T213" s="38">
        <f t="shared" si="146"/>
        <v>3088042.5150000006</v>
      </c>
      <c r="U213" s="38">
        <f t="shared" si="146"/>
        <v>0</v>
      </c>
      <c r="V213" s="38">
        <f t="shared" si="146"/>
        <v>11683.84275655716</v>
      </c>
      <c r="W213" s="38">
        <f t="shared" si="146"/>
        <v>11578.146033202665</v>
      </c>
      <c r="X213" s="38">
        <f t="shared" si="146"/>
        <v>11801.530404983721</v>
      </c>
      <c r="Y213" s="38">
        <f t="shared" si="146"/>
        <v>11920.695993879242</v>
      </c>
      <c r="Z213" s="38">
        <f t="shared" si="146"/>
        <v>12931.609960436122</v>
      </c>
      <c r="AA213" s="38">
        <f t="shared" si="146"/>
        <v>12775.850440996894</v>
      </c>
      <c r="AB213" s="38">
        <f t="shared" si="146"/>
        <v>11816.758011327143</v>
      </c>
      <c r="AC213" s="38">
        <f t="shared" si="146"/>
        <v>12127.393295657002</v>
      </c>
      <c r="AD213" s="38">
        <f t="shared" si="146"/>
        <v>11829.688860719261</v>
      </c>
      <c r="AE213" s="38">
        <f t="shared" si="146"/>
        <v>13171.400225003703</v>
      </c>
      <c r="AF213" s="38">
        <f t="shared" si="146"/>
        <v>11779.890592145457</v>
      </c>
      <c r="AG213" s="38">
        <f t="shared" si="146"/>
        <v>11896.8478121111</v>
      </c>
      <c r="AH213" s="88">
        <f>SUM(AH8:AH208)/2</f>
        <v>145311.64638481667</v>
      </c>
      <c r="AI213" s="88">
        <f t="shared" si="146"/>
        <v>44784.997322176408</v>
      </c>
    </row>
    <row r="214" spans="4:48" ht="12" customHeight="1">
      <c r="AH214" s="88"/>
      <c r="AI214" s="88"/>
    </row>
    <row r="215" spans="4:48" ht="12" customHeight="1">
      <c r="H215" s="82">
        <f>+H210-H213</f>
        <v>0</v>
      </c>
      <c r="I215" s="82">
        <f t="shared" ref="I215:AI215" si="147">+I210-I213</f>
        <v>0</v>
      </c>
      <c r="J215" s="82">
        <f t="shared" si="147"/>
        <v>0</v>
      </c>
      <c r="K215" s="82">
        <f t="shared" si="147"/>
        <v>-25.080000000045402</v>
      </c>
      <c r="L215" s="82">
        <f t="shared" si="147"/>
        <v>0</v>
      </c>
      <c r="M215" s="82">
        <f t="shared" si="147"/>
        <v>0</v>
      </c>
      <c r="N215" s="82">
        <f t="shared" si="147"/>
        <v>0</v>
      </c>
      <c r="O215" s="82">
        <f t="shared" si="147"/>
        <v>0</v>
      </c>
      <c r="P215" s="82">
        <f t="shared" si="147"/>
        <v>0</v>
      </c>
      <c r="Q215" s="82">
        <f t="shared" si="147"/>
        <v>0</v>
      </c>
      <c r="R215" s="82">
        <f t="shared" si="147"/>
        <v>0</v>
      </c>
      <c r="S215" s="82">
        <f t="shared" si="147"/>
        <v>0</v>
      </c>
      <c r="T215" s="82">
        <f>+T210-T213</f>
        <v>0</v>
      </c>
      <c r="U215" s="69">
        <f t="shared" si="147"/>
        <v>0</v>
      </c>
      <c r="V215" s="82">
        <f t="shared" si="147"/>
        <v>-1288.1128448248583</v>
      </c>
      <c r="W215" s="82">
        <f t="shared" si="147"/>
        <v>-1196.3591254324929</v>
      </c>
      <c r="X215" s="82">
        <f t="shared" si="147"/>
        <v>-1318.0997534650978</v>
      </c>
      <c r="Y215" s="82">
        <f t="shared" si="147"/>
        <v>-1433.9483401609577</v>
      </c>
      <c r="Z215" s="82">
        <f t="shared" si="147"/>
        <v>-2168.9395055025852</v>
      </c>
      <c r="AA215" s="82">
        <f t="shared" si="147"/>
        <v>-2033.1706740198024</v>
      </c>
      <c r="AB215" s="82">
        <f t="shared" si="147"/>
        <v>-1283.0472841730589</v>
      </c>
      <c r="AC215" s="82">
        <f t="shared" si="147"/>
        <v>-1527.8420179089298</v>
      </c>
      <c r="AD215" s="82">
        <f t="shared" si="147"/>
        <v>-1292.1431464891994</v>
      </c>
      <c r="AE215" s="82">
        <f t="shared" si="147"/>
        <v>-2625.1121819586824</v>
      </c>
      <c r="AF215" s="82">
        <f t="shared" si="147"/>
        <v>-1274.4188758381206</v>
      </c>
      <c r="AG215" s="82">
        <f t="shared" si="147"/>
        <v>-1366.2440054424878</v>
      </c>
      <c r="AH215" s="82">
        <f>+AH210-AH213</f>
        <v>-18806.937755216321</v>
      </c>
      <c r="AI215" s="88">
        <f t="shared" si="147"/>
        <v>-34480.47758982372</v>
      </c>
      <c r="AN215" s="38" t="s">
        <v>201</v>
      </c>
      <c r="AO215" s="69">
        <f>+SUM(AO6:AO214)</f>
        <v>10332.035009515874</v>
      </c>
    </row>
    <row r="216" spans="4:48" ht="12" customHeight="1">
      <c r="AN216" s="38" t="s">
        <v>679</v>
      </c>
      <c r="AO216" s="38">
        <v>0</v>
      </c>
    </row>
    <row r="217" spans="4:48" ht="12" customHeight="1"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AO217" s="90">
        <f>+AO215-AO216</f>
        <v>10332.035009515874</v>
      </c>
    </row>
    <row r="218" spans="4:48" ht="12" customHeight="1">
      <c r="H218" s="193">
        <f>+H210/$T$210</f>
        <v>7.9363793992324613E-2</v>
      </c>
      <c r="I218" s="193">
        <f t="shared" ref="I218:S218" si="148">+I210/$T$210</f>
        <v>7.8212588986975112E-2</v>
      </c>
      <c r="J218" s="193">
        <f t="shared" si="148"/>
        <v>8.0627879567908067E-2</v>
      </c>
      <c r="K218" s="193">
        <f t="shared" si="148"/>
        <v>8.2288580473122139E-2</v>
      </c>
      <c r="L218" s="193">
        <f t="shared" si="148"/>
        <v>9.5641906989742301E-2</v>
      </c>
      <c r="M218" s="193">
        <f t="shared" si="148"/>
        <v>9.3347952173514673E-2</v>
      </c>
      <c r="N218" s="193">
        <f t="shared" si="148"/>
        <v>8.1224113263220377E-2</v>
      </c>
      <c r="O218" s="193">
        <f t="shared" si="148"/>
        <v>8.4192611901264564E-2</v>
      </c>
      <c r="P218" s="193">
        <f t="shared" si="148"/>
        <v>8.0547955150157613E-2</v>
      </c>
      <c r="Q218" s="193">
        <f t="shared" si="148"/>
        <v>8.2967019966692382E-2</v>
      </c>
      <c r="R218" s="193">
        <f t="shared" si="148"/>
        <v>7.976067648148942E-2</v>
      </c>
      <c r="S218" s="193">
        <f t="shared" si="148"/>
        <v>8.1808677753907141E-2</v>
      </c>
      <c r="AO218" s="90"/>
    </row>
    <row r="219" spans="4:48" ht="12" customHeight="1">
      <c r="N219" s="82"/>
      <c r="AO219" s="90"/>
    </row>
    <row r="220" spans="4:48" ht="12" customHeight="1">
      <c r="N220" s="82"/>
    </row>
    <row r="221" spans="4:48" ht="12" customHeight="1"/>
    <row r="222" spans="4:48" ht="12" customHeight="1"/>
    <row r="223" spans="4:48" ht="12" customHeight="1"/>
    <row r="224" spans="4:48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</sheetData>
  <autoFilter ref="A10:AI209" xr:uid="{00000000-0009-0000-0000-00000B000000}"/>
  <mergeCells count="2">
    <mergeCell ref="AK4:AO4"/>
    <mergeCell ref="AR4:AT4"/>
  </mergeCells>
  <pageMargins left="0.75" right="0.75" top="1" bottom="1" header="0.5" footer="0.5"/>
  <pageSetup paperSize="5" scale="45" fitToHeight="0" orientation="landscape" r:id="rId1"/>
  <headerFooter alignWithMargins="0">
    <oddHeader>&amp;C&amp;KFF0000TEXT IN RED BOX CONFIDENTIAL PER WAC 480-07-160</oddHeader>
    <oddFooter>&amp;L&amp;D&amp;C&amp;P&amp;R&amp;T</oddFooter>
  </headerFooter>
  <rowBreaks count="3" manualBreakCount="3">
    <brk id="62" min="2" max="57" man="1"/>
    <brk id="127" min="2" max="57" man="1"/>
    <brk id="181" min="2" max="5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5016-47F7-4D2F-BB74-639899EE1113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12.33203125" style="372" customWidth="1"/>
    <col min="6" max="7" width="15.66406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12.88671875" style="372" bestFit="1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206" t="s">
        <v>715</v>
      </c>
      <c r="S2" s="207"/>
      <c r="T2" s="208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'[24]Master IS (C)'!Q54</f>
        <v>8193792.2642503465</v>
      </c>
      <c r="D5" s="215"/>
      <c r="E5" s="220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227">
        <f>'[24]Master IS (C)'!Q365</f>
        <v>7940088.3057220839</v>
      </c>
      <c r="D6" s="215"/>
      <c r="E6" s="220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201.5698711835964</v>
      </c>
      <c r="T6" s="234">
        <f>EXP(y_inter1-(slope*LN(+S6)))</f>
        <v>8.1250667905352536</v>
      </c>
      <c r="U6" s="235">
        <f>(+S6*T6/100)/100</f>
        <v>0.1637768666326308</v>
      </c>
      <c r="V6" s="235">
        <f>regDebt_weighted</f>
        <v>3.5860000000000003E-2</v>
      </c>
      <c r="W6" s="235">
        <f>+U6-V6</f>
        <v>0.1279168666326308</v>
      </c>
      <c r="X6" s="235">
        <f>+((W6*(1-0.34))-Pfd_weighted)/Equity_percent</f>
        <v>0.22742770923702418</v>
      </c>
      <c r="Y6" s="235">
        <f>+C15</f>
        <v>2.5000000000000001E-3</v>
      </c>
      <c r="Z6" s="235">
        <f>+X6+Y6</f>
        <v>0.22992770923702419</v>
      </c>
      <c r="AA6" s="235">
        <f>Z6*equityP</f>
        <v>0.13795662554221449</v>
      </c>
      <c r="AB6" s="235">
        <f>+AA6/(1-taxrate)</f>
        <v>0.17462863992685379</v>
      </c>
      <c r="AC6" s="235">
        <f>debtP*Debt_Rate</f>
        <v>1.6572E-2</v>
      </c>
      <c r="AD6" s="235">
        <f>AC6+AB6</f>
        <v>0.19120063992685379</v>
      </c>
      <c r="AE6" s="235">
        <f>AD6/(S6/100)</f>
        <v>9.4855763316285507E-2</v>
      </c>
      <c r="AF6" s="235">
        <f>1-AE6</f>
        <v>0.90514423668371446</v>
      </c>
      <c r="AG6" s="236">
        <f>expenses/(AF6)</f>
        <v>8772180.1497771647</v>
      </c>
      <c r="AH6" s="237">
        <f>+AG6-Revenue</f>
        <v>578387.88552681822</v>
      </c>
      <c r="AI6" s="238">
        <f ca="1">+AH6/$J$49</f>
        <v>652673.99921839044</v>
      </c>
      <c r="AJ6" s="238">
        <f ca="1">+AI6*$J$47</f>
        <v>16557.491568775724</v>
      </c>
      <c r="AK6" s="236">
        <f ca="1">ROUND(+AJ6+AG6,5)</f>
        <v>8788737.6413499992</v>
      </c>
    </row>
    <row r="7" spans="1:37" ht="15.6">
      <c r="A7" s="194"/>
      <c r="B7" s="218" t="s">
        <v>763</v>
      </c>
      <c r="C7" s="227">
        <f>'[24]Deprec. Summary (C)'!P55</f>
        <v>4064988.5898806639</v>
      </c>
      <c r="D7" s="215"/>
      <c r="E7" s="220"/>
      <c r="F7" s="239">
        <v>1</v>
      </c>
      <c r="G7" s="222"/>
      <c r="H7" s="240" t="s">
        <v>740</v>
      </c>
      <c r="I7" s="241">
        <f>IF(A64=TRUE,C5,0)</f>
        <v>8193792.2642503465</v>
      </c>
      <c r="J7" s="241">
        <f ca="1">(+$I8/($R50))-I7</f>
        <v>518176.47145525459</v>
      </c>
      <c r="K7" s="241">
        <f ca="1">+I7+J7</f>
        <v>8711968.7357056011</v>
      </c>
      <c r="L7" s="241">
        <f ca="1">((+J7/J49*K35)-J7)</f>
        <v>14833.821336772409</v>
      </c>
      <c r="M7" s="241">
        <f ca="1">IFERROR(+K7+L7,0.00001)</f>
        <v>8726802.5570423733</v>
      </c>
      <c r="O7" s="225"/>
      <c r="P7" s="195"/>
      <c r="R7" s="242">
        <v>2</v>
      </c>
      <c r="S7" s="243">
        <f>Revenue/Investment*100</f>
        <v>201.5698711835964</v>
      </c>
      <c r="T7" s="244">
        <f>EXP(y_inter1-(slope*LN(+S7)))</f>
        <v>8.1250667905352536</v>
      </c>
      <c r="U7" s="245">
        <f t="shared" ref="U7:U9" si="0">(+S7*T7/100)/100</f>
        <v>0.1637768666326308</v>
      </c>
      <c r="V7" s="245">
        <f>regDebt_weighted</f>
        <v>3.5860000000000003E-2</v>
      </c>
      <c r="W7" s="245">
        <f t="shared" ref="W7:W9" si="1">+U7-V7</f>
        <v>0.1279168666326308</v>
      </c>
      <c r="X7" s="245">
        <f>+((W7*(1-0.34))-Pfd_weighted)/Equity_percent</f>
        <v>0.22742770923702418</v>
      </c>
      <c r="Y7" s="245">
        <f>+Y6</f>
        <v>2.5000000000000001E-3</v>
      </c>
      <c r="Z7" s="245">
        <f>+X7+Y7</f>
        <v>0.22992770923702419</v>
      </c>
      <c r="AA7" s="245">
        <f>Z7*equityP</f>
        <v>0.13795662554221449</v>
      </c>
      <c r="AB7" s="245">
        <f>+AA7/(1-taxrate)</f>
        <v>0.17462863992685379</v>
      </c>
      <c r="AC7" s="245">
        <f>debtP*Debt_Rate</f>
        <v>1.6572E-2</v>
      </c>
      <c r="AD7" s="245">
        <f t="shared" ref="AD7:AD9" si="2">AC7+AB7</f>
        <v>0.19120063992685379</v>
      </c>
      <c r="AE7" s="245">
        <f t="shared" ref="AE7:AE9" si="3">AD7/(S7/100)</f>
        <v>9.4855763316285507E-2</v>
      </c>
      <c r="AF7" s="245">
        <f t="shared" ref="AF7:AF9" si="4">1-AE7</f>
        <v>0.90514423668371446</v>
      </c>
      <c r="AG7" s="246">
        <f>expenses/(AF7)</f>
        <v>8772180.1497771647</v>
      </c>
      <c r="AH7" s="247">
        <f>+AG7-Revenue</f>
        <v>578387.88552681822</v>
      </c>
      <c r="AI7" s="248">
        <f ca="1">+AH7/$J$49</f>
        <v>652673.99921839044</v>
      </c>
      <c r="AJ7" s="248">
        <f ca="1">+AI7*$J$47</f>
        <v>16557.491568775724</v>
      </c>
      <c r="AK7" s="246">
        <f t="shared" ref="AK7:AK9" ca="1" si="5">ROUND(+AJ7+AG7,5)</f>
        <v>8788737.6413499992</v>
      </c>
    </row>
    <row r="8" spans="1:37" ht="15.6">
      <c r="A8" s="194"/>
      <c r="B8" s="218" t="s">
        <v>764</v>
      </c>
      <c r="C8" s="249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7940088.3057220839</v>
      </c>
      <c r="J8" s="210"/>
      <c r="K8" s="241">
        <f>+I8</f>
        <v>7940088.3057220839</v>
      </c>
      <c r="L8" s="241">
        <f ca="1">+L7</f>
        <v>14833.821336772409</v>
      </c>
      <c r="M8" s="241">
        <f ca="1">IFERROR(+K8+L8,0.00001)</f>
        <v>7954922.1270588562</v>
      </c>
      <c r="O8" s="225"/>
      <c r="P8" s="195"/>
      <c r="R8" s="251">
        <v>3</v>
      </c>
      <c r="S8" s="243">
        <f>Revenue/Investment*100</f>
        <v>201.5698711835964</v>
      </c>
      <c r="T8" s="244">
        <f>EXP(y_inter1-(slope*LN(+S8)))</f>
        <v>8.1250667905352536</v>
      </c>
      <c r="U8" s="245">
        <f t="shared" si="0"/>
        <v>0.1637768666326308</v>
      </c>
      <c r="V8" s="245">
        <f>regDebt_weighted</f>
        <v>3.5860000000000003E-2</v>
      </c>
      <c r="W8" s="245">
        <f t="shared" si="1"/>
        <v>0.1279168666326308</v>
      </c>
      <c r="X8" s="245">
        <f>+((W8*(1-0.34))-Pfd_weighted)/Equity_percent</f>
        <v>0.22742770923702418</v>
      </c>
      <c r="Y8" s="245">
        <f>+Y7</f>
        <v>2.5000000000000001E-3</v>
      </c>
      <c r="Z8" s="245">
        <f t="shared" ref="Z8:Z9" si="6">+X8+Y8</f>
        <v>0.22992770923702419</v>
      </c>
      <c r="AA8" s="245">
        <f>Z8*equityP</f>
        <v>0.13795662554221449</v>
      </c>
      <c r="AB8" s="245">
        <f>+AA8/(1-taxrate)</f>
        <v>0.17462863992685379</v>
      </c>
      <c r="AC8" s="245">
        <f>debtP*Debt_Rate</f>
        <v>1.6572E-2</v>
      </c>
      <c r="AD8" s="245">
        <f t="shared" si="2"/>
        <v>0.19120063992685379</v>
      </c>
      <c r="AE8" s="245">
        <f t="shared" si="3"/>
        <v>9.4855763316285507E-2</v>
      </c>
      <c r="AF8" s="245">
        <f t="shared" si="4"/>
        <v>0.90514423668371446</v>
      </c>
      <c r="AG8" s="246">
        <f>expenses/(AF8)</f>
        <v>8772180.1497771647</v>
      </c>
      <c r="AH8" s="247">
        <f>+AG8-Revenue</f>
        <v>578387.88552681822</v>
      </c>
      <c r="AI8" s="248">
        <f ca="1">+AH8/$J$49</f>
        <v>652673.99921839044</v>
      </c>
      <c r="AJ8" s="248">
        <f ca="1">+AI8*$J$47</f>
        <v>16557.491568775724</v>
      </c>
      <c r="AK8" s="246">
        <f t="shared" ca="1" si="5"/>
        <v>8788737.6413499992</v>
      </c>
    </row>
    <row r="9" spans="1:37" ht="15.6">
      <c r="A9" s="194"/>
      <c r="B9" s="218" t="s">
        <v>765</v>
      </c>
      <c r="C9" s="249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252">
        <f>+I7-I8</f>
        <v>253703.95852826256</v>
      </c>
      <c r="J9" s="210"/>
      <c r="K9" s="252">
        <f ca="1">+K7-K8</f>
        <v>771880.42998351716</v>
      </c>
      <c r="L9" s="222"/>
      <c r="M9" s="253">
        <f ca="1">+M7-M8</f>
        <v>771880.42998351716</v>
      </c>
      <c r="O9" s="225"/>
      <c r="P9" s="195"/>
      <c r="R9" s="254">
        <v>4</v>
      </c>
      <c r="S9" s="243">
        <f>Revenue/Investment*100</f>
        <v>201.5698711835964</v>
      </c>
      <c r="T9" s="244">
        <f>EXP(y_inter1-(slope*LN(+S9)))</f>
        <v>8.1250667905352536</v>
      </c>
      <c r="U9" s="245">
        <f t="shared" si="0"/>
        <v>0.1637768666326308</v>
      </c>
      <c r="V9" s="245">
        <f>regDebt_weighted</f>
        <v>3.5860000000000003E-2</v>
      </c>
      <c r="W9" s="245">
        <f t="shared" si="1"/>
        <v>0.1279168666326308</v>
      </c>
      <c r="X9" s="245">
        <f>+((W9*(1-0.34))-Pfd_weighted)/Equity_percent</f>
        <v>0.22742770923702418</v>
      </c>
      <c r="Y9" s="245">
        <f>+Y8</f>
        <v>2.5000000000000001E-3</v>
      </c>
      <c r="Z9" s="245">
        <f t="shared" si="6"/>
        <v>0.22992770923702419</v>
      </c>
      <c r="AA9" s="245">
        <f>Z9*equityP</f>
        <v>0.13795662554221449</v>
      </c>
      <c r="AB9" s="245">
        <f>+AA9/(1-taxrate)</f>
        <v>0.17462863992685379</v>
      </c>
      <c r="AC9" s="245">
        <f>debtP*Debt_Rate</f>
        <v>1.6572E-2</v>
      </c>
      <c r="AD9" s="245">
        <f t="shared" si="2"/>
        <v>0.19120063992685379</v>
      </c>
      <c r="AE9" s="245">
        <f t="shared" si="3"/>
        <v>9.4855763316285507E-2</v>
      </c>
      <c r="AF9" s="245">
        <f t="shared" si="4"/>
        <v>0.90514423668371446</v>
      </c>
      <c r="AG9" s="246">
        <f>expenses/(AF9)</f>
        <v>8772180.1497771647</v>
      </c>
      <c r="AH9" s="247">
        <f>+AG9-Revenue</f>
        <v>578387.88552681822</v>
      </c>
      <c r="AI9" s="248">
        <f ca="1">+AH9/$J$49</f>
        <v>652673.99921839044</v>
      </c>
      <c r="AJ9" s="248">
        <f ca="1">+AI9*$J$47</f>
        <v>16557.491568775724</v>
      </c>
      <c r="AK9" s="246">
        <f t="shared" ca="1" si="5"/>
        <v>8788737.6413499992</v>
      </c>
    </row>
    <row r="10" spans="1:37" ht="15.6">
      <c r="A10" s="194"/>
      <c r="B10" s="255" t="s">
        <v>767</v>
      </c>
      <c r="C10" s="249"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256"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67364.990911502377</v>
      </c>
      <c r="J11" s="210"/>
      <c r="K11" s="241">
        <f>+M27</f>
        <v>67364.990911502377</v>
      </c>
      <c r="L11" s="222"/>
      <c r="M11" s="241">
        <f>+K11</f>
        <v>67364.990911502377</v>
      </c>
      <c r="O11" s="225"/>
      <c r="P11" s="194"/>
      <c r="R11" s="232">
        <v>1</v>
      </c>
      <c r="S11" s="233">
        <f ca="1">IF((AK6/Investment*100)&gt;0,(AK6/Investment*100),0)</f>
        <v>216.20571489987896</v>
      </c>
      <c r="T11" s="234">
        <f ca="1">EXP(y_inter1-(slope*LN(S11)))</f>
        <v>7.7448848387446203</v>
      </c>
      <c r="U11" s="235">
        <f ca="1">(+S11*T11/100)/100</f>
        <v>0.16744883633780144</v>
      </c>
      <c r="V11" s="235">
        <f>regDebt_weighted</f>
        <v>3.5860000000000003E-2</v>
      </c>
      <c r="W11" s="235">
        <f ca="1">+U11-V11</f>
        <v>0.13158883633780144</v>
      </c>
      <c r="X11" s="235">
        <f ca="1">+((W11*(1-0.34))-Pfd_weighted)/Equity_percent</f>
        <v>0.23447276739229345</v>
      </c>
      <c r="Y11" s="235">
        <f>+Y9</f>
        <v>2.5000000000000001E-3</v>
      </c>
      <c r="Z11" s="235">
        <f ca="1">+X11+Y11</f>
        <v>0.23697276739229345</v>
      </c>
      <c r="AA11" s="235">
        <f ca="1">Z11*equityP</f>
        <v>0.14218366043537606</v>
      </c>
      <c r="AB11" s="235">
        <f ca="1">+AA11/(1-taxrate)</f>
        <v>0.17997931700680514</v>
      </c>
      <c r="AC11" s="235">
        <f>debtP*Debt_Rate</f>
        <v>1.6572E-2</v>
      </c>
      <c r="AD11" s="235">
        <f ca="1">+AC11+AB11</f>
        <v>0.19655131700680514</v>
      </c>
      <c r="AE11" s="235">
        <f ca="1">+AD11/(S11/100)</f>
        <v>9.0909399456820361E-2</v>
      </c>
      <c r="AF11" s="235">
        <f ca="1">1-AE11</f>
        <v>0.90909060054317958</v>
      </c>
      <c r="AG11" s="236">
        <f ca="1">expenses/(AF11)</f>
        <v>8734100.100669723</v>
      </c>
      <c r="AH11" s="237">
        <f ca="1">+AG11-Revenue</f>
        <v>540307.83641937654</v>
      </c>
      <c r="AI11" s="238">
        <f ca="1">+AH11/$J$49</f>
        <v>609703.08201332344</v>
      </c>
      <c r="AJ11" s="238">
        <f ca="1">+AI11*$J$47</f>
        <v>15467.37521638923</v>
      </c>
      <c r="AK11" s="236">
        <f ca="1">ROUND(+AJ11+AG11,5)</f>
        <v>8749567.4758899994</v>
      </c>
    </row>
    <row r="12" spans="1:37" ht="15.6">
      <c r="A12" s="194"/>
      <c r="B12" s="218" t="s">
        <v>771</v>
      </c>
      <c r="C12" s="256"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147948.2422051231</v>
      </c>
      <c r="L12" s="222"/>
      <c r="M12" s="241">
        <f ca="1">+K12</f>
        <v>147948.2422051231</v>
      </c>
      <c r="O12" s="225"/>
      <c r="P12" s="194"/>
      <c r="R12" s="242">
        <v>2</v>
      </c>
      <c r="S12" s="243">
        <f ca="1">IF((AK7/Investment*100)&gt;0,(AK7/Investment*100),0)</f>
        <v>216.20571489987896</v>
      </c>
      <c r="T12" s="257">
        <f ca="1">EXP(y_inter2-(slope*LN(+S12)))</f>
        <v>7.634692055951561</v>
      </c>
      <c r="U12" s="245">
        <f ca="1">(+S12*T12/100)/100</f>
        <v>0.16506640539974338</v>
      </c>
      <c r="V12" s="245">
        <f>regDebt_weighted</f>
        <v>3.5860000000000003E-2</v>
      </c>
      <c r="W12" s="245">
        <f ca="1">+U12-V12</f>
        <v>0.12920640539974337</v>
      </c>
      <c r="X12" s="245">
        <f ca="1">+((W12*(1-0.34))-Pfd_weighted)/Equity_percent</f>
        <v>0.22990182431346112</v>
      </c>
      <c r="Y12" s="245">
        <f>+Y11</f>
        <v>2.5000000000000001E-3</v>
      </c>
      <c r="Z12" s="245">
        <f ca="1">+X12+Y12</f>
        <v>0.23240182431346113</v>
      </c>
      <c r="AA12" s="245">
        <f ca="1">Z12*equityP</f>
        <v>0.13944109458807666</v>
      </c>
      <c r="AB12" s="245">
        <f ca="1">+AA12/(1-taxrate)</f>
        <v>0.17650771466845147</v>
      </c>
      <c r="AC12" s="245">
        <f>debtP*Debt_Rate</f>
        <v>1.6572E-2</v>
      </c>
      <c r="AD12" s="245">
        <f ca="1">+AC12+AB12</f>
        <v>0.19307971466845147</v>
      </c>
      <c r="AE12" s="245">
        <f ca="1">+AD12/(S12/100)</f>
        <v>8.9303705389038063E-2</v>
      </c>
      <c r="AF12" s="245">
        <f ca="1">1-AE12</f>
        <v>0.91069629461096191</v>
      </c>
      <c r="AG12" s="246">
        <f ca="1">expenses/(AF12)</f>
        <v>8718700.5730752312</v>
      </c>
      <c r="AH12" s="247">
        <f ca="1">+AG12-Revenue</f>
        <v>524908.30882488471</v>
      </c>
      <c r="AI12" s="248">
        <f ca="1">+AH12/$J$49</f>
        <v>592325.69304533664</v>
      </c>
      <c r="AJ12" s="248">
        <f ca="1">+AI12*$J$47</f>
        <v>15026.533430644211</v>
      </c>
      <c r="AK12" s="246">
        <f t="shared" ref="AK12:AK14" ca="1" si="8">ROUND(+AJ12+AG12,5)</f>
        <v>8733727.1065100003</v>
      </c>
    </row>
    <row r="13" spans="1:37" ht="15.6">
      <c r="A13" s="194"/>
      <c r="B13" s="218" t="s">
        <v>773</v>
      </c>
      <c r="C13" s="256"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216.20571489987896</v>
      </c>
      <c r="T13" s="244">
        <f ca="1">EXP(y_inter3-(slope*LN(S13)))</f>
        <v>7.5604643075527269</v>
      </c>
      <c r="U13" s="245">
        <f ca="1">(+S13*T13/100)/100</f>
        <v>0.16346155905894555</v>
      </c>
      <c r="V13" s="245">
        <f>regDebt_weighted</f>
        <v>3.5860000000000003E-2</v>
      </c>
      <c r="W13" s="245">
        <f ca="1">+U13-V13</f>
        <v>0.12760155905894555</v>
      </c>
      <c r="X13" s="245">
        <f ca="1">+((W13*(1-0.34))-Pfd_weighted)/Equity_percent</f>
        <v>0.22682275865960483</v>
      </c>
      <c r="Y13" s="245">
        <f>+Y12</f>
        <v>2.5000000000000001E-3</v>
      </c>
      <c r="Z13" s="245">
        <f t="shared" ref="Z13:Z14" ca="1" si="9">+X13+Y13</f>
        <v>0.22932275865960483</v>
      </c>
      <c r="AA13" s="245">
        <f ca="1">Z13*equityP</f>
        <v>0.13759365519576289</v>
      </c>
      <c r="AB13" s="245">
        <f ca="1">+AA13/(1-taxrate)</f>
        <v>0.17416918379210491</v>
      </c>
      <c r="AC13" s="245">
        <f>debtP*Debt_Rate</f>
        <v>1.6572E-2</v>
      </c>
      <c r="AD13" s="245">
        <f ca="1">+AC13+AB13</f>
        <v>0.19074118379210492</v>
      </c>
      <c r="AE13" s="245">
        <f ca="1">+AD13/(S13/100)</f>
        <v>8.8222082325822779E-2</v>
      </c>
      <c r="AF13" s="245">
        <f ca="1">1-AE13</f>
        <v>0.91177791767417726</v>
      </c>
      <c r="AG13" s="246">
        <f ca="1">expenses/(AF13)</f>
        <v>8708357.7610392012</v>
      </c>
      <c r="AH13" s="247">
        <f ca="1">+AG13-Revenue</f>
        <v>514565.49678885471</v>
      </c>
      <c r="AI13" s="248">
        <f ca="1">+AH13/$J$49</f>
        <v>580654.48646643118</v>
      </c>
      <c r="AJ13" s="248">
        <f ca="1">+AI13*$J$47</f>
        <v>14730.450080060171</v>
      </c>
      <c r="AK13" s="246">
        <f t="shared" ca="1" si="8"/>
        <v>8723088.2111200001</v>
      </c>
    </row>
    <row r="14" spans="1:37" ht="16.2" thickBot="1">
      <c r="A14" s="194"/>
      <c r="B14" s="258" t="s">
        <v>774</v>
      </c>
      <c r="C14" s="256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556567.1968668917</v>
      </c>
      <c r="L14" s="222"/>
      <c r="M14" s="259">
        <f ca="1">+M9-SUM(M11:M13)</f>
        <v>556567.1968668917</v>
      </c>
      <c r="O14" s="225"/>
      <c r="P14" s="194"/>
      <c r="R14" s="254">
        <v>4</v>
      </c>
      <c r="S14" s="243">
        <f ca="1">IF((AK9/Investment*100)&gt;0,(AK9/Investment*100),0)</f>
        <v>216.20571489987896</v>
      </c>
      <c r="T14" s="260">
        <f ca="1">EXP(y_inter4-(slope*LN(S14)))</f>
        <v>7.5129831052463798</v>
      </c>
      <c r="U14" s="245">
        <f ca="1">(+S14*T14/100)/100</f>
        <v>0.1624349883300506</v>
      </c>
      <c r="V14" s="245">
        <f>regDebt_weighted</f>
        <v>3.5860000000000003E-2</v>
      </c>
      <c r="W14" s="245">
        <f ca="1">+U14-V14</f>
        <v>0.1265749883300506</v>
      </c>
      <c r="X14" s="245">
        <f ca="1">+((W14*(1-0.34))-Pfd_weighted)/Equity_percent</f>
        <v>0.22485317528439941</v>
      </c>
      <c r="Y14" s="245">
        <f>+Y13</f>
        <v>2.5000000000000001E-3</v>
      </c>
      <c r="Z14" s="245">
        <f t="shared" ca="1" si="9"/>
        <v>0.22735317528439941</v>
      </c>
      <c r="AA14" s="245">
        <f ca="1">Z14*equityP</f>
        <v>0.13641190517063964</v>
      </c>
      <c r="AB14" s="245">
        <f ca="1">+AA14/(1-taxrate)</f>
        <v>0.17267329768435397</v>
      </c>
      <c r="AC14" s="245">
        <f>debtP*Debt_Rate</f>
        <v>1.6572E-2</v>
      </c>
      <c r="AD14" s="245">
        <f ca="1">+AC14+AB14</f>
        <v>0.18924529768435397</v>
      </c>
      <c r="AE14" s="245">
        <f ca="1">+AD14/(S14/100)</f>
        <v>8.7530201397308161E-2</v>
      </c>
      <c r="AF14" s="245">
        <f ca="1">1-AE14</f>
        <v>0.91246979860269184</v>
      </c>
      <c r="AG14" s="246">
        <f ca="1">expenses/(AF14)</f>
        <v>8701754.6420507468</v>
      </c>
      <c r="AH14" s="247">
        <f ca="1">+AG14-Revenue</f>
        <v>507962.37780040037</v>
      </c>
      <c r="AI14" s="248">
        <f ca="1">+AH14/$J$49</f>
        <v>573203.28600848257</v>
      </c>
      <c r="AJ14" s="248">
        <f ca="1">+AI14*$J$47</f>
        <v>14541.422803184598</v>
      </c>
      <c r="AK14" s="246">
        <f t="shared" ca="1" si="8"/>
        <v>8716296.0648500007</v>
      </c>
    </row>
    <row r="15" spans="1:37" ht="16.2" thickTop="1">
      <c r="A15" s="194"/>
      <c r="B15" s="258" t="s">
        <v>776</v>
      </c>
      <c r="C15" s="261"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0.96903705264347773</v>
      </c>
      <c r="J16" s="264"/>
      <c r="K16" s="263">
        <f ca="1">+K8/K7</f>
        <v>0.91139999999999988</v>
      </c>
      <c r="L16" s="265"/>
      <c r="M16" s="263">
        <f ca="1">+M8/M7</f>
        <v>0.91155060230386176</v>
      </c>
      <c r="O16" s="225"/>
      <c r="P16" s="194"/>
      <c r="R16" s="232">
        <v>1</v>
      </c>
      <c r="S16" s="233">
        <f ca="1">AK11/Investment*100</f>
        <v>215.24211648886475</v>
      </c>
      <c r="T16" s="234">
        <f ca="1">EXP(y_inter1-(slope*LN(+S16)))</f>
        <v>7.7685725603290265</v>
      </c>
      <c r="U16" s="235">
        <f ca="1">(+S16*T16/100)/100</f>
        <v>0.16721239999825385</v>
      </c>
      <c r="V16" s="235">
        <f>regDebt_weighted</f>
        <v>3.5860000000000003E-2</v>
      </c>
      <c r="W16" s="235">
        <f ca="1">+U16-V16</f>
        <v>0.13135239999825385</v>
      </c>
      <c r="X16" s="235">
        <f ca="1">+((W16*(1-0.34))-Pfd_weighted)/Equity_percent</f>
        <v>0.23401913953153355</v>
      </c>
      <c r="Y16" s="235">
        <f>+Y14</f>
        <v>2.5000000000000001E-3</v>
      </c>
      <c r="Z16" s="235">
        <f ca="1">+X16+Y16</f>
        <v>0.23651913953153356</v>
      </c>
      <c r="AA16" s="235">
        <f ca="1">Z16*equityP</f>
        <v>0.14191148371892012</v>
      </c>
      <c r="AB16" s="235">
        <f ca="1">+AA16/(1-taxrate)</f>
        <v>0.17963478951762041</v>
      </c>
      <c r="AC16" s="235">
        <f>debtP*Debt_Rate</f>
        <v>1.6572E-2</v>
      </c>
      <c r="AD16" s="235">
        <f ca="1">+AC16+AB16</f>
        <v>0.19620678951762041</v>
      </c>
      <c r="AE16" s="235">
        <f ca="1">+AD16/(S16/100)</f>
        <v>9.1156318623065988E-2</v>
      </c>
      <c r="AF16" s="235">
        <f ca="1">1-AE16</f>
        <v>0.90884368137693405</v>
      </c>
      <c r="AG16" s="236">
        <f ca="1">expenses/(AF16)</f>
        <v>8736473.0243737157</v>
      </c>
      <c r="AH16" s="237">
        <f ca="1">+AG16-Revenue</f>
        <v>542680.76012336928</v>
      </c>
      <c r="AI16" s="238">
        <f ca="1">+AH16/$J$49</f>
        <v>612380.77572455048</v>
      </c>
      <c r="AJ16" s="238">
        <f ca="1">+AI16*$J$47</f>
        <v>15535.304827650747</v>
      </c>
      <c r="AK16" s="236">
        <f ca="1">ROUND(+AJ16+AG16,5)</f>
        <v>8752008.3291999996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214.85243841155275</v>
      </c>
      <c r="T17" s="257">
        <f ca="1">EXP(y_inter2-(slope*LN(+S17)))</f>
        <v>7.6675357970422597</v>
      </c>
      <c r="U17" s="245">
        <f ca="1">(+S17*T17/100)/100</f>
        <v>0.16473887626023981</v>
      </c>
      <c r="V17" s="245">
        <f>regDebt_weighted</f>
        <v>3.5860000000000003E-2</v>
      </c>
      <c r="W17" s="245">
        <f ca="1">+U17-V17</f>
        <v>0.12887887626023981</v>
      </c>
      <c r="X17" s="245">
        <f ca="1">+((W17*(1-0.34))-Pfd_weighted)/Equity_percent</f>
        <v>0.22927342538301823</v>
      </c>
      <c r="Y17" s="245">
        <f>+Y16</f>
        <v>2.5000000000000001E-3</v>
      </c>
      <c r="Z17" s="245">
        <f ca="1">+X17+Y17</f>
        <v>0.23177342538301823</v>
      </c>
      <c r="AA17" s="245">
        <f ca="1">Z17*equityP</f>
        <v>0.13906405522981094</v>
      </c>
      <c r="AB17" s="245">
        <f ca="1">+AA17/(1-taxrate)</f>
        <v>0.17603044965798853</v>
      </c>
      <c r="AC17" s="245">
        <f>debtP*Debt_Rate</f>
        <v>1.6572E-2</v>
      </c>
      <c r="AD17" s="245">
        <f ca="1">+AC17+AB17</f>
        <v>0.19260244965798853</v>
      </c>
      <c r="AE17" s="245">
        <f ca="1">+AD17/(S17/100)</f>
        <v>8.9644060398819364E-2</v>
      </c>
      <c r="AF17" s="245">
        <f ca="1">1-AE17</f>
        <v>0.91035593960118066</v>
      </c>
      <c r="AG17" s="246">
        <f ca="1">expenses/(AF17)</f>
        <v>8721960.2359057162</v>
      </c>
      <c r="AH17" s="247">
        <f ca="1">+AG17-Revenue</f>
        <v>528167.97165536974</v>
      </c>
      <c r="AI17" s="248">
        <f ca="1">+AH17/$J$49</f>
        <v>596004.01554985868</v>
      </c>
      <c r="AJ17" s="248">
        <f ca="1">+AI17*$J$47</f>
        <v>15119.847694624081</v>
      </c>
      <c r="AK17" s="246">
        <f t="shared" ref="AK17:AK19" ca="1" si="10">ROUND(+AJ17+AG17,5)</f>
        <v>8737080.0835999995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214.59071823313738</v>
      </c>
      <c r="T18" s="244">
        <f ca="1">EXP(y_inter3-(slope*LN(S18)))</f>
        <v>7.5993187000670304</v>
      </c>
      <c r="U18" s="245">
        <f ca="1">(+S18*T18/100)/100</f>
        <v>0.16307432579298958</v>
      </c>
      <c r="V18" s="245">
        <f>regDebt_weighted</f>
        <v>3.5860000000000003E-2</v>
      </c>
      <c r="W18" s="245">
        <f ca="1">+U18-V18</f>
        <v>0.12721432579298958</v>
      </c>
      <c r="X18" s="245">
        <f ca="1">+((W18*(1-0.34))-Pfd_weighted)/Equity_percent</f>
        <v>0.22607981111445674</v>
      </c>
      <c r="Y18" s="245">
        <f>+Y17</f>
        <v>2.5000000000000001E-3</v>
      </c>
      <c r="Z18" s="245">
        <f t="shared" ref="Z18:Z19" ca="1" si="11">+X18+Y18</f>
        <v>0.22857981111445674</v>
      </c>
      <c r="AA18" s="245">
        <f ca="1">Z18*equityP</f>
        <v>0.13714788666867403</v>
      </c>
      <c r="AB18" s="245">
        <f ca="1">+AA18/(1-taxrate)</f>
        <v>0.17360491983376458</v>
      </c>
      <c r="AC18" s="245">
        <f>debtP*Debt_Rate</f>
        <v>1.6572E-2</v>
      </c>
      <c r="AD18" s="245">
        <f ca="1">+AC18+AB18</f>
        <v>0.19017691983376458</v>
      </c>
      <c r="AE18" s="245">
        <f ca="1">+AD18/(S18/100)</f>
        <v>8.8623087428763361E-2</v>
      </c>
      <c r="AF18" s="245">
        <f ca="1">1-AE18</f>
        <v>0.91137691257123665</v>
      </c>
      <c r="AG18" s="246">
        <f ca="1">expenses/(AF18)</f>
        <v>8712189.4313967023</v>
      </c>
      <c r="AH18" s="247">
        <f ca="1">+AG18-Revenue</f>
        <v>518397.16714635585</v>
      </c>
      <c r="AI18" s="248">
        <f ca="1">+AH18/$J$49</f>
        <v>584978.28314076678</v>
      </c>
      <c r="AJ18" s="248">
        <f ca="1">+AI18*$J$47</f>
        <v>14840.139185289039</v>
      </c>
      <c r="AK18" s="246">
        <f t="shared" ca="1" si="10"/>
        <v>8727029.5705800001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8193792.2642503465</v>
      </c>
      <c r="K19" s="271"/>
      <c r="L19" s="240" t="s">
        <v>785</v>
      </c>
      <c r="M19" s="272">
        <f ca="1">+J7</f>
        <v>518176.47145525459</v>
      </c>
      <c r="O19" s="194"/>
      <c r="P19" s="194"/>
      <c r="R19" s="254">
        <v>4</v>
      </c>
      <c r="S19" s="243">
        <f ca="1">AK14/Investment*100</f>
        <v>214.42362929500587</v>
      </c>
      <c r="T19" s="260">
        <f ca="1">EXP(y_inter4-(slope*LN(S19)))</f>
        <v>7.5556160828863899</v>
      </c>
      <c r="U19" s="245">
        <f ca="1">(+S19*T19/100)/100</f>
        <v>0.16201026220522155</v>
      </c>
      <c r="V19" s="245">
        <f>regDebt_weighted</f>
        <v>3.5860000000000003E-2</v>
      </c>
      <c r="W19" s="245">
        <f ca="1">+U19-V19</f>
        <v>0.12615026220522155</v>
      </c>
      <c r="X19" s="245">
        <f ca="1">+((W19*(1-0.34))-Pfd_weighted)/Equity_percent</f>
        <v>0.22403829376583201</v>
      </c>
      <c r="Y19" s="245">
        <f>+Y18</f>
        <v>2.5000000000000001E-3</v>
      </c>
      <c r="Z19" s="245">
        <f t="shared" ca="1" si="11"/>
        <v>0.22653829376583201</v>
      </c>
      <c r="AA19" s="245">
        <f ca="1">Z19*equityP</f>
        <v>0.1359229762594992</v>
      </c>
      <c r="AB19" s="245">
        <f ca="1">+AA19/(1-taxrate)</f>
        <v>0.17205440032847999</v>
      </c>
      <c r="AC19" s="245">
        <f>debtP*Debt_Rate</f>
        <v>1.6572E-2</v>
      </c>
      <c r="AD19" s="245">
        <f ca="1">+AC19+AB19</f>
        <v>0.18862640032847999</v>
      </c>
      <c r="AE19" s="245">
        <f ca="1">+AD19/(S19/100)</f>
        <v>8.7969036317805338E-2</v>
      </c>
      <c r="AF19" s="245">
        <f ca="1">1-AE19</f>
        <v>0.91203096368219461</v>
      </c>
      <c r="AG19" s="246">
        <f ca="1">expenses/(AF19)</f>
        <v>8705941.598369766</v>
      </c>
      <c r="AH19" s="247">
        <f ca="1">+AG19-Revenue</f>
        <v>512149.33411941957</v>
      </c>
      <c r="AI19" s="248">
        <f ca="1">+AH19/$J$49</f>
        <v>577928.00032852381</v>
      </c>
      <c r="AJ19" s="248">
        <f ca="1">+AI19*$J$47</f>
        <v>14661.282668312733</v>
      </c>
      <c r="AK19" s="246">
        <f t="shared" ca="1" si="10"/>
        <v>8720602.8810399994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533010.29279202688</v>
      </c>
      <c r="K20" s="273"/>
      <c r="L20" s="240" t="s">
        <v>787</v>
      </c>
      <c r="M20" s="272">
        <f ca="1">+L8</f>
        <v>14833.821336772409</v>
      </c>
      <c r="O20" s="194"/>
      <c r="P20" s="194"/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8726802.5570423733</v>
      </c>
      <c r="L21" s="274" t="s">
        <v>786</v>
      </c>
      <c r="M21" s="276">
        <f ca="1">+M19+M20</f>
        <v>533010.292792027</v>
      </c>
      <c r="O21" s="277">
        <f ca="1">J20-'LG Lewis MSW'!J20-'LG Lewis Recycling'!J20-'LG Lewis Yard Waste'!J20</f>
        <v>9650.0294711506285</v>
      </c>
      <c r="P21" s="194"/>
      <c r="R21" s="232">
        <v>1</v>
      </c>
      <c r="S21" s="233">
        <f ca="1">AK16/Investment*100</f>
        <v>215.30216224929015</v>
      </c>
      <c r="T21" s="234">
        <f ca="1">EXP(y_inter1-(slope*LN(+S21)))</f>
        <v>7.7670912676844255</v>
      </c>
      <c r="U21" s="235">
        <f ca="1">(+S21*T21/100)/100</f>
        <v>0.16722715443200367</v>
      </c>
      <c r="V21" s="235">
        <f>regDebt_weighted</f>
        <v>3.5860000000000003E-2</v>
      </c>
      <c r="W21" s="235">
        <f ca="1">+U21-V21</f>
        <v>0.13136715443200367</v>
      </c>
      <c r="X21" s="235">
        <f ca="1">+((W21*(1-0.34))-Pfd_weighted)/Equity_percent</f>
        <v>0.23404744745675121</v>
      </c>
      <c r="Y21" s="235">
        <f>+Y19</f>
        <v>2.5000000000000001E-3</v>
      </c>
      <c r="Z21" s="235">
        <f ca="1">+X21+Y21</f>
        <v>0.23654744745675121</v>
      </c>
      <c r="AA21" s="235">
        <f ca="1">Z21*equityP</f>
        <v>0.14192846847405072</v>
      </c>
      <c r="AB21" s="235">
        <f ca="1">+AA21/(1-taxrate)</f>
        <v>0.17965628920765914</v>
      </c>
      <c r="AC21" s="235">
        <f>debtP*Debt_Rate</f>
        <v>1.6572E-2</v>
      </c>
      <c r="AD21" s="235">
        <f ca="1">+AC21+AB21</f>
        <v>0.19622828920765914</v>
      </c>
      <c r="AE21" s="235">
        <f ca="1">+AD21/(S21/100)</f>
        <v>9.1140881799623499E-2</v>
      </c>
      <c r="AF21" s="235">
        <f ca="1">1-AE21</f>
        <v>0.90885911820037646</v>
      </c>
      <c r="AG21" s="236">
        <f ca="1">expenses/(AF21)</f>
        <v>8736324.6368085947</v>
      </c>
      <c r="AH21" s="237">
        <f ca="1">+AG21-Revenue</f>
        <v>542532.37255824823</v>
      </c>
      <c r="AI21" s="238">
        <f ca="1">+AH21/$J$49</f>
        <v>612213.32978042657</v>
      </c>
      <c r="AJ21" s="238">
        <f ca="1">+AI21*$J$47</f>
        <v>15531.056941552362</v>
      </c>
      <c r="AK21" s="236">
        <f ca="1">ROUND(+AJ21+AG21,5)</f>
        <v>8751855.6937499996</v>
      </c>
    </row>
    <row r="22" spans="1:37" ht="21" customHeight="1" thickTop="1">
      <c r="A22" s="194"/>
      <c r="B22" s="267"/>
      <c r="C22" s="194"/>
      <c r="D22" s="194"/>
      <c r="E22" s="194"/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6.5050501111379111E-2</v>
      </c>
      <c r="L22" s="279"/>
      <c r="M22" s="282"/>
      <c r="O22" s="194">
        <v>613406</v>
      </c>
      <c r="P22" s="194"/>
      <c r="R22" s="242">
        <v>2</v>
      </c>
      <c r="S22" s="243">
        <f ca="1">AK17/Investment*100</f>
        <v>214.93492270433396</v>
      </c>
      <c r="T22" s="257">
        <f ca="1">EXP(y_inter2-(slope*LN(+S22)))</f>
        <v>7.6655239592161992</v>
      </c>
      <c r="U22" s="245">
        <f ca="1">(+S22*T22/100)/100</f>
        <v>0.16475887996623537</v>
      </c>
      <c r="V22" s="245">
        <f>regDebt_weighted</f>
        <v>3.5860000000000003E-2</v>
      </c>
      <c r="W22" s="245">
        <f ca="1">+U22-V22</f>
        <v>0.12889887996623536</v>
      </c>
      <c r="X22" s="245">
        <f ca="1">+((W22*(1-0.34))-Pfd_weighted)/Equity_percent</f>
        <v>0.22931180458638181</v>
      </c>
      <c r="Y22" s="245">
        <f>+Y21</f>
        <v>2.5000000000000001E-3</v>
      </c>
      <c r="Z22" s="245">
        <f ca="1">+X22+Y22</f>
        <v>0.23181180458638181</v>
      </c>
      <c r="AA22" s="245">
        <f ca="1">Z22*equityP</f>
        <v>0.13908708275182907</v>
      </c>
      <c r="AB22" s="245">
        <f ca="1">+AA22/(1-taxrate)</f>
        <v>0.17605959842003679</v>
      </c>
      <c r="AC22" s="245">
        <f>debtP*Debt_Rate</f>
        <v>1.6572E-2</v>
      </c>
      <c r="AD22" s="245">
        <f ca="1">+AC22+AB22</f>
        <v>0.1926315984200368</v>
      </c>
      <c r="AE22" s="245">
        <f ca="1">+AD22/(S22/100)</f>
        <v>8.9623219901319717E-2</v>
      </c>
      <c r="AF22" s="245">
        <f ca="1">1-AE22</f>
        <v>0.91037678009868028</v>
      </c>
      <c r="AG22" s="246">
        <f ca="1">expenses/(AF22)</f>
        <v>8721760.5713333525</v>
      </c>
      <c r="AH22" s="247">
        <f ca="1">+AG22-Revenue</f>
        <v>527968.30708300602</v>
      </c>
      <c r="AI22" s="248">
        <f ca="1">+AH22/$J$49</f>
        <v>595778.70675932581</v>
      </c>
      <c r="AJ22" s="248">
        <f ca="1">+AI22*$J$47</f>
        <v>15114.13190327329</v>
      </c>
      <c r="AK22" s="246">
        <f t="shared" ref="AK22:AK24" ca="1" si="12">ROUND(+AJ22+AG22,5)</f>
        <v>8736874.7032399997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214.68767691759254</v>
      </c>
      <c r="T23" s="244">
        <f ca="1">EXP(y_inter3-(slope*LN(S23)))</f>
        <v>7.5969721392934337</v>
      </c>
      <c r="U23" s="245">
        <f ca="1">(+S23*T23/100)/100</f>
        <v>0.16309763001925806</v>
      </c>
      <c r="V23" s="245">
        <f>regDebt_weighted</f>
        <v>3.5860000000000003E-2</v>
      </c>
      <c r="W23" s="245">
        <f ca="1">+U23-V23</f>
        <v>0.12723763001925806</v>
      </c>
      <c r="X23" s="245">
        <f ca="1">+((W23*(1-0.34))-Pfd_weighted)/Equity_percent</f>
        <v>0.22612452271136718</v>
      </c>
      <c r="Y23" s="245">
        <f>+Y22</f>
        <v>2.5000000000000001E-3</v>
      </c>
      <c r="Z23" s="245">
        <f t="shared" ref="Z23:Z24" ca="1" si="13">+X23+Y23</f>
        <v>0.22862452271136718</v>
      </c>
      <c r="AA23" s="245">
        <f ca="1">Z23*equityP</f>
        <v>0.13717471362682029</v>
      </c>
      <c r="AB23" s="245">
        <f ca="1">+AA23/(1-taxrate)</f>
        <v>0.17363887800863329</v>
      </c>
      <c r="AC23" s="245">
        <f>debtP*Debt_Rate</f>
        <v>1.6572E-2</v>
      </c>
      <c r="AD23" s="245">
        <f ca="1">+AC23+AB23</f>
        <v>0.19021087800863329</v>
      </c>
      <c r="AE23" s="245">
        <f ca="1">+AD23/(S23/100)</f>
        <v>8.8598880354760823E-2</v>
      </c>
      <c r="AF23" s="245">
        <f ca="1">1-AE23</f>
        <v>0.91140111964523918</v>
      </c>
      <c r="AG23" s="246">
        <f ca="1">expenses/(AF23)</f>
        <v>8711958.0331575032</v>
      </c>
      <c r="AH23" s="247">
        <f ca="1">+AG23-Revenue</f>
        <v>518165.76890715677</v>
      </c>
      <c r="AI23" s="248">
        <f ca="1">+AH23/$J$49</f>
        <v>584717.16492240608</v>
      </c>
      <c r="AJ23" s="248">
        <f ca="1">+AI23*$J$47</f>
        <v>14833.514955268938</v>
      </c>
      <c r="AK23" s="246">
        <f t="shared" ca="1" si="12"/>
        <v>8726791.5481100008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214.52957833015739</v>
      </c>
      <c r="T24" s="260">
        <f ca="1">EXP(y_inter4-(slope*LN(S24)))</f>
        <v>7.5530647909156947</v>
      </c>
      <c r="U24" s="245">
        <f ca="1">(+S24*T24/100)/100</f>
        <v>0.16203558046955024</v>
      </c>
      <c r="V24" s="245">
        <f>regDebt_weighted</f>
        <v>3.5860000000000003E-2</v>
      </c>
      <c r="W24" s="245">
        <f ca="1">+U24-V24</f>
        <v>0.12617558046955024</v>
      </c>
      <c r="X24" s="245">
        <f ca="1">+((W24*(1-0.34))-Pfd_weighted)/Equity_percent</f>
        <v>0.22408686950553244</v>
      </c>
      <c r="Y24" s="245">
        <f>+Y23</f>
        <v>2.5000000000000001E-3</v>
      </c>
      <c r="Z24" s="245">
        <f t="shared" ca="1" si="13"/>
        <v>0.22658686950553245</v>
      </c>
      <c r="AA24" s="245">
        <f ca="1">Z24*equityP</f>
        <v>0.13595212170331947</v>
      </c>
      <c r="AB24" s="245">
        <f ca="1">+AA24/(1-taxrate)</f>
        <v>0.17209129329534109</v>
      </c>
      <c r="AC24" s="245">
        <f>debtP*Debt_Rate</f>
        <v>1.6572E-2</v>
      </c>
      <c r="AD24" s="245">
        <f ca="1">+AC24+AB24</f>
        <v>0.18866329329534109</v>
      </c>
      <c r="AE24" s="245">
        <f ca="1">+AD24/(S24/100)</f>
        <v>8.7942788478794984E-2</v>
      </c>
      <c r="AF24" s="245">
        <f ca="1">1-AE24</f>
        <v>0.912057211521205</v>
      </c>
      <c r="AG24" s="246">
        <f ca="1">expenses/(AF24)</f>
        <v>8705691.0525151622</v>
      </c>
      <c r="AH24" s="247">
        <f ca="1">+AG24-Revenue</f>
        <v>511898.7882648157</v>
      </c>
      <c r="AI24" s="248">
        <f ca="1">+AH24/$J$49</f>
        <v>577645.27524211758</v>
      </c>
      <c r="AJ24" s="248">
        <f ca="1">+AI24*$J$47</f>
        <v>14654.110300116576</v>
      </c>
      <c r="AK24" s="246">
        <f t="shared" ca="1" si="12"/>
        <v>8720345.1628200002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2438993.1539283982</v>
      </c>
      <c r="K26" s="263">
        <f ca="1">+K34</f>
        <v>0.22819547318960245</v>
      </c>
      <c r="L26" s="293">
        <f ca="1">+K26*I26</f>
        <v>0.13691728391376146</v>
      </c>
      <c r="M26" s="241">
        <f ca="1">+J26*K26</f>
        <v>556567.1968668917</v>
      </c>
      <c r="O26" s="194"/>
      <c r="P26" s="194"/>
      <c r="R26" s="232">
        <v>1</v>
      </c>
      <c r="S26" s="233">
        <f ca="1">AK21/Investment*100</f>
        <v>215.29840736913184</v>
      </c>
      <c r="T26" s="234">
        <f ca="1">EXP(y_inter1-(slope*LN(+S26)))</f>
        <v>7.7671838779216831</v>
      </c>
      <c r="U26" s="235">
        <f ca="1">(+S26*T26/100)/100</f>
        <v>0.16722623186597357</v>
      </c>
      <c r="V26" s="235">
        <f>regDebt_weighted</f>
        <v>3.5860000000000003E-2</v>
      </c>
      <c r="W26" s="235">
        <f ca="1">+U26-V26</f>
        <v>0.13136623186597357</v>
      </c>
      <c r="X26" s="235">
        <f ca="1">+((W26*(1-0.34))-Pfd_weighted)/Equity_percent</f>
        <v>0.23404567741727486</v>
      </c>
      <c r="Y26" s="235">
        <f>+Y24</f>
        <v>2.5000000000000001E-3</v>
      </c>
      <c r="Z26" s="235">
        <f ca="1">+X26+Y26</f>
        <v>0.23654567741727486</v>
      </c>
      <c r="AA26" s="235">
        <f ca="1">Z26*equityP</f>
        <v>0.14192740645036492</v>
      </c>
      <c r="AB26" s="235">
        <f ca="1">+AA26/(1-taxrate)</f>
        <v>0.17965494487387965</v>
      </c>
      <c r="AC26" s="235">
        <f>debtP*Debt_Rate</f>
        <v>1.6572E-2</v>
      </c>
      <c r="AD26" s="235">
        <f ca="1">+AC26+AB26</f>
        <v>0.19622694487387965</v>
      </c>
      <c r="AE26" s="235">
        <f ca="1">+AD26/(S26/100)</f>
        <v>9.1141846923858599E-2</v>
      </c>
      <c r="AF26" s="235">
        <f ca="1">1-AE26</f>
        <v>0.90885815307614137</v>
      </c>
      <c r="AG26" s="236">
        <f ca="1">expenses/(AF26)</f>
        <v>8736333.913986342</v>
      </c>
      <c r="AH26" s="237">
        <f ca="1">+AG26-Revenue</f>
        <v>542541.64973599557</v>
      </c>
      <c r="AI26" s="238">
        <f ca="1">+AH26/$J$49</f>
        <v>612223.79848638212</v>
      </c>
      <c r="AJ26" s="238">
        <f ca="1">+AI26*$J$47</f>
        <v>15531.322519024121</v>
      </c>
      <c r="AK26" s="236">
        <f ca="1">ROUND(+AJ26+AG26,5)</f>
        <v>8751865.2365099993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1625995.4359522657</v>
      </c>
      <c r="K27" s="263">
        <f>IF(A64=TRUE,C9,0)</f>
        <v>4.1430000000000002E-2</v>
      </c>
      <c r="L27" s="293">
        <f>+K27*I27</f>
        <v>1.6572E-2</v>
      </c>
      <c r="M27" s="241">
        <f>+K27*J27</f>
        <v>67364.990911502377</v>
      </c>
      <c r="O27" s="194"/>
      <c r="P27" s="194"/>
      <c r="R27" s="242">
        <v>2</v>
      </c>
      <c r="S27" s="243">
        <f ca="1">AK22/Investment*100</f>
        <v>214.92987028277213</v>
      </c>
      <c r="T27" s="257">
        <f ca="1">EXP(y_inter2-(slope*LN(+S27)))</f>
        <v>7.6656471532163453</v>
      </c>
      <c r="U27" s="245">
        <f ca="1">(+S27*T27/100)/100</f>
        <v>0.16475765482742907</v>
      </c>
      <c r="V27" s="245">
        <f>regDebt_weighted</f>
        <v>3.5860000000000003E-2</v>
      </c>
      <c r="W27" s="245">
        <f ca="1">+U27-V27</f>
        <v>0.12889765482742907</v>
      </c>
      <c r="X27" s="245">
        <f ca="1">+((W27*(1-0.34))-Pfd_weighted)/Equity_percent</f>
        <v>0.22930945402936972</v>
      </c>
      <c r="Y27" s="245">
        <f>+Y26</f>
        <v>2.5000000000000001E-3</v>
      </c>
      <c r="Z27" s="245">
        <f ca="1">+X27+Y27</f>
        <v>0.23180945402936973</v>
      </c>
      <c r="AA27" s="245">
        <f ca="1">Z27*equityP</f>
        <v>0.13908567241762182</v>
      </c>
      <c r="AB27" s="245">
        <f ca="1">+AA27/(1-taxrate)</f>
        <v>0.17605781318686306</v>
      </c>
      <c r="AC27" s="245">
        <f>debtP*Debt_Rate</f>
        <v>1.6572E-2</v>
      </c>
      <c r="AD27" s="245">
        <f ca="1">+AC27+AB27</f>
        <v>0.19262981318686306</v>
      </c>
      <c r="AE27" s="245">
        <f ca="1">+AD27/(S27/100)</f>
        <v>8.9624496089552363E-2</v>
      </c>
      <c r="AF27" s="245">
        <f ca="1">1-AE27</f>
        <v>0.91037550391044764</v>
      </c>
      <c r="AG27" s="246">
        <f ca="1">expenses/(AF27)</f>
        <v>8721772.7977258265</v>
      </c>
      <c r="AH27" s="247">
        <f ca="1">+AG27-Revenue</f>
        <v>527980.53347548004</v>
      </c>
      <c r="AI27" s="248">
        <f ca="1">+AH27/$J$49</f>
        <v>595792.50346681534</v>
      </c>
      <c r="AJ27" s="248">
        <f ca="1">+AI27*$J$47</f>
        <v>15114.481907821055</v>
      </c>
      <c r="AK27" s="246">
        <f t="shared" ref="AK27:AK29" ca="1" si="14">ROUND(+AJ27+AG27,5)</f>
        <v>8736887.2796299998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4064988.5898806639</v>
      </c>
      <c r="K28" s="297"/>
      <c r="L28" s="298">
        <f ca="1">SUM(L26:L27)</f>
        <v>0.15348928391376146</v>
      </c>
      <c r="M28" s="296">
        <f ca="1">SUM(M26:M27)</f>
        <v>623932.18777839409</v>
      </c>
      <c r="O28" s="194"/>
      <c r="P28" s="194"/>
      <c r="R28" s="251">
        <v>3</v>
      </c>
      <c r="S28" s="243">
        <f ca="1">AK23/Investment*100</f>
        <v>214.68182148984073</v>
      </c>
      <c r="T28" s="244">
        <f ca="1">EXP(y_inter3-(slope*LN(S28)))</f>
        <v>7.5971137997178415</v>
      </c>
      <c r="U28" s="245">
        <f ca="1">(+S28*T28/100)/100</f>
        <v>0.16309622285890313</v>
      </c>
      <c r="V28" s="245">
        <f>regDebt_weighted</f>
        <v>3.5860000000000003E-2</v>
      </c>
      <c r="W28" s="245">
        <f ca="1">+U28-V28</f>
        <v>0.12723622285890313</v>
      </c>
      <c r="X28" s="245">
        <f ca="1">+((W28*(1-0.34))-Pfd_weighted)/Equity_percent</f>
        <v>0.22612182292696528</v>
      </c>
      <c r="Y28" s="245">
        <f>+Y27</f>
        <v>2.5000000000000001E-3</v>
      </c>
      <c r="Z28" s="245">
        <f t="shared" ref="Z28:Z29" ca="1" si="15">+X28+Y28</f>
        <v>0.22862182292696528</v>
      </c>
      <c r="AA28" s="245">
        <f ca="1">Z28*equityP</f>
        <v>0.13717309375617917</v>
      </c>
      <c r="AB28" s="245">
        <f ca="1">+AA28/(1-taxrate)</f>
        <v>0.1736368275394673</v>
      </c>
      <c r="AC28" s="245">
        <f>debtP*Debt_Rate</f>
        <v>1.6572E-2</v>
      </c>
      <c r="AD28" s="245">
        <f ca="1">+AC28+AB28</f>
        <v>0.1902088275394673</v>
      </c>
      <c r="AE28" s="245">
        <f ca="1">+AD28/(S28/100)</f>
        <v>8.8600341761339338E-2</v>
      </c>
      <c r="AF28" s="245">
        <f ca="1">1-AE28</f>
        <v>0.91139965823866065</v>
      </c>
      <c r="AG28" s="246">
        <f ca="1">expenses/(AF28)</f>
        <v>8711972.0025645196</v>
      </c>
      <c r="AH28" s="247">
        <f ca="1">+AG28-Revenue</f>
        <v>518179.73831417318</v>
      </c>
      <c r="AI28" s="248">
        <f ca="1">+AH28/$J$49</f>
        <v>584732.92851111921</v>
      </c>
      <c r="AJ28" s="248">
        <f ca="1">+AI28*$J$47</f>
        <v>14833.914857038466</v>
      </c>
      <c r="AK28" s="246">
        <f t="shared" ca="1" si="14"/>
        <v>8726805.9174199998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214.5232383807504</v>
      </c>
      <c r="T29" s="260">
        <f ca="1">EXP(y_inter4-(slope*LN(S29)))</f>
        <v>7.5532173995658978</v>
      </c>
      <c r="U29" s="245">
        <f ca="1">(+S29*T29/100)/100</f>
        <v>0.16203406567487069</v>
      </c>
      <c r="V29" s="245">
        <f>regDebt_weighted</f>
        <v>3.5860000000000003E-2</v>
      </c>
      <c r="W29" s="245">
        <f ca="1">+U29-V29</f>
        <v>0.12617406567487069</v>
      </c>
      <c r="X29" s="245">
        <f ca="1">+((W29*(1-0.34))-Pfd_weighted)/Equity_percent</f>
        <v>0.2240839632134147</v>
      </c>
      <c r="Y29" s="245">
        <f>+Y28</f>
        <v>2.5000000000000001E-3</v>
      </c>
      <c r="Z29" s="245">
        <f t="shared" ca="1" si="15"/>
        <v>0.2265839632134147</v>
      </c>
      <c r="AA29" s="245">
        <f ca="1">Z29*equityP</f>
        <v>0.13595037792804882</v>
      </c>
      <c r="AB29" s="245">
        <f ca="1">+AA29/(1-taxrate)</f>
        <v>0.17208908598487191</v>
      </c>
      <c r="AC29" s="245">
        <f>debtP*Debt_Rate</f>
        <v>1.6572E-2</v>
      </c>
      <c r="AD29" s="245">
        <f ca="1">+AC29+AB29</f>
        <v>0.18866108598487191</v>
      </c>
      <c r="AE29" s="245">
        <f ca="1">+AD29/(S29/100)</f>
        <v>8.794435857341637E-2</v>
      </c>
      <c r="AF29" s="245">
        <f ca="1">1-AE29</f>
        <v>0.91205564142658369</v>
      </c>
      <c r="AG29" s="246">
        <f ca="1">expenses/(AF29)</f>
        <v>8705706.0392748248</v>
      </c>
      <c r="AH29" s="247">
        <f ca="1">+AG29-Revenue</f>
        <v>511913.77502447832</v>
      </c>
      <c r="AI29" s="248">
        <f ca="1">+AH29/$J$49</f>
        <v>577662.18684868666</v>
      </c>
      <c r="AJ29" s="248">
        <f ca="1">+AI29*$J$47</f>
        <v>14654.53932560789</v>
      </c>
      <c r="AK29" s="246">
        <f t="shared" ca="1" si="14"/>
        <v>8720360.5786000006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215.2986421240343</v>
      </c>
      <c r="T31" s="234">
        <f ca="1">EXP(y_inter1-(slope*LN(+S31)))</f>
        <v>7.767178087855017</v>
      </c>
      <c r="U31" s="235">
        <f ca="1">(+S31*T31/100)/100</f>
        <v>0.16722628954507385</v>
      </c>
      <c r="V31" s="235">
        <f>regDebt_weighted</f>
        <v>3.5860000000000003E-2</v>
      </c>
      <c r="W31" s="235">
        <f ca="1">+U31-V31</f>
        <v>0.13136628954507384</v>
      </c>
      <c r="X31" s="235">
        <f ca="1">+((W31*(1-0.34))-Pfd_weighted)/Equity_percent</f>
        <v>0.23404578808066492</v>
      </c>
      <c r="Y31" s="235">
        <f>+Y29</f>
        <v>2.5000000000000001E-3</v>
      </c>
      <c r="Z31" s="235">
        <f ca="1">+X31+Y31</f>
        <v>0.23654578808066493</v>
      </c>
      <c r="AA31" s="235">
        <f ca="1">Z31*equityP</f>
        <v>0.14192747284839896</v>
      </c>
      <c r="AB31" s="235">
        <f ca="1">+AA31/(1-taxrate)</f>
        <v>0.17965502892202401</v>
      </c>
      <c r="AC31" s="235">
        <f>debtP*Debt_Rate</f>
        <v>1.6572E-2</v>
      </c>
      <c r="AD31" s="235">
        <f ca="1">+AC31+AB31</f>
        <v>0.19622702892202401</v>
      </c>
      <c r="AE31" s="235">
        <f ca="1">+AD31/(S31/100)</f>
        <v>9.1141786583575829E-2</v>
      </c>
      <c r="AF31" s="235">
        <f ca="1">1-AE31</f>
        <v>0.90885821341642414</v>
      </c>
      <c r="AG31" s="236">
        <f ca="1">expenses/(AF31)</f>
        <v>8736333.3339697327</v>
      </c>
      <c r="AH31" s="237">
        <f ca="1">+AG31-Revenue</f>
        <v>542541.06971938629</v>
      </c>
      <c r="AI31" s="238">
        <f ca="1">+AH31/$J$49</f>
        <v>612223.1439744716</v>
      </c>
      <c r="AJ31" s="238">
        <f ca="1">+AI31*$J$47</f>
        <v>15531.305914907131</v>
      </c>
      <c r="AK31" s="236">
        <f ca="1">ROUND(+AJ31+AG31,5)</f>
        <v>8751864.6398799997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214.93017966592839</v>
      </c>
      <c r="T32" s="257">
        <f ca="1">EXP(y_inter2-(slope*LN(+S32)))</f>
        <v>7.665639609337398</v>
      </c>
      <c r="U32" s="245">
        <f ca="1">(+S32*T32/100)/100</f>
        <v>0.16475772984891443</v>
      </c>
      <c r="V32" s="245">
        <f>regDebt_weighted</f>
        <v>3.5860000000000003E-2</v>
      </c>
      <c r="W32" s="245">
        <f ca="1">+U32-V32</f>
        <v>0.12889772984891443</v>
      </c>
      <c r="X32" s="245">
        <f ca="1">+((W32*(1-0.34))-Pfd_weighted)/Equity_percent</f>
        <v>0.22930959796594044</v>
      </c>
      <c r="Y32" s="245">
        <f>+Y31</f>
        <v>2.5000000000000001E-3</v>
      </c>
      <c r="Z32" s="245">
        <f ca="1">+X32+Y32</f>
        <v>0.23180959796594044</v>
      </c>
      <c r="AA32" s="245">
        <f ca="1">Z32*equityP</f>
        <v>0.13908575877956425</v>
      </c>
      <c r="AB32" s="245">
        <f ca="1">+AA32/(1-taxrate)</f>
        <v>0.17605792250577754</v>
      </c>
      <c r="AC32" s="245">
        <f>debtP*Debt_Rate</f>
        <v>1.6572E-2</v>
      </c>
      <c r="AD32" s="245">
        <f ca="1">+AC32+AB32</f>
        <v>0.19262992250577754</v>
      </c>
      <c r="AE32" s="245">
        <f ca="1">+AD32/(S32/100)</f>
        <v>8.9624417941299495E-2</v>
      </c>
      <c r="AF32" s="245">
        <f ca="1">1-AE32</f>
        <v>0.91037558205870051</v>
      </c>
      <c r="AG32" s="246">
        <f ca="1">expenses/(AF32)</f>
        <v>8721772.0490333978</v>
      </c>
      <c r="AH32" s="247">
        <f ca="1">+AG32-Revenue</f>
        <v>527979.78478305135</v>
      </c>
      <c r="AI32" s="248">
        <f ca="1">+AH32/$J$49</f>
        <v>595791.65861495398</v>
      </c>
      <c r="AJ32" s="248">
        <f ca="1">+AI32*$J$47</f>
        <v>15114.460475026754</v>
      </c>
      <c r="AK32" s="246">
        <f t="shared" ref="AK32:AK34" ca="1" si="16">ROUND(+AJ32+AG32,5)</f>
        <v>8736886.5095099993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0.18988501761235627</v>
      </c>
      <c r="K33" s="304">
        <f ca="1">+(M14+M11)/J28</f>
        <v>0.15348928391376146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214.68217497939381</v>
      </c>
      <c r="T33" s="244">
        <f ca="1">EXP(y_inter3-(slope*LN(S33)))</f>
        <v>7.5971052475569092</v>
      </c>
      <c r="U33" s="245">
        <f ca="1">(+S33*T33/100)/100</f>
        <v>0.1630963078092883</v>
      </c>
      <c r="V33" s="245">
        <f>regDebt_weighted</f>
        <v>3.5860000000000003E-2</v>
      </c>
      <c r="W33" s="245">
        <f ca="1">+U33-V33</f>
        <v>0.1272363078092883</v>
      </c>
      <c r="X33" s="245">
        <f ca="1">+((W33*(1-0.34))-Pfd_weighted)/Equity_percent</f>
        <v>0.2261219859131694</v>
      </c>
      <c r="Y33" s="245">
        <f>+Y32</f>
        <v>2.5000000000000001E-3</v>
      </c>
      <c r="Z33" s="245">
        <f t="shared" ref="Z33:Z34" ca="1" si="17">+X33+Y33</f>
        <v>0.2286219859131694</v>
      </c>
      <c r="AA33" s="245">
        <f ca="1">Z33*equityP</f>
        <v>0.13717319154790164</v>
      </c>
      <c r="AB33" s="245">
        <f ca="1">+AA33/(1-taxrate)</f>
        <v>0.17363695132645776</v>
      </c>
      <c r="AC33" s="245">
        <f>debtP*Debt_Rate</f>
        <v>1.6572E-2</v>
      </c>
      <c r="AD33" s="245">
        <f ca="1">+AC33+AB33</f>
        <v>0.19020895132645776</v>
      </c>
      <c r="AE33" s="245">
        <f ca="1">+AD33/(S33/100)</f>
        <v>8.8600253535122284E-2</v>
      </c>
      <c r="AF33" s="245">
        <f ca="1">1-AE33</f>
        <v>0.91139974646487776</v>
      </c>
      <c r="AG33" s="246">
        <f ca="1">expenses/(AF33)</f>
        <v>8711971.1592196152</v>
      </c>
      <c r="AH33" s="247">
        <f ca="1">+AG33-Revenue</f>
        <v>518178.8949692687</v>
      </c>
      <c r="AI33" s="248">
        <f ca="1">+AH33/$J$49</f>
        <v>584731.9768499498</v>
      </c>
      <c r="AJ33" s="248">
        <f ca="1">+AI33*$J$47</f>
        <v>14833.890714630759</v>
      </c>
      <c r="AK33" s="246">
        <f t="shared" ca="1" si="16"/>
        <v>8726805.0499300007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0.28885502935392715</v>
      </c>
      <c r="K34" s="304">
        <f ca="1">+M14/J26</f>
        <v>0.22819547318960245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214.52361761379518</v>
      </c>
      <c r="T34" s="260">
        <f ca="1">EXP(y_inter4-(slope*LN(S34)))</f>
        <v>7.5532082708500221</v>
      </c>
      <c r="U34" s="245">
        <f ca="1">(+S34*T34/100)/100</f>
        <v>0.16203415628531853</v>
      </c>
      <c r="V34" s="245">
        <f>regDebt_weighted</f>
        <v>3.5860000000000003E-2</v>
      </c>
      <c r="W34" s="245">
        <f ca="1">+U34-V34</f>
        <v>0.12617415628531853</v>
      </c>
      <c r="X34" s="245">
        <f ca="1">+((W34*(1-0.34))-Pfd_weighted)/Equity_percent</f>
        <v>0.22408413705904134</v>
      </c>
      <c r="Y34" s="245">
        <f>+Y33</f>
        <v>2.5000000000000001E-3</v>
      </c>
      <c r="Z34" s="245">
        <f t="shared" ca="1" si="17"/>
        <v>0.22658413705904135</v>
      </c>
      <c r="AA34" s="245">
        <f ca="1">Z34*equityP</f>
        <v>0.1359504822354248</v>
      </c>
      <c r="AB34" s="245">
        <f ca="1">+AA34/(1-taxrate)</f>
        <v>0.17208921801952506</v>
      </c>
      <c r="AC34" s="245">
        <f>debtP*Debt_Rate</f>
        <v>1.6572E-2</v>
      </c>
      <c r="AD34" s="245">
        <f ca="1">+AC34+AB34</f>
        <v>0.18866121801952507</v>
      </c>
      <c r="AE34" s="245">
        <f ca="1">+AD34/(S34/100)</f>
        <v>8.7944264653959936E-2</v>
      </c>
      <c r="AF34" s="245">
        <f ca="1">1-AE34</f>
        <v>0.91205573534604012</v>
      </c>
      <c r="AG34" s="246">
        <f ca="1">expenses/(AF34)</f>
        <v>8705705.1427998096</v>
      </c>
      <c r="AH34" s="247">
        <f ca="1">+AG34-Revenue</f>
        <v>511912.87854946312</v>
      </c>
      <c r="AI34" s="248">
        <f ca="1">+AH34/$J$49</f>
        <v>577661.1752335612</v>
      </c>
      <c r="AJ34" s="248">
        <f ca="1">+AI34*$J$47</f>
        <v>14654.513662246194</v>
      </c>
      <c r="AK34" s="246">
        <f t="shared" ca="1" si="16"/>
        <v>8720359.6564600002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0.91139999999999988</v>
      </c>
      <c r="K35" s="304">
        <f ca="1">+M8/M7</f>
        <v>0.91155060230386176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8.8600000000000109E-2</v>
      </c>
      <c r="K36" s="304">
        <f ca="1">+J36</f>
        <v>8.8600000000000109E-2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215.29862744674836</v>
      </c>
      <c r="T36" s="234">
        <f ca="1">EXP(y_inter1-(slope*LN(+S36)))</f>
        <v>7.7671784498597702</v>
      </c>
      <c r="U36" s="235">
        <f ca="1">(+S36*T36/100)/100</f>
        <v>0.16722628593887712</v>
      </c>
      <c r="V36" s="235">
        <f>regDebt_weighted</f>
        <v>3.5860000000000003E-2</v>
      </c>
      <c r="W36" s="235">
        <f ca="1">+U36-V36</f>
        <v>0.13136628593887711</v>
      </c>
      <c r="X36" s="235">
        <f ca="1">+((W36*(1-0.34))-Pfd_weighted)/Equity_percent</f>
        <v>0.23404578116179908</v>
      </c>
      <c r="Y36" s="235">
        <f>+Y34</f>
        <v>2.5000000000000001E-3</v>
      </c>
      <c r="Z36" s="235">
        <f ca="1">+X36+Y36</f>
        <v>0.23654578116179908</v>
      </c>
      <c r="AA36" s="235">
        <f ca="1">Z36*equityP</f>
        <v>0.14192746869707945</v>
      </c>
      <c r="AB36" s="235">
        <f ca="1">+AA36/(1-taxrate)</f>
        <v>0.17965502366718916</v>
      </c>
      <c r="AC36" s="235">
        <f>debtP*Debt_Rate</f>
        <v>1.6572E-2</v>
      </c>
      <c r="AD36" s="235">
        <f ca="1">+AC36+AB36</f>
        <v>0.19622702366718917</v>
      </c>
      <c r="AE36" s="235">
        <f ca="1">+AD36/(S36/100)</f>
        <v>9.1141790356152483E-2</v>
      </c>
      <c r="AF36" s="235">
        <f ca="1">1-AE36</f>
        <v>0.90885820964384756</v>
      </c>
      <c r="AG36" s="236">
        <f ca="1">expenses/(AF36)</f>
        <v>8736333.3702333514</v>
      </c>
      <c r="AH36" s="237">
        <f ca="1">+AG36-Revenue</f>
        <v>542541.10598300491</v>
      </c>
      <c r="AI36" s="238">
        <f ca="1">+AH36/$J$49</f>
        <v>612223.18489566236</v>
      </c>
      <c r="AJ36" s="238">
        <f ca="1">+AI36*$J$47</f>
        <v>15531.306953024585</v>
      </c>
      <c r="AK36" s="236">
        <f ca="1">ROUND(+AJ36+AG36,5)</f>
        <v>8751864.6771900002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2.1452359492886064</v>
      </c>
      <c r="K37" s="309">
        <f ca="1">+J37</f>
        <v>2.1452359492886064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214.93016072073377</v>
      </c>
      <c r="T37" s="257">
        <f ca="1">EXP(y_inter2-(slope*LN(+S37)))</f>
        <v>7.6656400712891548</v>
      </c>
      <c r="U37" s="245">
        <f ca="1">(+S37*T37/100)/100</f>
        <v>0.1647577252549475</v>
      </c>
      <c r="V37" s="245">
        <f>regDebt_weighted</f>
        <v>3.5860000000000003E-2</v>
      </c>
      <c r="W37" s="245">
        <f ca="1">+U37-V37</f>
        <v>0.1288977252549475</v>
      </c>
      <c r="X37" s="245">
        <f ca="1">+((W37*(1-0.34))-Pfd_weighted)/Equity_percent</f>
        <v>0.22930958915193414</v>
      </c>
      <c r="Y37" s="245">
        <f>+Y36</f>
        <v>2.5000000000000001E-3</v>
      </c>
      <c r="Z37" s="245">
        <f ca="1">+X37+Y37</f>
        <v>0.23180958915193414</v>
      </c>
      <c r="AA37" s="245">
        <f ca="1">Z37*equityP</f>
        <v>0.13908575349116048</v>
      </c>
      <c r="AB37" s="245">
        <f ca="1">+AA37/(1-taxrate)</f>
        <v>0.17605791581159552</v>
      </c>
      <c r="AC37" s="245">
        <f>debtP*Debt_Rate</f>
        <v>1.6572E-2</v>
      </c>
      <c r="AD37" s="245">
        <f ca="1">+AC37+AB37</f>
        <v>0.19262991581159553</v>
      </c>
      <c r="AE37" s="245">
        <f ca="1">+AD37/(S37/100)</f>
        <v>8.9624422726732281E-2</v>
      </c>
      <c r="AF37" s="245">
        <f ca="1">1-AE37</f>
        <v>0.91037557727326768</v>
      </c>
      <c r="AG37" s="246">
        <f ca="1">expenses/(AF37)</f>
        <v>8721772.0948798098</v>
      </c>
      <c r="AH37" s="247">
        <f ca="1">+AG37-Revenue</f>
        <v>527979.83062946331</v>
      </c>
      <c r="AI37" s="248">
        <f ca="1">+AH37/$J$49</f>
        <v>595791.71034971846</v>
      </c>
      <c r="AJ37" s="248">
        <f ca="1">+AI37*$J$47</f>
        <v>15114.461787470527</v>
      </c>
      <c r="AK37" s="246">
        <f t="shared" ref="AK37:AK39" ca="1" si="18">ROUND(+AJ37+AG37,5)</f>
        <v>8736886.5566700008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214.68215363886651</v>
      </c>
      <c r="T38" s="244">
        <f ca="1">EXP(y_inter3-(slope*LN(S38)))</f>
        <v>7.5971057638589716</v>
      </c>
      <c r="U38" s="245">
        <f ca="1">(+S38*T38/100)/100</f>
        <v>0.16309630268074901</v>
      </c>
      <c r="V38" s="245">
        <f>regDebt_weighted</f>
        <v>3.5860000000000003E-2</v>
      </c>
      <c r="W38" s="245">
        <f ca="1">+U38-V38</f>
        <v>0.12723630268074901</v>
      </c>
      <c r="X38" s="245">
        <f ca="1">+((W38*(1-0.34))-Pfd_weighted)/Equity_percent</f>
        <v>0.22612197607353007</v>
      </c>
      <c r="Y38" s="245">
        <f>+Y37</f>
        <v>2.5000000000000001E-3</v>
      </c>
      <c r="Z38" s="245">
        <f t="shared" ref="Z38:Z39" ca="1" si="19">+X38+Y38</f>
        <v>0.22862197607353008</v>
      </c>
      <c r="AA38" s="245">
        <f ca="1">Z38*equityP</f>
        <v>0.13717318564411804</v>
      </c>
      <c r="AB38" s="245">
        <f ca="1">+AA38/(1-taxrate)</f>
        <v>0.17363694385331396</v>
      </c>
      <c r="AC38" s="245">
        <f>debtP*Debt_Rate</f>
        <v>1.6572E-2</v>
      </c>
      <c r="AD38" s="245">
        <f ca="1">+AC38+AB38</f>
        <v>0.19020894385331397</v>
      </c>
      <c r="AE38" s="245">
        <f ca="1">+AD38/(S38/100)</f>
        <v>8.8600258861423184E-2</v>
      </c>
      <c r="AF38" s="245">
        <f ca="1">1-AE38</f>
        <v>0.9113997411385768</v>
      </c>
      <c r="AG38" s="246">
        <f ca="1">expenses/(AF38)</f>
        <v>8711971.2101331465</v>
      </c>
      <c r="AH38" s="247">
        <f ca="1">+AG38-Revenue</f>
        <v>518178.94588280004</v>
      </c>
      <c r="AI38" s="248">
        <f ca="1">+AH38/$J$49</f>
        <v>584732.03430263675</v>
      </c>
      <c r="AJ38" s="248">
        <f ca="1">+AI38*$J$47</f>
        <v>14833.892172130798</v>
      </c>
      <c r="AK38" s="246">
        <f t="shared" ca="1" si="18"/>
        <v>8726805.10231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214.52359492886063</v>
      </c>
      <c r="T39" s="260">
        <f ca="1">EXP(y_inter4-(slope*LN(S39)))</f>
        <v>7.553208816910117</v>
      </c>
      <c r="U39" s="245">
        <f ca="1">(+S39*T39/100)/100</f>
        <v>0.16203415086519246</v>
      </c>
      <c r="V39" s="245">
        <f>regDebt_weighted</f>
        <v>3.5860000000000003E-2</v>
      </c>
      <c r="W39" s="245">
        <f ca="1">+U39-V39</f>
        <v>0.12617415086519246</v>
      </c>
      <c r="X39" s="245">
        <f ca="1">+((W39*(1-0.34))-Pfd_weighted)/Equity_percent</f>
        <v>0.22408412665996225</v>
      </c>
      <c r="Y39" s="245">
        <f>+Y38</f>
        <v>2.5000000000000001E-3</v>
      </c>
      <c r="Z39" s="245">
        <f t="shared" ca="1" si="19"/>
        <v>0.22658412665996225</v>
      </c>
      <c r="AA39" s="245">
        <f ca="1">Z39*equityP</f>
        <v>0.13595047599597734</v>
      </c>
      <c r="AB39" s="245">
        <f ca="1">+AA39/(1-taxrate)</f>
        <v>0.17208921012149031</v>
      </c>
      <c r="AC39" s="245">
        <f>debtP*Debt_Rate</f>
        <v>1.6572E-2</v>
      </c>
      <c r="AD39" s="245">
        <f ca="1">+AC39+AB39</f>
        <v>0.18866121012149031</v>
      </c>
      <c r="AE39" s="245">
        <f ca="1">+AD39/(S39/100)</f>
        <v>8.794427027201987E-2</v>
      </c>
      <c r="AF39" s="245">
        <f ca="1">1-AE39</f>
        <v>0.9120557297279801</v>
      </c>
      <c r="AG39" s="246">
        <f ca="1">expenses/(AF39)</f>
        <v>8705705.1964250132</v>
      </c>
      <c r="AH39" s="247">
        <f ca="1">+AG39-Revenue</f>
        <v>511912.93217466678</v>
      </c>
      <c r="AI39" s="248">
        <f ca="1">+AH39/$J$49</f>
        <v>577661.2357461981</v>
      </c>
      <c r="AJ39" s="248">
        <f ca="1">+AI39*$J$47</f>
        <v>14654.51519737319</v>
      </c>
      <c r="AK39" s="246">
        <f t="shared" ca="1" si="18"/>
        <v>8720359.7116199993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10232.761736195011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8.8600258861423184E-2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2982.1191345482603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0.91139999999999999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6.5050501111379111E-2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1618.9404660290302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14833.8213367723</v>
      </c>
      <c r="L47" s="210"/>
      <c r="M47" s="210"/>
      <c r="N47" s="210"/>
      <c r="O47" s="194"/>
      <c r="P47" s="194"/>
      <c r="R47" s="233">
        <f ca="1">VLOOKUP(R48,R36:S39,2)</f>
        <v>214.68215363886651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3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0.88618190125463325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0.91139999999999999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0.18988501761235627</v>
      </c>
      <c r="Z62" s="325">
        <f t="shared" ca="1" si="20"/>
        <v>0.15348928391376146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0.28885502935392715</v>
      </c>
      <c r="Z63" s="325">
        <f t="shared" ca="1" si="20"/>
        <v>0.22819547318960245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0.91139999999999988</v>
      </c>
      <c r="Z64" s="325">
        <f t="shared" ca="1" si="20"/>
        <v>0.91155060230386176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8.8600000000000109E-2</v>
      </c>
      <c r="Z65" s="325">
        <f t="shared" ca="1" si="20"/>
        <v>8.8600000000000109E-2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2.1452359492886064</v>
      </c>
      <c r="Z66" s="325">
        <f t="shared" ca="1" si="20"/>
        <v>2.1452359492886064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036A-2DF5-45E1-8709-9FF00D1D7953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6.33203125" style="372" customWidth="1"/>
    <col min="6" max="6" width="5" style="204" customWidth="1"/>
    <col min="7" max="7" width="7.332031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9" style="372" bestFit="1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375" t="s">
        <v>715</v>
      </c>
      <c r="S2" s="376"/>
      <c r="T2" s="377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'[24]Lewis LOB (C)'!F47</f>
        <v>6961195.0660068057</v>
      </c>
      <c r="D5" s="215"/>
      <c r="E5" s="194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378">
        <f>'[24]Lewis LOB (C)'!F360</f>
        <v>6566459.0755676106</v>
      </c>
      <c r="D6" s="215"/>
      <c r="E6" s="194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184.9253704709958</v>
      </c>
      <c r="T6" s="234">
        <f>EXP(y_inter1-(slope*LN(+S6)))</f>
        <v>8.6181908386834802</v>
      </c>
      <c r="U6" s="235">
        <f>(+S6*T6/100)/100</f>
        <v>0.15937221336332846</v>
      </c>
      <c r="V6" s="235">
        <f>regDebt_weighted</f>
        <v>3.5860000000000003E-2</v>
      </c>
      <c r="W6" s="235">
        <f>+U6-V6</f>
        <v>0.12351221336332846</v>
      </c>
      <c r="X6" s="235">
        <f>+((W6*(1-0.34))-Pfd_weighted)/Equity_percent</f>
        <v>0.21897692098778135</v>
      </c>
      <c r="Y6" s="235">
        <f>+C15</f>
        <v>2.5000000000000001E-3</v>
      </c>
      <c r="Z6" s="235">
        <f>+X6+Y6</f>
        <v>0.22147692098778135</v>
      </c>
      <c r="AA6" s="235">
        <f>Z6*equityP</f>
        <v>0.13288615259266881</v>
      </c>
      <c r="AB6" s="235">
        <f>+AA6/(1-taxrate)</f>
        <v>0.16821031973755546</v>
      </c>
      <c r="AC6" s="235">
        <f>debtP*Debt_Rate</f>
        <v>1.6572E-2</v>
      </c>
      <c r="AD6" s="235">
        <f>AC6+AB6</f>
        <v>0.18478231973755546</v>
      </c>
      <c r="AE6" s="235">
        <f>AD6/(S6/100)</f>
        <v>9.9922644073619546E-2</v>
      </c>
      <c r="AF6" s="235">
        <f>1-AE6</f>
        <v>0.9000773559263805</v>
      </c>
      <c r="AG6" s="236">
        <f>expenses/(AF6)</f>
        <v>7295438.5890635569</v>
      </c>
      <c r="AH6" s="237">
        <f>+AG6-Revenue</f>
        <v>334243.52305675112</v>
      </c>
      <c r="AI6" s="238">
        <f ca="1">+AH6/$J$49</f>
        <v>379724.51257143921</v>
      </c>
      <c r="AJ6" s="238">
        <f ca="1">+AI6*$J$47</f>
        <v>9633.1176404888392</v>
      </c>
      <c r="AK6" s="236">
        <f ca="1">ROUND(+AJ6+AG6,5)</f>
        <v>7305071.7067</v>
      </c>
    </row>
    <row r="7" spans="1:37" ht="15.6">
      <c r="A7" s="194"/>
      <c r="B7" s="218" t="s">
        <v>763</v>
      </c>
      <c r="C7" s="378">
        <f>'[24]Lewis LOB (C)'!F367</f>
        <v>3764326.6839357875</v>
      </c>
      <c r="D7" s="215"/>
      <c r="E7" s="194"/>
      <c r="F7" s="379">
        <v>1</v>
      </c>
      <c r="G7" s="222"/>
      <c r="H7" s="240" t="s">
        <v>740</v>
      </c>
      <c r="I7" s="241">
        <f>IF(A64=TRUE,C5,0)</f>
        <v>6961195.0660068057</v>
      </c>
      <c r="J7" s="241">
        <f ca="1">(+$I8/($R50))-I7</f>
        <v>290666.44876825437</v>
      </c>
      <c r="K7" s="241">
        <f ca="1">+I7+J7</f>
        <v>7251861.5147750601</v>
      </c>
      <c r="L7" s="241">
        <f ca="1">((+J7/J49*K35)-J7)</f>
        <v>8377.197767426318</v>
      </c>
      <c r="M7" s="241">
        <f ca="1">IFERROR(+K7+L7,0.00001)</f>
        <v>7260238.7125424864</v>
      </c>
      <c r="O7" s="225"/>
      <c r="P7" s="195"/>
      <c r="R7" s="242">
        <v>2</v>
      </c>
      <c r="S7" s="243">
        <f>Revenue/Investment*100</f>
        <v>184.9253704709958</v>
      </c>
      <c r="T7" s="244">
        <f>EXP(y_inter1-(slope*LN(+S7)))</f>
        <v>8.6181908386834802</v>
      </c>
      <c r="U7" s="245">
        <f t="shared" ref="U7:U9" si="0">(+S7*T7/100)/100</f>
        <v>0.15937221336332846</v>
      </c>
      <c r="V7" s="245">
        <f>regDebt_weighted</f>
        <v>3.5860000000000003E-2</v>
      </c>
      <c r="W7" s="245">
        <f t="shared" ref="W7:W9" si="1">+U7-V7</f>
        <v>0.12351221336332846</v>
      </c>
      <c r="X7" s="245">
        <f>+((W7*(1-0.34))-Pfd_weighted)/Equity_percent</f>
        <v>0.21897692098778135</v>
      </c>
      <c r="Y7" s="245">
        <f>+Y6</f>
        <v>2.5000000000000001E-3</v>
      </c>
      <c r="Z7" s="245">
        <f>+X7+Y7</f>
        <v>0.22147692098778135</v>
      </c>
      <c r="AA7" s="245">
        <f>Z7*equityP</f>
        <v>0.13288615259266881</v>
      </c>
      <c r="AB7" s="245">
        <f>+AA7/(1-taxrate)</f>
        <v>0.16821031973755546</v>
      </c>
      <c r="AC7" s="245">
        <f>debtP*Debt_Rate</f>
        <v>1.6572E-2</v>
      </c>
      <c r="AD7" s="245">
        <f t="shared" ref="AD7:AD9" si="2">AC7+AB7</f>
        <v>0.18478231973755546</v>
      </c>
      <c r="AE7" s="245">
        <f t="shared" ref="AE7:AE9" si="3">AD7/(S7/100)</f>
        <v>9.9922644073619546E-2</v>
      </c>
      <c r="AF7" s="245">
        <f t="shared" ref="AF7:AF9" si="4">1-AE7</f>
        <v>0.9000773559263805</v>
      </c>
      <c r="AG7" s="246">
        <f>expenses/(AF7)</f>
        <v>7295438.5890635569</v>
      </c>
      <c r="AH7" s="247">
        <f>+AG7-Revenue</f>
        <v>334243.52305675112</v>
      </c>
      <c r="AI7" s="248">
        <f ca="1">+AH7/$J$49</f>
        <v>379724.51257143921</v>
      </c>
      <c r="AJ7" s="248">
        <f ca="1">+AI7*$J$47</f>
        <v>9633.1176404888392</v>
      </c>
      <c r="AK7" s="246">
        <f t="shared" ref="AK7:AK9" ca="1" si="5">ROUND(+AJ7+AG7,5)</f>
        <v>7305071.7067</v>
      </c>
    </row>
    <row r="8" spans="1:37" ht="15.6">
      <c r="A8" s="194"/>
      <c r="B8" s="218" t="s">
        <v>764</v>
      </c>
      <c r="C8" s="261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6566459.0755676106</v>
      </c>
      <c r="J8" s="210"/>
      <c r="K8" s="241">
        <f>+I8</f>
        <v>6566459.0755676106</v>
      </c>
      <c r="L8" s="241">
        <f ca="1">+L7</f>
        <v>8377.197767426318</v>
      </c>
      <c r="M8" s="241">
        <f ca="1">IFERROR(+K8+L8,0.00001)</f>
        <v>6574836.2733350368</v>
      </c>
      <c r="O8" s="225"/>
      <c r="P8" s="195"/>
      <c r="R8" s="251">
        <v>3</v>
      </c>
      <c r="S8" s="243">
        <f>Revenue/Investment*100</f>
        <v>184.9253704709958</v>
      </c>
      <c r="T8" s="244">
        <f>EXP(y_inter1-(slope*LN(+S8)))</f>
        <v>8.6181908386834802</v>
      </c>
      <c r="U8" s="245">
        <f t="shared" si="0"/>
        <v>0.15937221336332846</v>
      </c>
      <c r="V8" s="245">
        <f>regDebt_weighted</f>
        <v>3.5860000000000003E-2</v>
      </c>
      <c r="W8" s="245">
        <f t="shared" si="1"/>
        <v>0.12351221336332846</v>
      </c>
      <c r="X8" s="245">
        <f>+((W8*(1-0.34))-Pfd_weighted)/Equity_percent</f>
        <v>0.21897692098778135</v>
      </c>
      <c r="Y8" s="245">
        <f>+Y7</f>
        <v>2.5000000000000001E-3</v>
      </c>
      <c r="Z8" s="245">
        <f t="shared" ref="Z8:Z9" si="6">+X8+Y8</f>
        <v>0.22147692098778135</v>
      </c>
      <c r="AA8" s="245">
        <f>Z8*equityP</f>
        <v>0.13288615259266881</v>
      </c>
      <c r="AB8" s="245">
        <f>+AA8/(1-taxrate)</f>
        <v>0.16821031973755546</v>
      </c>
      <c r="AC8" s="245">
        <f>debtP*Debt_Rate</f>
        <v>1.6572E-2</v>
      </c>
      <c r="AD8" s="245">
        <f t="shared" si="2"/>
        <v>0.18478231973755546</v>
      </c>
      <c r="AE8" s="245">
        <f t="shared" si="3"/>
        <v>9.9922644073619546E-2</v>
      </c>
      <c r="AF8" s="245">
        <f t="shared" si="4"/>
        <v>0.9000773559263805</v>
      </c>
      <c r="AG8" s="246">
        <f>expenses/(AF8)</f>
        <v>7295438.5890635569</v>
      </c>
      <c r="AH8" s="247">
        <f>+AG8-Revenue</f>
        <v>334243.52305675112</v>
      </c>
      <c r="AI8" s="248">
        <f ca="1">+AH8/$J$49</f>
        <v>379724.51257143921</v>
      </c>
      <c r="AJ8" s="248">
        <f ca="1">+AI8*$J$47</f>
        <v>9633.1176404888392</v>
      </c>
      <c r="AK8" s="246">
        <f t="shared" ca="1" si="5"/>
        <v>7305071.7067</v>
      </c>
    </row>
    <row r="9" spans="1:37" ht="15.6">
      <c r="A9" s="194"/>
      <c r="B9" s="218" t="s">
        <v>765</v>
      </c>
      <c r="C9" s="261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380">
        <f>+I7-I8</f>
        <v>394735.99043919519</v>
      </c>
      <c r="J9" s="210"/>
      <c r="K9" s="380">
        <f ca="1">+K7-K8</f>
        <v>685402.43920744956</v>
      </c>
      <c r="L9" s="222"/>
      <c r="M9" s="381">
        <f ca="1">+M7-M8</f>
        <v>685402.43920744956</v>
      </c>
      <c r="O9" s="225"/>
      <c r="P9" s="195"/>
      <c r="R9" s="254">
        <v>4</v>
      </c>
      <c r="S9" s="243">
        <f>Revenue/Investment*100</f>
        <v>184.9253704709958</v>
      </c>
      <c r="T9" s="244">
        <f>EXP(y_inter1-(slope*LN(+S9)))</f>
        <v>8.6181908386834802</v>
      </c>
      <c r="U9" s="245">
        <f t="shared" si="0"/>
        <v>0.15937221336332846</v>
      </c>
      <c r="V9" s="245">
        <f>regDebt_weighted</f>
        <v>3.5860000000000003E-2</v>
      </c>
      <c r="W9" s="245">
        <f t="shared" si="1"/>
        <v>0.12351221336332846</v>
      </c>
      <c r="X9" s="245">
        <f>+((W9*(1-0.34))-Pfd_weighted)/Equity_percent</f>
        <v>0.21897692098778135</v>
      </c>
      <c r="Y9" s="245">
        <f>+Y8</f>
        <v>2.5000000000000001E-3</v>
      </c>
      <c r="Z9" s="245">
        <f t="shared" si="6"/>
        <v>0.22147692098778135</v>
      </c>
      <c r="AA9" s="245">
        <f>Z9*equityP</f>
        <v>0.13288615259266881</v>
      </c>
      <c r="AB9" s="245">
        <f>+AA9/(1-taxrate)</f>
        <v>0.16821031973755546</v>
      </c>
      <c r="AC9" s="245">
        <f>debtP*Debt_Rate</f>
        <v>1.6572E-2</v>
      </c>
      <c r="AD9" s="245">
        <f t="shared" si="2"/>
        <v>0.18478231973755546</v>
      </c>
      <c r="AE9" s="245">
        <f t="shared" si="3"/>
        <v>9.9922644073619546E-2</v>
      </c>
      <c r="AF9" s="245">
        <f t="shared" si="4"/>
        <v>0.9000773559263805</v>
      </c>
      <c r="AG9" s="246">
        <f>expenses/(AF9)</f>
        <v>7295438.5890635569</v>
      </c>
      <c r="AH9" s="247">
        <f>+AG9-Revenue</f>
        <v>334243.52305675112</v>
      </c>
      <c r="AI9" s="248">
        <f ca="1">+AH9/$J$49</f>
        <v>379724.51257143921</v>
      </c>
      <c r="AJ9" s="248">
        <f ca="1">+AI9*$J$47</f>
        <v>9633.1176404888392</v>
      </c>
      <c r="AK9" s="246">
        <f t="shared" ca="1" si="5"/>
        <v>7305071.7067</v>
      </c>
    </row>
    <row r="10" spans="1:37" ht="15.6">
      <c r="A10" s="194"/>
      <c r="B10" s="255" t="s">
        <v>767</v>
      </c>
      <c r="C10" s="261"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382"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62382.421806183876</v>
      </c>
      <c r="J11" s="210"/>
      <c r="K11" s="241">
        <f>+M27</f>
        <v>62382.421806183876</v>
      </c>
      <c r="L11" s="222"/>
      <c r="M11" s="241">
        <f>+K11</f>
        <v>62382.421806183876</v>
      </c>
      <c r="O11" s="225"/>
      <c r="P11" s="194"/>
      <c r="R11" s="232">
        <v>1</v>
      </c>
      <c r="S11" s="233">
        <f ca="1">IF((AK6/Investment*100)&gt;0,(AK6/Investment*100),0)</f>
        <v>194.0605138728871</v>
      </c>
      <c r="T11" s="234">
        <f ca="1">EXP(y_inter1-(slope*LN(S11)))</f>
        <v>8.3387238609757155</v>
      </c>
      <c r="U11" s="235">
        <f ca="1">(+S11*T11/100)/100</f>
        <v>0.16182170375050525</v>
      </c>
      <c r="V11" s="235">
        <f>regDebt_weighted</f>
        <v>3.5860000000000003E-2</v>
      </c>
      <c r="W11" s="235">
        <f ca="1">+U11-V11</f>
        <v>0.12596170375050525</v>
      </c>
      <c r="X11" s="235">
        <f ca="1">+((W11*(1-0.34))-Pfd_weighted)/Equity_percent</f>
        <v>0.2236765246375973</v>
      </c>
      <c r="Y11" s="235">
        <f>+Y9</f>
        <v>2.5000000000000001E-3</v>
      </c>
      <c r="Z11" s="235">
        <f ca="1">+X11+Y11</f>
        <v>0.2261765246375973</v>
      </c>
      <c r="AA11" s="235">
        <f ca="1">Z11*equityP</f>
        <v>0.13570591478255836</v>
      </c>
      <c r="AB11" s="235">
        <f ca="1">+AA11/(1-taxrate)</f>
        <v>0.17177963896526374</v>
      </c>
      <c r="AC11" s="235">
        <f>debtP*Debt_Rate</f>
        <v>1.6572E-2</v>
      </c>
      <c r="AD11" s="235">
        <f ca="1">+AC11+AB11</f>
        <v>0.18835163896526375</v>
      </c>
      <c r="AE11" s="235">
        <f ca="1">+AD11/(S11/100)</f>
        <v>9.7058198603265186E-2</v>
      </c>
      <c r="AF11" s="235">
        <f ca="1">1-AE11</f>
        <v>0.90294180139673486</v>
      </c>
      <c r="AG11" s="236">
        <f ca="1">expenses/(AF11)</f>
        <v>7272294.9202375421</v>
      </c>
      <c r="AH11" s="237">
        <f ca="1">+AG11-Revenue</f>
        <v>311099.85423073638</v>
      </c>
      <c r="AI11" s="238">
        <f ca="1">+AH11/$J$49</f>
        <v>353431.65195381967</v>
      </c>
      <c r="AJ11" s="238">
        <f ca="1">+AI11*$J$47</f>
        <v>8966.1019197514161</v>
      </c>
      <c r="AK11" s="236">
        <f ca="1">ROUND(+AJ11+AG11,5)</f>
        <v>7281261.0221600002</v>
      </c>
    </row>
    <row r="12" spans="1:37" ht="15.6">
      <c r="A12" s="194"/>
      <c r="B12" s="218" t="s">
        <v>771</v>
      </c>
      <c r="C12" s="382"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130834.20365426579</v>
      </c>
      <c r="L12" s="222"/>
      <c r="M12" s="241">
        <f ca="1">+K12</f>
        <v>130834.20365426579</v>
      </c>
      <c r="O12" s="225"/>
      <c r="P12" s="194"/>
      <c r="R12" s="242">
        <v>2</v>
      </c>
      <c r="S12" s="243">
        <f ca="1">IF((AK7/Investment*100)&gt;0,(AK7/Investment*100),0)</f>
        <v>194.0605138728871</v>
      </c>
      <c r="T12" s="257">
        <f ca="1">EXP(y_inter2-(slope*LN(+S12)))</f>
        <v>8.2200820468861036</v>
      </c>
      <c r="U12" s="245">
        <f ca="1">(+S12*T12/100)/100</f>
        <v>0.15951933460960108</v>
      </c>
      <c r="V12" s="245">
        <f>regDebt_weighted</f>
        <v>3.5860000000000003E-2</v>
      </c>
      <c r="W12" s="245">
        <f ca="1">+U12-V12</f>
        <v>0.12365933460960107</v>
      </c>
      <c r="X12" s="245">
        <f ca="1">+((W12*(1-0.34))-Pfd_weighted)/Equity_percent</f>
        <v>0.21925918849516482</v>
      </c>
      <c r="Y12" s="245">
        <f>+Y11</f>
        <v>2.5000000000000001E-3</v>
      </c>
      <c r="Z12" s="245">
        <f ca="1">+X12+Y12</f>
        <v>0.22175918849516482</v>
      </c>
      <c r="AA12" s="245">
        <f ca="1">Z12*equityP</f>
        <v>0.1330555130970989</v>
      </c>
      <c r="AB12" s="245">
        <f ca="1">+AA12/(1-taxrate)</f>
        <v>0.16842470012291</v>
      </c>
      <c r="AC12" s="245">
        <f>debtP*Debt_Rate</f>
        <v>1.6572E-2</v>
      </c>
      <c r="AD12" s="245">
        <f ca="1">+AC12+AB12</f>
        <v>0.18499670012291</v>
      </c>
      <c r="AE12" s="245">
        <f ca="1">+AD12/(S12/100)</f>
        <v>9.5329387947558436E-2</v>
      </c>
      <c r="AF12" s="245">
        <f ca="1">1-AE12</f>
        <v>0.90467061205244159</v>
      </c>
      <c r="AG12" s="246">
        <f ca="1">expenses/(AF12)</f>
        <v>7258397.6842910517</v>
      </c>
      <c r="AH12" s="247">
        <f ca="1">+AG12-Revenue</f>
        <v>297202.61828424595</v>
      </c>
      <c r="AI12" s="248">
        <f ca="1">+AH12/$J$49</f>
        <v>337643.39943179442</v>
      </c>
      <c r="AJ12" s="248">
        <f ca="1">+AI12*$J$47</f>
        <v>8565.5744614304294</v>
      </c>
      <c r="AK12" s="246">
        <f t="shared" ref="AK12:AK14" ca="1" si="8">ROUND(+AJ12+AG12,5)</f>
        <v>7266963.25875</v>
      </c>
    </row>
    <row r="13" spans="1:37" ht="15.6">
      <c r="A13" s="194"/>
      <c r="B13" s="218" t="s">
        <v>773</v>
      </c>
      <c r="C13" s="382"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194.0605138728871</v>
      </c>
      <c r="T13" s="244">
        <f ca="1">EXP(y_inter3-(slope*LN(S13)))</f>
        <v>8.1401628860971105</v>
      </c>
      <c r="U13" s="245">
        <f ca="1">(+S13*T13/100)/100</f>
        <v>0.15796841926850091</v>
      </c>
      <c r="V13" s="245">
        <f>regDebt_weighted</f>
        <v>3.5860000000000003E-2</v>
      </c>
      <c r="W13" s="245">
        <f ca="1">+U13-V13</f>
        <v>0.12210841926850091</v>
      </c>
      <c r="X13" s="245">
        <f ca="1">+((W13*(1-0.34))-Pfd_weighted)/Equity_percent</f>
        <v>0.21628359510817033</v>
      </c>
      <c r="Y13" s="245">
        <f>+Y12</f>
        <v>2.5000000000000001E-3</v>
      </c>
      <c r="Z13" s="245">
        <f t="shared" ref="Z13:Z14" ca="1" si="9">+X13+Y13</f>
        <v>0.21878359510817033</v>
      </c>
      <c r="AA13" s="245">
        <f ca="1">Z13*equityP</f>
        <v>0.13127015706490219</v>
      </c>
      <c r="AB13" s="245">
        <f ca="1">+AA13/(1-taxrate)</f>
        <v>0.16616475577835721</v>
      </c>
      <c r="AC13" s="245">
        <f>debtP*Debt_Rate</f>
        <v>1.6572E-2</v>
      </c>
      <c r="AD13" s="245">
        <f ca="1">+AC13+AB13</f>
        <v>0.18273675577835721</v>
      </c>
      <c r="AE13" s="245">
        <f ca="1">+AD13/(S13/100)</f>
        <v>9.4164831439152455E-2</v>
      </c>
      <c r="AF13" s="245">
        <f ca="1">1-AE13</f>
        <v>0.90583516856084756</v>
      </c>
      <c r="AG13" s="246">
        <f ca="1">expenses/(AF13)</f>
        <v>7249066.1695108637</v>
      </c>
      <c r="AH13" s="247">
        <f ca="1">+AG13-Revenue</f>
        <v>287871.10350405797</v>
      </c>
      <c r="AI13" s="248">
        <f ca="1">+AH13/$J$49</f>
        <v>327042.13222082611</v>
      </c>
      <c r="AJ13" s="248">
        <f ca="1">+AI13*$J$47</f>
        <v>8296.6340828123866</v>
      </c>
      <c r="AK13" s="246">
        <f t="shared" ca="1" si="8"/>
        <v>7257362.8035899997</v>
      </c>
    </row>
    <row r="14" spans="1:37" ht="16.2" thickBot="1">
      <c r="A14" s="194"/>
      <c r="B14" s="258" t="s">
        <v>774</v>
      </c>
      <c r="C14" s="382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492185.81374699989</v>
      </c>
      <c r="L14" s="222"/>
      <c r="M14" s="259">
        <f ca="1">+M9-SUM(M11:M13)</f>
        <v>492185.81374699989</v>
      </c>
      <c r="O14" s="225"/>
      <c r="P14" s="194"/>
      <c r="R14" s="254">
        <v>4</v>
      </c>
      <c r="S14" s="243">
        <f ca="1">IF((AK9/Investment*100)&gt;0,(AK9/Investment*100),0)</f>
        <v>194.0605138728871</v>
      </c>
      <c r="T14" s="260">
        <f ca="1">EXP(y_inter4-(slope*LN(S14)))</f>
        <v>8.0890410627435774</v>
      </c>
      <c r="U14" s="245">
        <f ca="1">(+S14*T14/100)/100</f>
        <v>0.15697634653749035</v>
      </c>
      <c r="V14" s="245">
        <f>regDebt_weighted</f>
        <v>3.5860000000000003E-2</v>
      </c>
      <c r="W14" s="245">
        <f ca="1">+U14-V14</f>
        <v>0.12111634653749034</v>
      </c>
      <c r="X14" s="245">
        <f ca="1">+((W14*(1-0.34))-Pfd_weighted)/Equity_percent</f>
        <v>0.21438019975216169</v>
      </c>
      <c r="Y14" s="245">
        <f>+Y13</f>
        <v>2.5000000000000001E-3</v>
      </c>
      <c r="Z14" s="245">
        <f t="shared" ca="1" si="9"/>
        <v>0.21688019975216169</v>
      </c>
      <c r="AA14" s="245">
        <f ca="1">Z14*equityP</f>
        <v>0.13012811985129702</v>
      </c>
      <c r="AB14" s="245">
        <f ca="1">+AA14/(1-taxrate)</f>
        <v>0.1647191390522747</v>
      </c>
      <c r="AC14" s="245">
        <f>debtP*Debt_Rate</f>
        <v>1.6572E-2</v>
      </c>
      <c r="AD14" s="245">
        <f ca="1">+AC14+AB14</f>
        <v>0.1812911390522747</v>
      </c>
      <c r="AE14" s="245">
        <f ca="1">+AD14/(S14/100)</f>
        <v>9.3419900542478951E-2</v>
      </c>
      <c r="AF14" s="245">
        <f ca="1">1-AE14</f>
        <v>0.90658009945752105</v>
      </c>
      <c r="AG14" s="246">
        <f ca="1">expenses/(AF14)</f>
        <v>7243109.6595842391</v>
      </c>
      <c r="AH14" s="247">
        <f ca="1">+AG14-Revenue</f>
        <v>281914.59357743338</v>
      </c>
      <c r="AI14" s="248">
        <f ca="1">+AH14/$J$49</f>
        <v>320275.11155329196</v>
      </c>
      <c r="AJ14" s="248">
        <f ca="1">+AI14*$J$47</f>
        <v>8124.9635585037631</v>
      </c>
      <c r="AK14" s="246">
        <f t="shared" ca="1" si="8"/>
        <v>7251234.6231399998</v>
      </c>
    </row>
    <row r="15" spans="1:37" ht="16.2" thickTop="1">
      <c r="A15" s="194"/>
      <c r="B15" s="258" t="s">
        <v>776</v>
      </c>
      <c r="C15" s="261"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0.94329479540563566</v>
      </c>
      <c r="J16" s="264"/>
      <c r="K16" s="263">
        <f ca="1">+K8/K7</f>
        <v>0.90548600000000001</v>
      </c>
      <c r="L16" s="265"/>
      <c r="M16" s="263">
        <f ca="1">+M8/M7</f>
        <v>0.90559505460565959</v>
      </c>
      <c r="O16" s="225"/>
      <c r="P16" s="194"/>
      <c r="R16" s="232">
        <v>1</v>
      </c>
      <c r="S16" s="233">
        <f ca="1">AK11/Investment*100</f>
        <v>193.42797885296943</v>
      </c>
      <c r="T16" s="234">
        <f ca="1">EXP(y_inter1-(slope*LN(+S16)))</f>
        <v>8.3573570433334545</v>
      </c>
      <c r="U16" s="235">
        <f ca="1">(+S16*T16/100)/100</f>
        <v>0.16165466814446186</v>
      </c>
      <c r="V16" s="235">
        <f>regDebt_weighted</f>
        <v>3.5860000000000003E-2</v>
      </c>
      <c r="W16" s="235">
        <f ca="1">+U16-V16</f>
        <v>0.12579466814446186</v>
      </c>
      <c r="X16" s="235">
        <f ca="1">+((W16*(1-0.34))-Pfd_weighted)/Equity_percent</f>
        <v>0.22335604934693262</v>
      </c>
      <c r="Y16" s="235">
        <f>+Y14</f>
        <v>2.5000000000000001E-3</v>
      </c>
      <c r="Z16" s="235">
        <f ca="1">+X16+Y16</f>
        <v>0.22585604934693262</v>
      </c>
      <c r="AA16" s="235">
        <f ca="1">Z16*equityP</f>
        <v>0.13551362960815957</v>
      </c>
      <c r="AB16" s="235">
        <f ca="1">+AA16/(1-taxrate)</f>
        <v>0.17153624001032858</v>
      </c>
      <c r="AC16" s="235">
        <f>debtP*Debt_Rate</f>
        <v>1.6572E-2</v>
      </c>
      <c r="AD16" s="235">
        <f ca="1">+AC16+AB16</f>
        <v>0.18810824001032858</v>
      </c>
      <c r="AE16" s="235">
        <f ca="1">+AD16/(S16/100)</f>
        <v>9.7249757313193796E-2</v>
      </c>
      <c r="AF16" s="235">
        <f ca="1">1-AE16</f>
        <v>0.90275024268680615</v>
      </c>
      <c r="AG16" s="236">
        <f ca="1">expenses/(AF16)</f>
        <v>7273838.0618145475</v>
      </c>
      <c r="AH16" s="237">
        <f ca="1">+AG16-Revenue</f>
        <v>312642.99580774177</v>
      </c>
      <c r="AI16" s="238">
        <f ca="1">+AH16/$J$49</f>
        <v>355184.77099049761</v>
      </c>
      <c r="AJ16" s="238">
        <f ca="1">+AI16*$J$47</f>
        <v>9010.5762724966098</v>
      </c>
      <c r="AK16" s="236">
        <f ca="1">ROUND(+AJ16+AG16,5)</f>
        <v>7282848.6380899996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193.0481562549198</v>
      </c>
      <c r="T17" s="257">
        <f ca="1">EXP(y_inter2-(slope*LN(+S17)))</f>
        <v>8.2495283944682249</v>
      </c>
      <c r="U17" s="245">
        <f ca="1">(+S17*T17/100)/100</f>
        <v>0.15925562465246995</v>
      </c>
      <c r="V17" s="245">
        <f>regDebt_weighted</f>
        <v>3.5860000000000003E-2</v>
      </c>
      <c r="W17" s="245">
        <f ca="1">+U17-V17</f>
        <v>0.12339562465246995</v>
      </c>
      <c r="X17" s="245">
        <f ca="1">+((W17*(1-0.34))-Pfd_weighted)/Equity_percent</f>
        <v>0.21875323334485511</v>
      </c>
      <c r="Y17" s="245">
        <f>+Y16</f>
        <v>2.5000000000000001E-3</v>
      </c>
      <c r="Z17" s="245">
        <f ca="1">+X17+Y17</f>
        <v>0.22125323334485511</v>
      </c>
      <c r="AA17" s="245">
        <f ca="1">Z17*equityP</f>
        <v>0.13275194000691307</v>
      </c>
      <c r="AB17" s="245">
        <f ca="1">+AA17/(1-taxrate)</f>
        <v>0.16804043038849756</v>
      </c>
      <c r="AC17" s="245">
        <f>debtP*Debt_Rate</f>
        <v>1.6572E-2</v>
      </c>
      <c r="AD17" s="245">
        <f ca="1">+AC17+AB17</f>
        <v>0.18461243038849756</v>
      </c>
      <c r="AE17" s="245">
        <f ca="1">+AD17/(S17/100)</f>
        <v>9.5630247897688869E-2</v>
      </c>
      <c r="AF17" s="245">
        <f ca="1">1-AE17</f>
        <v>0.90436975210231108</v>
      </c>
      <c r="AG17" s="246">
        <f ca="1">expenses/(AF17)</f>
        <v>7260812.3616508888</v>
      </c>
      <c r="AH17" s="247">
        <f ca="1">+AG17-Revenue</f>
        <v>299617.29564408306</v>
      </c>
      <c r="AI17" s="248">
        <f ca="1">+AH17/$J$49</f>
        <v>340386.64535948215</v>
      </c>
      <c r="AJ17" s="248">
        <f ca="1">+AI17*$J$47</f>
        <v>8635.1670472744536</v>
      </c>
      <c r="AK17" s="246">
        <f t="shared" ref="AK17:AK19" ca="1" si="10">ROUND(+AJ17+AG17,5)</f>
        <v>7269447.5286999997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192.79311847615926</v>
      </c>
      <c r="T18" s="244">
        <f ca="1">EXP(y_inter3-(slope*LN(S18)))</f>
        <v>8.1767097166602127</v>
      </c>
      <c r="U18" s="245">
        <f ca="1">(+S18*T18/100)/100</f>
        <v>0.15764133651492351</v>
      </c>
      <c r="V18" s="245">
        <f>regDebt_weighted</f>
        <v>3.5860000000000003E-2</v>
      </c>
      <c r="W18" s="245">
        <f ca="1">+U18-V18</f>
        <v>0.12178133651492351</v>
      </c>
      <c r="X18" s="245">
        <f ca="1">+((W18*(1-0.34))-Pfd_weighted)/Equity_percent</f>
        <v>0.21565605261584161</v>
      </c>
      <c r="Y18" s="245">
        <f>+Y17</f>
        <v>2.5000000000000001E-3</v>
      </c>
      <c r="Z18" s="245">
        <f t="shared" ref="Z18:Z19" ca="1" si="11">+X18+Y18</f>
        <v>0.21815605261584162</v>
      </c>
      <c r="AA18" s="245">
        <f ca="1">Z18*equityP</f>
        <v>0.13089363156950495</v>
      </c>
      <c r="AB18" s="245">
        <f ca="1">+AA18/(1-taxrate)</f>
        <v>0.16568814122722145</v>
      </c>
      <c r="AC18" s="245">
        <f>debtP*Debt_Rate</f>
        <v>1.6572E-2</v>
      </c>
      <c r="AD18" s="245">
        <f ca="1">+AC18+AB18</f>
        <v>0.18226014122722145</v>
      </c>
      <c r="AE18" s="245">
        <f ca="1">+AD18/(S18/100)</f>
        <v>9.4536642525319015E-2</v>
      </c>
      <c r="AF18" s="245">
        <f ca="1">1-AE18</f>
        <v>0.90546335747468099</v>
      </c>
      <c r="AG18" s="246">
        <f ca="1">expenses/(AF18)</f>
        <v>7252042.858897496</v>
      </c>
      <c r="AH18" s="247">
        <f ca="1">+AG18-Revenue</f>
        <v>290847.79289069027</v>
      </c>
      <c r="AI18" s="248">
        <f ca="1">+AH18/$J$49</f>
        <v>330423.86394767731</v>
      </c>
      <c r="AJ18" s="248">
        <f ca="1">+AI18*$J$47</f>
        <v>8382.4242240195654</v>
      </c>
      <c r="AK18" s="246">
        <f t="shared" ca="1" si="10"/>
        <v>7260425.2831199998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6961195.0660068057</v>
      </c>
      <c r="K19" s="271"/>
      <c r="L19" s="240" t="s">
        <v>785</v>
      </c>
      <c r="M19" s="272">
        <f ca="1">+J7</f>
        <v>290666.44876825437</v>
      </c>
      <c r="O19" s="194"/>
      <c r="P19" s="194"/>
      <c r="R19" s="254">
        <v>4</v>
      </c>
      <c r="S19" s="243">
        <f ca="1">AK14/Investment*100</f>
        <v>192.63032228537827</v>
      </c>
      <c r="T19" s="260">
        <f ca="1">EXP(y_inter4-(slope*LN(S19)))</f>
        <v>8.1300524532634295</v>
      </c>
      <c r="U19" s="245">
        <f ca="1">(+S19*T19/100)/100</f>
        <v>0.15660946242691645</v>
      </c>
      <c r="V19" s="245">
        <f>regDebt_weighted</f>
        <v>3.5860000000000003E-2</v>
      </c>
      <c r="W19" s="245">
        <f ca="1">+U19-V19</f>
        <v>0.12074946242691645</v>
      </c>
      <c r="X19" s="245">
        <f ca="1">+((W19*(1-0.34))-Pfd_weighted)/Equity_percent</f>
        <v>0.2136762941911769</v>
      </c>
      <c r="Y19" s="245">
        <f>+Y18</f>
        <v>2.5000000000000001E-3</v>
      </c>
      <c r="Z19" s="245">
        <f t="shared" ca="1" si="11"/>
        <v>0.2161762941911769</v>
      </c>
      <c r="AA19" s="245">
        <f ca="1">Z19*equityP</f>
        <v>0.12970577651470613</v>
      </c>
      <c r="AB19" s="245">
        <f ca="1">+AA19/(1-taxrate)</f>
        <v>0.16418452723380522</v>
      </c>
      <c r="AC19" s="245">
        <f>debtP*Debt_Rate</f>
        <v>1.6572E-2</v>
      </c>
      <c r="AD19" s="245">
        <f ca="1">+AC19+AB19</f>
        <v>0.18075652723380523</v>
      </c>
      <c r="AE19" s="245">
        <f ca="1">+AD19/(S19/100)</f>
        <v>9.3835967821316188E-2</v>
      </c>
      <c r="AF19" s="245">
        <f ca="1">1-AE19</f>
        <v>0.9061640321786838</v>
      </c>
      <c r="AG19" s="246">
        <f ca="1">expenses/(AF19)</f>
        <v>7246435.3498780122</v>
      </c>
      <c r="AH19" s="247">
        <f ca="1">+AG19-Revenue</f>
        <v>285240.28387120645</v>
      </c>
      <c r="AI19" s="248">
        <f ca="1">+AH19/$J$49</f>
        <v>324053.33323494927</v>
      </c>
      <c r="AJ19" s="248">
        <f ca="1">+AI19*$J$47</f>
        <v>8220.8121348434397</v>
      </c>
      <c r="AK19" s="246">
        <f t="shared" ca="1" si="10"/>
        <v>7254656.1620100001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299043.64653568063</v>
      </c>
      <c r="K20" s="273"/>
      <c r="L20" s="240" t="s">
        <v>787</v>
      </c>
      <c r="M20" s="272">
        <f ca="1">+L8</f>
        <v>8377.197767426318</v>
      </c>
      <c r="O20" s="194">
        <v>235276</v>
      </c>
      <c r="P20" s="194"/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7260238.7125424864</v>
      </c>
      <c r="L21" s="274" t="s">
        <v>786</v>
      </c>
      <c r="M21" s="276">
        <f ca="1">+M19+M20</f>
        <v>299043.64653568069</v>
      </c>
      <c r="O21" s="194"/>
      <c r="P21" s="194"/>
      <c r="R21" s="232">
        <v>1</v>
      </c>
      <c r="S21" s="233">
        <f ca="1">AK16/Investment*100</f>
        <v>193.470154149199</v>
      </c>
      <c r="T21" s="234">
        <f ca="1">EXP(y_inter1-(slope*LN(+S21)))</f>
        <v>8.3561114547505895</v>
      </c>
      <c r="U21" s="235">
        <f ca="1">(+S21*T21/100)/100</f>
        <v>0.16166581712384839</v>
      </c>
      <c r="V21" s="235">
        <f>regDebt_weighted</f>
        <v>3.5860000000000003E-2</v>
      </c>
      <c r="W21" s="235">
        <f ca="1">+U21-V21</f>
        <v>0.12580581712384839</v>
      </c>
      <c r="X21" s="235">
        <f ca="1">+((W21*(1-0.34))-Pfd_weighted)/Equity_percent</f>
        <v>0.22337743983063932</v>
      </c>
      <c r="Y21" s="235">
        <f>+Y19</f>
        <v>2.5000000000000001E-3</v>
      </c>
      <c r="Z21" s="235">
        <f ca="1">+X21+Y21</f>
        <v>0.22587743983063932</v>
      </c>
      <c r="AA21" s="235">
        <f ca="1">Z21*equityP</f>
        <v>0.13552646389838358</v>
      </c>
      <c r="AB21" s="235">
        <f ca="1">+AA21/(1-taxrate)</f>
        <v>0.17155248594732098</v>
      </c>
      <c r="AC21" s="235">
        <f>debtP*Debt_Rate</f>
        <v>1.6572E-2</v>
      </c>
      <c r="AD21" s="235">
        <f ca="1">+AC21+AB21</f>
        <v>0.18812448594732098</v>
      </c>
      <c r="AE21" s="235">
        <f ca="1">+AD21/(S21/100)</f>
        <v>9.7236954596234215E-2</v>
      </c>
      <c r="AF21" s="235">
        <f ca="1">1-AE21</f>
        <v>0.90276304540376584</v>
      </c>
      <c r="AG21" s="236">
        <f ca="1">expenses/(AF21)</f>
        <v>7273734.9064069465</v>
      </c>
      <c r="AH21" s="237">
        <f ca="1">+AG21-Revenue</f>
        <v>312539.84040014073</v>
      </c>
      <c r="AI21" s="238">
        <f ca="1">+AH21/$J$49</f>
        <v>355067.57908050285</v>
      </c>
      <c r="AJ21" s="238">
        <f ca="1">+AI21*$J$47</f>
        <v>9007.6032659665652</v>
      </c>
      <c r="AK21" s="236">
        <f ca="1">ROUND(+AJ21+AG21,5)</f>
        <v>7282742.5096699996</v>
      </c>
    </row>
    <row r="22" spans="1:37" ht="21" customHeight="1" thickTop="1">
      <c r="A22" s="194"/>
      <c r="B22" s="267"/>
      <c r="C22" s="194"/>
      <c r="D22" s="194"/>
      <c r="E22" s="194"/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4.2958664956249004E-2</v>
      </c>
      <c r="L22" s="279"/>
      <c r="M22" s="282"/>
      <c r="O22" s="194"/>
      <c r="P22" s="194"/>
      <c r="R22" s="242">
        <v>2</v>
      </c>
      <c r="S22" s="243">
        <f ca="1">AK17/Investment*100</f>
        <v>193.11415132279214</v>
      </c>
      <c r="T22" s="257">
        <f ca="1">EXP(y_inter2-(slope*LN(+S22)))</f>
        <v>8.2476008850802938</v>
      </c>
      <c r="U22" s="245">
        <f ca="1">(+S22*T22/100)/100</f>
        <v>0.15927284453713902</v>
      </c>
      <c r="V22" s="245">
        <f>regDebt_weighted</f>
        <v>3.5860000000000003E-2</v>
      </c>
      <c r="W22" s="245">
        <f ca="1">+U22-V22</f>
        <v>0.12341284453713902</v>
      </c>
      <c r="X22" s="245">
        <f ca="1">+((W22*(1-0.34))-Pfd_weighted)/Equity_percent</f>
        <v>0.21878627149567367</v>
      </c>
      <c r="Y22" s="245">
        <f>+Y21</f>
        <v>2.5000000000000001E-3</v>
      </c>
      <c r="Z22" s="245">
        <f ca="1">+X22+Y22</f>
        <v>0.22128627149567368</v>
      </c>
      <c r="AA22" s="245">
        <f ca="1">Z22*equityP</f>
        <v>0.13277176289740419</v>
      </c>
      <c r="AB22" s="245">
        <f ca="1">+AA22/(1-taxrate)</f>
        <v>0.16806552265494201</v>
      </c>
      <c r="AC22" s="245">
        <f>debtP*Debt_Rate</f>
        <v>1.6572E-2</v>
      </c>
      <c r="AD22" s="245">
        <f ca="1">+AC22+AB22</f>
        <v>0.18463752265494202</v>
      </c>
      <c r="AE22" s="245">
        <f ca="1">+AD22/(S22/100)</f>
        <v>9.5610560588239149E-2</v>
      </c>
      <c r="AF22" s="245">
        <f ca="1">1-AE22</f>
        <v>0.90438943941176086</v>
      </c>
      <c r="AG22" s="246">
        <f ca="1">expenses/(AF22)</f>
        <v>7260654.303790424</v>
      </c>
      <c r="AH22" s="247">
        <f ca="1">+AG22-Revenue</f>
        <v>299459.23778361827</v>
      </c>
      <c r="AI22" s="248">
        <f ca="1">+AH22/$J$49</f>
        <v>340207.08034211339</v>
      </c>
      <c r="AJ22" s="248">
        <f ca="1">+AI22*$J$47</f>
        <v>8630.6117160299254</v>
      </c>
      <c r="AK22" s="246">
        <f t="shared" ref="AK22:AK24" ca="1" si="12">ROUND(+AJ22+AG22,5)</f>
        <v>7269284.9155099997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192.87447378315397</v>
      </c>
      <c r="T23" s="244">
        <f ca="1">EXP(y_inter3-(slope*LN(S23)))</f>
        <v>8.1743516003865828</v>
      </c>
      <c r="U23" s="245">
        <f ca="1">(+S23*T23/100)/100</f>
        <v>0.15766237634430447</v>
      </c>
      <c r="V23" s="245">
        <f>regDebt_weighted</f>
        <v>3.5860000000000003E-2</v>
      </c>
      <c r="W23" s="245">
        <f ca="1">+U23-V23</f>
        <v>0.12180237634430446</v>
      </c>
      <c r="X23" s="245">
        <f ca="1">+((W23*(1-0.34))-Pfd_weighted)/Equity_percent</f>
        <v>0.21569641973035159</v>
      </c>
      <c r="Y23" s="245">
        <f>+Y22</f>
        <v>2.5000000000000001E-3</v>
      </c>
      <c r="Z23" s="245">
        <f t="shared" ref="Z23:Z24" ca="1" si="13">+X23+Y23</f>
        <v>0.21819641973035159</v>
      </c>
      <c r="AA23" s="245">
        <f ca="1">Z23*equityP</f>
        <v>0.13091785183821095</v>
      </c>
      <c r="AB23" s="245">
        <f ca="1">+AA23/(1-taxrate)</f>
        <v>0.16571879979520374</v>
      </c>
      <c r="AC23" s="245">
        <f>debtP*Debt_Rate</f>
        <v>1.6572E-2</v>
      </c>
      <c r="AD23" s="245">
        <f ca="1">+AC23+AB23</f>
        <v>0.18229079979520374</v>
      </c>
      <c r="AE23" s="245">
        <f ca="1">+AD23/(S23/100)</f>
        <v>9.4512662157746549E-2</v>
      </c>
      <c r="AF23" s="245">
        <f ca="1">1-AE23</f>
        <v>0.90548733784225344</v>
      </c>
      <c r="AG23" s="246">
        <f ca="1">expenses/(AF23)</f>
        <v>7251850.8002721127</v>
      </c>
      <c r="AH23" s="247">
        <f ca="1">+AG23-Revenue</f>
        <v>290655.73426530696</v>
      </c>
      <c r="AI23" s="248">
        <f ca="1">+AH23/$J$49</f>
        <v>330205.67163315805</v>
      </c>
      <c r="AJ23" s="248">
        <f ca="1">+AI23*$J$47</f>
        <v>8376.8889684212882</v>
      </c>
      <c r="AK23" s="246">
        <f t="shared" ca="1" si="12"/>
        <v>7260227.6892400002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192.72121606685059</v>
      </c>
      <c r="T24" s="260">
        <f ca="1">EXP(y_inter4-(slope*LN(S24)))</f>
        <v>8.1274307899471019</v>
      </c>
      <c r="U24" s="245">
        <f ca="1">(+S24*T24/100)/100</f>
        <v>0.15663283453377697</v>
      </c>
      <c r="V24" s="245">
        <f>regDebt_weighted</f>
        <v>3.5860000000000003E-2</v>
      </c>
      <c r="W24" s="245">
        <f ca="1">+U24-V24</f>
        <v>0.12077283453377696</v>
      </c>
      <c r="X24" s="245">
        <f ca="1">+((W24*(1-0.34))-Pfd_weighted)/Equity_percent</f>
        <v>0.21372113602410694</v>
      </c>
      <c r="Y24" s="245">
        <f>+Y23</f>
        <v>2.5000000000000001E-3</v>
      </c>
      <c r="Z24" s="245">
        <f t="shared" ca="1" si="13"/>
        <v>0.21622113602410695</v>
      </c>
      <c r="AA24" s="245">
        <f ca="1">Z24*equityP</f>
        <v>0.12973268161446416</v>
      </c>
      <c r="AB24" s="245">
        <f ca="1">+AA24/(1-taxrate)</f>
        <v>0.16421858432210654</v>
      </c>
      <c r="AC24" s="245">
        <f>debtP*Debt_Rate</f>
        <v>1.6572E-2</v>
      </c>
      <c r="AD24" s="245">
        <f ca="1">+AC24+AB24</f>
        <v>0.18079058432210654</v>
      </c>
      <c r="AE24" s="245">
        <f ca="1">+AD24/(S24/100)</f>
        <v>9.3809383321551074E-2</v>
      </c>
      <c r="AF24" s="245">
        <f ca="1">1-AE24</f>
        <v>0.90619061667844891</v>
      </c>
      <c r="AG24" s="246">
        <f ca="1">expenses/(AF24)</f>
        <v>7246222.7645175904</v>
      </c>
      <c r="AH24" s="247">
        <f ca="1">+AG24-Revenue</f>
        <v>285027.69851078466</v>
      </c>
      <c r="AI24" s="248">
        <f ca="1">+AH24/$J$49</f>
        <v>323811.82108348637</v>
      </c>
      <c r="AJ24" s="248">
        <f ca="1">+AI24*$J$47</f>
        <v>8214.6852852732227</v>
      </c>
      <c r="AK24" s="246">
        <f t="shared" ca="1" si="12"/>
        <v>7254437.4497999996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2258596.0103614726</v>
      </c>
      <c r="K26" s="263">
        <f ca="1">+K34</f>
        <v>0.21791671086332476</v>
      </c>
      <c r="L26" s="293">
        <f ca="1">+K26*I26</f>
        <v>0.13075002651799486</v>
      </c>
      <c r="M26" s="241">
        <f ca="1">+J26*K26</f>
        <v>492185.81374699989</v>
      </c>
      <c r="O26" s="194"/>
      <c r="P26" s="194"/>
      <c r="R26" s="232">
        <v>1</v>
      </c>
      <c r="S26" s="233">
        <f ca="1">AK21/Investment*100</f>
        <v>193.46733482906794</v>
      </c>
      <c r="T26" s="234">
        <f ca="1">EXP(y_inter1-(slope*LN(+S26)))</f>
        <v>8.3561947051813945</v>
      </c>
      <c r="U26" s="235">
        <f ca="1">(+S26*T26/100)/100</f>
        <v>0.16166507189242132</v>
      </c>
      <c r="V26" s="235">
        <f>regDebt_weighted</f>
        <v>3.5860000000000003E-2</v>
      </c>
      <c r="W26" s="235">
        <f ca="1">+U26-V26</f>
        <v>0.12580507189242132</v>
      </c>
      <c r="X26" s="235">
        <f ca="1">+((W26*(1-0.34))-Pfd_weighted)/Equity_percent</f>
        <v>0.22337601002615717</v>
      </c>
      <c r="Y26" s="235">
        <f>+Y24</f>
        <v>2.5000000000000001E-3</v>
      </c>
      <c r="Z26" s="235">
        <f ca="1">+X26+Y26</f>
        <v>0.22587601002615718</v>
      </c>
      <c r="AA26" s="235">
        <f ca="1">Z26*equityP</f>
        <v>0.1355256060156943</v>
      </c>
      <c r="AB26" s="235">
        <f ca="1">+AA26/(1-taxrate)</f>
        <v>0.17155140001986618</v>
      </c>
      <c r="AC26" s="235">
        <f>debtP*Debt_Rate</f>
        <v>1.6572E-2</v>
      </c>
      <c r="AD26" s="235">
        <f ca="1">+AC26+AB26</f>
        <v>0.18812340001986619</v>
      </c>
      <c r="AE26" s="235">
        <f ca="1">+AD26/(S26/100)</f>
        <v>9.723781029292454E-2</v>
      </c>
      <c r="AF26" s="235">
        <f ca="1">1-AE26</f>
        <v>0.90276218970707545</v>
      </c>
      <c r="AG26" s="236">
        <f ca="1">expenses/(AF26)</f>
        <v>7273741.8009257438</v>
      </c>
      <c r="AH26" s="237">
        <f ca="1">+AG26-Revenue</f>
        <v>312546.73491893802</v>
      </c>
      <c r="AI26" s="238">
        <f ca="1">+AH26/$J$49</f>
        <v>355075.41174623638</v>
      </c>
      <c r="AJ26" s="238">
        <f ca="1">+AI26*$J$47</f>
        <v>9007.8019705219776</v>
      </c>
      <c r="AK26" s="236">
        <f ca="1">ROUND(+AJ26+AG26,5)</f>
        <v>7282749.6029000003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1505730.6735743152</v>
      </c>
      <c r="K27" s="263">
        <f>IF(A64=TRUE,C9,0)</f>
        <v>4.1430000000000002E-2</v>
      </c>
      <c r="L27" s="293">
        <f>+K27*I27</f>
        <v>1.6572E-2</v>
      </c>
      <c r="M27" s="241">
        <f>+K27*J27</f>
        <v>62382.421806183876</v>
      </c>
      <c r="O27" s="194"/>
      <c r="P27" s="194"/>
      <c r="R27" s="242">
        <v>2</v>
      </c>
      <c r="S27" s="243">
        <f ca="1">AK22/Investment*100</f>
        <v>193.1098314748179</v>
      </c>
      <c r="T27" s="257">
        <f ca="1">EXP(y_inter2-(slope*LN(+S27)))</f>
        <v>8.2477270203968569</v>
      </c>
      <c r="U27" s="245">
        <f ca="1">(+S27*T27/100)/100</f>
        <v>0.1592717174959139</v>
      </c>
      <c r="V27" s="245">
        <f>regDebt_weighted</f>
        <v>3.5860000000000003E-2</v>
      </c>
      <c r="W27" s="245">
        <f ca="1">+U27-V27</f>
        <v>0.1234117174959139</v>
      </c>
      <c r="X27" s="245">
        <f ca="1">+((W27*(1-0.34))-Pfd_weighted)/Equity_percent</f>
        <v>0.2187841091491371</v>
      </c>
      <c r="Y27" s="245">
        <f>+Y26</f>
        <v>2.5000000000000001E-3</v>
      </c>
      <c r="Z27" s="245">
        <f ca="1">+X27+Y27</f>
        <v>0.2212841091491371</v>
      </c>
      <c r="AA27" s="245">
        <f ca="1">Z27*equityP</f>
        <v>0.13277046548948226</v>
      </c>
      <c r="AB27" s="245">
        <f ca="1">+AA27/(1-taxrate)</f>
        <v>0.16806388036643324</v>
      </c>
      <c r="AC27" s="245">
        <f>debtP*Debt_Rate</f>
        <v>1.6572E-2</v>
      </c>
      <c r="AD27" s="245">
        <f ca="1">+AC27+AB27</f>
        <v>0.18463588036643325</v>
      </c>
      <c r="AE27" s="245">
        <f ca="1">+AD27/(S27/100)</f>
        <v>9.5611848944371483E-2</v>
      </c>
      <c r="AF27" s="245">
        <f ca="1">1-AE27</f>
        <v>0.90438815105562853</v>
      </c>
      <c r="AG27" s="246">
        <f ca="1">expenses/(AF27)</f>
        <v>7260664.6470357291</v>
      </c>
      <c r="AH27" s="247">
        <f ca="1">+AG27-Revenue</f>
        <v>299469.58102892339</v>
      </c>
      <c r="AI27" s="248">
        <f ca="1">+AH27/$J$49</f>
        <v>340218.8310074546</v>
      </c>
      <c r="AJ27" s="248">
        <f ca="1">+AI27*$J$47</f>
        <v>8630.9098151460967</v>
      </c>
      <c r="AK27" s="246">
        <f t="shared" ref="AK27:AK29" ca="1" si="14">ROUND(+AJ27+AG27,5)</f>
        <v>7269295.5568500003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3764326.6839357875</v>
      </c>
      <c r="K28" s="297"/>
      <c r="L28" s="298">
        <f ca="1">SUM(L26:L27)</f>
        <v>0.14732202651799486</v>
      </c>
      <c r="M28" s="296">
        <f ca="1">SUM(M26:M27)</f>
        <v>554568.23555318383</v>
      </c>
      <c r="O28" s="194"/>
      <c r="P28" s="194"/>
      <c r="R28" s="251">
        <v>3</v>
      </c>
      <c r="S28" s="243">
        <f ca="1">AK23/Investment*100</f>
        <v>192.86922466700148</v>
      </c>
      <c r="T28" s="244">
        <f ca="1">EXP(y_inter3-(slope*LN(S28)))</f>
        <v>8.174503697585477</v>
      </c>
      <c r="U28" s="245">
        <f ca="1">(+S28*T28/100)/100</f>
        <v>0.15766101901908475</v>
      </c>
      <c r="V28" s="245">
        <f>regDebt_weighted</f>
        <v>3.5860000000000003E-2</v>
      </c>
      <c r="W28" s="245">
        <f ca="1">+U28-V28</f>
        <v>0.12180101901908474</v>
      </c>
      <c r="X28" s="245">
        <f ca="1">+((W28*(1-0.34))-Pfd_weighted)/Equity_percent</f>
        <v>0.21569381555987188</v>
      </c>
      <c r="Y28" s="245">
        <f>+Y27</f>
        <v>2.5000000000000001E-3</v>
      </c>
      <c r="Z28" s="245">
        <f t="shared" ref="Z28:Z29" ca="1" si="15">+X28+Y28</f>
        <v>0.21819381555987188</v>
      </c>
      <c r="AA28" s="245">
        <f ca="1">Z28*equityP</f>
        <v>0.13091628933592311</v>
      </c>
      <c r="AB28" s="245">
        <f ca="1">+AA28/(1-taxrate)</f>
        <v>0.16571682194420648</v>
      </c>
      <c r="AC28" s="245">
        <f>debtP*Debt_Rate</f>
        <v>1.6572E-2</v>
      </c>
      <c r="AD28" s="245">
        <f ca="1">+AC28+AB28</f>
        <v>0.18228882194420648</v>
      </c>
      <c r="AE28" s="245">
        <f ca="1">+AD28/(S28/100)</f>
        <v>9.4514208920027237E-2</v>
      </c>
      <c r="AF28" s="245">
        <f ca="1">1-AE28</f>
        <v>0.90548579107997273</v>
      </c>
      <c r="AG28" s="246">
        <f ca="1">expenses/(AF28)</f>
        <v>7251863.1879753694</v>
      </c>
      <c r="AH28" s="247">
        <f ca="1">+AG28-Revenue</f>
        <v>290668.12196856365</v>
      </c>
      <c r="AI28" s="248">
        <f ca="1">+AH28/$J$49</f>
        <v>330219.74494873948</v>
      </c>
      <c r="AJ28" s="248">
        <f ca="1">+AI28*$J$47</f>
        <v>8377.2459901570437</v>
      </c>
      <c r="AK28" s="246">
        <f t="shared" ca="1" si="14"/>
        <v>7260240.4339699997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192.71540593854971</v>
      </c>
      <c r="T29" s="260">
        <f ca="1">EXP(y_inter4-(slope*LN(S29)))</f>
        <v>8.1275983100845579</v>
      </c>
      <c r="U29" s="245">
        <f ca="1">(+S29*T29/100)/100</f>
        <v>0.15663134076334162</v>
      </c>
      <c r="V29" s="245">
        <f>regDebt_weighted</f>
        <v>3.5860000000000003E-2</v>
      </c>
      <c r="W29" s="245">
        <f ca="1">+U29-V29</f>
        <v>0.12077134076334162</v>
      </c>
      <c r="X29" s="245">
        <f ca="1">+((W29*(1-0.34))-Pfd_weighted)/Equity_percent</f>
        <v>0.21371827006920194</v>
      </c>
      <c r="Y29" s="245">
        <f>+Y28</f>
        <v>2.5000000000000001E-3</v>
      </c>
      <c r="Z29" s="245">
        <f t="shared" ca="1" si="15"/>
        <v>0.21621827006920194</v>
      </c>
      <c r="AA29" s="245">
        <f ca="1">Z29*equityP</f>
        <v>0.12973096204152115</v>
      </c>
      <c r="AB29" s="245">
        <f ca="1">+AA29/(1-taxrate)</f>
        <v>0.16421640764749512</v>
      </c>
      <c r="AC29" s="245">
        <f>debtP*Debt_Rate</f>
        <v>1.6572E-2</v>
      </c>
      <c r="AD29" s="245">
        <f ca="1">+AC29+AB29</f>
        <v>0.18078840764749513</v>
      </c>
      <c r="AE29" s="245">
        <f ca="1">+AD29/(S29/100)</f>
        <v>9.3811082080870231E-2</v>
      </c>
      <c r="AF29" s="245">
        <f ca="1">1-AE29</f>
        <v>0.90618891791912981</v>
      </c>
      <c r="AG29" s="246">
        <f ca="1">expenses/(AF29)</f>
        <v>7246236.3484273097</v>
      </c>
      <c r="AH29" s="247">
        <f ca="1">+AG29-Revenue</f>
        <v>285041.28242050391</v>
      </c>
      <c r="AI29" s="248">
        <f ca="1">+AH29/$J$49</f>
        <v>323827.25337503769</v>
      </c>
      <c r="AJ29" s="248">
        <f ca="1">+AI29*$J$47</f>
        <v>8215.0767824640916</v>
      </c>
      <c r="AK29" s="246">
        <f t="shared" ca="1" si="14"/>
        <v>7254451.42521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193.46752326196966</v>
      </c>
      <c r="T31" s="234">
        <f ca="1">EXP(y_inter1-(slope*LN(+S31)))</f>
        <v>8.3561891409676505</v>
      </c>
      <c r="U31" s="235">
        <f ca="1">(+S31*T31/100)/100</f>
        <v>0.16166512170115774</v>
      </c>
      <c r="V31" s="235">
        <f>regDebt_weighted</f>
        <v>3.5860000000000003E-2</v>
      </c>
      <c r="W31" s="235">
        <f ca="1">+U31-V31</f>
        <v>0.12580512170115773</v>
      </c>
      <c r="X31" s="235">
        <f ca="1">+((W31*(1-0.34))-Pfd_weighted)/Equity_percent</f>
        <v>0.22337610558943052</v>
      </c>
      <c r="Y31" s="235">
        <f>+Y29</f>
        <v>2.5000000000000001E-3</v>
      </c>
      <c r="Z31" s="235">
        <f ca="1">+X31+Y31</f>
        <v>0.22587610558943053</v>
      </c>
      <c r="AA31" s="235">
        <f ca="1">Z31*equityP</f>
        <v>0.13552566335365832</v>
      </c>
      <c r="AB31" s="235">
        <f ca="1">+AA31/(1-taxrate)</f>
        <v>0.17155147259956749</v>
      </c>
      <c r="AC31" s="235">
        <f>debtP*Debt_Rate</f>
        <v>1.6572E-2</v>
      </c>
      <c r="AD31" s="235">
        <f ca="1">+AC31+AB31</f>
        <v>0.18812347259956749</v>
      </c>
      <c r="AE31" s="235">
        <f ca="1">+AD31/(S31/100)</f>
        <v>9.7237753100727964E-2</v>
      </c>
      <c r="AF31" s="235">
        <f ca="1">1-AE31</f>
        <v>0.90276224689927198</v>
      </c>
      <c r="AG31" s="236">
        <f ca="1">expenses/(AF31)</f>
        <v>7273741.3401164087</v>
      </c>
      <c r="AH31" s="237">
        <f ca="1">+AG31-Revenue</f>
        <v>312546.27410960291</v>
      </c>
      <c r="AI31" s="238">
        <f ca="1">+AH31/$J$49</f>
        <v>355074.88823392248</v>
      </c>
      <c r="AJ31" s="238">
        <f ca="1">+AI31*$J$47</f>
        <v>9007.7886896945911</v>
      </c>
      <c r="AK31" s="236">
        <f ca="1">ROUND(+AJ31+AG31,5)</f>
        <v>7282749.1288099997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193.11011416388538</v>
      </c>
      <c r="T32" s="257">
        <f ca="1">EXP(y_inter2-(slope*LN(+S32)))</f>
        <v>8.2477187660085587</v>
      </c>
      <c r="U32" s="245">
        <f ca="1">(+S32*T32/100)/100</f>
        <v>0.15927179124955326</v>
      </c>
      <c r="V32" s="245">
        <f>regDebt_weighted</f>
        <v>3.5860000000000003E-2</v>
      </c>
      <c r="W32" s="245">
        <f ca="1">+U32-V32</f>
        <v>0.12341179124955326</v>
      </c>
      <c r="X32" s="245">
        <f ca="1">+((W32*(1-0.34))-Pfd_weighted)/Equity_percent</f>
        <v>0.21878425065321264</v>
      </c>
      <c r="Y32" s="245">
        <f>+Y31</f>
        <v>2.5000000000000001E-3</v>
      </c>
      <c r="Z32" s="245">
        <f ca="1">+X32+Y32</f>
        <v>0.22128425065321264</v>
      </c>
      <c r="AA32" s="245">
        <f ca="1">Z32*equityP</f>
        <v>0.13277055039192759</v>
      </c>
      <c r="AB32" s="245">
        <f ca="1">+AA32/(1-taxrate)</f>
        <v>0.16806398783788301</v>
      </c>
      <c r="AC32" s="245">
        <f>debtP*Debt_Rate</f>
        <v>1.6572E-2</v>
      </c>
      <c r="AD32" s="245">
        <f ca="1">+AC32+AB32</f>
        <v>0.18463598783788301</v>
      </c>
      <c r="AE32" s="245">
        <f ca="1">+AD32/(S32/100)</f>
        <v>9.5611764633513341E-2</v>
      </c>
      <c r="AF32" s="245">
        <f ca="1">1-AE32</f>
        <v>0.90438823536648671</v>
      </c>
      <c r="AG32" s="246">
        <f ca="1">expenses/(AF32)</f>
        <v>7260663.9701661682</v>
      </c>
      <c r="AH32" s="247">
        <f ca="1">+AG32-Revenue</f>
        <v>299468.90415936243</v>
      </c>
      <c r="AI32" s="248">
        <f ca="1">+AH32/$J$49</f>
        <v>340218.0620352939</v>
      </c>
      <c r="AJ32" s="248">
        <f ca="1">+AI32*$J$47</f>
        <v>8630.8903073212368</v>
      </c>
      <c r="AK32" s="246">
        <f t="shared" ref="AK32:AK34" ca="1" si="16">ROUND(+AJ32+AG32,5)</f>
        <v>7269294.8604699997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0.18207836268100616</v>
      </c>
      <c r="K33" s="304">
        <f ca="1">+(M14+M11)/J28</f>
        <v>0.14732202651799489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192.86956323299401</v>
      </c>
      <c r="T33" s="244">
        <f ca="1">EXP(y_inter3-(slope*LN(S33)))</f>
        <v>8.1744938871638126</v>
      </c>
      <c r="U33" s="245">
        <f ca="1">(+S33*T33/100)/100</f>
        <v>0.1576611065668064</v>
      </c>
      <c r="V33" s="245">
        <f>regDebt_weighted</f>
        <v>3.5860000000000003E-2</v>
      </c>
      <c r="W33" s="245">
        <f ca="1">+U33-V33</f>
        <v>0.1218011065668064</v>
      </c>
      <c r="X33" s="245">
        <f ca="1">+((W33*(1-0.34))-Pfd_weighted)/Equity_percent</f>
        <v>0.21569398352933786</v>
      </c>
      <c r="Y33" s="245">
        <f>+Y32</f>
        <v>2.5000000000000001E-3</v>
      </c>
      <c r="Z33" s="245">
        <f t="shared" ref="Z33:Z34" ca="1" si="17">+X33+Y33</f>
        <v>0.21819398352933786</v>
      </c>
      <c r="AA33" s="245">
        <f ca="1">Z33*equityP</f>
        <v>0.1309163901176027</v>
      </c>
      <c r="AB33" s="245">
        <f ca="1">+AA33/(1-taxrate)</f>
        <v>0.16571694951595278</v>
      </c>
      <c r="AC33" s="245">
        <f>debtP*Debt_Rate</f>
        <v>1.6572E-2</v>
      </c>
      <c r="AD33" s="245">
        <f ca="1">+AC33+AB33</f>
        <v>0.18228894951595279</v>
      </c>
      <c r="AE33" s="245">
        <f ca="1">+AD33/(S33/100)</f>
        <v>9.4514109152484871E-2</v>
      </c>
      <c r="AF33" s="245">
        <f ca="1">1-AE33</f>
        <v>0.90548589084751518</v>
      </c>
      <c r="AG33" s="246">
        <f ca="1">expenses/(AF33)</f>
        <v>7251862.388956218</v>
      </c>
      <c r="AH33" s="247">
        <f ca="1">+AG33-Revenue</f>
        <v>290667.32294941228</v>
      </c>
      <c r="AI33" s="248">
        <f ca="1">+AH33/$J$49</f>
        <v>330218.83720592066</v>
      </c>
      <c r="AJ33" s="248">
        <f ca="1">+AI33*$J$47</f>
        <v>8377.2229619008449</v>
      </c>
      <c r="AK33" s="246">
        <f t="shared" ca="1" si="16"/>
        <v>7260239.6119200001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0.27584393780167693</v>
      </c>
      <c r="K34" s="304">
        <f ca="1">+M14/J26</f>
        <v>0.21791671086332476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192.71577719777275</v>
      </c>
      <c r="T34" s="260">
        <f ca="1">EXP(y_inter4-(slope*LN(S34)))</f>
        <v>8.1275876055234075</v>
      </c>
      <c r="U34" s="245">
        <f ca="1">(+S34*T34/100)/100</f>
        <v>0.15663143621414283</v>
      </c>
      <c r="V34" s="245">
        <f>regDebt_weighted</f>
        <v>3.5860000000000003E-2</v>
      </c>
      <c r="W34" s="245">
        <f ca="1">+U34-V34</f>
        <v>0.12077143621414282</v>
      </c>
      <c r="X34" s="245">
        <f ca="1">+((W34*(1-0.34))-Pfd_weighted)/Equity_percent</f>
        <v>0.21371845320155308</v>
      </c>
      <c r="Y34" s="245">
        <f>+Y33</f>
        <v>2.5000000000000001E-3</v>
      </c>
      <c r="Z34" s="245">
        <f t="shared" ca="1" si="17"/>
        <v>0.21621845320155308</v>
      </c>
      <c r="AA34" s="245">
        <f ca="1">Z34*equityP</f>
        <v>0.12973107192093183</v>
      </c>
      <c r="AB34" s="245">
        <f ca="1">+AA34/(1-taxrate)</f>
        <v>0.16421654673535674</v>
      </c>
      <c r="AC34" s="245">
        <f>debtP*Debt_Rate</f>
        <v>1.6572E-2</v>
      </c>
      <c r="AD34" s="245">
        <f ca="1">+AC34+AB34</f>
        <v>0.18078854673535674</v>
      </c>
      <c r="AE34" s="245">
        <f ca="1">+AD34/(S34/100)</f>
        <v>9.3810973530114347E-2</v>
      </c>
      <c r="AF34" s="245">
        <f ca="1">1-AE34</f>
        <v>0.90618902646988564</v>
      </c>
      <c r="AG34" s="246">
        <f ca="1">expenses/(AF34)</f>
        <v>7246235.4804136734</v>
      </c>
      <c r="AH34" s="247">
        <f ca="1">+AG34-Revenue</f>
        <v>285040.4144068677</v>
      </c>
      <c r="AI34" s="248">
        <f ca="1">+AH34/$J$49</f>
        <v>323826.26724955678</v>
      </c>
      <c r="AJ34" s="248">
        <f ca="1">+AI34*$J$47</f>
        <v>8215.0517657415694</v>
      </c>
      <c r="AK34" s="246">
        <f t="shared" ca="1" si="16"/>
        <v>7254450.5321800001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0.90548600000000001</v>
      </c>
      <c r="K35" s="304">
        <f ca="1">+M8/M7</f>
        <v>0.90559505460565959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9.4513999999999931E-2</v>
      </c>
      <c r="K36" s="304">
        <f ca="1">+J36</f>
        <v>9.4513999999999931E-2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193.46751066768547</v>
      </c>
      <c r="T36" s="234">
        <f ca="1">EXP(y_inter1-(slope*LN(+S36)))</f>
        <v>8.3561895128625512</v>
      </c>
      <c r="U36" s="235">
        <f ca="1">(+S36*T36/100)/100</f>
        <v>0.16166511837209371</v>
      </c>
      <c r="V36" s="235">
        <f>regDebt_weighted</f>
        <v>3.5860000000000003E-2</v>
      </c>
      <c r="W36" s="235">
        <f ca="1">+U36-V36</f>
        <v>0.12580511837209371</v>
      </c>
      <c r="X36" s="235">
        <f ca="1">+((W36*(1-0.34))-Pfd_weighted)/Equity_percent</f>
        <v>0.2233760992022728</v>
      </c>
      <c r="Y36" s="235">
        <f>+Y34</f>
        <v>2.5000000000000001E-3</v>
      </c>
      <c r="Z36" s="235">
        <f ca="1">+X36+Y36</f>
        <v>0.22587609920227281</v>
      </c>
      <c r="AA36" s="235">
        <f ca="1">Z36*equityP</f>
        <v>0.13552565952136367</v>
      </c>
      <c r="AB36" s="235">
        <f ca="1">+AA36/(1-taxrate)</f>
        <v>0.17155146774856159</v>
      </c>
      <c r="AC36" s="235">
        <f>debtP*Debt_Rate</f>
        <v>1.6572E-2</v>
      </c>
      <c r="AD36" s="235">
        <f ca="1">+AC36+AB36</f>
        <v>0.18812346774856159</v>
      </c>
      <c r="AE36" s="235">
        <f ca="1">+AD36/(S36/100)</f>
        <v>9.7237756923278337E-2</v>
      </c>
      <c r="AF36" s="235">
        <f ca="1">1-AE36</f>
        <v>0.9027622430767217</v>
      </c>
      <c r="AG36" s="236">
        <f ca="1">expenses/(AF36)</f>
        <v>7273741.3709154837</v>
      </c>
      <c r="AH36" s="237">
        <f ca="1">+AG36-Revenue</f>
        <v>312546.30490867794</v>
      </c>
      <c r="AI36" s="238">
        <f ca="1">+AH36/$J$49</f>
        <v>355074.92322387127</v>
      </c>
      <c r="AJ36" s="238">
        <f ca="1">+AI36*$J$47</f>
        <v>9007.7895773441414</v>
      </c>
      <c r="AK36" s="236">
        <f ca="1">ROUND(+AJ36+AG36,5)</f>
        <v>7282749.1604899997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1.9271575347427388</v>
      </c>
      <c r="K37" s="309">
        <f ca="1">+J37</f>
        <v>1.9271575347427388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193.11009566442829</v>
      </c>
      <c r="T37" s="257">
        <f ca="1">EXP(y_inter2-(slope*LN(+S37)))</f>
        <v>8.2477193061834164</v>
      </c>
      <c r="U37" s="245">
        <f ca="1">(+S37*T37/100)/100</f>
        <v>0.15927178642304315</v>
      </c>
      <c r="V37" s="245">
        <f>regDebt_weighted</f>
        <v>3.5860000000000003E-2</v>
      </c>
      <c r="W37" s="245">
        <f ca="1">+U37-V37</f>
        <v>0.12341178642304315</v>
      </c>
      <c r="X37" s="245">
        <f ca="1">+((W37*(1-0.34))-Pfd_weighted)/Equity_percent</f>
        <v>0.21878424139304789</v>
      </c>
      <c r="Y37" s="245">
        <f>+Y36</f>
        <v>2.5000000000000001E-3</v>
      </c>
      <c r="Z37" s="245">
        <f ca="1">+X37+Y37</f>
        <v>0.22128424139304789</v>
      </c>
      <c r="AA37" s="245">
        <f ca="1">Z37*equityP</f>
        <v>0.13277054483582873</v>
      </c>
      <c r="AB37" s="245">
        <f ca="1">+AA37/(1-taxrate)</f>
        <v>0.1680639808048465</v>
      </c>
      <c r="AC37" s="245">
        <f>debtP*Debt_Rate</f>
        <v>1.6572E-2</v>
      </c>
      <c r="AD37" s="245">
        <f ca="1">+AC37+AB37</f>
        <v>0.1846359808048465</v>
      </c>
      <c r="AE37" s="245">
        <f ca="1">+AD37/(S37/100)</f>
        <v>9.5611770150894934E-2</v>
      </c>
      <c r="AF37" s="245">
        <f ca="1">1-AE37</f>
        <v>0.90438822984910505</v>
      </c>
      <c r="AG37" s="246">
        <f ca="1">expenses/(AF37)</f>
        <v>7260664.0144611439</v>
      </c>
      <c r="AH37" s="247">
        <f ca="1">+AG37-Revenue</f>
        <v>299468.94845433813</v>
      </c>
      <c r="AI37" s="248">
        <f ca="1">+AH37/$J$49</f>
        <v>340218.11235754966</v>
      </c>
      <c r="AJ37" s="248">
        <f ca="1">+AI37*$J$47</f>
        <v>8630.8915839314996</v>
      </c>
      <c r="AK37" s="246">
        <f t="shared" ref="AK37:AK39" ca="1" si="18">ROUND(+AJ37+AG37,5)</f>
        <v>7269294.9060500003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192.86954139509126</v>
      </c>
      <c r="T38" s="244">
        <f ca="1">EXP(y_inter3-(slope*LN(S38)))</f>
        <v>8.1744945199466184</v>
      </c>
      <c r="U38" s="245">
        <f ca="1">(+S38*T38/100)/100</f>
        <v>0.15766110091987909</v>
      </c>
      <c r="V38" s="245">
        <f>regDebt_weighted</f>
        <v>3.5860000000000003E-2</v>
      </c>
      <c r="W38" s="245">
        <f ca="1">+U38-V38</f>
        <v>0.12180110091987909</v>
      </c>
      <c r="X38" s="245">
        <f ca="1">+((W38*(1-0.34))-Pfd_weighted)/Equity_percent</f>
        <v>0.21569397269511681</v>
      </c>
      <c r="Y38" s="245">
        <f>+Y37</f>
        <v>2.5000000000000001E-3</v>
      </c>
      <c r="Z38" s="245">
        <f t="shared" ref="Z38:Z39" ca="1" si="19">+X38+Y38</f>
        <v>0.21819397269511681</v>
      </c>
      <c r="AA38" s="245">
        <f ca="1">Z38*equityP</f>
        <v>0.13091638361707009</v>
      </c>
      <c r="AB38" s="245">
        <f ca="1">+AA38/(1-taxrate)</f>
        <v>0.16571694128743047</v>
      </c>
      <c r="AC38" s="245">
        <f>debtP*Debt_Rate</f>
        <v>1.6572E-2</v>
      </c>
      <c r="AD38" s="245">
        <f ca="1">+AC38+AB38</f>
        <v>0.18228894128743048</v>
      </c>
      <c r="AE38" s="245">
        <f ca="1">+AD38/(S38/100)</f>
        <v>9.4514115587599937E-2</v>
      </c>
      <c r="AF38" s="245">
        <f ca="1">1-AE38</f>
        <v>0.90548588441240008</v>
      </c>
      <c r="AG38" s="246">
        <f ca="1">expenses/(AF38)</f>
        <v>7251862.4404938174</v>
      </c>
      <c r="AH38" s="247">
        <f ca="1">+AG38-Revenue</f>
        <v>290667.37448701169</v>
      </c>
      <c r="AI38" s="248">
        <f ca="1">+AH38/$J$49</f>
        <v>330218.89575631422</v>
      </c>
      <c r="AJ38" s="248">
        <f ca="1">+AI38*$J$47</f>
        <v>8377.2244472482744</v>
      </c>
      <c r="AK38" s="246">
        <f t="shared" ca="1" si="18"/>
        <v>7260239.6649399996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192.71575347427387</v>
      </c>
      <c r="T39" s="260">
        <f ca="1">EXP(y_inter4-(slope*LN(S39)))</f>
        <v>8.1275882895448213</v>
      </c>
      <c r="U39" s="245">
        <f ca="1">(+S39*T39/100)/100</f>
        <v>0.15663143011483149</v>
      </c>
      <c r="V39" s="245">
        <f>regDebt_weighted</f>
        <v>3.5860000000000003E-2</v>
      </c>
      <c r="W39" s="245">
        <f ca="1">+U39-V39</f>
        <v>0.12077143011483149</v>
      </c>
      <c r="X39" s="245">
        <f ca="1">+((W39*(1-0.34))-Pfd_weighted)/Equity_percent</f>
        <v>0.21371844149938599</v>
      </c>
      <c r="Y39" s="245">
        <f>+Y38</f>
        <v>2.5000000000000001E-3</v>
      </c>
      <c r="Z39" s="245">
        <f t="shared" ca="1" si="19"/>
        <v>0.21621844149938599</v>
      </c>
      <c r="AA39" s="245">
        <f ca="1">Z39*equityP</f>
        <v>0.1297310648996316</v>
      </c>
      <c r="AB39" s="245">
        <f ca="1">+AA39/(1-taxrate)</f>
        <v>0.16421653784763493</v>
      </c>
      <c r="AC39" s="245">
        <f>debtP*Debt_Rate</f>
        <v>1.6572E-2</v>
      </c>
      <c r="AD39" s="245">
        <f ca="1">+AC39+AB39</f>
        <v>0.18078853784763493</v>
      </c>
      <c r="AE39" s="245">
        <f ca="1">+AD39/(S39/100)</f>
        <v>9.3810980466508084E-2</v>
      </c>
      <c r="AF39" s="245">
        <f ca="1">1-AE39</f>
        <v>0.90618901953349196</v>
      </c>
      <c r="AG39" s="246">
        <f ca="1">expenses/(AF39)</f>
        <v>7246235.5358797414</v>
      </c>
      <c r="AH39" s="247">
        <f ca="1">+AG39-Revenue</f>
        <v>285040.46987293568</v>
      </c>
      <c r="AI39" s="248">
        <f ca="1">+AH39/$J$49</f>
        <v>323826.33026297117</v>
      </c>
      <c r="AJ39" s="248">
        <f ca="1">+AI39*$J$47</f>
        <v>8215.0533643100407</v>
      </c>
      <c r="AK39" s="246">
        <f t="shared" ca="1" si="18"/>
        <v>7254450.5892399997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5778.8122712896575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9.4514115587599937E-2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1684.111004775843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0.90548600000000001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4.2958664956249004E-2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914.27449136080054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8377.1977674263017</v>
      </c>
      <c r="L47" s="210"/>
      <c r="M47" s="210"/>
      <c r="N47" s="210"/>
      <c r="O47" s="194"/>
      <c r="P47" s="194"/>
      <c r="R47" s="233">
        <f ca="1">VLOOKUP(R48,R36:S39,2)</f>
        <v>192.86954139509126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3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0.88022635355643108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0.90548600000000001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0.18207836268100616</v>
      </c>
      <c r="Z62" s="325">
        <f t="shared" ca="1" si="20"/>
        <v>0.14732202651799489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0.27584393780167693</v>
      </c>
      <c r="Z63" s="325">
        <f t="shared" ca="1" si="20"/>
        <v>0.21791671086332476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0.90548600000000001</v>
      </c>
      <c r="Z64" s="325">
        <f t="shared" ca="1" si="20"/>
        <v>0.90559505460565959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9.4513999999999931E-2</v>
      </c>
      <c r="Z65" s="325">
        <f t="shared" ca="1" si="20"/>
        <v>9.4513999999999931E-2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1.9271575347427388</v>
      </c>
      <c r="Z66" s="325">
        <f t="shared" ca="1" si="20"/>
        <v>1.9271575347427388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25B4-9541-4AF5-AC17-09F5A80C0AA7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6.33203125" style="372" customWidth="1"/>
    <col min="6" max="6" width="5" style="204" customWidth="1"/>
    <col min="7" max="7" width="7.332031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5.44140625" style="372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375" t="s">
        <v>715</v>
      </c>
      <c r="S2" s="376"/>
      <c r="T2" s="377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'[24]Lewis LOB (C)'!G47</f>
        <v>1148472.9226742119</v>
      </c>
      <c r="D5" s="215"/>
      <c r="E5" s="194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378">
        <f>'[24]Lewis LOB (C)'!G360</f>
        <v>1306873.7326886719</v>
      </c>
      <c r="D6" s="215"/>
      <c r="E6" s="194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400.81922146768017</v>
      </c>
      <c r="T6" s="234">
        <f>EXP(y_inter1-(slope*LN(+S6)))</f>
        <v>5.0785037058314915</v>
      </c>
      <c r="U6" s="235">
        <f>(+S6*T6/100)/100</f>
        <v>0.20355619015921073</v>
      </c>
      <c r="V6" s="235">
        <f>regDebt_weighted</f>
        <v>3.5860000000000003E-2</v>
      </c>
      <c r="W6" s="235">
        <f>+U6-V6</f>
        <v>0.16769619015921072</v>
      </c>
      <c r="X6" s="235">
        <f>+((W6*(1-0.34))-Pfd_weighted)/Equity_percent</f>
        <v>0.30374850437522988</v>
      </c>
      <c r="Y6" s="235">
        <f>+C15</f>
        <v>2.5000000000000001E-3</v>
      </c>
      <c r="Z6" s="235">
        <f>+X6+Y6</f>
        <v>0.30624850437522988</v>
      </c>
      <c r="AA6" s="235">
        <f>Z6*equityP</f>
        <v>0.18374910262513791</v>
      </c>
      <c r="AB6" s="235">
        <f>+AA6/(1-taxrate)</f>
        <v>0.23259380079131381</v>
      </c>
      <c r="AC6" s="235">
        <f>debtP*Debt_Rate</f>
        <v>1.6572E-2</v>
      </c>
      <c r="AD6" s="235">
        <f>AC6+AB6</f>
        <v>0.24916580079131381</v>
      </c>
      <c r="AE6" s="235">
        <f>AD6/(S6/100)</f>
        <v>6.2164134713635522E-2</v>
      </c>
      <c r="AF6" s="235">
        <f>1-AE6</f>
        <v>0.93783586528636453</v>
      </c>
      <c r="AG6" s="236">
        <f>expenses/(AF6)</f>
        <v>1393499.4182480141</v>
      </c>
      <c r="AH6" s="237">
        <f>+AG6-Revenue</f>
        <v>245026.49557380215</v>
      </c>
      <c r="AI6" s="238">
        <f ca="1">+AH6/$J$49</f>
        <v>265877.19205899636</v>
      </c>
      <c r="AJ6" s="238">
        <f ca="1">+AI6*$J$47</f>
        <v>6744.9590011529799</v>
      </c>
      <c r="AK6" s="236">
        <f ca="1">ROUND(+AJ6+AG6,5)</f>
        <v>1400244.3772499999</v>
      </c>
    </row>
    <row r="7" spans="1:37" ht="15.6">
      <c r="A7" s="194"/>
      <c r="B7" s="218" t="s">
        <v>763</v>
      </c>
      <c r="C7" s="378">
        <f>'[24]Lewis LOB (C)'!G367</f>
        <v>286531.39898551954</v>
      </c>
      <c r="D7" s="215"/>
      <c r="E7" s="194"/>
      <c r="F7" s="379">
        <v>1</v>
      </c>
      <c r="G7" s="222"/>
      <c r="H7" s="240" t="s">
        <v>740</v>
      </c>
      <c r="I7" s="241">
        <f>IF(A64=TRUE,C5,0)</f>
        <v>1148472.9226742119</v>
      </c>
      <c r="J7" s="241">
        <f ca="1">(+$I8/($R50))-I7</f>
        <v>231977.43355090241</v>
      </c>
      <c r="K7" s="241">
        <f ca="1">+I7+J7</f>
        <v>1380450.3562251143</v>
      </c>
      <c r="L7" s="241">
        <f ca="1">((+J7/J49*K35)-J7)</f>
        <v>6385.7513646814623</v>
      </c>
      <c r="M7" s="241">
        <f ca="1">IFERROR(+K7+L7,0.00001)</f>
        <v>1386836.1075897957</v>
      </c>
      <c r="O7" s="225"/>
      <c r="P7" s="195"/>
      <c r="R7" s="242">
        <v>2</v>
      </c>
      <c r="S7" s="243">
        <f>Revenue/Investment*100</f>
        <v>400.81922146768017</v>
      </c>
      <c r="T7" s="244">
        <f>EXP(y_inter1-(slope*LN(+S7)))</f>
        <v>5.0785037058314915</v>
      </c>
      <c r="U7" s="245">
        <f t="shared" ref="U7:U9" si="0">(+S7*T7/100)/100</f>
        <v>0.20355619015921073</v>
      </c>
      <c r="V7" s="245">
        <f>regDebt_weighted</f>
        <v>3.5860000000000003E-2</v>
      </c>
      <c r="W7" s="245">
        <f t="shared" ref="W7:W9" si="1">+U7-V7</f>
        <v>0.16769619015921072</v>
      </c>
      <c r="X7" s="245">
        <f>+((W7*(1-0.34))-Pfd_weighted)/Equity_percent</f>
        <v>0.30374850437522988</v>
      </c>
      <c r="Y7" s="245">
        <f>+Y6</f>
        <v>2.5000000000000001E-3</v>
      </c>
      <c r="Z7" s="245">
        <f>+X7+Y7</f>
        <v>0.30624850437522988</v>
      </c>
      <c r="AA7" s="245">
        <f>Z7*equityP</f>
        <v>0.18374910262513791</v>
      </c>
      <c r="AB7" s="245">
        <f>+AA7/(1-taxrate)</f>
        <v>0.23259380079131381</v>
      </c>
      <c r="AC7" s="245">
        <f>debtP*Debt_Rate</f>
        <v>1.6572E-2</v>
      </c>
      <c r="AD7" s="245">
        <f t="shared" ref="AD7:AD9" si="2">AC7+AB7</f>
        <v>0.24916580079131381</v>
      </c>
      <c r="AE7" s="245">
        <f t="shared" ref="AE7:AE9" si="3">AD7/(S7/100)</f>
        <v>6.2164134713635522E-2</v>
      </c>
      <c r="AF7" s="245">
        <f t="shared" ref="AF7:AF9" si="4">1-AE7</f>
        <v>0.93783586528636453</v>
      </c>
      <c r="AG7" s="246">
        <f>expenses/(AF7)</f>
        <v>1393499.4182480141</v>
      </c>
      <c r="AH7" s="247">
        <f>+AG7-Revenue</f>
        <v>245026.49557380215</v>
      </c>
      <c r="AI7" s="248">
        <f ca="1">+AH7/$J$49</f>
        <v>265877.19205899636</v>
      </c>
      <c r="AJ7" s="248">
        <f ca="1">+AI7*$J$47</f>
        <v>6744.9590011529799</v>
      </c>
      <c r="AK7" s="246">
        <f t="shared" ref="AK7:AK9" ca="1" si="5">ROUND(+AJ7+AG7,5)</f>
        <v>1400244.3772499999</v>
      </c>
    </row>
    <row r="8" spans="1:37" ht="15.6">
      <c r="A8" s="194"/>
      <c r="B8" s="218" t="s">
        <v>764</v>
      </c>
      <c r="C8" s="261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1306873.7326886719</v>
      </c>
      <c r="J8" s="210"/>
      <c r="K8" s="241">
        <f>+I8</f>
        <v>1306873.7326886719</v>
      </c>
      <c r="L8" s="241">
        <f ca="1">+L7</f>
        <v>6385.7513646814623</v>
      </c>
      <c r="M8" s="241">
        <f ca="1">IFERROR(+K8+L8,0.00001)</f>
        <v>1313259.4840533533</v>
      </c>
      <c r="O8" s="225"/>
      <c r="P8" s="195"/>
      <c r="R8" s="251">
        <v>3</v>
      </c>
      <c r="S8" s="243">
        <f>Revenue/Investment*100</f>
        <v>400.81922146768017</v>
      </c>
      <c r="T8" s="244">
        <f>EXP(y_inter1-(slope*LN(+S8)))</f>
        <v>5.0785037058314915</v>
      </c>
      <c r="U8" s="245">
        <f t="shared" si="0"/>
        <v>0.20355619015921073</v>
      </c>
      <c r="V8" s="245">
        <f>regDebt_weighted</f>
        <v>3.5860000000000003E-2</v>
      </c>
      <c r="W8" s="245">
        <f t="shared" si="1"/>
        <v>0.16769619015921072</v>
      </c>
      <c r="X8" s="245">
        <f>+((W8*(1-0.34))-Pfd_weighted)/Equity_percent</f>
        <v>0.30374850437522988</v>
      </c>
      <c r="Y8" s="245">
        <f>+Y7</f>
        <v>2.5000000000000001E-3</v>
      </c>
      <c r="Z8" s="245">
        <f t="shared" ref="Z8:Z9" si="6">+X8+Y8</f>
        <v>0.30624850437522988</v>
      </c>
      <c r="AA8" s="245">
        <f>Z8*equityP</f>
        <v>0.18374910262513791</v>
      </c>
      <c r="AB8" s="245">
        <f>+AA8/(1-taxrate)</f>
        <v>0.23259380079131381</v>
      </c>
      <c r="AC8" s="245">
        <f>debtP*Debt_Rate</f>
        <v>1.6572E-2</v>
      </c>
      <c r="AD8" s="245">
        <f t="shared" si="2"/>
        <v>0.24916580079131381</v>
      </c>
      <c r="AE8" s="245">
        <f t="shared" si="3"/>
        <v>6.2164134713635522E-2</v>
      </c>
      <c r="AF8" s="245">
        <f t="shared" si="4"/>
        <v>0.93783586528636453</v>
      </c>
      <c r="AG8" s="246">
        <f>expenses/(AF8)</f>
        <v>1393499.4182480141</v>
      </c>
      <c r="AH8" s="247">
        <f>+AG8-Revenue</f>
        <v>245026.49557380215</v>
      </c>
      <c r="AI8" s="248">
        <f ca="1">+AH8/$J$49</f>
        <v>265877.19205899636</v>
      </c>
      <c r="AJ8" s="248">
        <f ca="1">+AI8*$J$47</f>
        <v>6744.9590011529799</v>
      </c>
      <c r="AK8" s="246">
        <f t="shared" ca="1" si="5"/>
        <v>1400244.3772499999</v>
      </c>
    </row>
    <row r="9" spans="1:37" ht="15.6">
      <c r="A9" s="194"/>
      <c r="B9" s="218" t="s">
        <v>765</v>
      </c>
      <c r="C9" s="261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380">
        <f>+I7-I8</f>
        <v>-158400.81001446</v>
      </c>
      <c r="J9" s="210"/>
      <c r="K9" s="380">
        <f ca="1">+K7-K8</f>
        <v>73576.623536442406</v>
      </c>
      <c r="L9" s="222"/>
      <c r="M9" s="381">
        <f ca="1">+M7-M8</f>
        <v>73576.623536442406</v>
      </c>
      <c r="O9" s="225"/>
      <c r="P9" s="195"/>
      <c r="R9" s="254">
        <v>4</v>
      </c>
      <c r="S9" s="243">
        <f>Revenue/Investment*100</f>
        <v>400.81922146768017</v>
      </c>
      <c r="T9" s="244">
        <f>EXP(y_inter1-(slope*LN(+S9)))</f>
        <v>5.0785037058314915</v>
      </c>
      <c r="U9" s="245">
        <f t="shared" si="0"/>
        <v>0.20355619015921073</v>
      </c>
      <c r="V9" s="245">
        <f>regDebt_weighted</f>
        <v>3.5860000000000003E-2</v>
      </c>
      <c r="W9" s="245">
        <f t="shared" si="1"/>
        <v>0.16769619015921072</v>
      </c>
      <c r="X9" s="245">
        <f>+((W9*(1-0.34))-Pfd_weighted)/Equity_percent</f>
        <v>0.30374850437522988</v>
      </c>
      <c r="Y9" s="245">
        <f>+Y8</f>
        <v>2.5000000000000001E-3</v>
      </c>
      <c r="Z9" s="245">
        <f t="shared" si="6"/>
        <v>0.30624850437522988</v>
      </c>
      <c r="AA9" s="245">
        <f>Z9*equityP</f>
        <v>0.18374910262513791</v>
      </c>
      <c r="AB9" s="245">
        <f>+AA9/(1-taxrate)</f>
        <v>0.23259380079131381</v>
      </c>
      <c r="AC9" s="245">
        <f>debtP*Debt_Rate</f>
        <v>1.6572E-2</v>
      </c>
      <c r="AD9" s="245">
        <f t="shared" si="2"/>
        <v>0.24916580079131381</v>
      </c>
      <c r="AE9" s="245">
        <f t="shared" si="3"/>
        <v>6.2164134713635522E-2</v>
      </c>
      <c r="AF9" s="245">
        <f t="shared" si="4"/>
        <v>0.93783586528636453</v>
      </c>
      <c r="AG9" s="246">
        <f>expenses/(AF9)</f>
        <v>1393499.4182480141</v>
      </c>
      <c r="AH9" s="247">
        <f>+AG9-Revenue</f>
        <v>245026.49557380215</v>
      </c>
      <c r="AI9" s="248">
        <f ca="1">+AH9/$J$49</f>
        <v>265877.19205899636</v>
      </c>
      <c r="AJ9" s="248">
        <f ca="1">+AI9*$J$47</f>
        <v>6744.9590011529799</v>
      </c>
      <c r="AK9" s="246">
        <f t="shared" ca="1" si="5"/>
        <v>1400244.3772499999</v>
      </c>
    </row>
    <row r="10" spans="1:37" ht="15.6">
      <c r="A10" s="194"/>
      <c r="B10" s="255" t="s">
        <v>767</v>
      </c>
      <c r="C10" s="261"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382"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4748.3983439880303</v>
      </c>
      <c r="J11" s="210"/>
      <c r="K11" s="241">
        <f>+M27</f>
        <v>4748.3983439880303</v>
      </c>
      <c r="L11" s="222"/>
      <c r="M11" s="241">
        <f>+K11</f>
        <v>4748.3983439880303</v>
      </c>
      <c r="O11" s="225"/>
      <c r="P11" s="194"/>
      <c r="R11" s="232">
        <v>1</v>
      </c>
      <c r="S11" s="233">
        <f ca="1">IF((AK6/Investment*100)&gt;0,(AK6/Investment*100),0)</f>
        <v>488.68793514694852</v>
      </c>
      <c r="T11" s="234">
        <f ca="1">EXP(y_inter1-(slope*LN(S11)))</f>
        <v>4.4348951473326483</v>
      </c>
      <c r="U11" s="235">
        <f ca="1">(+S11*T11/100)/100</f>
        <v>0.21672797521432141</v>
      </c>
      <c r="V11" s="235">
        <f>regDebt_weighted</f>
        <v>3.5860000000000003E-2</v>
      </c>
      <c r="W11" s="235">
        <f ca="1">+U11-V11</f>
        <v>0.18086797521432141</v>
      </c>
      <c r="X11" s="235">
        <f ca="1">+((W11*(1-0.34))-Pfd_weighted)/Equity_percent</f>
        <v>0.32901995244608173</v>
      </c>
      <c r="Y11" s="235">
        <f>+Y9</f>
        <v>2.5000000000000001E-3</v>
      </c>
      <c r="Z11" s="235">
        <f ca="1">+X11+Y11</f>
        <v>0.33151995244608173</v>
      </c>
      <c r="AA11" s="235">
        <f ca="1">Z11*equityP</f>
        <v>0.19891197146764902</v>
      </c>
      <c r="AB11" s="235">
        <f ca="1">+AA11/(1-taxrate)</f>
        <v>0.25178730565525193</v>
      </c>
      <c r="AC11" s="235">
        <f>debtP*Debt_Rate</f>
        <v>1.6572E-2</v>
      </c>
      <c r="AD11" s="235">
        <f ca="1">+AC11+AB11</f>
        <v>0.2683593056552519</v>
      </c>
      <c r="AE11" s="235">
        <f ca="1">+AD11/(S11/100)</f>
        <v>5.4914248205156987E-2</v>
      </c>
      <c r="AF11" s="235">
        <f ca="1">1-AE11</f>
        <v>0.945085751794843</v>
      </c>
      <c r="AG11" s="236">
        <f ca="1">expenses/(AF11)</f>
        <v>1382809.6870646346</v>
      </c>
      <c r="AH11" s="237">
        <f ca="1">+AG11-Revenue</f>
        <v>234336.76439042273</v>
      </c>
      <c r="AI11" s="238">
        <f ca="1">+AH11/$J$49</f>
        <v>254277.81092167619</v>
      </c>
      <c r="AJ11" s="238">
        <f ca="1">+AI11*$J$47</f>
        <v>6450.6977687242452</v>
      </c>
      <c r="AK11" s="236">
        <f ca="1">ROUND(+AJ11+AG11,5)</f>
        <v>1389260.3848300001</v>
      </c>
    </row>
    <row r="12" spans="1:37" ht="15.6">
      <c r="A12" s="194"/>
      <c r="B12" s="218" t="s">
        <v>771</v>
      </c>
      <c r="C12" s="382"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14453.92729041542</v>
      </c>
      <c r="L12" s="222"/>
      <c r="M12" s="241">
        <f ca="1">+K12</f>
        <v>14453.92729041542</v>
      </c>
      <c r="O12" s="225"/>
      <c r="P12" s="194"/>
      <c r="R12" s="242">
        <v>2</v>
      </c>
      <c r="S12" s="243">
        <f ca="1">IF((AK7/Investment*100)&gt;0,(AK7/Investment*100),0)</f>
        <v>488.68793514694852</v>
      </c>
      <c r="T12" s="257">
        <f ca="1">EXP(y_inter2-(slope*LN(+S12)))</f>
        <v>4.3717962830041213</v>
      </c>
      <c r="U12" s="245">
        <f ca="1">(+S12*T12/100)/100</f>
        <v>0.21364440984243888</v>
      </c>
      <c r="V12" s="245">
        <f>regDebt_weighted</f>
        <v>3.5860000000000003E-2</v>
      </c>
      <c r="W12" s="245">
        <f ca="1">+U12-V12</f>
        <v>0.17778440984243887</v>
      </c>
      <c r="X12" s="245">
        <f ca="1">+((W12*(1-0.34))-Pfd_weighted)/Equity_percent</f>
        <v>0.32310380958142343</v>
      </c>
      <c r="Y12" s="245">
        <f>+Y11</f>
        <v>2.5000000000000001E-3</v>
      </c>
      <c r="Z12" s="245">
        <f ca="1">+X12+Y12</f>
        <v>0.32560380958142343</v>
      </c>
      <c r="AA12" s="245">
        <f ca="1">Z12*equityP</f>
        <v>0.19536228574885406</v>
      </c>
      <c r="AB12" s="245">
        <f ca="1">+AA12/(1-taxrate)</f>
        <v>0.24729403259348615</v>
      </c>
      <c r="AC12" s="245">
        <f>debtP*Debt_Rate</f>
        <v>1.6572E-2</v>
      </c>
      <c r="AD12" s="245">
        <f ca="1">+AC12+AB12</f>
        <v>0.26386603259348612</v>
      </c>
      <c r="AE12" s="245">
        <f ca="1">+AD12/(S12/100)</f>
        <v>5.3994791689330655E-2</v>
      </c>
      <c r="AF12" s="245">
        <f ca="1">1-AE12</f>
        <v>0.94600520831066937</v>
      </c>
      <c r="AG12" s="246">
        <f ca="1">expenses/(AF12)</f>
        <v>1381465.6845520167</v>
      </c>
      <c r="AH12" s="247">
        <f ca="1">+AG12-Revenue</f>
        <v>232992.76187780476</v>
      </c>
      <c r="AI12" s="248">
        <f ca="1">+AH12/$J$49</f>
        <v>252819.43960008389</v>
      </c>
      <c r="AJ12" s="248">
        <f ca="1">+AI12*$J$47</f>
        <v>6413.7007826480021</v>
      </c>
      <c r="AK12" s="246">
        <f t="shared" ref="AK12:AK14" ca="1" si="8">ROUND(+AJ12+AG12,5)</f>
        <v>1387879.38533</v>
      </c>
    </row>
    <row r="13" spans="1:37" ht="15.6">
      <c r="A13" s="194"/>
      <c r="B13" s="218" t="s">
        <v>773</v>
      </c>
      <c r="C13" s="382"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488.68793514694852</v>
      </c>
      <c r="T13" s="244">
        <f ca="1">EXP(y_inter3-(slope*LN(S13)))</f>
        <v>4.329291805787804</v>
      </c>
      <c r="U13" s="245">
        <f ca="1">(+S13*T13/100)/100</f>
        <v>0.21156726732190459</v>
      </c>
      <c r="V13" s="245">
        <f>regDebt_weighted</f>
        <v>3.5860000000000003E-2</v>
      </c>
      <c r="W13" s="245">
        <f ca="1">+U13-V13</f>
        <v>0.17570726732190459</v>
      </c>
      <c r="X13" s="245">
        <f ca="1">+((W13*(1-0.34))-Pfd_weighted)/Equity_percent</f>
        <v>0.31911859428039829</v>
      </c>
      <c r="Y13" s="245">
        <f>+Y12</f>
        <v>2.5000000000000001E-3</v>
      </c>
      <c r="Z13" s="245">
        <f t="shared" ref="Z13:Z14" ca="1" si="9">+X13+Y13</f>
        <v>0.3216185942803983</v>
      </c>
      <c r="AA13" s="245">
        <f ca="1">Z13*equityP</f>
        <v>0.19297115656823896</v>
      </c>
      <c r="AB13" s="245">
        <f ca="1">+AA13/(1-taxrate)</f>
        <v>0.24426728679523918</v>
      </c>
      <c r="AC13" s="245">
        <f>debtP*Debt_Rate</f>
        <v>1.6572E-2</v>
      </c>
      <c r="AD13" s="245">
        <f ca="1">+AC13+AB13</f>
        <v>0.26083928679523916</v>
      </c>
      <c r="AE13" s="245">
        <f ca="1">+AD13/(S13/100)</f>
        <v>5.3375430010729599E-2</v>
      </c>
      <c r="AF13" s="245">
        <f ca="1">1-AE13</f>
        <v>0.94662456998927036</v>
      </c>
      <c r="AG13" s="246">
        <f ca="1">expenses/(AF13)</f>
        <v>1380561.813120364</v>
      </c>
      <c r="AH13" s="247">
        <f ca="1">+AG13-Revenue</f>
        <v>232088.89044615207</v>
      </c>
      <c r="AI13" s="248">
        <f ca="1">+AH13/$J$49</f>
        <v>251838.65261348727</v>
      </c>
      <c r="AJ13" s="248">
        <f ca="1">+AI13*$J$47</f>
        <v>6388.8194907920588</v>
      </c>
      <c r="AK13" s="246">
        <f t="shared" ca="1" si="8"/>
        <v>1386950.63261</v>
      </c>
    </row>
    <row r="14" spans="1:37" ht="16.2" thickBot="1">
      <c r="A14" s="194"/>
      <c r="B14" s="258" t="s">
        <v>774</v>
      </c>
      <c r="C14" s="382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54374.297902038954</v>
      </c>
      <c r="L14" s="222"/>
      <c r="M14" s="259">
        <f ca="1">+M9-SUM(M11:M13)</f>
        <v>54374.297902038954</v>
      </c>
      <c r="O14" s="225"/>
      <c r="P14" s="194"/>
      <c r="R14" s="254">
        <v>4</v>
      </c>
      <c r="S14" s="243">
        <f ca="1">IF((AK9/Investment*100)&gt;0,(AK9/Investment*100),0)</f>
        <v>488.68793514694852</v>
      </c>
      <c r="T14" s="260">
        <f ca="1">EXP(y_inter4-(slope*LN(S14)))</f>
        <v>4.3021030020699591</v>
      </c>
      <c r="U14" s="245">
        <f ca="1">(+S14*T14/100)/100</f>
        <v>0.21023858328710568</v>
      </c>
      <c r="V14" s="245">
        <f>regDebt_weighted</f>
        <v>3.5860000000000003E-2</v>
      </c>
      <c r="W14" s="245">
        <f ca="1">+U14-V14</f>
        <v>0.17437858328710568</v>
      </c>
      <c r="X14" s="245">
        <f ca="1">+((W14*(1-0.34))-Pfd_weighted)/Equity_percent</f>
        <v>0.31656937491130738</v>
      </c>
      <c r="Y14" s="245">
        <f>+Y13</f>
        <v>2.5000000000000001E-3</v>
      </c>
      <c r="Z14" s="245">
        <f t="shared" ca="1" si="9"/>
        <v>0.31906937491130738</v>
      </c>
      <c r="AA14" s="245">
        <f ca="1">Z14*equityP</f>
        <v>0.19144162494678443</v>
      </c>
      <c r="AB14" s="245">
        <f ca="1">+AA14/(1-taxrate)</f>
        <v>0.24233117081871447</v>
      </c>
      <c r="AC14" s="245">
        <f>debtP*Debt_Rate</f>
        <v>1.6572E-2</v>
      </c>
      <c r="AD14" s="245">
        <f ca="1">+AC14+AB14</f>
        <v>0.25890317081871445</v>
      </c>
      <c r="AE14" s="245">
        <f ca="1">+AD14/(S14/100)</f>
        <v>5.2979243439038912E-2</v>
      </c>
      <c r="AF14" s="245">
        <f ca="1">1-AE14</f>
        <v>0.94702075656096107</v>
      </c>
      <c r="AG14" s="246">
        <f ca="1">expenses/(AF14)</f>
        <v>1379984.2544470634</v>
      </c>
      <c r="AH14" s="247">
        <f ca="1">+AG14-Revenue</f>
        <v>231511.33177285152</v>
      </c>
      <c r="AI14" s="248">
        <f ca="1">+AH14/$J$49</f>
        <v>251211.94619160882</v>
      </c>
      <c r="AJ14" s="248">
        <f ca="1">+AI14*$J$47</f>
        <v>6372.9207629297925</v>
      </c>
      <c r="AK14" s="246">
        <f t="shared" ca="1" si="8"/>
        <v>1386357.17521</v>
      </c>
    </row>
    <row r="15" spans="1:37" ht="16.2" thickTop="1">
      <c r="A15" s="194"/>
      <c r="B15" s="258" t="s">
        <v>776</v>
      </c>
      <c r="C15" s="261"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1.1379229818023264</v>
      </c>
      <c r="J16" s="264"/>
      <c r="K16" s="263">
        <f ca="1">+K8/K7</f>
        <v>0.94670100000000001</v>
      </c>
      <c r="L16" s="265"/>
      <c r="M16" s="263">
        <f ca="1">+M8/M7</f>
        <v>0.94694641772464927</v>
      </c>
      <c r="O16" s="225"/>
      <c r="P16" s="194"/>
      <c r="R16" s="232">
        <v>1</v>
      </c>
      <c r="S16" s="233">
        <f ca="1">AK11/Investment*100</f>
        <v>484.85450102458378</v>
      </c>
      <c r="T16" s="234">
        <f ca="1">EXP(y_inter1-(slope*LN(+S16)))</f>
        <v>4.4588373939990529</v>
      </c>
      <c r="U16" s="235">
        <f ca="1">(+S16*T16/100)/100</f>
        <v>0.21618873798171662</v>
      </c>
      <c r="V16" s="235">
        <f>regDebt_weighted</f>
        <v>3.5860000000000003E-2</v>
      </c>
      <c r="W16" s="235">
        <f ca="1">+U16-V16</f>
        <v>0.18032873798171661</v>
      </c>
      <c r="X16" s="235">
        <f ca="1">+((W16*(1-0.34))-Pfd_weighted)/Equity_percent</f>
        <v>0.32798536938352607</v>
      </c>
      <c r="Y16" s="235">
        <f>+Y14</f>
        <v>2.5000000000000001E-3</v>
      </c>
      <c r="Z16" s="235">
        <f ca="1">+X16+Y16</f>
        <v>0.33048536938352607</v>
      </c>
      <c r="AA16" s="235">
        <f ca="1">Z16*equityP</f>
        <v>0.19829122163011564</v>
      </c>
      <c r="AB16" s="235">
        <f ca="1">+AA16/(1-taxrate)</f>
        <v>0.25100154636723498</v>
      </c>
      <c r="AC16" s="235">
        <f>debtP*Debt_Rate</f>
        <v>1.6572E-2</v>
      </c>
      <c r="AD16" s="235">
        <f ca="1">+AC16+AB16</f>
        <v>0.26757354636723496</v>
      </c>
      <c r="AE16" s="235">
        <f ca="1">+AD16/(S16/100)</f>
        <v>5.5186359165853772E-2</v>
      </c>
      <c r="AF16" s="235">
        <f ca="1">1-AE16</f>
        <v>0.94481364083414621</v>
      </c>
      <c r="AG16" s="236">
        <f ca="1">expenses/(AF16)</f>
        <v>1383207.9430340086</v>
      </c>
      <c r="AH16" s="237">
        <f ca="1">+AG16-Revenue</f>
        <v>234735.0203597967</v>
      </c>
      <c r="AI16" s="238">
        <f ca="1">+AH16/$J$49</f>
        <v>254709.95675394597</v>
      </c>
      <c r="AJ16" s="238">
        <f ca="1">+AI16*$J$47</f>
        <v>6461.6607471527668</v>
      </c>
      <c r="AK16" s="236">
        <f ca="1">ROUND(+AJ16+AG16,5)</f>
        <v>1389669.60378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484.37252958798399</v>
      </c>
      <c r="T17" s="257">
        <f ca="1">EXP(y_inter2-(slope*LN(+S17)))</f>
        <v>4.3983875189680504</v>
      </c>
      <c r="U17" s="245">
        <f ca="1">(+S17*T17/100)/100</f>
        <v>0.21304580886707711</v>
      </c>
      <c r="V17" s="245">
        <f>regDebt_weighted</f>
        <v>3.5860000000000003E-2</v>
      </c>
      <c r="W17" s="245">
        <f ca="1">+U17-V17</f>
        <v>0.1771858088670771</v>
      </c>
      <c r="X17" s="245">
        <f ca="1">+((W17*(1-0.34))-Pfd_weighted)/Equity_percent</f>
        <v>0.32195533096590373</v>
      </c>
      <c r="Y17" s="245">
        <f>+Y16</f>
        <v>2.5000000000000001E-3</v>
      </c>
      <c r="Z17" s="245">
        <f ca="1">+X17+Y17</f>
        <v>0.32445533096590373</v>
      </c>
      <c r="AA17" s="245">
        <f ca="1">Z17*equityP</f>
        <v>0.19467319857954224</v>
      </c>
      <c r="AB17" s="245">
        <f ca="1">+AA17/(1-taxrate)</f>
        <v>0.24642177035385093</v>
      </c>
      <c r="AC17" s="245">
        <f>debtP*Debt_Rate</f>
        <v>1.6572E-2</v>
      </c>
      <c r="AD17" s="245">
        <f ca="1">+AC17+AB17</f>
        <v>0.26299377035385091</v>
      </c>
      <c r="AE17" s="245">
        <f ca="1">+AD17/(S17/100)</f>
        <v>5.4295764992609748E-2</v>
      </c>
      <c r="AF17" s="245">
        <f ca="1">1-AE17</f>
        <v>0.9457042350073902</v>
      </c>
      <c r="AG17" s="246">
        <f ca="1">expenses/(AF17)</f>
        <v>1381905.3402869231</v>
      </c>
      <c r="AH17" s="247">
        <f ca="1">+AG17-Revenue</f>
        <v>233432.4176127112</v>
      </c>
      <c r="AI17" s="248">
        <f ca="1">+AH17/$J$49</f>
        <v>253296.5081391242</v>
      </c>
      <c r="AJ17" s="248">
        <f ca="1">+AI17*$J$47</f>
        <v>6425.8033917949078</v>
      </c>
      <c r="AK17" s="246">
        <f t="shared" ref="AK17:AK19" ca="1" si="10">ROUND(+AJ17+AG17,5)</f>
        <v>1388331.14368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484.04839313268155</v>
      </c>
      <c r="T18" s="244">
        <f ca="1">EXP(y_inter3-(slope*LN(S18)))</f>
        <v>4.3576183492614113</v>
      </c>
      <c r="U18" s="245">
        <f ca="1">(+S18*T18/100)/100</f>
        <v>0.21092981598454746</v>
      </c>
      <c r="V18" s="245">
        <f>regDebt_weighted</f>
        <v>3.5860000000000003E-2</v>
      </c>
      <c r="W18" s="245">
        <f ca="1">+U18-V18</f>
        <v>0.17506981598454746</v>
      </c>
      <c r="X18" s="245">
        <f ca="1">+((W18*(1-0.34))-Pfd_weighted)/Equity_percent</f>
        <v>0.317895577179655</v>
      </c>
      <c r="Y18" s="245">
        <f>+Y17</f>
        <v>2.5000000000000001E-3</v>
      </c>
      <c r="Z18" s="245">
        <f t="shared" ref="Z18:Z19" ca="1" si="11">+X18+Y18</f>
        <v>0.320395577179655</v>
      </c>
      <c r="AA18" s="245">
        <f ca="1">Z18*equityP</f>
        <v>0.19223734630779299</v>
      </c>
      <c r="AB18" s="245">
        <f ca="1">+AA18/(1-taxrate)</f>
        <v>0.24333841304783921</v>
      </c>
      <c r="AC18" s="245">
        <f>debtP*Debt_Rate</f>
        <v>1.6572E-2</v>
      </c>
      <c r="AD18" s="245">
        <f ca="1">+AC18+AB18</f>
        <v>0.25991041304783918</v>
      </c>
      <c r="AE18" s="245">
        <f ca="1">+AD18/(S18/100)</f>
        <v>5.3695129812484609E-2</v>
      </c>
      <c r="AF18" s="245">
        <f ca="1">1-AE18</f>
        <v>0.94630487018751541</v>
      </c>
      <c r="AG18" s="246">
        <f ca="1">expenses/(AF18)</f>
        <v>1381028.222363167</v>
      </c>
      <c r="AH18" s="247">
        <f ca="1">+AG18-Revenue</f>
        <v>232555.29968895507</v>
      </c>
      <c r="AI18" s="248">
        <f ca="1">+AH18/$J$49</f>
        <v>252344.75126839566</v>
      </c>
      <c r="AJ18" s="248">
        <f ca="1">+AI18*$J$47</f>
        <v>6401.6585562698456</v>
      </c>
      <c r="AK18" s="246">
        <f t="shared" ca="1" si="10"/>
        <v>1387429.8809199999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1148472.9226742119</v>
      </c>
      <c r="K19" s="271"/>
      <c r="L19" s="240" t="s">
        <v>785</v>
      </c>
      <c r="M19" s="272">
        <f ca="1">+J7</f>
        <v>231977.43355090241</v>
      </c>
      <c r="O19" s="194"/>
      <c r="P19" s="194"/>
      <c r="R19" s="254">
        <v>4</v>
      </c>
      <c r="S19" s="243">
        <f ca="1">AK14/Investment*100</f>
        <v>483.84127537801271</v>
      </c>
      <c r="T19" s="260">
        <f ca="1">EXP(y_inter4-(slope*LN(S19)))</f>
        <v>4.3315188478517674</v>
      </c>
      <c r="U19" s="245">
        <f ca="1">(+S19*T19/100)/100</f>
        <v>0.20957676036684994</v>
      </c>
      <c r="V19" s="245">
        <f>regDebt_weighted</f>
        <v>3.5860000000000003E-2</v>
      </c>
      <c r="W19" s="245">
        <f ca="1">+U19-V19</f>
        <v>0.17371676036684994</v>
      </c>
      <c r="X19" s="245">
        <f ca="1">+((W19*(1-0.34))-Pfd_weighted)/Equity_percent</f>
        <v>0.31529959837825855</v>
      </c>
      <c r="Y19" s="245">
        <f>+Y18</f>
        <v>2.5000000000000001E-3</v>
      </c>
      <c r="Z19" s="245">
        <f t="shared" ca="1" si="11"/>
        <v>0.31779959837825855</v>
      </c>
      <c r="AA19" s="245">
        <f ca="1">Z19*equityP</f>
        <v>0.19067975902695514</v>
      </c>
      <c r="AB19" s="245">
        <f ca="1">+AA19/(1-taxrate)</f>
        <v>0.24136678357842423</v>
      </c>
      <c r="AC19" s="245">
        <f>debtP*Debt_Rate</f>
        <v>1.6572E-2</v>
      </c>
      <c r="AD19" s="245">
        <f ca="1">+AC19+AB19</f>
        <v>0.2579387835784242</v>
      </c>
      <c r="AE19" s="245">
        <f ca="1">+AD19/(S19/100)</f>
        <v>5.3310619970754515E-2</v>
      </c>
      <c r="AF19" s="245">
        <f ca="1">1-AE19</f>
        <v>0.94668938002924552</v>
      </c>
      <c r="AG19" s="246">
        <f ca="1">expenses/(AF19)</f>
        <v>1380467.3003179771</v>
      </c>
      <c r="AH19" s="247">
        <f ca="1">+AG19-Revenue</f>
        <v>231994.37764376518</v>
      </c>
      <c r="AI19" s="248">
        <f ca="1">+AH19/$J$49</f>
        <v>251736.09717982524</v>
      </c>
      <c r="AJ19" s="248">
        <f ca="1">+AI19*$J$47</f>
        <v>6386.2177926545128</v>
      </c>
      <c r="AK19" s="246">
        <f t="shared" ca="1" si="10"/>
        <v>1386853.5181100001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238363.18491558381</v>
      </c>
      <c r="K20" s="273"/>
      <c r="L20" s="240" t="s">
        <v>787</v>
      </c>
      <c r="M20" s="272">
        <f ca="1">+L8</f>
        <v>6385.7513646814623</v>
      </c>
      <c r="O20" s="194"/>
      <c r="P20" s="383">
        <f ca="1">9.51*(1+K22)</f>
        <v>11.483780873535</v>
      </c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1386836.1075897957</v>
      </c>
      <c r="L21" s="274" t="s">
        <v>786</v>
      </c>
      <c r="M21" s="276">
        <f ca="1">+M19+M20</f>
        <v>238363.18491558387</v>
      </c>
      <c r="O21" s="194"/>
      <c r="P21" s="194">
        <v>343056</v>
      </c>
      <c r="R21" s="232">
        <v>1</v>
      </c>
      <c r="S21" s="233">
        <f ca="1">AK16/Investment*100</f>
        <v>484.99731921185713</v>
      </c>
      <c r="T21" s="234">
        <f ca="1">EXP(y_inter1-(slope*LN(+S21)))</f>
        <v>4.4579396912282041</v>
      </c>
      <c r="U21" s="235">
        <f ca="1">(+S21*T21/100)/100</f>
        <v>0.21620887994538129</v>
      </c>
      <c r="V21" s="235">
        <f>regDebt_weighted</f>
        <v>3.5860000000000003E-2</v>
      </c>
      <c r="W21" s="235">
        <f ca="1">+U21-V21</f>
        <v>0.18034887994538129</v>
      </c>
      <c r="X21" s="235">
        <f ca="1">+((W21*(1-0.34))-Pfd_weighted)/Equity_percent</f>
        <v>0.32802401384869662</v>
      </c>
      <c r="Y21" s="235">
        <f>+Y19</f>
        <v>2.5000000000000001E-3</v>
      </c>
      <c r="Z21" s="235">
        <f ca="1">+X21+Y21</f>
        <v>0.33052401384869662</v>
      </c>
      <c r="AA21" s="235">
        <f ca="1">Z21*equityP</f>
        <v>0.19831440830921795</v>
      </c>
      <c r="AB21" s="235">
        <f ca="1">+AA21/(1-taxrate)</f>
        <v>0.25103089659394678</v>
      </c>
      <c r="AC21" s="235">
        <f>debtP*Debt_Rate</f>
        <v>1.6572E-2</v>
      </c>
      <c r="AD21" s="235">
        <f ca="1">+AC21+AB21</f>
        <v>0.26760289659394676</v>
      </c>
      <c r="AE21" s="235">
        <f ca="1">+AD21/(S21/100)</f>
        <v>5.5176159948433064E-2</v>
      </c>
      <c r="AF21" s="235">
        <f ca="1">1-AE21</f>
        <v>0.94482384005156694</v>
      </c>
      <c r="AG21" s="236">
        <f ca="1">expenses/(AF21)</f>
        <v>1383193.0115325465</v>
      </c>
      <c r="AH21" s="237">
        <f ca="1">+AG21-Revenue</f>
        <v>234720.08885833458</v>
      </c>
      <c r="AI21" s="238">
        <f ca="1">+AH21/$J$49</f>
        <v>254693.75464619973</v>
      </c>
      <c r="AJ21" s="238">
        <f ca="1">+AI21*$J$47</f>
        <v>6461.2497207249853</v>
      </c>
      <c r="AK21" s="236">
        <f ca="1">ROUND(+AJ21+AG21,5)</f>
        <v>1389654.26125</v>
      </c>
    </row>
    <row r="22" spans="1:37" ht="21" customHeight="1" thickTop="1">
      <c r="A22" s="194"/>
      <c r="B22" s="267"/>
      <c r="C22" s="194"/>
      <c r="D22" s="194"/>
      <c r="E22" s="194">
        <f ca="1">5.79*(1+K22)</f>
        <v>6.9917025507642121</v>
      </c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0.20754793622870671</v>
      </c>
      <c r="L22" s="279"/>
      <c r="M22" s="282"/>
      <c r="O22" s="194"/>
      <c r="P22" s="194"/>
      <c r="R22" s="242">
        <v>2</v>
      </c>
      <c r="S22" s="243">
        <f ca="1">AK17/Investment*100</f>
        <v>484.53019410628781</v>
      </c>
      <c r="T22" s="257">
        <f ca="1">EXP(y_inter2-(slope*LN(+S22)))</f>
        <v>4.3974089859376013</v>
      </c>
      <c r="U22" s="245">
        <f ca="1">(+S22*T22/100)/100</f>
        <v>0.21306774295210804</v>
      </c>
      <c r="V22" s="245">
        <f>regDebt_weighted</f>
        <v>3.5860000000000003E-2</v>
      </c>
      <c r="W22" s="245">
        <f ca="1">+U22-V22</f>
        <v>0.17720774295210803</v>
      </c>
      <c r="X22" s="245">
        <f ca="1">+((W22*(1-0.34))-Pfd_weighted)/Equity_percent</f>
        <v>0.32199741380346308</v>
      </c>
      <c r="Y22" s="245">
        <f>+Y21</f>
        <v>2.5000000000000001E-3</v>
      </c>
      <c r="Z22" s="245">
        <f ca="1">+X22+Y22</f>
        <v>0.32449741380346309</v>
      </c>
      <c r="AA22" s="245">
        <f ca="1">Z22*equityP</f>
        <v>0.19469844828207786</v>
      </c>
      <c r="AB22" s="245">
        <f ca="1">+AA22/(1-taxrate)</f>
        <v>0.24645373200263018</v>
      </c>
      <c r="AC22" s="245">
        <f>debtP*Debt_Rate</f>
        <v>1.6572E-2</v>
      </c>
      <c r="AD22" s="245">
        <f ca="1">+AC22+AB22</f>
        <v>0.26302573200263019</v>
      </c>
      <c r="AE22" s="245">
        <f ca="1">+AD22/(S22/100)</f>
        <v>5.4284693751186983E-2</v>
      </c>
      <c r="AF22" s="245">
        <f ca="1">1-AE22</f>
        <v>0.94571530624881306</v>
      </c>
      <c r="AG22" s="246">
        <f ca="1">expenses/(AF22)</f>
        <v>1381889.1626830029</v>
      </c>
      <c r="AH22" s="247">
        <f ca="1">+AG22-Revenue</f>
        <v>233416.24000879098</v>
      </c>
      <c r="AI22" s="248">
        <f ca="1">+AH22/$J$49</f>
        <v>253278.95389098267</v>
      </c>
      <c r="AJ22" s="248">
        <f ca="1">+AI22*$J$47</f>
        <v>6425.3580633216607</v>
      </c>
      <c r="AK22" s="246">
        <f t="shared" ref="AK22:AK24" ca="1" si="12">ROUND(+AJ22+AG22,5)</f>
        <v>1388314.5207499999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484.21565169900163</v>
      </c>
      <c r="T23" s="244">
        <f ca="1">EXP(y_inter3-(slope*LN(S23)))</f>
        <v>4.3565892222182887</v>
      </c>
      <c r="U23" s="245">
        <f ca="1">(+S23*T23/100)/100</f>
        <v>0.21095286894212756</v>
      </c>
      <c r="V23" s="245">
        <f>regDebt_weighted</f>
        <v>3.5860000000000003E-2</v>
      </c>
      <c r="W23" s="245">
        <f ca="1">+U23-V23</f>
        <v>0.17509286894212756</v>
      </c>
      <c r="X23" s="245">
        <f ca="1">+((W23*(1-0.34))-Pfd_weighted)/Equity_percent</f>
        <v>0.31793980669129124</v>
      </c>
      <c r="Y23" s="245">
        <f>+Y22</f>
        <v>2.5000000000000001E-3</v>
      </c>
      <c r="Z23" s="245">
        <f t="shared" ref="Z23:Z24" ca="1" si="13">+X23+Y23</f>
        <v>0.32043980669129124</v>
      </c>
      <c r="AA23" s="245">
        <f ca="1">Z23*equityP</f>
        <v>0.19226388401477473</v>
      </c>
      <c r="AB23" s="245">
        <f ca="1">+AA23/(1-taxrate)</f>
        <v>0.24337200508199333</v>
      </c>
      <c r="AC23" s="245">
        <f>debtP*Debt_Rate</f>
        <v>1.6572E-2</v>
      </c>
      <c r="AD23" s="245">
        <f ca="1">+AC23+AB23</f>
        <v>0.25994400508199333</v>
      </c>
      <c r="AE23" s="245">
        <f ca="1">+AD23/(S23/100)</f>
        <v>5.3683519764367277E-2</v>
      </c>
      <c r="AF23" s="245">
        <f ca="1">1-AE23</f>
        <v>0.94631648023563275</v>
      </c>
      <c r="AG23" s="246">
        <f ca="1">expenses/(AF23)</f>
        <v>1381011.2789785299</v>
      </c>
      <c r="AH23" s="247">
        <f ca="1">+AG23-Revenue</f>
        <v>232538.35630431795</v>
      </c>
      <c r="AI23" s="248">
        <f ca="1">+AH23/$J$49</f>
        <v>252326.3660749057</v>
      </c>
      <c r="AJ23" s="248">
        <f ca="1">+AI23*$J$47</f>
        <v>6401.192147792467</v>
      </c>
      <c r="AK23" s="246">
        <f t="shared" ca="1" si="12"/>
        <v>1387412.47113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484.01449998856413</v>
      </c>
      <c r="T24" s="260">
        <f ca="1">EXP(y_inter4-(slope*LN(S24)))</f>
        <v>4.3304589535929585</v>
      </c>
      <c r="U24" s="245">
        <f ca="1">(+S24*T24/100)/100</f>
        <v>0.20960049251442964</v>
      </c>
      <c r="V24" s="245">
        <f>regDebt_weighted</f>
        <v>3.5860000000000003E-2</v>
      </c>
      <c r="W24" s="245">
        <f ca="1">+U24-V24</f>
        <v>0.17374049251442963</v>
      </c>
      <c r="X24" s="245">
        <f ca="1">+((W24*(1-0.34))-Pfd_weighted)/Equity_percent</f>
        <v>0.31534513098698708</v>
      </c>
      <c r="Y24" s="245">
        <f>+Y23</f>
        <v>2.5000000000000001E-3</v>
      </c>
      <c r="Z24" s="245">
        <f t="shared" ca="1" si="13"/>
        <v>0.31784513098698708</v>
      </c>
      <c r="AA24" s="245">
        <f ca="1">Z24*equityP</f>
        <v>0.19070707859219224</v>
      </c>
      <c r="AB24" s="245">
        <f ca="1">+AA24/(1-taxrate)</f>
        <v>0.24140136530657244</v>
      </c>
      <c r="AC24" s="245">
        <f>debtP*Debt_Rate</f>
        <v>1.6572E-2</v>
      </c>
      <c r="AD24" s="245">
        <f ca="1">+AC24+AB24</f>
        <v>0.25797336530657244</v>
      </c>
      <c r="AE24" s="245">
        <f ca="1">+AD24/(S24/100)</f>
        <v>5.3298685331259213E-2</v>
      </c>
      <c r="AF24" s="245">
        <f ca="1">1-AE24</f>
        <v>0.94670131466874075</v>
      </c>
      <c r="AG24" s="246">
        <f ca="1">expenses/(AF24)</f>
        <v>1380449.8973849621</v>
      </c>
      <c r="AH24" s="247">
        <f ca="1">+AG24-Revenue</f>
        <v>231976.97471075016</v>
      </c>
      <c r="AI24" s="248">
        <f ca="1">+AH24/$J$49</f>
        <v>251717.21333237525</v>
      </c>
      <c r="AJ24" s="248">
        <f ca="1">+AI24*$J$47</f>
        <v>6385.7387339738943</v>
      </c>
      <c r="AK24" s="246">
        <f t="shared" ca="1" si="12"/>
        <v>1386835.6361199999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171918.83939131172</v>
      </c>
      <c r="K26" s="263">
        <f ca="1">+K34</f>
        <v>0.31627887958384432</v>
      </c>
      <c r="L26" s="293">
        <f ca="1">+K26*I26</f>
        <v>0.18976732775030658</v>
      </c>
      <c r="M26" s="241">
        <f ca="1">+J26*K26</f>
        <v>54374.297902038947</v>
      </c>
      <c r="O26" s="194"/>
      <c r="P26" s="194"/>
      <c r="R26" s="232">
        <v>1</v>
      </c>
      <c r="S26" s="233">
        <f ca="1">AK21/Investment*100</f>
        <v>484.9919646398784</v>
      </c>
      <c r="T26" s="234">
        <f ca="1">EXP(y_inter1-(slope*LN(+S26)))</f>
        <v>4.4579733400739556</v>
      </c>
      <c r="U26" s="235">
        <f ca="1">(+S26*T26/100)/100</f>
        <v>0.21620812485146687</v>
      </c>
      <c r="V26" s="235">
        <f>regDebt_weighted</f>
        <v>3.5860000000000003E-2</v>
      </c>
      <c r="W26" s="235">
        <f ca="1">+U26-V26</f>
        <v>0.18034812485146687</v>
      </c>
      <c r="X26" s="235">
        <f ca="1">+((W26*(1-0.34))-Pfd_weighted)/Equity_percent</f>
        <v>0.3280225651220004</v>
      </c>
      <c r="Y26" s="235">
        <f>+Y24</f>
        <v>2.5000000000000001E-3</v>
      </c>
      <c r="Z26" s="235">
        <f ca="1">+X26+Y26</f>
        <v>0.3305225651220004</v>
      </c>
      <c r="AA26" s="235">
        <f ca="1">Z26*equityP</f>
        <v>0.19831353907320023</v>
      </c>
      <c r="AB26" s="235">
        <f ca="1">+AA26/(1-taxrate)</f>
        <v>0.25102979629519018</v>
      </c>
      <c r="AC26" s="235">
        <f>debtP*Debt_Rate</f>
        <v>1.6572E-2</v>
      </c>
      <c r="AD26" s="235">
        <f ca="1">+AC26+AB26</f>
        <v>0.26760179629519015</v>
      </c>
      <c r="AE26" s="235">
        <f ca="1">+AD26/(S26/100)</f>
        <v>5.517654225341502E-2</v>
      </c>
      <c r="AF26" s="235">
        <f ca="1">1-AE26</f>
        <v>0.94482345774658494</v>
      </c>
      <c r="AG26" s="236">
        <f ca="1">expenses/(AF26)</f>
        <v>1383193.5712154957</v>
      </c>
      <c r="AH26" s="237">
        <f ca="1">+AG26-Revenue</f>
        <v>234720.64854128379</v>
      </c>
      <c r="AI26" s="238">
        <f ca="1">+AH26/$J$49</f>
        <v>254694.36195575059</v>
      </c>
      <c r="AJ26" s="238">
        <f ca="1">+AI26*$J$47</f>
        <v>6461.2651273794254</v>
      </c>
      <c r="AK26" s="236">
        <f ca="1">ROUND(+AJ26+AG26,5)</f>
        <v>1389654.8363399999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114612.55959420782</v>
      </c>
      <c r="K27" s="263">
        <f>IF(A64=TRUE,C9,0)</f>
        <v>4.1430000000000002E-2</v>
      </c>
      <c r="L27" s="293">
        <f>+K27*I27</f>
        <v>1.6572E-2</v>
      </c>
      <c r="M27" s="241">
        <f>+K27*J27</f>
        <v>4748.3983439880303</v>
      </c>
      <c r="O27" s="194"/>
      <c r="P27" s="194"/>
      <c r="R27" s="242">
        <v>2</v>
      </c>
      <c r="S27" s="243">
        <f ca="1">AK22/Investment*100</f>
        <v>484.52439267228834</v>
      </c>
      <c r="T27" s="257">
        <f ca="1">EXP(y_inter2-(slope*LN(+S27)))</f>
        <v>4.3974449826029174</v>
      </c>
      <c r="U27" s="245">
        <f ca="1">(+S27*T27/100)/100</f>
        <v>0.21306693595054804</v>
      </c>
      <c r="V27" s="245">
        <f>regDebt_weighted</f>
        <v>3.5860000000000003E-2</v>
      </c>
      <c r="W27" s="245">
        <f ca="1">+U27-V27</f>
        <v>0.17720693595054804</v>
      </c>
      <c r="X27" s="245">
        <f ca="1">+((W27*(1-0.34))-Pfd_weighted)/Equity_percent</f>
        <v>0.32199586548651654</v>
      </c>
      <c r="Y27" s="245">
        <f>+Y26</f>
        <v>2.5000000000000001E-3</v>
      </c>
      <c r="Z27" s="245">
        <f ca="1">+X27+Y27</f>
        <v>0.32449586548651654</v>
      </c>
      <c r="AA27" s="245">
        <f ca="1">Z27*equityP</f>
        <v>0.19469751929190993</v>
      </c>
      <c r="AB27" s="245">
        <f ca="1">+AA27/(1-taxrate)</f>
        <v>0.24645255606570876</v>
      </c>
      <c r="AC27" s="245">
        <f>debtP*Debt_Rate</f>
        <v>1.6572E-2</v>
      </c>
      <c r="AD27" s="245">
        <f ca="1">+AC27+AB27</f>
        <v>0.26302455606570874</v>
      </c>
      <c r="AE27" s="245">
        <f ca="1">+AD27/(S27/100)</f>
        <v>5.428510102763956E-2</v>
      </c>
      <c r="AF27" s="245">
        <f ca="1">1-AE27</f>
        <v>0.9457148989723605</v>
      </c>
      <c r="AG27" s="246">
        <f ca="1">expenses/(AF27)</f>
        <v>1381889.7577998997</v>
      </c>
      <c r="AH27" s="247">
        <f ca="1">+AG27-Revenue</f>
        <v>233416.83512568776</v>
      </c>
      <c r="AI27" s="248">
        <f ca="1">+AH27/$J$49</f>
        <v>253279.599649757</v>
      </c>
      <c r="AJ27" s="248">
        <f ca="1">+AI27*$J$47</f>
        <v>6425.3744453829568</v>
      </c>
      <c r="AK27" s="246">
        <f t="shared" ref="AK27:AK29" ca="1" si="14">ROUND(+AJ27+AG27,5)</f>
        <v>1388315.13225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286531.39898551954</v>
      </c>
      <c r="K28" s="297"/>
      <c r="L28" s="298">
        <f ca="1">SUM(L26:L27)</f>
        <v>0.20633932775030658</v>
      </c>
      <c r="M28" s="296">
        <f ca="1">SUM(M26:M27)</f>
        <v>59122.696246026979</v>
      </c>
      <c r="O28" s="194"/>
      <c r="P28" s="194"/>
      <c r="R28" s="251">
        <v>3</v>
      </c>
      <c r="S28" s="243">
        <f ca="1">AK23/Investment*100</f>
        <v>484.20957564937436</v>
      </c>
      <c r="T28" s="244">
        <f ca="1">EXP(y_inter3-(slope*LN(S28)))</f>
        <v>4.3566265971331957</v>
      </c>
      <c r="U28" s="245">
        <f ca="1">(+S28*T28/100)/100</f>
        <v>0.21095203158606424</v>
      </c>
      <c r="V28" s="245">
        <f>regDebt_weighted</f>
        <v>3.5860000000000003E-2</v>
      </c>
      <c r="W28" s="245">
        <f ca="1">+U28-V28</f>
        <v>0.17509203158606423</v>
      </c>
      <c r="X28" s="245">
        <f ca="1">+((W28*(1-0.34))-Pfd_weighted)/Equity_percent</f>
        <v>0.31793820013605345</v>
      </c>
      <c r="Y28" s="245">
        <f>+Y27</f>
        <v>2.5000000000000001E-3</v>
      </c>
      <c r="Z28" s="245">
        <f t="shared" ref="Z28:Z29" ca="1" si="15">+X28+Y28</f>
        <v>0.32043820013605345</v>
      </c>
      <c r="AA28" s="245">
        <f ca="1">Z28*equityP</f>
        <v>0.19226292008163207</v>
      </c>
      <c r="AB28" s="245">
        <f ca="1">+AA28/(1-taxrate)</f>
        <v>0.24337078491345829</v>
      </c>
      <c r="AC28" s="245">
        <f>debtP*Debt_Rate</f>
        <v>1.6572E-2</v>
      </c>
      <c r="AD28" s="245">
        <f ca="1">+AC28+AB28</f>
        <v>0.25994278491345829</v>
      </c>
      <c r="AE28" s="245">
        <f ca="1">+AD28/(S28/100)</f>
        <v>5.3683941414179703E-2</v>
      </c>
      <c r="AF28" s="245">
        <f ca="1">1-AE28</f>
        <v>0.94631605858582035</v>
      </c>
      <c r="AG28" s="246">
        <f ca="1">expenses/(AF28)</f>
        <v>1381011.8943153843</v>
      </c>
      <c r="AH28" s="247">
        <f ca="1">+AG28-Revenue</f>
        <v>232538.97164117242</v>
      </c>
      <c r="AI28" s="248">
        <f ca="1">+AH28/$J$49</f>
        <v>252327.03377426881</v>
      </c>
      <c r="AJ28" s="248">
        <f ca="1">+AI28*$J$47</f>
        <v>6401.2090864580005</v>
      </c>
      <c r="AK28" s="246">
        <f t="shared" ca="1" si="14"/>
        <v>1387413.1033999999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484.00825914024404</v>
      </c>
      <c r="T29" s="260">
        <f ca="1">EXP(y_inter4-(slope*LN(S29)))</f>
        <v>4.3304971278346533</v>
      </c>
      <c r="U29" s="245">
        <f ca="1">(+S29*T29/100)/100</f>
        <v>0.2095996376055077</v>
      </c>
      <c r="V29" s="245">
        <f>regDebt_weighted</f>
        <v>3.5860000000000003E-2</v>
      </c>
      <c r="W29" s="245">
        <f ca="1">+U29-V29</f>
        <v>0.1737396376055077</v>
      </c>
      <c r="X29" s="245">
        <f ca="1">+((W29*(1-0.34))-Pfd_weighted)/Equity_percent</f>
        <v>0.31534349075475315</v>
      </c>
      <c r="Y29" s="245">
        <f>+Y28</f>
        <v>2.5000000000000001E-3</v>
      </c>
      <c r="Z29" s="245">
        <f t="shared" ca="1" si="15"/>
        <v>0.31784349075475316</v>
      </c>
      <c r="AA29" s="245">
        <f ca="1">Z29*equityP</f>
        <v>0.19070609445285189</v>
      </c>
      <c r="AB29" s="245">
        <f ca="1">+AA29/(1-taxrate)</f>
        <v>0.241400119560572</v>
      </c>
      <c r="AC29" s="245">
        <f>debtP*Debt_Rate</f>
        <v>1.6572E-2</v>
      </c>
      <c r="AD29" s="245">
        <f ca="1">+AC29+AB29</f>
        <v>0.25797211956057198</v>
      </c>
      <c r="AE29" s="245">
        <f ca="1">+AD29/(S29/100)</f>
        <v>5.3299115188409033E-2</v>
      </c>
      <c r="AF29" s="245">
        <f ca="1">1-AE29</f>
        <v>0.94670088481159098</v>
      </c>
      <c r="AG29" s="246">
        <f ca="1">expenses/(AF29)</f>
        <v>1380450.524189339</v>
      </c>
      <c r="AH29" s="247">
        <f ca="1">+AG29-Revenue</f>
        <v>231977.60151512711</v>
      </c>
      <c r="AI29" s="248">
        <f ca="1">+AH29/$J$49</f>
        <v>251717.89347509746</v>
      </c>
      <c r="AJ29" s="248">
        <f ca="1">+AI29*$J$47</f>
        <v>6385.7559883112845</v>
      </c>
      <c r="AK29" s="246">
        <f t="shared" ca="1" si="14"/>
        <v>1386836.28018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484.99216534737582</v>
      </c>
      <c r="T31" s="234">
        <f ca="1">EXP(y_inter1-(slope*LN(+S31)))</f>
        <v>4.4579720787899388</v>
      </c>
      <c r="U31" s="235">
        <f ca="1">(+S31*T31/100)/100</f>
        <v>0.21620815315504746</v>
      </c>
      <c r="V31" s="235">
        <f>regDebt_weighted</f>
        <v>3.5860000000000003E-2</v>
      </c>
      <c r="W31" s="235">
        <f ca="1">+U31-V31</f>
        <v>0.18034815315504746</v>
      </c>
      <c r="X31" s="235">
        <f ca="1">+((W31*(1-0.34))-Pfd_weighted)/Equity_percent</f>
        <v>0.32802261942538175</v>
      </c>
      <c r="Y31" s="235">
        <f>+Y29</f>
        <v>2.5000000000000001E-3</v>
      </c>
      <c r="Z31" s="235">
        <f ca="1">+X31+Y31</f>
        <v>0.33052261942538175</v>
      </c>
      <c r="AA31" s="235">
        <f ca="1">Z31*equityP</f>
        <v>0.19831357165522903</v>
      </c>
      <c r="AB31" s="235">
        <f ca="1">+AA31/(1-taxrate)</f>
        <v>0.25102983753826458</v>
      </c>
      <c r="AC31" s="235">
        <f>debtP*Debt_Rate</f>
        <v>1.6572E-2</v>
      </c>
      <c r="AD31" s="235">
        <f ca="1">+AC31+AB31</f>
        <v>0.26760183753826455</v>
      </c>
      <c r="AE31" s="235">
        <f ca="1">+AD31/(S31/100)</f>
        <v>5.5176527923207722E-2</v>
      </c>
      <c r="AF31" s="235">
        <f ca="1">1-AE31</f>
        <v>0.94482347207679229</v>
      </c>
      <c r="AG31" s="236">
        <f ca="1">expenses/(AF31)</f>
        <v>1383193.5502364968</v>
      </c>
      <c r="AH31" s="237">
        <f ca="1">+AG31-Revenue</f>
        <v>234720.62756228494</v>
      </c>
      <c r="AI31" s="238">
        <f ca="1">+AH31/$J$49</f>
        <v>254694.33919152955</v>
      </c>
      <c r="AJ31" s="238">
        <f ca="1">+AI31*$J$47</f>
        <v>6461.2645498807069</v>
      </c>
      <c r="AK31" s="236">
        <f ca="1">ROUND(+AJ31+AG31,5)</f>
        <v>1389654.81479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484.52460608694457</v>
      </c>
      <c r="T32" s="257">
        <f ca="1">EXP(y_inter2-(slope*LN(+S32)))</f>
        <v>4.3974436583974663</v>
      </c>
      <c r="U32" s="245">
        <f ca="1">(+S32*T32/100)/100</f>
        <v>0.2130669656374565</v>
      </c>
      <c r="V32" s="245">
        <f>regDebt_weighted</f>
        <v>3.5860000000000003E-2</v>
      </c>
      <c r="W32" s="245">
        <f ca="1">+U32-V32</f>
        <v>0.1772069656374565</v>
      </c>
      <c r="X32" s="245">
        <f ca="1">+((W32*(1-0.34))-Pfd_weighted)/Equity_percent</f>
        <v>0.32199592244395725</v>
      </c>
      <c r="Y32" s="245">
        <f>+Y31</f>
        <v>2.5000000000000001E-3</v>
      </c>
      <c r="Z32" s="245">
        <f ca="1">+X32+Y32</f>
        <v>0.32449592244395725</v>
      </c>
      <c r="AA32" s="245">
        <f ca="1">Z32*equityP</f>
        <v>0.19469755346637435</v>
      </c>
      <c r="AB32" s="245">
        <f ca="1">+AA32/(1-taxrate)</f>
        <v>0.24645259932452449</v>
      </c>
      <c r="AC32" s="245">
        <f>debtP*Debt_Rate</f>
        <v>1.6572E-2</v>
      </c>
      <c r="AD32" s="245">
        <f ca="1">+AC32+AB32</f>
        <v>0.26302459932452449</v>
      </c>
      <c r="AE32" s="245">
        <f ca="1">+AD32/(S32/100)</f>
        <v>5.4285086045212434E-2</v>
      </c>
      <c r="AF32" s="245">
        <f ca="1">1-AE32</f>
        <v>0.94571491395478757</v>
      </c>
      <c r="AG32" s="246">
        <f ca="1">expenses/(AF32)</f>
        <v>1381889.735907401</v>
      </c>
      <c r="AH32" s="247">
        <f ca="1">+AG32-Revenue</f>
        <v>233416.81323318905</v>
      </c>
      <c r="AI32" s="248">
        <f ca="1">+AH32/$J$49</f>
        <v>253279.5758943012</v>
      </c>
      <c r="AJ32" s="248">
        <f ca="1">+AI32*$J$47</f>
        <v>6425.3738427379003</v>
      </c>
      <c r="AK32" s="246">
        <f t="shared" ref="AK32:AK34" ca="1" si="16">ROUND(+AJ32+AG32,5)</f>
        <v>1388315.1097500001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0.25678380727886913</v>
      </c>
      <c r="K33" s="304">
        <f ca="1">+(M14+M11)/J28</f>
        <v>0.20633932775030661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484.20979631279977</v>
      </c>
      <c r="T33" s="244">
        <f ca="1">EXP(y_inter3-(slope*LN(S33)))</f>
        <v>4.3566252397774807</v>
      </c>
      <c r="U33" s="245">
        <f ca="1">(+S33*T33/100)/100</f>
        <v>0.21095206199638564</v>
      </c>
      <c r="V33" s="245">
        <f>regDebt_weighted</f>
        <v>3.5860000000000003E-2</v>
      </c>
      <c r="W33" s="245">
        <f ca="1">+U33-V33</f>
        <v>0.17509206199638563</v>
      </c>
      <c r="X33" s="245">
        <f ca="1">+((W33*(1-0.34))-Pfd_weighted)/Equity_percent</f>
        <v>0.31793825848143753</v>
      </c>
      <c r="Y33" s="245">
        <f>+Y32</f>
        <v>2.5000000000000001E-3</v>
      </c>
      <c r="Z33" s="245">
        <f t="shared" ref="Z33:Z34" ca="1" si="17">+X33+Y33</f>
        <v>0.32043825848143753</v>
      </c>
      <c r="AA33" s="245">
        <f ca="1">Z33*equityP</f>
        <v>0.19226295508886251</v>
      </c>
      <c r="AB33" s="245">
        <f ca="1">+AA33/(1-taxrate)</f>
        <v>0.24337082922640824</v>
      </c>
      <c r="AC33" s="245">
        <f>debtP*Debt_Rate</f>
        <v>1.6572E-2</v>
      </c>
      <c r="AD33" s="245">
        <f ca="1">+AC33+AB33</f>
        <v>0.25994282922640821</v>
      </c>
      <c r="AE33" s="245">
        <f ca="1">+AD33/(S33/100)</f>
        <v>5.3683926101008708E-2</v>
      </c>
      <c r="AF33" s="245">
        <f ca="1">1-AE33</f>
        <v>0.94631607389899131</v>
      </c>
      <c r="AG33" s="246">
        <f ca="1">expenses/(AF33)</f>
        <v>1381011.8719680186</v>
      </c>
      <c r="AH33" s="247">
        <f ca="1">+AG33-Revenue</f>
        <v>232538.94929380668</v>
      </c>
      <c r="AI33" s="248">
        <f ca="1">+AH33/$J$49</f>
        <v>252327.00952523877</v>
      </c>
      <c r="AJ33" s="248">
        <f ca="1">+AI33*$J$47</f>
        <v>6401.2084712916067</v>
      </c>
      <c r="AK33" s="246">
        <f t="shared" ca="1" si="16"/>
        <v>1387413.0804399999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0.40035301213144858</v>
      </c>
      <c r="K34" s="304">
        <f ca="1">+M14/J26</f>
        <v>0.31627887958384432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484.00848391840174</v>
      </c>
      <c r="T34" s="260">
        <f ca="1">EXP(y_inter4-(slope*LN(S34)))</f>
        <v>4.3304957528892816</v>
      </c>
      <c r="U34" s="245">
        <f ca="1">(+S34*T34/100)/100</f>
        <v>0.20959966839710187</v>
      </c>
      <c r="V34" s="245">
        <f>regDebt_weighted</f>
        <v>3.5860000000000003E-2</v>
      </c>
      <c r="W34" s="245">
        <f ca="1">+U34-V34</f>
        <v>0.17373966839710187</v>
      </c>
      <c r="X34" s="245">
        <f ca="1">+((W34*(1-0.34))-Pfd_weighted)/Equity_percent</f>
        <v>0.31534354983164892</v>
      </c>
      <c r="Y34" s="245">
        <f>+Y33</f>
        <v>2.5000000000000001E-3</v>
      </c>
      <c r="Z34" s="245">
        <f t="shared" ca="1" si="17"/>
        <v>0.31784354983164892</v>
      </c>
      <c r="AA34" s="245">
        <f ca="1">Z34*equityP</f>
        <v>0.19070612989898936</v>
      </c>
      <c r="AB34" s="245">
        <f ca="1">+AA34/(1-taxrate)</f>
        <v>0.24140016442910045</v>
      </c>
      <c r="AC34" s="245">
        <f>debtP*Debt_Rate</f>
        <v>1.6572E-2</v>
      </c>
      <c r="AD34" s="245">
        <f ca="1">+AC34+AB34</f>
        <v>0.25797216442910043</v>
      </c>
      <c r="AE34" s="245">
        <f ca="1">+AD34/(S34/100)</f>
        <v>5.3299099705986057E-2</v>
      </c>
      <c r="AF34" s="245">
        <f ca="1">1-AE34</f>
        <v>0.94670090029401399</v>
      </c>
      <c r="AG34" s="246">
        <f ca="1">expenses/(AF34)</f>
        <v>1380450.5016133396</v>
      </c>
      <c r="AH34" s="247">
        <f ca="1">+AG34-Revenue</f>
        <v>231977.57893912774</v>
      </c>
      <c r="AI34" s="248">
        <f ca="1">+AH34/$J$49</f>
        <v>251717.86897797804</v>
      </c>
      <c r="AJ34" s="248">
        <f ca="1">+AI34*$J$47</f>
        <v>6385.7553668511855</v>
      </c>
      <c r="AK34" s="246">
        <f t="shared" ca="1" si="16"/>
        <v>1386836.2569800001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0.94670100000000001</v>
      </c>
      <c r="K35" s="304">
        <f ca="1">+M8/M7</f>
        <v>0.94694641772464927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5.3299000000000027E-2</v>
      </c>
      <c r="K36" s="304">
        <f ca="1">+J36</f>
        <v>5.3299000000000027E-2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484.99215782638504</v>
      </c>
      <c r="T36" s="234">
        <f ca="1">EXP(y_inter1-(slope*LN(+S36)))</f>
        <v>4.457972126053261</v>
      </c>
      <c r="U36" s="235">
        <f ca="1">(+S36*T36/100)/100</f>
        <v>0.21620815209444488</v>
      </c>
      <c r="V36" s="235">
        <f>regDebt_weighted</f>
        <v>3.5860000000000003E-2</v>
      </c>
      <c r="W36" s="235">
        <f ca="1">+U36-V36</f>
        <v>0.18034815209444488</v>
      </c>
      <c r="X36" s="235">
        <f ca="1">+((W36*(1-0.34))-Pfd_weighted)/Equity_percent</f>
        <v>0.3280226173905047</v>
      </c>
      <c r="Y36" s="235">
        <f>+Y34</f>
        <v>2.5000000000000001E-3</v>
      </c>
      <c r="Z36" s="235">
        <f ca="1">+X36+Y36</f>
        <v>0.3305226173905047</v>
      </c>
      <c r="AA36" s="235">
        <f ca="1">Z36*equityP</f>
        <v>0.19831357043430281</v>
      </c>
      <c r="AB36" s="235">
        <f ca="1">+AA36/(1-taxrate)</f>
        <v>0.25102983599278833</v>
      </c>
      <c r="AC36" s="235">
        <f>debtP*Debt_Rate</f>
        <v>1.6572E-2</v>
      </c>
      <c r="AD36" s="235">
        <f ca="1">+AC36+AB36</f>
        <v>0.26760183599278831</v>
      </c>
      <c r="AE36" s="235">
        <f ca="1">+AD36/(S36/100)</f>
        <v>5.5176528460194815E-2</v>
      </c>
      <c r="AF36" s="235">
        <f ca="1">1-AE36</f>
        <v>0.94482347153980517</v>
      </c>
      <c r="AG36" s="236">
        <f ca="1">expenses/(AF36)</f>
        <v>1383193.55102263</v>
      </c>
      <c r="AH36" s="237">
        <f ca="1">+AG36-Revenue</f>
        <v>234720.62834841805</v>
      </c>
      <c r="AI36" s="238">
        <f ca="1">+AH36/$J$49</f>
        <v>254694.34004455918</v>
      </c>
      <c r="AJ36" s="238">
        <f ca="1">+AI36*$J$47</f>
        <v>6461.264571520961</v>
      </c>
      <c r="AK36" s="236">
        <f ca="1">ROUND(+AJ36+AG36,5)</f>
        <v>1389654.81559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4.8400847582155793</v>
      </c>
      <c r="K37" s="309">
        <f ca="1">+J37</f>
        <v>4.8400847582155793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484.52459823440205</v>
      </c>
      <c r="T37" s="257">
        <f ca="1">EXP(y_inter2-(slope*LN(+S37)))</f>
        <v>4.3974437071212789</v>
      </c>
      <c r="U37" s="245">
        <f ca="1">(+S37*T37/100)/100</f>
        <v>0.21306696454513371</v>
      </c>
      <c r="V37" s="245">
        <f>regDebt_weighted</f>
        <v>3.5860000000000003E-2</v>
      </c>
      <c r="W37" s="245">
        <f ca="1">+U37-V37</f>
        <v>0.17720696454513371</v>
      </c>
      <c r="X37" s="245">
        <f ca="1">+((W37*(1-0.34))-Pfd_weighted)/Equity_percent</f>
        <v>0.32199592034822161</v>
      </c>
      <c r="Y37" s="245">
        <f>+Y36</f>
        <v>2.5000000000000001E-3</v>
      </c>
      <c r="Z37" s="245">
        <f ca="1">+X37+Y37</f>
        <v>0.32449592034822161</v>
      </c>
      <c r="AA37" s="245">
        <f ca="1">Z37*equityP</f>
        <v>0.19469755220893295</v>
      </c>
      <c r="AB37" s="245">
        <f ca="1">+AA37/(1-taxrate)</f>
        <v>0.24645259773282652</v>
      </c>
      <c r="AC37" s="245">
        <f>debtP*Debt_Rate</f>
        <v>1.6572E-2</v>
      </c>
      <c r="AD37" s="245">
        <f ca="1">+AC37+AB37</f>
        <v>0.26302459773282649</v>
      </c>
      <c r="AE37" s="245">
        <f ca="1">+AD37/(S37/100)</f>
        <v>5.4285086596487127E-2</v>
      </c>
      <c r="AF37" s="245">
        <f ca="1">1-AE37</f>
        <v>0.94571491340351288</v>
      </c>
      <c r="AG37" s="246">
        <f ca="1">expenses/(AF37)</f>
        <v>1381889.73671293</v>
      </c>
      <c r="AH37" s="247">
        <f ca="1">+AG37-Revenue</f>
        <v>233416.81403871812</v>
      </c>
      <c r="AI37" s="248">
        <f ca="1">+AH37/$J$49</f>
        <v>253279.57676837733</v>
      </c>
      <c r="AJ37" s="248">
        <f ca="1">+AI37*$J$47</f>
        <v>6425.3738649120769</v>
      </c>
      <c r="AK37" s="246">
        <f t="shared" ref="AK37:AK39" ca="1" si="18">ROUND(+AJ37+AG37,5)</f>
        <v>1388315.1105800001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484.20978829971642</v>
      </c>
      <c r="T38" s="244">
        <f ca="1">EXP(y_inter3-(slope*LN(S38)))</f>
        <v>4.3566252890679342</v>
      </c>
      <c r="U38" s="245">
        <f ca="1">(+S38*T38/100)/100</f>
        <v>0.21095206089207752</v>
      </c>
      <c r="V38" s="245">
        <f>regDebt_weighted</f>
        <v>3.5860000000000003E-2</v>
      </c>
      <c r="W38" s="245">
        <f ca="1">+U38-V38</f>
        <v>0.17509206089207752</v>
      </c>
      <c r="X38" s="245">
        <f ca="1">+((W38*(1-0.34))-Pfd_weighted)/Equity_percent</f>
        <v>0.31793825636270684</v>
      </c>
      <c r="Y38" s="245">
        <f>+Y37</f>
        <v>2.5000000000000001E-3</v>
      </c>
      <c r="Z38" s="245">
        <f t="shared" ref="Z38:Z39" ca="1" si="19">+X38+Y38</f>
        <v>0.32043825636270684</v>
      </c>
      <c r="AA38" s="245">
        <f ca="1">Z38*equityP</f>
        <v>0.19226295381762409</v>
      </c>
      <c r="AB38" s="245">
        <f ca="1">+AA38/(1-taxrate)</f>
        <v>0.24337082761724568</v>
      </c>
      <c r="AC38" s="245">
        <f>debtP*Debt_Rate</f>
        <v>1.6572E-2</v>
      </c>
      <c r="AD38" s="245">
        <f ca="1">+AC38+AB38</f>
        <v>0.25994282761724569</v>
      </c>
      <c r="AE38" s="245">
        <f ca="1">+AD38/(S38/100)</f>
        <v>5.3683926657084872E-2</v>
      </c>
      <c r="AF38" s="245">
        <f ca="1">1-AE38</f>
        <v>0.94631607334291512</v>
      </c>
      <c r="AG38" s="246">
        <f ca="1">expenses/(AF38)</f>
        <v>1381011.8727795316</v>
      </c>
      <c r="AH38" s="247">
        <f ca="1">+AG38-Revenue</f>
        <v>232538.95010531973</v>
      </c>
      <c r="AI38" s="248">
        <f ca="1">+AH38/$J$49</f>
        <v>252327.01040580808</v>
      </c>
      <c r="AJ38" s="248">
        <f ca="1">+AI38*$J$47</f>
        <v>6401.2084936305064</v>
      </c>
      <c r="AK38" s="246">
        <f t="shared" ca="1" si="18"/>
        <v>1387413.08127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484.00847582155791</v>
      </c>
      <c r="T39" s="260">
        <f ca="1">EXP(y_inter4-(slope*LN(S39)))</f>
        <v>4.3304958024168414</v>
      </c>
      <c r="U39" s="245">
        <f ca="1">(+S39*T39/100)/100</f>
        <v>0.20959966728794299</v>
      </c>
      <c r="V39" s="245">
        <f>regDebt_weighted</f>
        <v>3.5860000000000003E-2</v>
      </c>
      <c r="W39" s="245">
        <f ca="1">+U39-V39</f>
        <v>0.17373966728794299</v>
      </c>
      <c r="X39" s="245">
        <f ca="1">+((W39*(1-0.34))-Pfd_weighted)/Equity_percent</f>
        <v>0.3153435477036115</v>
      </c>
      <c r="Y39" s="245">
        <f>+Y38</f>
        <v>2.5000000000000001E-3</v>
      </c>
      <c r="Z39" s="245">
        <f t="shared" ca="1" si="19"/>
        <v>0.31784354770361151</v>
      </c>
      <c r="AA39" s="245">
        <f ca="1">Z39*equityP</f>
        <v>0.1907061286221669</v>
      </c>
      <c r="AB39" s="245">
        <f ca="1">+AA39/(1-taxrate)</f>
        <v>0.2414001628128695</v>
      </c>
      <c r="AC39" s="245">
        <f>debtP*Debt_Rate</f>
        <v>1.6572E-2</v>
      </c>
      <c r="AD39" s="245">
        <f ca="1">+AC39+AB39</f>
        <v>0.2579721628128695</v>
      </c>
      <c r="AE39" s="245">
        <f ca="1">+AD39/(S39/100)</f>
        <v>5.3299100263685777E-2</v>
      </c>
      <c r="AF39" s="245">
        <f ca="1">1-AE39</f>
        <v>0.94670089973631422</v>
      </c>
      <c r="AG39" s="246">
        <f ca="1">expenses/(AF39)</f>
        <v>1380450.5024265605</v>
      </c>
      <c r="AH39" s="247">
        <f ca="1">+AG39-Revenue</f>
        <v>231977.5797523486</v>
      </c>
      <c r="AI39" s="248">
        <f ca="1">+AH39/$J$49</f>
        <v>251717.86986040047</v>
      </c>
      <c r="AJ39" s="248">
        <f ca="1">+AI39*$J$47</f>
        <v>6385.755389237097</v>
      </c>
      <c r="AK39" s="246">
        <f t="shared" ca="1" si="18"/>
        <v>1386836.2578199999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4405.0599463122471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5.3299100263685777E-2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1283.7603272109977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0.94670100000000001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0.20754793622870671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696.93109115822915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6385.7513646814732</v>
      </c>
      <c r="L47" s="210"/>
      <c r="M47" s="210"/>
      <c r="N47" s="210"/>
      <c r="O47" s="194"/>
      <c r="P47" s="194"/>
      <c r="R47" s="233">
        <f ca="1">VLOOKUP(R48,R36:S39,2)</f>
        <v>484.00847582155791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4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0.92157771667542077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0.94670100000000001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0.25678380727886913</v>
      </c>
      <c r="Z62" s="325">
        <f t="shared" ca="1" si="20"/>
        <v>0.20633932775030661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0.40035301213144858</v>
      </c>
      <c r="Z63" s="325">
        <f t="shared" ca="1" si="20"/>
        <v>0.31627887958384432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0.94670100000000001</v>
      </c>
      <c r="Z64" s="325">
        <f t="shared" ca="1" si="20"/>
        <v>0.94694641772464927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5.3299000000000027E-2</v>
      </c>
      <c r="Z65" s="325">
        <f t="shared" ca="1" si="20"/>
        <v>5.3299000000000027E-2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4.8400847582155793</v>
      </c>
      <c r="Z66" s="325">
        <f t="shared" ca="1" si="20"/>
        <v>4.8400847582155793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6E40-D685-4772-9E8A-326C6779B986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9.33203125" style="372" customWidth="1"/>
    <col min="6" max="6" width="5" style="204" customWidth="1"/>
    <col min="7" max="7" width="7.332031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5.44140625" style="372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375" t="s">
        <v>715</v>
      </c>
      <c r="S2" s="376"/>
      <c r="T2" s="377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'[24]Lewis LOB (C)'!H47</f>
        <v>84124.2755693293</v>
      </c>
      <c r="D5" s="215"/>
      <c r="E5" s="194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378">
        <f>'[24]Lewis LOB (C)'!H360</f>
        <v>66755.497465799592</v>
      </c>
      <c r="D6" s="215"/>
      <c r="E6" s="194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595.33798618330013</v>
      </c>
      <c r="T6" s="234">
        <f>EXP(y_inter1-(slope*LN(+S6)))</f>
        <v>3.8749934771387378</v>
      </c>
      <c r="U6" s="235">
        <f>(+S6*T6/100)/100</f>
        <v>0.23069308131531996</v>
      </c>
      <c r="V6" s="235">
        <f>regDebt_weighted</f>
        <v>3.5860000000000003E-2</v>
      </c>
      <c r="W6" s="235">
        <f>+U6-V6</f>
        <v>0.19483308131531996</v>
      </c>
      <c r="X6" s="235">
        <f>+((W6*(1-0.34))-Pfd_weighted)/Equity_percent</f>
        <v>0.35581346996543944</v>
      </c>
      <c r="Y6" s="235">
        <f>+C15</f>
        <v>2.5000000000000001E-3</v>
      </c>
      <c r="Z6" s="235">
        <f>+X6+Y6</f>
        <v>0.35831346996543945</v>
      </c>
      <c r="AA6" s="235">
        <f>Z6*equityP</f>
        <v>0.21498808197926367</v>
      </c>
      <c r="AB6" s="235">
        <f>+AA6/(1-taxrate)</f>
        <v>0.27213681263197931</v>
      </c>
      <c r="AC6" s="235">
        <f>debtP*Debt_Rate</f>
        <v>1.6572E-2</v>
      </c>
      <c r="AD6" s="235">
        <f>AC6+AB6</f>
        <v>0.28870881263197928</v>
      </c>
      <c r="AE6" s="235">
        <f>AD6/(S6/100)</f>
        <v>4.8494942256731455E-2</v>
      </c>
      <c r="AF6" s="235">
        <f>1-AE6</f>
        <v>0.95150505774326855</v>
      </c>
      <c r="AG6" s="236">
        <f>expenses/(AF6)</f>
        <v>70157.795718003748</v>
      </c>
      <c r="AH6" s="237">
        <f>+AG6-Revenue</f>
        <v>-13966.479851325552</v>
      </c>
      <c r="AI6" s="238">
        <f ca="1">+AH6/$J$49</f>
        <v>-15150.400373116643</v>
      </c>
      <c r="AJ6" s="238">
        <f ca="1">+AI6*$J$47</f>
        <v>-384.34597784171558</v>
      </c>
      <c r="AK6" s="236">
        <f ca="1">ROUND(+AJ6+AG6,5)</f>
        <v>69773.449739999996</v>
      </c>
    </row>
    <row r="7" spans="1:37" ht="15.6">
      <c r="A7" s="194"/>
      <c r="B7" s="218" t="s">
        <v>763</v>
      </c>
      <c r="C7" s="378">
        <f>'[24]Lewis LOB (C)'!H367</f>
        <v>14130.506959357379</v>
      </c>
      <c r="D7" s="215"/>
      <c r="E7" s="194"/>
      <c r="F7" s="379">
        <v>1</v>
      </c>
      <c r="G7" s="222"/>
      <c r="H7" s="240" t="s">
        <v>740</v>
      </c>
      <c r="I7" s="241">
        <f>IF(A64=TRUE,C5,0)</f>
        <v>84124.2755693293</v>
      </c>
      <c r="J7" s="241">
        <f ca="1">(+$I8/($R50))-I7</f>
        <v>-13670.370828040497</v>
      </c>
      <c r="K7" s="241">
        <f ca="1">+I7+J7</f>
        <v>70453.904741288803</v>
      </c>
      <c r="L7" s="241">
        <f ca="1">((+J7/J49*K35)-J7)</f>
        <v>-376.19730234769304</v>
      </c>
      <c r="M7" s="241">
        <f ca="1">IFERROR(+K7+L7,0.00001)</f>
        <v>70077.707438941114</v>
      </c>
      <c r="O7" s="225"/>
      <c r="P7" s="195"/>
      <c r="R7" s="242">
        <v>2</v>
      </c>
      <c r="S7" s="243">
        <f>Revenue/Investment*100</f>
        <v>595.33798618330013</v>
      </c>
      <c r="T7" s="244">
        <f>EXP(y_inter1-(slope*LN(+S7)))</f>
        <v>3.8749934771387378</v>
      </c>
      <c r="U7" s="245">
        <f t="shared" ref="U7:U9" si="0">(+S7*T7/100)/100</f>
        <v>0.23069308131531996</v>
      </c>
      <c r="V7" s="245">
        <f>regDebt_weighted</f>
        <v>3.5860000000000003E-2</v>
      </c>
      <c r="W7" s="245">
        <f t="shared" ref="W7:W9" si="1">+U7-V7</f>
        <v>0.19483308131531996</v>
      </c>
      <c r="X7" s="245">
        <f>+((W7*(1-0.34))-Pfd_weighted)/Equity_percent</f>
        <v>0.35581346996543944</v>
      </c>
      <c r="Y7" s="245">
        <f>+Y6</f>
        <v>2.5000000000000001E-3</v>
      </c>
      <c r="Z7" s="245">
        <f>+X7+Y7</f>
        <v>0.35831346996543945</v>
      </c>
      <c r="AA7" s="245">
        <f>Z7*equityP</f>
        <v>0.21498808197926367</v>
      </c>
      <c r="AB7" s="245">
        <f>+AA7/(1-taxrate)</f>
        <v>0.27213681263197931</v>
      </c>
      <c r="AC7" s="245">
        <f>debtP*Debt_Rate</f>
        <v>1.6572E-2</v>
      </c>
      <c r="AD7" s="245">
        <f t="shared" ref="AD7:AD9" si="2">AC7+AB7</f>
        <v>0.28870881263197928</v>
      </c>
      <c r="AE7" s="245">
        <f t="shared" ref="AE7:AE9" si="3">AD7/(S7/100)</f>
        <v>4.8494942256731455E-2</v>
      </c>
      <c r="AF7" s="245">
        <f t="shared" ref="AF7:AF9" si="4">1-AE7</f>
        <v>0.95150505774326855</v>
      </c>
      <c r="AG7" s="246">
        <f>expenses/(AF7)</f>
        <v>70157.795718003748</v>
      </c>
      <c r="AH7" s="247">
        <f>+AG7-Revenue</f>
        <v>-13966.479851325552</v>
      </c>
      <c r="AI7" s="248">
        <f ca="1">+AH7/$J$49</f>
        <v>-15150.400373116643</v>
      </c>
      <c r="AJ7" s="248">
        <f ca="1">+AI7*$J$47</f>
        <v>-384.34597784171558</v>
      </c>
      <c r="AK7" s="246">
        <f t="shared" ref="AK7:AK9" ca="1" si="5">ROUND(+AJ7+AG7,5)</f>
        <v>69773.449739999996</v>
      </c>
    </row>
    <row r="8" spans="1:37" ht="15.6">
      <c r="A8" s="194"/>
      <c r="B8" s="218" t="s">
        <v>764</v>
      </c>
      <c r="C8" s="261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66755.497465799592</v>
      </c>
      <c r="J8" s="210"/>
      <c r="K8" s="241">
        <f>+I8</f>
        <v>66755.497465799592</v>
      </c>
      <c r="L8" s="241">
        <f ca="1">+L7</f>
        <v>-376.19730234769304</v>
      </c>
      <c r="M8" s="241">
        <f ca="1">IFERROR(+K8+L8,0.00001)</f>
        <v>66379.300163451902</v>
      </c>
      <c r="O8" s="225"/>
      <c r="P8" s="195"/>
      <c r="R8" s="251">
        <v>3</v>
      </c>
      <c r="S8" s="243">
        <f>Revenue/Investment*100</f>
        <v>595.33798618330013</v>
      </c>
      <c r="T8" s="244">
        <f>EXP(y_inter1-(slope*LN(+S8)))</f>
        <v>3.8749934771387378</v>
      </c>
      <c r="U8" s="245">
        <f t="shared" si="0"/>
        <v>0.23069308131531996</v>
      </c>
      <c r="V8" s="245">
        <f>regDebt_weighted</f>
        <v>3.5860000000000003E-2</v>
      </c>
      <c r="W8" s="245">
        <f t="shared" si="1"/>
        <v>0.19483308131531996</v>
      </c>
      <c r="X8" s="245">
        <f>+((W8*(1-0.34))-Pfd_weighted)/Equity_percent</f>
        <v>0.35581346996543944</v>
      </c>
      <c r="Y8" s="245">
        <f>+Y7</f>
        <v>2.5000000000000001E-3</v>
      </c>
      <c r="Z8" s="245">
        <f t="shared" ref="Z8:Z9" si="6">+X8+Y8</f>
        <v>0.35831346996543945</v>
      </c>
      <c r="AA8" s="245">
        <f>Z8*equityP</f>
        <v>0.21498808197926367</v>
      </c>
      <c r="AB8" s="245">
        <f>+AA8/(1-taxrate)</f>
        <v>0.27213681263197931</v>
      </c>
      <c r="AC8" s="245">
        <f>debtP*Debt_Rate</f>
        <v>1.6572E-2</v>
      </c>
      <c r="AD8" s="245">
        <f t="shared" si="2"/>
        <v>0.28870881263197928</v>
      </c>
      <c r="AE8" s="245">
        <f t="shared" si="3"/>
        <v>4.8494942256731455E-2</v>
      </c>
      <c r="AF8" s="245">
        <f t="shared" si="4"/>
        <v>0.95150505774326855</v>
      </c>
      <c r="AG8" s="246">
        <f>expenses/(AF8)</f>
        <v>70157.795718003748</v>
      </c>
      <c r="AH8" s="247">
        <f>+AG8-Revenue</f>
        <v>-13966.479851325552</v>
      </c>
      <c r="AI8" s="248">
        <f ca="1">+AH8/$J$49</f>
        <v>-15150.400373116643</v>
      </c>
      <c r="AJ8" s="248">
        <f ca="1">+AI8*$J$47</f>
        <v>-384.34597784171558</v>
      </c>
      <c r="AK8" s="246">
        <f t="shared" ca="1" si="5"/>
        <v>69773.449739999996</v>
      </c>
    </row>
    <row r="9" spans="1:37" ht="15.6">
      <c r="A9" s="194"/>
      <c r="B9" s="218" t="s">
        <v>765</v>
      </c>
      <c r="C9" s="261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380">
        <f>+I7-I8</f>
        <v>17368.778103529708</v>
      </c>
      <c r="J9" s="210"/>
      <c r="K9" s="380">
        <f ca="1">+K7-K8</f>
        <v>3698.4072754892113</v>
      </c>
      <c r="L9" s="222"/>
      <c r="M9" s="381">
        <f ca="1">+M7-M8</f>
        <v>3698.4072754892113</v>
      </c>
      <c r="O9" s="225"/>
      <c r="P9" s="195"/>
      <c r="R9" s="254">
        <v>4</v>
      </c>
      <c r="S9" s="243">
        <f>Revenue/Investment*100</f>
        <v>595.33798618330013</v>
      </c>
      <c r="T9" s="244">
        <f>EXP(y_inter1-(slope*LN(+S9)))</f>
        <v>3.8749934771387378</v>
      </c>
      <c r="U9" s="245">
        <f t="shared" si="0"/>
        <v>0.23069308131531996</v>
      </c>
      <c r="V9" s="245">
        <f>regDebt_weighted</f>
        <v>3.5860000000000003E-2</v>
      </c>
      <c r="W9" s="245">
        <f t="shared" si="1"/>
        <v>0.19483308131531996</v>
      </c>
      <c r="X9" s="245">
        <f>+((W9*(1-0.34))-Pfd_weighted)/Equity_percent</f>
        <v>0.35581346996543944</v>
      </c>
      <c r="Y9" s="245">
        <f>+Y8</f>
        <v>2.5000000000000001E-3</v>
      </c>
      <c r="Z9" s="245">
        <f t="shared" si="6"/>
        <v>0.35831346996543945</v>
      </c>
      <c r="AA9" s="245">
        <f>Z9*equityP</f>
        <v>0.21498808197926367</v>
      </c>
      <c r="AB9" s="245">
        <f>+AA9/(1-taxrate)</f>
        <v>0.27213681263197931</v>
      </c>
      <c r="AC9" s="245">
        <f>debtP*Debt_Rate</f>
        <v>1.6572E-2</v>
      </c>
      <c r="AD9" s="245">
        <f t="shared" si="2"/>
        <v>0.28870881263197928</v>
      </c>
      <c r="AE9" s="245">
        <f t="shared" si="3"/>
        <v>4.8494942256731455E-2</v>
      </c>
      <c r="AF9" s="245">
        <f t="shared" si="4"/>
        <v>0.95150505774326855</v>
      </c>
      <c r="AG9" s="246">
        <f>expenses/(AF9)</f>
        <v>70157.795718003748</v>
      </c>
      <c r="AH9" s="247">
        <f>+AG9-Revenue</f>
        <v>-13966.479851325552</v>
      </c>
      <c r="AI9" s="248">
        <f ca="1">+AH9/$J$49</f>
        <v>-15150.400373116643</v>
      </c>
      <c r="AJ9" s="248">
        <f ca="1">+AI9*$J$47</f>
        <v>-384.34597784171558</v>
      </c>
      <c r="AK9" s="246">
        <f t="shared" ca="1" si="5"/>
        <v>69773.449739999996</v>
      </c>
    </row>
    <row r="10" spans="1:37" ht="15.6">
      <c r="A10" s="194"/>
      <c r="B10" s="255" t="s">
        <v>767</v>
      </c>
      <c r="C10" s="261">
        <f>'[24]LG Total'!C10</f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261">
        <f>'[24]LG Total'!C11</f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234.17076133047053</v>
      </c>
      <c r="J11" s="210"/>
      <c r="K11" s="241">
        <f>+M27</f>
        <v>234.17076133047053</v>
      </c>
      <c r="L11" s="222"/>
      <c r="M11" s="241">
        <f>+K11</f>
        <v>234.17076133047053</v>
      </c>
      <c r="O11" s="225"/>
      <c r="P11" s="194"/>
      <c r="R11" s="232">
        <v>1</v>
      </c>
      <c r="S11" s="233">
        <f ca="1">IF((AK6/Investment*100)&gt;0,(AK6/Investment*100),0)</f>
        <v>493.77881445219651</v>
      </c>
      <c r="T11" s="234">
        <f ca="1">EXP(y_inter1-(slope*LN(S11)))</f>
        <v>4.403583849635381</v>
      </c>
      <c r="U11" s="235">
        <f ca="1">(+S11*T11/100)/100</f>
        <v>0.21743964126137982</v>
      </c>
      <c r="V11" s="235">
        <f>regDebt_weighted</f>
        <v>3.5860000000000003E-2</v>
      </c>
      <c r="W11" s="235">
        <f ca="1">+U11-V11</f>
        <v>0.18157964126137982</v>
      </c>
      <c r="X11" s="235">
        <f ca="1">+((W11*(1-0.34))-Pfd_weighted)/Equity_percent</f>
        <v>0.33038535823404264</v>
      </c>
      <c r="Y11" s="235">
        <f>+Y9</f>
        <v>2.5000000000000001E-3</v>
      </c>
      <c r="Z11" s="235">
        <f ca="1">+X11+Y11</f>
        <v>0.33288535823404264</v>
      </c>
      <c r="AA11" s="235">
        <f ca="1">Z11*equityP</f>
        <v>0.19973121494042559</v>
      </c>
      <c r="AB11" s="235">
        <f ca="1">+AA11/(1-taxrate)</f>
        <v>0.25282432270939947</v>
      </c>
      <c r="AC11" s="235">
        <f>debtP*Debt_Rate</f>
        <v>1.6572E-2</v>
      </c>
      <c r="AD11" s="235">
        <f ca="1">+AC11+AB11</f>
        <v>0.26939632270939945</v>
      </c>
      <c r="AE11" s="235">
        <f ca="1">+AD11/(S11/100)</f>
        <v>5.455809662637523E-2</v>
      </c>
      <c r="AF11" s="235">
        <f ca="1">1-AE11</f>
        <v>0.94544190337362477</v>
      </c>
      <c r="AG11" s="236">
        <f ca="1">expenses/(AF11)</f>
        <v>70607.720292061989</v>
      </c>
      <c r="AH11" s="237">
        <f ca="1">+AG11-Revenue</f>
        <v>-13516.555277267311</v>
      </c>
      <c r="AI11" s="238">
        <f ca="1">+AH11/$J$49</f>
        <v>-14662.336271979564</v>
      </c>
      <c r="AJ11" s="238">
        <f ca="1">+AI11*$J$47</f>
        <v>-371.96442556710861</v>
      </c>
      <c r="AK11" s="236">
        <f ca="1">ROUND(+AJ11+AG11,5)</f>
        <v>70235.755869999994</v>
      </c>
    </row>
    <row r="12" spans="1:37" ht="15.6">
      <c r="A12" s="194"/>
      <c r="B12" s="218" t="s">
        <v>771</v>
      </c>
      <c r="C12" s="261">
        <f>'[24]LG Total'!C12</f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727.48966797333549</v>
      </c>
      <c r="L12" s="222"/>
      <c r="M12" s="241">
        <f ca="1">+K12</f>
        <v>727.48966797333549</v>
      </c>
      <c r="O12" s="225"/>
      <c r="P12" s="194"/>
      <c r="R12" s="242">
        <v>2</v>
      </c>
      <c r="S12" s="243">
        <f ca="1">IF((AK7/Investment*100)&gt;0,(AK7/Investment*100),0)</f>
        <v>493.77881445219651</v>
      </c>
      <c r="T12" s="257">
        <f ca="1">EXP(y_inter2-(slope*LN(+S12)))</f>
        <v>4.3409304766340924</v>
      </c>
      <c r="U12" s="245">
        <f ca="1">(+S12*T12/100)/100</f>
        <v>0.21434595043717905</v>
      </c>
      <c r="V12" s="245">
        <f>regDebt_weighted</f>
        <v>3.5860000000000003E-2</v>
      </c>
      <c r="W12" s="245">
        <f ca="1">+U12-V12</f>
        <v>0.17848595043717905</v>
      </c>
      <c r="X12" s="245">
        <f ca="1">+((W12*(1-0.34))-Pfd_weighted)/Equity_percent</f>
        <v>0.32444978862947144</v>
      </c>
      <c r="Y12" s="245">
        <f>+Y11</f>
        <v>2.5000000000000001E-3</v>
      </c>
      <c r="Z12" s="245">
        <f ca="1">+X12+Y12</f>
        <v>0.32694978862947144</v>
      </c>
      <c r="AA12" s="245">
        <f ca="1">Z12*equityP</f>
        <v>0.19616987317768286</v>
      </c>
      <c r="AB12" s="245">
        <f ca="1">+AA12/(1-taxrate)</f>
        <v>0.24831629516162387</v>
      </c>
      <c r="AC12" s="245">
        <f>debtP*Debt_Rate</f>
        <v>1.6572E-2</v>
      </c>
      <c r="AD12" s="245">
        <f ca="1">+AC12+AB12</f>
        <v>0.26488829516162388</v>
      </c>
      <c r="AE12" s="245">
        <f ca="1">+AD12/(S12/100)</f>
        <v>5.3645131668010861E-2</v>
      </c>
      <c r="AF12" s="245">
        <f ca="1">1-AE12</f>
        <v>0.94635486833198912</v>
      </c>
      <c r="AG12" s="246">
        <f ca="1">expenses/(AF12)</f>
        <v>70539.6037994293</v>
      </c>
      <c r="AH12" s="247">
        <f ca="1">+AG12-Revenue</f>
        <v>-13584.6717699</v>
      </c>
      <c r="AI12" s="248">
        <f ca="1">+AH12/$J$49</f>
        <v>-14736.226912025113</v>
      </c>
      <c r="AJ12" s="248">
        <f ca="1">+AI12*$J$47</f>
        <v>-373.83893512476027</v>
      </c>
      <c r="AK12" s="246">
        <f t="shared" ref="AK12:AK14" ca="1" si="8">ROUND(+AJ12+AG12,5)</f>
        <v>70165.764859999996</v>
      </c>
    </row>
    <row r="13" spans="1:37" ht="15.6">
      <c r="A13" s="194"/>
      <c r="B13" s="218" t="s">
        <v>773</v>
      </c>
      <c r="C13" s="261">
        <f>'[24]LG Total'!C13</f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493.77881445219651</v>
      </c>
      <c r="T13" s="244">
        <f ca="1">EXP(y_inter3-(slope*LN(S13)))</f>
        <v>4.2987260900163973</v>
      </c>
      <c r="U13" s="245">
        <f ca="1">(+S13*T13/100)/100</f>
        <v>0.21226198723830231</v>
      </c>
      <c r="V13" s="245">
        <f>regDebt_weighted</f>
        <v>3.5860000000000003E-2</v>
      </c>
      <c r="W13" s="245">
        <f ca="1">+U13-V13</f>
        <v>0.1764019872383023</v>
      </c>
      <c r="X13" s="245">
        <f ca="1">+((W13*(1-0.34))-Pfd_weighted)/Equity_percent</f>
        <v>0.32045148714325439</v>
      </c>
      <c r="Y13" s="245">
        <f>+Y12</f>
        <v>2.5000000000000001E-3</v>
      </c>
      <c r="Z13" s="245">
        <f t="shared" ref="Z13:Z14" ca="1" si="9">+X13+Y13</f>
        <v>0.32295148714325439</v>
      </c>
      <c r="AA13" s="245">
        <f ca="1">Z13*equityP</f>
        <v>0.19377089228595262</v>
      </c>
      <c r="AB13" s="245">
        <f ca="1">+AA13/(1-taxrate)</f>
        <v>0.2452796104885476</v>
      </c>
      <c r="AC13" s="245">
        <f>debtP*Debt_Rate</f>
        <v>1.6572E-2</v>
      </c>
      <c r="AD13" s="245">
        <f ca="1">+AC13+AB13</f>
        <v>0.2618516104885476</v>
      </c>
      <c r="AE13" s="245">
        <f ca="1">+AD13/(S13/100)</f>
        <v>5.3030142813852509E-2</v>
      </c>
      <c r="AF13" s="245">
        <f ca="1">1-AE13</f>
        <v>0.94696985718614746</v>
      </c>
      <c r="AG13" s="246">
        <f ca="1">expenses/(AF13)</f>
        <v>70493.793397140151</v>
      </c>
      <c r="AH13" s="247">
        <f ca="1">+AG13-Revenue</f>
        <v>-13630.482172189149</v>
      </c>
      <c r="AI13" s="248">
        <f ca="1">+AH13/$J$49</f>
        <v>-14785.92060315719</v>
      </c>
      <c r="AJ13" s="248">
        <f ca="1">+AI13*$J$47</f>
        <v>-375.09959951912265</v>
      </c>
      <c r="AK13" s="246">
        <f t="shared" ca="1" si="8"/>
        <v>70118.693799999994</v>
      </c>
    </row>
    <row r="14" spans="1:37" ht="16.2" thickBot="1">
      <c r="A14" s="194"/>
      <c r="B14" s="258" t="s">
        <v>774</v>
      </c>
      <c r="C14" s="261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2736.746846185405</v>
      </c>
      <c r="L14" s="222"/>
      <c r="M14" s="259">
        <f ca="1">+M9-SUM(M11:M13)</f>
        <v>2736.746846185405</v>
      </c>
      <c r="O14" s="225"/>
      <c r="P14" s="194"/>
      <c r="R14" s="254">
        <v>4</v>
      </c>
      <c r="S14" s="243">
        <f ca="1">IF((AK9/Investment*100)&gt;0,(AK9/Investment*100),0)</f>
        <v>493.77881445219651</v>
      </c>
      <c r="T14" s="260">
        <f ca="1">EXP(y_inter4-(slope*LN(S14)))</f>
        <v>4.2717292450030895</v>
      </c>
      <c r="U14" s="245">
        <f ca="1">(+S14*T14/100)/100</f>
        <v>0.21092894022584019</v>
      </c>
      <c r="V14" s="245">
        <f>regDebt_weighted</f>
        <v>3.5860000000000003E-2</v>
      </c>
      <c r="W14" s="245">
        <f ca="1">+U14-V14</f>
        <v>0.17506894022584019</v>
      </c>
      <c r="X14" s="245">
        <f ca="1">+((W14*(1-0.34))-Pfd_weighted)/Equity_percent</f>
        <v>0.31789389694492592</v>
      </c>
      <c r="Y14" s="245">
        <f>+Y13</f>
        <v>2.5000000000000001E-3</v>
      </c>
      <c r="Z14" s="245">
        <f t="shared" ca="1" si="9"/>
        <v>0.32039389694492593</v>
      </c>
      <c r="AA14" s="245">
        <f ca="1">Z14*equityP</f>
        <v>0.19223633816695554</v>
      </c>
      <c r="AB14" s="245">
        <f ca="1">+AA14/(1-taxrate)</f>
        <v>0.24333713692019687</v>
      </c>
      <c r="AC14" s="245">
        <f>debtP*Debt_Rate</f>
        <v>1.6572E-2</v>
      </c>
      <c r="AD14" s="245">
        <f ca="1">+AC14+AB14</f>
        <v>0.25990913692019685</v>
      </c>
      <c r="AE14" s="245">
        <f ca="1">+AD14/(S14/100)</f>
        <v>5.2636753403149307E-2</v>
      </c>
      <c r="AF14" s="245">
        <f ca="1">1-AE14</f>
        <v>0.94736324659685067</v>
      </c>
      <c r="AG14" s="246">
        <f ca="1">expenses/(AF14)</f>
        <v>70464.521085867411</v>
      </c>
      <c r="AH14" s="247">
        <f ca="1">+AG14-Revenue</f>
        <v>-13659.754483461889</v>
      </c>
      <c r="AI14" s="248">
        <f ca="1">+AH14/$J$49</f>
        <v>-14817.67429058233</v>
      </c>
      <c r="AJ14" s="248">
        <f ca="1">+AI14*$J$47</f>
        <v>-375.9051493226217</v>
      </c>
      <c r="AK14" s="246">
        <f t="shared" ca="1" si="8"/>
        <v>70088.615940000003</v>
      </c>
    </row>
    <row r="15" spans="1:37" ht="16.2" thickTop="1">
      <c r="A15" s="194"/>
      <c r="B15" s="258" t="s">
        <v>776</v>
      </c>
      <c r="C15" s="261">
        <f>'[24]LG Total'!C15</f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0.79353429214120741</v>
      </c>
      <c r="J16" s="264"/>
      <c r="K16" s="263">
        <f ca="1">+K8/K7</f>
        <v>0.94750600000000007</v>
      </c>
      <c r="L16" s="265"/>
      <c r="M16" s="263">
        <f ca="1">+M8/M7</f>
        <v>0.94722419709988881</v>
      </c>
      <c r="O16" s="225"/>
      <c r="P16" s="194"/>
      <c r="R16" s="232">
        <v>1</v>
      </c>
      <c r="S16" s="233">
        <f ca="1">AK11/Investment*100</f>
        <v>497.0505026607633</v>
      </c>
      <c r="T16" s="234">
        <f ca="1">EXP(y_inter1-(slope*LN(+S16)))</f>
        <v>4.3837467857510939</v>
      </c>
      <c r="U16" s="235">
        <f ca="1">(+S16*T16/100)/100</f>
        <v>0.21789435433950868</v>
      </c>
      <c r="V16" s="235">
        <f>regDebt_weighted</f>
        <v>3.5860000000000003E-2</v>
      </c>
      <c r="W16" s="235">
        <f ca="1">+U16-V16</f>
        <v>0.18203435433950868</v>
      </c>
      <c r="X16" s="235">
        <f ca="1">+((W16*(1-0.34))-Pfd_weighted)/Equity_percent</f>
        <v>0.33125777286068525</v>
      </c>
      <c r="Y16" s="235">
        <f>+Y14</f>
        <v>2.5000000000000001E-3</v>
      </c>
      <c r="Z16" s="235">
        <f ca="1">+X16+Y16</f>
        <v>0.33375777286068525</v>
      </c>
      <c r="AA16" s="235">
        <f ca="1">Z16*equityP</f>
        <v>0.20025466371641115</v>
      </c>
      <c r="AB16" s="235">
        <f ca="1">+AA16/(1-taxrate)</f>
        <v>0.25348691609672297</v>
      </c>
      <c r="AC16" s="235">
        <f>debtP*Debt_Rate</f>
        <v>1.6572E-2</v>
      </c>
      <c r="AD16" s="235">
        <f ca="1">+AC16+AB16</f>
        <v>0.27005891609672295</v>
      </c>
      <c r="AE16" s="235">
        <f ca="1">+AD16/(S16/100)</f>
        <v>5.4332289103636223E-2</v>
      </c>
      <c r="AF16" s="235">
        <f ca="1">1-AE16</f>
        <v>0.94566771089636381</v>
      </c>
      <c r="AG16" s="236">
        <f ca="1">expenses/(AF16)</f>
        <v>70590.860506936937</v>
      </c>
      <c r="AH16" s="237">
        <f ca="1">+AG16-Revenue</f>
        <v>-13533.415062392363</v>
      </c>
      <c r="AI16" s="238">
        <f ca="1">+AH16/$J$49</f>
        <v>-14680.625239390707</v>
      </c>
      <c r="AJ16" s="238">
        <f ca="1">+AI16*$J$47</f>
        <v>-372.42839291386099</v>
      </c>
      <c r="AK16" s="236">
        <f ca="1">ROUND(+AJ16+AG16,5)</f>
        <v>70218.432109999994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496.5551841969509</v>
      </c>
      <c r="T17" s="257">
        <f ca="1">EXP(y_inter2-(slope*LN(+S17)))</f>
        <v>4.324322222731074</v>
      </c>
      <c r="U17" s="245">
        <f ca="1">(+S17*T17/100)/100</f>
        <v>0.21472646178351965</v>
      </c>
      <c r="V17" s="245">
        <f>regDebt_weighted</f>
        <v>3.5860000000000003E-2</v>
      </c>
      <c r="W17" s="245">
        <f ca="1">+U17-V17</f>
        <v>0.17886646178351964</v>
      </c>
      <c r="X17" s="245">
        <f ca="1">+((W17*(1-0.34))-Pfd_weighted)/Equity_percent</f>
        <v>0.32517983946838069</v>
      </c>
      <c r="Y17" s="245">
        <f>+Y16</f>
        <v>2.5000000000000001E-3</v>
      </c>
      <c r="Z17" s="245">
        <f ca="1">+X17+Y17</f>
        <v>0.3276798394683807</v>
      </c>
      <c r="AA17" s="245">
        <f ca="1">Z17*equityP</f>
        <v>0.1966079036810284</v>
      </c>
      <c r="AB17" s="245">
        <f ca="1">+AA17/(1-taxrate)</f>
        <v>0.2488707641532005</v>
      </c>
      <c r="AC17" s="245">
        <f>debtP*Debt_Rate</f>
        <v>1.6572E-2</v>
      </c>
      <c r="AD17" s="245">
        <f ca="1">+AC17+AB17</f>
        <v>0.26544276415320051</v>
      </c>
      <c r="AE17" s="245">
        <f ca="1">+AD17/(S17/100)</f>
        <v>5.3456850839748112E-2</v>
      </c>
      <c r="AF17" s="245">
        <f ca="1">1-AE17</f>
        <v>0.94654314916025184</v>
      </c>
      <c r="AG17" s="246">
        <f ca="1">expenses/(AF17)</f>
        <v>70525.572473926106</v>
      </c>
      <c r="AH17" s="247">
        <f ca="1">+AG17-Revenue</f>
        <v>-13598.703095403194</v>
      </c>
      <c r="AI17" s="248">
        <f ca="1">+AH17/$J$49</f>
        <v>-14751.447654932548</v>
      </c>
      <c r="AJ17" s="248">
        <f ca="1">+AI17*$J$47</f>
        <v>-374.22506560132615</v>
      </c>
      <c r="AK17" s="246">
        <f t="shared" ref="AK17:AK19" ca="1" si="10">ROUND(+AJ17+AG17,5)</f>
        <v>70151.347410000002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496.22206762770543</v>
      </c>
      <c r="T18" s="244">
        <f ca="1">EXP(y_inter3-(slope*LN(S18)))</f>
        <v>4.2842444580787093</v>
      </c>
      <c r="U18" s="245">
        <f ca="1">(+S18*T18/100)/100</f>
        <v>0.21259366432103557</v>
      </c>
      <c r="V18" s="245">
        <f>regDebt_weighted</f>
        <v>3.5860000000000003E-2</v>
      </c>
      <c r="W18" s="245">
        <f ca="1">+U18-V18</f>
        <v>0.17673366432103557</v>
      </c>
      <c r="X18" s="245">
        <f ca="1">+((W18*(1-0.34))-Pfd_weighted)/Equity_percent</f>
        <v>0.3210878443368706</v>
      </c>
      <c r="Y18" s="245">
        <f>+Y17</f>
        <v>2.5000000000000001E-3</v>
      </c>
      <c r="Z18" s="245">
        <f t="shared" ref="Z18:Z19" ca="1" si="11">+X18+Y18</f>
        <v>0.3235878443368706</v>
      </c>
      <c r="AA18" s="245">
        <f ca="1">Z18*equityP</f>
        <v>0.19415270660212236</v>
      </c>
      <c r="AB18" s="245">
        <f ca="1">+AA18/(1-taxrate)</f>
        <v>0.24576291974952197</v>
      </c>
      <c r="AC18" s="245">
        <f>debtP*Debt_Rate</f>
        <v>1.6572E-2</v>
      </c>
      <c r="AD18" s="245">
        <f ca="1">+AC18+AB18</f>
        <v>0.26233491974952194</v>
      </c>
      <c r="AE18" s="245">
        <f ca="1">+AD18/(S18/100)</f>
        <v>5.2866435586726226E-2</v>
      </c>
      <c r="AF18" s="245">
        <f ca="1">1-AE18</f>
        <v>0.94713356441327379</v>
      </c>
      <c r="AG18" s="246">
        <f ca="1">expenses/(AF18)</f>
        <v>70481.608902914348</v>
      </c>
      <c r="AH18" s="247">
        <f ca="1">+AG18-Revenue</f>
        <v>-13642.666666414952</v>
      </c>
      <c r="AI18" s="248">
        <f ca="1">+AH18/$J$49</f>
        <v>-14799.137961276769</v>
      </c>
      <c r="AJ18" s="248">
        <f ca="1">+AI18*$J$47</f>
        <v>-375.43490672591884</v>
      </c>
      <c r="AK18" s="246">
        <f t="shared" ca="1" si="10"/>
        <v>70106.173999999999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84124.2755693293</v>
      </c>
      <c r="K19" s="271"/>
      <c r="L19" s="240" t="s">
        <v>785</v>
      </c>
      <c r="M19" s="272">
        <f ca="1">+J7</f>
        <v>-13670.370828040497</v>
      </c>
      <c r="O19" s="194"/>
      <c r="P19" s="194"/>
      <c r="R19" s="254">
        <v>4</v>
      </c>
      <c r="S19" s="243">
        <f ca="1">AK14/Investment*100</f>
        <v>496.00921001342095</v>
      </c>
      <c r="T19" s="260">
        <f ca="1">EXP(y_inter4-(slope*LN(S19)))</f>
        <v>4.2585875382716418</v>
      </c>
      <c r="U19" s="245">
        <f ca="1">(+S19*T19/100)/100</f>
        <v>0.21122986406311159</v>
      </c>
      <c r="V19" s="245">
        <f>regDebt_weighted</f>
        <v>3.5860000000000003E-2</v>
      </c>
      <c r="W19" s="245">
        <f ca="1">+U19-V19</f>
        <v>0.17536986406311159</v>
      </c>
      <c r="X19" s="245">
        <f ca="1">+((W19*(1-0.34))-Pfd_weighted)/Equity_percent</f>
        <v>0.31847125081876054</v>
      </c>
      <c r="Y19" s="245">
        <f>+Y18</f>
        <v>2.5000000000000001E-3</v>
      </c>
      <c r="Z19" s="245">
        <f t="shared" ca="1" si="11"/>
        <v>0.32097125081876055</v>
      </c>
      <c r="AA19" s="245">
        <f ca="1">Z19*equityP</f>
        <v>0.19258275049125631</v>
      </c>
      <c r="AB19" s="245">
        <f ca="1">+AA19/(1-taxrate)</f>
        <v>0.24377563353323584</v>
      </c>
      <c r="AC19" s="245">
        <f>debtP*Debt_Rate</f>
        <v>1.6572E-2</v>
      </c>
      <c r="AD19" s="245">
        <f ca="1">+AC19+AB19</f>
        <v>0.26034763353323581</v>
      </c>
      <c r="AE19" s="245">
        <f ca="1">+AD19/(S19/100)</f>
        <v>5.2488467608533186E-2</v>
      </c>
      <c r="AF19" s="245">
        <f ca="1">1-AE19</f>
        <v>0.94751153239146679</v>
      </c>
      <c r="AG19" s="246">
        <f ca="1">expenses/(AF19)</f>
        <v>70453.49337048427</v>
      </c>
      <c r="AH19" s="247">
        <f ca="1">+AG19-Revenue</f>
        <v>-13670.782198845031</v>
      </c>
      <c r="AI19" s="248">
        <f ca="1">+AH19/$J$49</f>
        <v>-14829.636811205557</v>
      </c>
      <c r="AJ19" s="248">
        <f ca="1">+AI19*$J$47</f>
        <v>-376.20862293210752</v>
      </c>
      <c r="AK19" s="246">
        <f t="shared" ca="1" si="10"/>
        <v>70077.284750000006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-14046.568130388187</v>
      </c>
      <c r="K20" s="273"/>
      <c r="L20" s="240" t="s">
        <v>787</v>
      </c>
      <c r="M20" s="272">
        <f ca="1">+L8</f>
        <v>-376.19730234769304</v>
      </c>
      <c r="O20" s="194"/>
      <c r="P20" s="383">
        <f ca="1">9.51*(1+K22)</f>
        <v>7.9220771083502273</v>
      </c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70077.707438941114</v>
      </c>
      <c r="L21" s="274" t="s">
        <v>786</v>
      </c>
      <c r="M21" s="276">
        <f ca="1">+M19+M20</f>
        <v>-14046.56813038819</v>
      </c>
      <c r="O21" s="194"/>
      <c r="P21" s="194">
        <v>34539</v>
      </c>
      <c r="R21" s="232">
        <v>1</v>
      </c>
      <c r="S21" s="233">
        <f ca="1">AK16/Investment*100</f>
        <v>496.9279043700592</v>
      </c>
      <c r="T21" s="234">
        <f ca="1">EXP(y_inter1-(slope*LN(+S21)))</f>
        <v>4.3844861629760095</v>
      </c>
      <c r="U21" s="235">
        <f ca="1">(+S21*T21/100)/100</f>
        <v>0.21787735207071901</v>
      </c>
      <c r="V21" s="235">
        <f>regDebt_weighted</f>
        <v>3.5860000000000003E-2</v>
      </c>
      <c r="W21" s="235">
        <f ca="1">+U21-V21</f>
        <v>0.18201735207071901</v>
      </c>
      <c r="X21" s="235">
        <f ca="1">+((W21*(1-0.34))-Pfd_weighted)/Equity_percent</f>
        <v>0.33122515222870502</v>
      </c>
      <c r="Y21" s="235">
        <f>+Y19</f>
        <v>2.5000000000000001E-3</v>
      </c>
      <c r="Z21" s="235">
        <f ca="1">+X21+Y21</f>
        <v>0.33372515222870502</v>
      </c>
      <c r="AA21" s="235">
        <f ca="1">Z21*equityP</f>
        <v>0.200235091337223</v>
      </c>
      <c r="AB21" s="235">
        <f ca="1">+AA21/(1-taxrate)</f>
        <v>0.25346214093319369</v>
      </c>
      <c r="AC21" s="235">
        <f>debtP*Debt_Rate</f>
        <v>1.6572E-2</v>
      </c>
      <c r="AD21" s="235">
        <f ca="1">+AC21+AB21</f>
        <v>0.27003414093319367</v>
      </c>
      <c r="AE21" s="235">
        <f ca="1">+AD21/(S21/100)</f>
        <v>5.4340707889106762E-2</v>
      </c>
      <c r="AF21" s="235">
        <f ca="1">1-AE21</f>
        <v>0.94565929211089328</v>
      </c>
      <c r="AG21" s="236">
        <f ca="1">expenses/(AF21)</f>
        <v>70591.488946075377</v>
      </c>
      <c r="AH21" s="237">
        <f ca="1">+AG21-Revenue</f>
        <v>-13532.786623253924</v>
      </c>
      <c r="AI21" s="238">
        <f ca="1">+AH21/$J$49</f>
        <v>-14679.943528275318</v>
      </c>
      <c r="AJ21" s="238">
        <f ca="1">+AI21*$J$47</f>
        <v>-372.41109878837273</v>
      </c>
      <c r="AK21" s="236">
        <f ca="1">ROUND(+AJ21+AG21,5)</f>
        <v>70219.077850000001</v>
      </c>
    </row>
    <row r="22" spans="1:37" ht="21" customHeight="1" thickTop="1">
      <c r="A22" s="194"/>
      <c r="B22" s="267"/>
      <c r="C22" s="194"/>
      <c r="D22" s="194"/>
      <c r="E22" s="383">
        <f ca="1">7.5*(1+K22)</f>
        <v>6.2476948804023875</v>
      </c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-0.16697401594634831</v>
      </c>
      <c r="L22" s="279"/>
      <c r="M22" s="282"/>
      <c r="O22" s="194"/>
      <c r="P22" s="194"/>
      <c r="R22" s="242">
        <v>2</v>
      </c>
      <c r="S22" s="243">
        <f ca="1">AK17/Investment*100</f>
        <v>496.4531535334973</v>
      </c>
      <c r="T22" s="257">
        <f ca="1">EXP(y_inter2-(slope*LN(+S22)))</f>
        <v>4.3249298019223268</v>
      </c>
      <c r="U22" s="245">
        <f ca="1">(+S22*T22/100)/100</f>
        <v>0.21471250389753432</v>
      </c>
      <c r="V22" s="245">
        <f>regDebt_weighted</f>
        <v>3.5860000000000003E-2</v>
      </c>
      <c r="W22" s="245">
        <f ca="1">+U22-V22</f>
        <v>0.17885250389753432</v>
      </c>
      <c r="X22" s="245">
        <f ca="1">+((W22*(1-0.34))-Pfd_weighted)/Equity_percent</f>
        <v>0.32515305980340886</v>
      </c>
      <c r="Y22" s="245">
        <f>+Y21</f>
        <v>2.5000000000000001E-3</v>
      </c>
      <c r="Z22" s="245">
        <f ca="1">+X22+Y22</f>
        <v>0.32765305980340886</v>
      </c>
      <c r="AA22" s="245">
        <f ca="1">Z22*equityP</f>
        <v>0.19659183588204532</v>
      </c>
      <c r="AB22" s="245">
        <f ca="1">+AA22/(1-taxrate)</f>
        <v>0.24885042516714595</v>
      </c>
      <c r="AC22" s="245">
        <f>debtP*Debt_Rate</f>
        <v>1.6572E-2</v>
      </c>
      <c r="AD22" s="245">
        <f ca="1">+AC22+AB22</f>
        <v>0.26542242516714593</v>
      </c>
      <c r="AE22" s="245">
        <f ca="1">+AD22/(S22/100)</f>
        <v>5.3463740390811525E-2</v>
      </c>
      <c r="AF22" s="245">
        <f ca="1">1-AE22</f>
        <v>0.94653625960918852</v>
      </c>
      <c r="AG22" s="246">
        <f ca="1">expenses/(AF22)</f>
        <v>70526.085808230942</v>
      </c>
      <c r="AH22" s="247">
        <f ca="1">+AG22-Revenue</f>
        <v>-13598.189761098358</v>
      </c>
      <c r="AI22" s="248">
        <f ca="1">+AH22/$J$49</f>
        <v>-14750.890805939365</v>
      </c>
      <c r="AJ22" s="248">
        <f ca="1">+AI22*$J$47</f>
        <v>-374.21093906568854</v>
      </c>
      <c r="AK22" s="246">
        <f t="shared" ref="AK22:AK24" ca="1" si="12">ROUND(+AJ22+AG22,5)</f>
        <v>70151.87487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496.13346641873244</v>
      </c>
      <c r="T23" s="244">
        <f ca="1">EXP(y_inter3-(slope*LN(S23)))</f>
        <v>4.284767515809552</v>
      </c>
      <c r="U23" s="245">
        <f ca="1">(+S23*T23/100)/100</f>
        <v>0.2125816560416974</v>
      </c>
      <c r="V23" s="245">
        <f>regDebt_weighted</f>
        <v>3.5860000000000003E-2</v>
      </c>
      <c r="W23" s="245">
        <f ca="1">+U23-V23</f>
        <v>0.1767216560416974</v>
      </c>
      <c r="X23" s="245">
        <f ca="1">+((W23*(1-0.34))-Pfd_weighted)/Equity_percent</f>
        <v>0.32106480519627989</v>
      </c>
      <c r="Y23" s="245">
        <f>+Y22</f>
        <v>2.5000000000000001E-3</v>
      </c>
      <c r="Z23" s="245">
        <f t="shared" ref="Z23:Z24" ca="1" si="13">+X23+Y23</f>
        <v>0.32356480519627989</v>
      </c>
      <c r="AA23" s="245">
        <f ca="1">Z23*equityP</f>
        <v>0.19413888311776792</v>
      </c>
      <c r="AB23" s="245">
        <f ca="1">+AA23/(1-taxrate)</f>
        <v>0.24574542166806065</v>
      </c>
      <c r="AC23" s="245">
        <f>debtP*Debt_Rate</f>
        <v>1.6572E-2</v>
      </c>
      <c r="AD23" s="245">
        <f ca="1">+AC23+AB23</f>
        <v>0.26231742166806066</v>
      </c>
      <c r="AE23" s="245">
        <f ca="1">+AD23/(S23/100)</f>
        <v>5.2872349765388932E-2</v>
      </c>
      <c r="AF23" s="245">
        <f ca="1">1-AE23</f>
        <v>0.9471276502346111</v>
      </c>
      <c r="AG23" s="246">
        <f ca="1">expenses/(AF23)</f>
        <v>70482.049013418335</v>
      </c>
      <c r="AH23" s="247">
        <f ca="1">+AG23-Revenue</f>
        <v>-13642.226555910966</v>
      </c>
      <c r="AI23" s="248">
        <f ca="1">+AH23/$J$49</f>
        <v>-14798.660543171791</v>
      </c>
      <c r="AJ23" s="248">
        <f ca="1">+AI23*$J$47</f>
        <v>-375.42279524873817</v>
      </c>
      <c r="AK23" s="246">
        <f t="shared" ca="1" si="12"/>
        <v>70106.626220000006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495.92902046302061</v>
      </c>
      <c r="T24" s="260">
        <f ca="1">EXP(y_inter4-(slope*LN(S24)))</f>
        <v>4.259058297943529</v>
      </c>
      <c r="U24" s="245">
        <f ca="1">(+S24*T24/100)/100</f>
        <v>0.21121906097940341</v>
      </c>
      <c r="V24" s="245">
        <f>regDebt_weighted</f>
        <v>3.5860000000000003E-2</v>
      </c>
      <c r="W24" s="245">
        <f ca="1">+U24-V24</f>
        <v>0.1753590609794034</v>
      </c>
      <c r="X24" s="245">
        <f ca="1">+((W24*(1-0.34))-Pfd_weighted)/Equity_percent</f>
        <v>0.31845052397211115</v>
      </c>
      <c r="Y24" s="245">
        <f>+Y23</f>
        <v>2.5000000000000001E-3</v>
      </c>
      <c r="Z24" s="245">
        <f t="shared" ca="1" si="13"/>
        <v>0.32095052397211116</v>
      </c>
      <c r="AA24" s="245">
        <f ca="1">Z24*equityP</f>
        <v>0.19257031438326669</v>
      </c>
      <c r="AB24" s="245">
        <f ca="1">+AA24/(1-taxrate)</f>
        <v>0.24375989162438821</v>
      </c>
      <c r="AC24" s="245">
        <f>debtP*Debt_Rate</f>
        <v>1.6572E-2</v>
      </c>
      <c r="AD24" s="245">
        <f ca="1">+AC24+AB24</f>
        <v>0.26033189162438819</v>
      </c>
      <c r="AE24" s="245">
        <f ca="1">+AD24/(S24/100)</f>
        <v>5.2493780537652579E-2</v>
      </c>
      <c r="AF24" s="245">
        <f ca="1">1-AE24</f>
        <v>0.94750621946234737</v>
      </c>
      <c r="AG24" s="246">
        <f ca="1">expenses/(AF24)</f>
        <v>70453.888422684249</v>
      </c>
      <c r="AH24" s="247">
        <f ca="1">+AG24-Revenue</f>
        <v>-13670.387146645051</v>
      </c>
      <c r="AI24" s="248">
        <f ca="1">+AH24/$J$49</f>
        <v>-14829.208270939027</v>
      </c>
      <c r="AJ24" s="248">
        <f ca="1">+AI24*$J$47</f>
        <v>-376.19775142219839</v>
      </c>
      <c r="AK24" s="246">
        <f t="shared" ca="1" si="12"/>
        <v>70077.690669999996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8478.3041756144266</v>
      </c>
      <c r="K26" s="263">
        <f ca="1">+K34</f>
        <v>0.32279413305987831</v>
      </c>
      <c r="L26" s="293">
        <f ca="1">+K26*I26</f>
        <v>0.19367647983592698</v>
      </c>
      <c r="M26" s="241">
        <f ca="1">+J26*K26</f>
        <v>2736.746846185405</v>
      </c>
      <c r="O26" s="194"/>
      <c r="P26" s="194"/>
      <c r="R26" s="232">
        <v>1</v>
      </c>
      <c r="S26" s="233">
        <f ca="1">AK21/Investment*100</f>
        <v>496.93247419902474</v>
      </c>
      <c r="T26" s="234">
        <f ca="1">EXP(y_inter1-(slope*LN(+S26)))</f>
        <v>4.3844585973140422</v>
      </c>
      <c r="U26" s="235">
        <f ca="1">(+S26*T26/100)/100</f>
        <v>0.21787798587864526</v>
      </c>
      <c r="V26" s="235">
        <f>regDebt_weighted</f>
        <v>3.5860000000000003E-2</v>
      </c>
      <c r="W26" s="235">
        <f ca="1">+U26-V26</f>
        <v>0.18201798587864526</v>
      </c>
      <c r="X26" s="235">
        <f ca="1">+((W26*(1-0.34))-Pfd_weighted)/Equity_percent</f>
        <v>0.3312263682555403</v>
      </c>
      <c r="Y26" s="235">
        <f>+Y24</f>
        <v>2.5000000000000001E-3</v>
      </c>
      <c r="Z26" s="235">
        <f ca="1">+X26+Y26</f>
        <v>0.33372636825554031</v>
      </c>
      <c r="AA26" s="235">
        <f ca="1">Z26*equityP</f>
        <v>0.20023582095332418</v>
      </c>
      <c r="AB26" s="235">
        <f ca="1">+AA26/(1-taxrate)</f>
        <v>0.2534630644978787</v>
      </c>
      <c r="AC26" s="235">
        <f>debtP*Debt_Rate</f>
        <v>1.6572E-2</v>
      </c>
      <c r="AD26" s="235">
        <f ca="1">+AC26+AB26</f>
        <v>0.27003506449787867</v>
      </c>
      <c r="AE26" s="235">
        <f ca="1">+AD26/(S26/100)</f>
        <v>5.4340394020964675E-2</v>
      </c>
      <c r="AF26" s="235">
        <f ca="1">1-AE26</f>
        <v>0.94565960597903531</v>
      </c>
      <c r="AG26" s="236">
        <f ca="1">expenses/(AF26)</f>
        <v>70591.465516482596</v>
      </c>
      <c r="AH26" s="237">
        <f ca="1">+AG26-Revenue</f>
        <v>-13532.810052846704</v>
      </c>
      <c r="AI26" s="238">
        <f ca="1">+AH26/$J$49</f>
        <v>-14679.968943964524</v>
      </c>
      <c r="AJ26" s="238">
        <f ca="1">+AI26*$J$47</f>
        <v>-372.41174355139418</v>
      </c>
      <c r="AK26" s="236">
        <f ca="1">ROUND(+AJ26+AG26,5)</f>
        <v>70219.053769999999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5652.2027837429523</v>
      </c>
      <c r="K27" s="263">
        <f>IF(A64=TRUE,C9,0)</f>
        <v>4.1430000000000002E-2</v>
      </c>
      <c r="L27" s="293">
        <f>+K27*I27</f>
        <v>1.6572E-2</v>
      </c>
      <c r="M27" s="241">
        <f>+K27*J27</f>
        <v>234.17076133047053</v>
      </c>
      <c r="O27" s="194"/>
      <c r="P27" s="194"/>
      <c r="R27" s="242">
        <v>2</v>
      </c>
      <c r="S27" s="243">
        <f ca="1">AK22/Investment*100</f>
        <v>496.45688630827681</v>
      </c>
      <c r="T27" s="257">
        <f ca="1">EXP(y_inter2-(slope*LN(+S27)))</f>
        <v>4.3249075700340915</v>
      </c>
      <c r="U27" s="245">
        <f ca="1">(+S27*T27/100)/100</f>
        <v>0.21471301457902212</v>
      </c>
      <c r="V27" s="245">
        <f>regDebt_weighted</f>
        <v>3.5860000000000003E-2</v>
      </c>
      <c r="W27" s="245">
        <f ca="1">+U27-V27</f>
        <v>0.17885301457902211</v>
      </c>
      <c r="X27" s="245">
        <f ca="1">+((W27*(1-0.34))-Pfd_weighted)/Equity_percent</f>
        <v>0.32515403959928657</v>
      </c>
      <c r="Y27" s="245">
        <f>+Y26</f>
        <v>2.5000000000000001E-3</v>
      </c>
      <c r="Z27" s="245">
        <f ca="1">+X27+Y27</f>
        <v>0.32765403959928657</v>
      </c>
      <c r="AA27" s="245">
        <f ca="1">Z27*equityP</f>
        <v>0.19659242375957195</v>
      </c>
      <c r="AB27" s="245">
        <f ca="1">+AA27/(1-taxrate)</f>
        <v>0.24885116931591386</v>
      </c>
      <c r="AC27" s="245">
        <f>debtP*Debt_Rate</f>
        <v>1.6572E-2</v>
      </c>
      <c r="AD27" s="245">
        <f ca="1">+AC27+AB27</f>
        <v>0.26542316931591386</v>
      </c>
      <c r="AE27" s="245">
        <f ca="1">+AD27/(S27/100)</f>
        <v>5.3463488297974447E-2</v>
      </c>
      <c r="AF27" s="245">
        <f ca="1">1-AE27</f>
        <v>0.94653651170202557</v>
      </c>
      <c r="AG27" s="246">
        <f ca="1">expenses/(AF27)</f>
        <v>70526.067024886783</v>
      </c>
      <c r="AH27" s="247">
        <f ca="1">+AG27-Revenue</f>
        <v>-13598.208544442517</v>
      </c>
      <c r="AI27" s="248">
        <f ca="1">+AH27/$J$49</f>
        <v>-14750.911181523434</v>
      </c>
      <c r="AJ27" s="248">
        <f ca="1">+AI27*$J$47</f>
        <v>-374.2114559677895</v>
      </c>
      <c r="AK27" s="246">
        <f t="shared" ref="AK27:AK29" ca="1" si="14">ROUND(+AJ27+AG27,5)</f>
        <v>70151.85557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14130.506959357379</v>
      </c>
      <c r="K28" s="297"/>
      <c r="L28" s="298">
        <f ca="1">SUM(L26:L27)</f>
        <v>0.21024847983592698</v>
      </c>
      <c r="M28" s="296">
        <f ca="1">SUM(M26:M27)</f>
        <v>2970.9176075158757</v>
      </c>
      <c r="O28" s="194"/>
      <c r="P28" s="194"/>
      <c r="R28" s="251">
        <v>3</v>
      </c>
      <c r="S28" s="243">
        <f ca="1">AK23/Investment*100</f>
        <v>496.13666672853958</v>
      </c>
      <c r="T28" s="244">
        <f ca="1">EXP(y_inter3-(slope*LN(S28)))</f>
        <v>4.2847486200250682</v>
      </c>
      <c r="U28" s="245">
        <f ca="1">(+S28*T28/100)/100</f>
        <v>0.21258208981089471</v>
      </c>
      <c r="V28" s="245">
        <f>regDebt_weighted</f>
        <v>3.5860000000000003E-2</v>
      </c>
      <c r="W28" s="245">
        <f ca="1">+U28-V28</f>
        <v>0.17672208981089471</v>
      </c>
      <c r="X28" s="245">
        <f ca="1">+((W28*(1-0.34))-Pfd_weighted)/Equity_percent</f>
        <v>0.32106563742787936</v>
      </c>
      <c r="Y28" s="245">
        <f>+Y27</f>
        <v>2.5000000000000001E-3</v>
      </c>
      <c r="Z28" s="245">
        <f t="shared" ref="Z28:Z29" ca="1" si="15">+X28+Y28</f>
        <v>0.32356563742787936</v>
      </c>
      <c r="AA28" s="245">
        <f ca="1">Z28*equityP</f>
        <v>0.1941393824567276</v>
      </c>
      <c r="AB28" s="245">
        <f ca="1">+AA28/(1-taxrate)</f>
        <v>0.24574605374269315</v>
      </c>
      <c r="AC28" s="245">
        <f>debtP*Debt_Rate</f>
        <v>1.6572E-2</v>
      </c>
      <c r="AD28" s="245">
        <f ca="1">+AC28+AB28</f>
        <v>0.26231805374269312</v>
      </c>
      <c r="AE28" s="245">
        <f ca="1">+AD28/(S28/100)</f>
        <v>5.2872136113701118E-2</v>
      </c>
      <c r="AF28" s="245">
        <f ca="1">1-AE28</f>
        <v>0.94712786388629888</v>
      </c>
      <c r="AG28" s="246">
        <f ca="1">expenses/(AF28)</f>
        <v>70482.033114183068</v>
      </c>
      <c r="AH28" s="247">
        <f ca="1">+AG28-Revenue</f>
        <v>-13642.242455146232</v>
      </c>
      <c r="AI28" s="248">
        <f ca="1">+AH28/$J$49</f>
        <v>-14798.677790164767</v>
      </c>
      <c r="AJ28" s="248">
        <f ca="1">+AI28*$J$47</f>
        <v>-375.42323278254696</v>
      </c>
      <c r="AK28" s="246">
        <f t="shared" ca="1" si="14"/>
        <v>70106.609880000004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495.93189311296271</v>
      </c>
      <c r="T29" s="260">
        <f ca="1">EXP(y_inter4-(slope*LN(S29)))</f>
        <v>4.2590414315909806</v>
      </c>
      <c r="U29" s="245">
        <f ca="1">(+S29*T29/100)/100</f>
        <v>0.2112194480015458</v>
      </c>
      <c r="V29" s="245">
        <f>regDebt_weighted</f>
        <v>3.5860000000000003E-2</v>
      </c>
      <c r="W29" s="245">
        <f ca="1">+U29-V29</f>
        <v>0.17535944800154579</v>
      </c>
      <c r="X29" s="245">
        <f ca="1">+((W29*(1-0.34))-Pfd_weighted)/Equity_percent</f>
        <v>0.31845126651459366</v>
      </c>
      <c r="Y29" s="245">
        <f>+Y28</f>
        <v>2.5000000000000001E-3</v>
      </c>
      <c r="Z29" s="245">
        <f t="shared" ca="1" si="15"/>
        <v>0.32095126651459366</v>
      </c>
      <c r="AA29" s="245">
        <f ca="1">Z29*equityP</f>
        <v>0.19257075990875619</v>
      </c>
      <c r="AB29" s="245">
        <f ca="1">+AA29/(1-taxrate)</f>
        <v>0.24376045558070403</v>
      </c>
      <c r="AC29" s="245">
        <f>debtP*Debt_Rate</f>
        <v>1.6572E-2</v>
      </c>
      <c r="AD29" s="245">
        <f ca="1">+AC29+AB29</f>
        <v>0.260332455580704</v>
      </c>
      <c r="AE29" s="245">
        <f ca="1">+AD29/(S29/100)</f>
        <v>5.2493590187676395E-2</v>
      </c>
      <c r="AF29" s="245">
        <f ca="1">1-AE29</f>
        <v>0.94750640981232359</v>
      </c>
      <c r="AG29" s="246">
        <f ca="1">expenses/(AF29)</f>
        <v>70453.874268800064</v>
      </c>
      <c r="AH29" s="247">
        <f ca="1">+AG29-Revenue</f>
        <v>-13670.401300529236</v>
      </c>
      <c r="AI29" s="248">
        <f ca="1">+AH29/$J$49</f>
        <v>-14829.223624629758</v>
      </c>
      <c r="AJ29" s="248">
        <f ca="1">+AI29*$J$47</f>
        <v>-376.19814092538854</v>
      </c>
      <c r="AK29" s="246">
        <f t="shared" ca="1" si="14"/>
        <v>70077.676130000007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496.9323037875875</v>
      </c>
      <c r="T31" s="234">
        <f ca="1">EXP(y_inter1-(slope*LN(+S31)))</f>
        <v>4.3844596252450874</v>
      </c>
      <c r="U31" s="235">
        <f ca="1">(+S31*T31/100)/100</f>
        <v>0.2178779622436704</v>
      </c>
      <c r="V31" s="235">
        <f>regDebt_weighted</f>
        <v>3.5860000000000003E-2</v>
      </c>
      <c r="W31" s="235">
        <f ca="1">+U31-V31</f>
        <v>0.18201796224367039</v>
      </c>
      <c r="X31" s="235">
        <f ca="1">+((W31*(1-0.34))-Pfd_weighted)/Equity_percent</f>
        <v>0.3312263229093676</v>
      </c>
      <c r="Y31" s="235">
        <f>+Y29</f>
        <v>2.5000000000000001E-3</v>
      </c>
      <c r="Z31" s="235">
        <f ca="1">+X31+Y31</f>
        <v>0.3337263229093676</v>
      </c>
      <c r="AA31" s="235">
        <f ca="1">Z31*equityP</f>
        <v>0.20023579374562056</v>
      </c>
      <c r="AB31" s="235">
        <f ca="1">+AA31/(1-taxrate)</f>
        <v>0.25346303005774751</v>
      </c>
      <c r="AC31" s="235">
        <f>debtP*Debt_Rate</f>
        <v>1.6572E-2</v>
      </c>
      <c r="AD31" s="235">
        <f ca="1">+AC31+AB31</f>
        <v>0.27003503005774748</v>
      </c>
      <c r="AE31" s="235">
        <f ca="1">+AD31/(S31/100)</f>
        <v>5.4340405725197792E-2</v>
      </c>
      <c r="AF31" s="235">
        <f ca="1">1-AE31</f>
        <v>0.94565959427480217</v>
      </c>
      <c r="AG31" s="236">
        <f ca="1">expenses/(AF31)</f>
        <v>70591.466390178568</v>
      </c>
      <c r="AH31" s="237">
        <f ca="1">+AG31-Revenue</f>
        <v>-13532.809179150732</v>
      </c>
      <c r="AI31" s="238">
        <f ca="1">+AH31/$J$49</f>
        <v>-14679.967996206469</v>
      </c>
      <c r="AJ31" s="238">
        <f ca="1">+AI31*$J$47</f>
        <v>-372.41171950800339</v>
      </c>
      <c r="AK31" s="236">
        <f ca="1">ROUND(+AJ31+AG31,5)</f>
        <v>70219.054669999998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496.45674972435899</v>
      </c>
      <c r="T32" s="257">
        <f ca="1">EXP(y_inter2-(slope*LN(+S32)))</f>
        <v>4.3249083835039794</v>
      </c>
      <c r="U32" s="245">
        <f ca="1">(+S32*T32/100)/100</f>
        <v>0.21471299589300169</v>
      </c>
      <c r="V32" s="245">
        <f>regDebt_weighted</f>
        <v>3.5860000000000003E-2</v>
      </c>
      <c r="W32" s="245">
        <f ca="1">+U32-V32</f>
        <v>0.17885299589300169</v>
      </c>
      <c r="X32" s="245">
        <f ca="1">+((W32*(1-0.34))-Pfd_weighted)/Equity_percent</f>
        <v>0.32515400374820086</v>
      </c>
      <c r="Y32" s="245">
        <f>+Y31</f>
        <v>2.5000000000000001E-3</v>
      </c>
      <c r="Z32" s="245">
        <f ca="1">+X32+Y32</f>
        <v>0.32765400374820086</v>
      </c>
      <c r="AA32" s="245">
        <f ca="1">Z32*equityP</f>
        <v>0.19659240224892052</v>
      </c>
      <c r="AB32" s="245">
        <f ca="1">+AA32/(1-taxrate)</f>
        <v>0.24885114208724116</v>
      </c>
      <c r="AC32" s="245">
        <f>debtP*Debt_Rate</f>
        <v>1.6572E-2</v>
      </c>
      <c r="AD32" s="245">
        <f ca="1">+AC32+AB32</f>
        <v>0.26542314208724116</v>
      </c>
      <c r="AE32" s="245">
        <f ca="1">+AD32/(S32/100)</f>
        <v>5.3463497522112144E-2</v>
      </c>
      <c r="AF32" s="245">
        <f ca="1">1-AE32</f>
        <v>0.9465365024778879</v>
      </c>
      <c r="AG32" s="246">
        <f ca="1">expenses/(AF32)</f>
        <v>70526.067712173695</v>
      </c>
      <c r="AH32" s="247">
        <f ca="1">+AG32-Revenue</f>
        <v>-13598.207857155605</v>
      </c>
      <c r="AI32" s="248">
        <f ca="1">+AH32/$J$49</f>
        <v>-14750.910435976095</v>
      </c>
      <c r="AJ32" s="248">
        <f ca="1">+AI32*$J$47</f>
        <v>-374.21143705422196</v>
      </c>
      <c r="AK32" s="246">
        <f t="shared" ref="AK32:AK34" ca="1" si="16">ROUND(+AJ32+AG32,5)</f>
        <v>70151.856280000007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0.26173210105813544</v>
      </c>
      <c r="K33" s="304">
        <f ca="1">+(M14+M11)/J28</f>
        <v>0.21024847983592698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496.13655109220707</v>
      </c>
      <c r="T33" s="244">
        <f ca="1">EXP(y_inter3-(slope*LN(S33)))</f>
        <v>4.2847493027801509</v>
      </c>
      <c r="U33" s="245">
        <f ca="1">(+S33*T33/100)/100</f>
        <v>0.2125820741376083</v>
      </c>
      <c r="V33" s="245">
        <f>regDebt_weighted</f>
        <v>3.5860000000000003E-2</v>
      </c>
      <c r="W33" s="245">
        <f ca="1">+U33-V33</f>
        <v>0.17672207413760829</v>
      </c>
      <c r="X33" s="245">
        <f ca="1">+((W33*(1-0.34))-Pfd_weighted)/Equity_percent</f>
        <v>0.32106560735703915</v>
      </c>
      <c r="Y33" s="245">
        <f>+Y32</f>
        <v>2.5000000000000001E-3</v>
      </c>
      <c r="Z33" s="245">
        <f t="shared" ref="Z33:Z34" ca="1" si="17">+X33+Y33</f>
        <v>0.32356560735703915</v>
      </c>
      <c r="AA33" s="245">
        <f ca="1">Z33*equityP</f>
        <v>0.1941393644142235</v>
      </c>
      <c r="AB33" s="245">
        <f ca="1">+AA33/(1-taxrate)</f>
        <v>0.24574603090408037</v>
      </c>
      <c r="AC33" s="245">
        <f>debtP*Debt_Rate</f>
        <v>1.6572E-2</v>
      </c>
      <c r="AD33" s="245">
        <f ca="1">+AC33+AB33</f>
        <v>0.26231803090408035</v>
      </c>
      <c r="AE33" s="245">
        <f ca="1">+AD33/(S33/100)</f>
        <v>5.287214383350855E-2</v>
      </c>
      <c r="AF33" s="245">
        <f ca="1">1-AE33</f>
        <v>0.94712785616649142</v>
      </c>
      <c r="AG33" s="246">
        <f ca="1">expenses/(AF33)</f>
        <v>70482.033688664873</v>
      </c>
      <c r="AH33" s="247">
        <f ca="1">+AG33-Revenue</f>
        <v>-13642.241880664427</v>
      </c>
      <c r="AI33" s="248">
        <f ca="1">+AH33/$J$49</f>
        <v>-14798.67716698488</v>
      </c>
      <c r="AJ33" s="248">
        <f ca="1">+AI33*$J$47</f>
        <v>-375.42321697328271</v>
      </c>
      <c r="AK33" s="246">
        <f t="shared" ca="1" si="16"/>
        <v>70106.61047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0.40860016843022573</v>
      </c>
      <c r="K34" s="304">
        <f ca="1">+M14/J26</f>
        <v>0.32279413305987831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495.93179021502687</v>
      </c>
      <c r="T34" s="260">
        <f ca="1">EXP(y_inter4-(slope*LN(S34)))</f>
        <v>4.2590420357386272</v>
      </c>
      <c r="U34" s="245">
        <f ca="1">(+S34*T34/100)/100</f>
        <v>0.21121943413849098</v>
      </c>
      <c r="V34" s="245">
        <f>regDebt_weighted</f>
        <v>3.5860000000000003E-2</v>
      </c>
      <c r="W34" s="245">
        <f ca="1">+U34-V34</f>
        <v>0.17535943413849098</v>
      </c>
      <c r="X34" s="245">
        <f ca="1">+((W34*(1-0.34))-Pfd_weighted)/Equity_percent</f>
        <v>0.31845123991687219</v>
      </c>
      <c r="Y34" s="245">
        <f>+Y33</f>
        <v>2.5000000000000001E-3</v>
      </c>
      <c r="Z34" s="245">
        <f t="shared" ca="1" si="17"/>
        <v>0.32095123991687219</v>
      </c>
      <c r="AA34" s="245">
        <f ca="1">Z34*equityP</f>
        <v>0.1925707439501233</v>
      </c>
      <c r="AB34" s="245">
        <f ca="1">+AA34/(1-taxrate)</f>
        <v>0.24376043537990291</v>
      </c>
      <c r="AC34" s="245">
        <f>debtP*Debt_Rate</f>
        <v>1.6572E-2</v>
      </c>
      <c r="AD34" s="245">
        <f ca="1">+AC34+AB34</f>
        <v>0.26033243537990292</v>
      </c>
      <c r="AE34" s="245">
        <f ca="1">+AD34/(S34/100)</f>
        <v>5.2493597005956724E-2</v>
      </c>
      <c r="AF34" s="245">
        <f ca="1">1-AE34</f>
        <v>0.94750640299404332</v>
      </c>
      <c r="AG34" s="246">
        <f ca="1">expenses/(AF34)</f>
        <v>70453.874775787946</v>
      </c>
      <c r="AH34" s="247">
        <f ca="1">+AG34-Revenue</f>
        <v>-13670.400793541354</v>
      </c>
      <c r="AI34" s="248">
        <f ca="1">+AH34/$J$49</f>
        <v>-14829.223074665166</v>
      </c>
      <c r="AJ34" s="248">
        <f ca="1">+AI34*$J$47</f>
        <v>-376.19812697350119</v>
      </c>
      <c r="AK34" s="246">
        <f t="shared" ca="1" si="16"/>
        <v>70077.676649999994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0.94750600000000007</v>
      </c>
      <c r="K35" s="304">
        <f ca="1">+M8/M7</f>
        <v>0.94722419709988881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5.2493999999999957E-2</v>
      </c>
      <c r="K36" s="304">
        <f ca="1">+J36</f>
        <v>5.2493999999999957E-2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496.93231015678566</v>
      </c>
      <c r="T36" s="234">
        <f ca="1">EXP(y_inter1-(slope*LN(+S36)))</f>
        <v>4.3844595868257263</v>
      </c>
      <c r="U36" s="235">
        <f ca="1">(+S36*T36/100)/100</f>
        <v>0.21787796312703742</v>
      </c>
      <c r="V36" s="235">
        <f>regDebt_weighted</f>
        <v>3.5860000000000003E-2</v>
      </c>
      <c r="W36" s="235">
        <f ca="1">+U36-V36</f>
        <v>0.18201796312703741</v>
      </c>
      <c r="X36" s="235">
        <f ca="1">+((W36*(1-0.34))-Pfd_weighted)/Equity_percent</f>
        <v>0.33122632460419971</v>
      </c>
      <c r="Y36" s="235">
        <f>+Y34</f>
        <v>2.5000000000000001E-3</v>
      </c>
      <c r="Z36" s="235">
        <f ca="1">+X36+Y36</f>
        <v>0.33372632460419971</v>
      </c>
      <c r="AA36" s="235">
        <f ca="1">Z36*equityP</f>
        <v>0.20023579476251982</v>
      </c>
      <c r="AB36" s="235">
        <f ca="1">+AA36/(1-taxrate)</f>
        <v>0.25346303134496179</v>
      </c>
      <c r="AC36" s="235">
        <f>debtP*Debt_Rate</f>
        <v>1.6572E-2</v>
      </c>
      <c r="AD36" s="235">
        <f ca="1">+AC36+AB36</f>
        <v>0.27003503134496176</v>
      </c>
      <c r="AE36" s="235">
        <f ca="1">+AD36/(S36/100)</f>
        <v>5.4340405287747098E-2</v>
      </c>
      <c r="AF36" s="235">
        <f ca="1">1-AE36</f>
        <v>0.94565959471225292</v>
      </c>
      <c r="AG36" s="236">
        <f ca="1">expenses/(AF36)</f>
        <v>70591.466357523794</v>
      </c>
      <c r="AH36" s="237">
        <f ca="1">+AG36-Revenue</f>
        <v>-13532.809211805506</v>
      </c>
      <c r="AI36" s="238">
        <f ca="1">+AH36/$J$49</f>
        <v>-14679.968031629347</v>
      </c>
      <c r="AJ36" s="238">
        <f ca="1">+AI36*$J$47</f>
        <v>-372.41172040663582</v>
      </c>
      <c r="AK36" s="236">
        <f ca="1">ROUND(+AJ36+AG36,5)</f>
        <v>70219.054640000002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4.9593179389500799</v>
      </c>
      <c r="K37" s="309">
        <f ca="1">+J37</f>
        <v>4.9593179389500799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496.45675474894881</v>
      </c>
      <c r="T37" s="257">
        <f ca="1">EXP(y_inter2-(slope*LN(+S37)))</f>
        <v>4.3249083535783965</v>
      </c>
      <c r="U37" s="245">
        <f ca="1">(+S37*T37/100)/100</f>
        <v>0.21471299658041498</v>
      </c>
      <c r="V37" s="245">
        <f>regDebt_weighted</f>
        <v>3.5860000000000003E-2</v>
      </c>
      <c r="W37" s="245">
        <f ca="1">+U37-V37</f>
        <v>0.17885299658041498</v>
      </c>
      <c r="X37" s="245">
        <f ca="1">+((W37*(1-0.34))-Pfd_weighted)/Equity_percent</f>
        <v>0.32515400506707526</v>
      </c>
      <c r="Y37" s="245">
        <f>+Y36</f>
        <v>2.5000000000000001E-3</v>
      </c>
      <c r="Z37" s="245">
        <f ca="1">+X37+Y37</f>
        <v>0.32765400506707526</v>
      </c>
      <c r="AA37" s="245">
        <f ca="1">Z37*equityP</f>
        <v>0.19659240304024514</v>
      </c>
      <c r="AB37" s="245">
        <f ca="1">+AA37/(1-taxrate)</f>
        <v>0.2488511430889179</v>
      </c>
      <c r="AC37" s="245">
        <f>debtP*Debt_Rate</f>
        <v>1.6572E-2</v>
      </c>
      <c r="AD37" s="245">
        <f ca="1">+AC37+AB37</f>
        <v>0.2654231430889179</v>
      </c>
      <c r="AE37" s="245">
        <f ca="1">+AD37/(S37/100)</f>
        <v>5.346349718277852E-2</v>
      </c>
      <c r="AF37" s="245">
        <f ca="1">1-AE37</f>
        <v>0.94653650281722146</v>
      </c>
      <c r="AG37" s="246">
        <f ca="1">expenses/(AF37)</f>
        <v>70526.067686890092</v>
      </c>
      <c r="AH37" s="247">
        <f ca="1">+AG37-Revenue</f>
        <v>-13598.207882439208</v>
      </c>
      <c r="AI37" s="248">
        <f ca="1">+AH37/$J$49</f>
        <v>-14750.910463402957</v>
      </c>
      <c r="AJ37" s="248">
        <f ca="1">+AI37*$J$47</f>
        <v>-374.21143775000581</v>
      </c>
      <c r="AK37" s="246">
        <f t="shared" ref="AK37:AK39" ca="1" si="18">ROUND(+AJ37+AG37,5)</f>
        <v>70151.856249999997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496.13655526757043</v>
      </c>
      <c r="T38" s="244">
        <f ca="1">EXP(y_inter3-(slope*LN(S38)))</f>
        <v>4.2847492781274203</v>
      </c>
      <c r="U38" s="245">
        <f ca="1">(+S38*T38/100)/100</f>
        <v>0.21258207470353471</v>
      </c>
      <c r="V38" s="245">
        <f>regDebt_weighted</f>
        <v>3.5860000000000003E-2</v>
      </c>
      <c r="W38" s="245">
        <f ca="1">+U38-V38</f>
        <v>0.17672207470353471</v>
      </c>
      <c r="X38" s="245">
        <f ca="1">+((W38*(1-0.34))-Pfd_weighted)/Equity_percent</f>
        <v>0.32106560844282817</v>
      </c>
      <c r="Y38" s="245">
        <f>+Y37</f>
        <v>2.5000000000000001E-3</v>
      </c>
      <c r="Z38" s="245">
        <f t="shared" ref="Z38:Z39" ca="1" si="19">+X38+Y38</f>
        <v>0.32356560844282817</v>
      </c>
      <c r="AA38" s="245">
        <f ca="1">Z38*equityP</f>
        <v>0.1941393650656969</v>
      </c>
      <c r="AB38" s="245">
        <f ca="1">+AA38/(1-taxrate)</f>
        <v>0.24574603172873025</v>
      </c>
      <c r="AC38" s="245">
        <f>debtP*Debt_Rate</f>
        <v>1.6572E-2</v>
      </c>
      <c r="AD38" s="245">
        <f ca="1">+AC38+AB38</f>
        <v>0.26231803172873025</v>
      </c>
      <c r="AE38" s="245">
        <f ca="1">+AD38/(S38/100)</f>
        <v>5.2872143554763877E-2</v>
      </c>
      <c r="AF38" s="245">
        <f ca="1">1-AE38</f>
        <v>0.94712785644523612</v>
      </c>
      <c r="AG38" s="246">
        <f ca="1">expenses/(AF38)</f>
        <v>70482.033667921642</v>
      </c>
      <c r="AH38" s="247">
        <f ca="1">+AG38-Revenue</f>
        <v>-13642.241901407659</v>
      </c>
      <c r="AI38" s="248">
        <f ca="1">+AH38/$J$49</f>
        <v>-14798.677189486489</v>
      </c>
      <c r="AJ38" s="248">
        <f ca="1">+AI38*$J$47</f>
        <v>-375.42321754411932</v>
      </c>
      <c r="AK38" s="246">
        <f t="shared" ca="1" si="18"/>
        <v>70106.610449999993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495.93179389500801</v>
      </c>
      <c r="T39" s="260">
        <f ca="1">EXP(y_inter4-(slope*LN(S39)))</f>
        <v>4.2590420141322429</v>
      </c>
      <c r="U39" s="245">
        <f ca="1">(+S39*T39/100)/100</f>
        <v>0.21121943463428114</v>
      </c>
      <c r="V39" s="245">
        <f>regDebt_weighted</f>
        <v>3.5860000000000003E-2</v>
      </c>
      <c r="W39" s="245">
        <f ca="1">+U39-V39</f>
        <v>0.17535943463428114</v>
      </c>
      <c r="X39" s="245">
        <f ca="1">+((W39*(1-0.34))-Pfd_weighted)/Equity_percent</f>
        <v>0.31845124086809751</v>
      </c>
      <c r="Y39" s="245">
        <f>+Y38</f>
        <v>2.5000000000000001E-3</v>
      </c>
      <c r="Z39" s="245">
        <f t="shared" ca="1" si="19"/>
        <v>0.32095124086809751</v>
      </c>
      <c r="AA39" s="245">
        <f ca="1">Z39*equityP</f>
        <v>0.19257074452085851</v>
      </c>
      <c r="AB39" s="245">
        <f ca="1">+AA39/(1-taxrate)</f>
        <v>0.24376043610235254</v>
      </c>
      <c r="AC39" s="245">
        <f>debtP*Debt_Rate</f>
        <v>1.6572E-2</v>
      </c>
      <c r="AD39" s="245">
        <f ca="1">+AC39+AB39</f>
        <v>0.26033243610235252</v>
      </c>
      <c r="AE39" s="245">
        <f ca="1">+AD39/(S39/100)</f>
        <v>5.2493596762111724E-2</v>
      </c>
      <c r="AF39" s="245">
        <f ca="1">1-AE39</f>
        <v>0.94750640323788826</v>
      </c>
      <c r="AG39" s="246">
        <f ca="1">expenses/(AF39)</f>
        <v>70453.874757656333</v>
      </c>
      <c r="AH39" s="247">
        <f ca="1">+AG39-Revenue</f>
        <v>-13670.400811672967</v>
      </c>
      <c r="AI39" s="248">
        <f ca="1">+AH39/$J$49</f>
        <v>-14829.223094333773</v>
      </c>
      <c r="AJ39" s="248">
        <f ca="1">+AI39*$J$47</f>
        <v>-376.19812747246823</v>
      </c>
      <c r="AK39" s="246">
        <f t="shared" ca="1" si="18"/>
        <v>70077.676630000002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-259.51083495797894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5.2493596762111724E-2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-75.628871902039577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0.94750599999999996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-0.16697401594634831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-41.057595487674952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-376.19730234769349</v>
      </c>
      <c r="L47" s="210"/>
      <c r="M47" s="210"/>
      <c r="N47" s="210"/>
      <c r="O47" s="194"/>
      <c r="P47" s="194"/>
      <c r="R47" s="233">
        <f ca="1">VLOOKUP(R48,R36:S39,2)</f>
        <v>495.93179389500801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4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0.92185549605066031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0.94750599999999996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0.26173210105813544</v>
      </c>
      <c r="Z62" s="325">
        <f t="shared" ca="1" si="20"/>
        <v>0.21024847983592698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0.40860016843022573</v>
      </c>
      <c r="Z63" s="325">
        <f t="shared" ca="1" si="20"/>
        <v>0.32279413305987831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0.94750600000000007</v>
      </c>
      <c r="Z64" s="325">
        <f t="shared" ca="1" si="20"/>
        <v>0.94722419709988881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5.2493999999999957E-2</v>
      </c>
      <c r="Z65" s="325">
        <f t="shared" ca="1" si="20"/>
        <v>5.2493999999999957E-2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4.9593179389500799</v>
      </c>
      <c r="Z66" s="325">
        <f t="shared" ca="1" si="20"/>
        <v>4.9593179389500799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59DB-AEED-4FCE-A7D6-36CC0DA462C4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6.33203125" style="372" customWidth="1"/>
    <col min="6" max="6" width="5" style="204" customWidth="1"/>
    <col min="7" max="7" width="7.332031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8.44140625" style="372" bestFit="1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375" t="s">
        <v>715</v>
      </c>
      <c r="S2" s="376"/>
      <c r="T2" s="377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+'[24]Joe''s LOB (C)'!F48</f>
        <v>2653006.9245603019</v>
      </c>
      <c r="D5" s="215"/>
      <c r="E5" s="194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378">
        <f>+'[24]Joe''s LOB (C)'!F361</f>
        <v>2471245.3057808457</v>
      </c>
      <c r="D6" s="215"/>
      <c r="E6" s="194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232.80705542493925</v>
      </c>
      <c r="T6" s="234">
        <f>EXP(y_inter1-(slope*LN(+S6)))</f>
        <v>7.3629076371318822</v>
      </c>
      <c r="U6" s="235">
        <f>(+S6*T6/100)/100</f>
        <v>0.17141368463664705</v>
      </c>
      <c r="V6" s="235">
        <f>regDebt_weighted</f>
        <v>3.5860000000000003E-2</v>
      </c>
      <c r="W6" s="235">
        <f>+U6-V6</f>
        <v>0.13555368463664705</v>
      </c>
      <c r="X6" s="235">
        <f>+((W6*(1-0.34))-Pfd_weighted)/Equity_percent</f>
        <v>0.24207974377961353</v>
      </c>
      <c r="Y6" s="235">
        <f>+C15</f>
        <v>2.5000000000000001E-3</v>
      </c>
      <c r="Z6" s="235">
        <f>+X6+Y6</f>
        <v>0.24457974377961353</v>
      </c>
      <c r="AA6" s="235">
        <f>Z6*equityP</f>
        <v>0.1467478462677681</v>
      </c>
      <c r="AB6" s="235">
        <f>+AA6/(1-taxrate)</f>
        <v>0.18575676742755454</v>
      </c>
      <c r="AC6" s="235">
        <f>debtP*Debt_Rate</f>
        <v>1.6572E-2</v>
      </c>
      <c r="AD6" s="235">
        <f>AC6+AB6</f>
        <v>0.20232876742755454</v>
      </c>
      <c r="AE6" s="235">
        <f>AD6/(S6/100)</f>
        <v>8.6908348657323484E-2</v>
      </c>
      <c r="AF6" s="235">
        <f>1-AE6</f>
        <v>0.91309165134267656</v>
      </c>
      <c r="AG6" s="236">
        <f>expenses/(AF6)</f>
        <v>2706459.2060905895</v>
      </c>
      <c r="AH6" s="237">
        <f>+AG6-Revenue</f>
        <v>53452.281530287582</v>
      </c>
      <c r="AI6" s="238">
        <f ca="1">+AH6/$J$49</f>
        <v>59980.126320673298</v>
      </c>
      <c r="AJ6" s="238">
        <f ca="1">+AI6*$J$47</f>
        <v>1521.6178935241207</v>
      </c>
      <c r="AK6" s="236">
        <f ca="1">ROUND(+AJ6+AG6,5)</f>
        <v>2707980.8239799999</v>
      </c>
    </row>
    <row r="7" spans="1:37" ht="15.6">
      <c r="A7" s="194"/>
      <c r="B7" s="218" t="s">
        <v>763</v>
      </c>
      <c r="C7" s="378">
        <f>+'[24]Joe''s LOB (C)'!F368</f>
        <v>1139573.2486362185</v>
      </c>
      <c r="D7" s="215"/>
      <c r="E7" s="194"/>
      <c r="F7" s="379">
        <v>1</v>
      </c>
      <c r="G7" s="222"/>
      <c r="H7" s="240" t="s">
        <v>740</v>
      </c>
      <c r="I7" s="241">
        <f>IF(A64=TRUE,C5,0)</f>
        <v>2653006.9245603019</v>
      </c>
      <c r="J7" s="241">
        <f ca="1">(+$I8/($R50))-I7</f>
        <v>43396.125074170996</v>
      </c>
      <c r="K7" s="241">
        <f ca="1">+I7+J7</f>
        <v>2696403.0496344729</v>
      </c>
      <c r="L7" s="241">
        <f ca="1">((+J7/J49*K35)-J7)</f>
        <v>1235.3508312840422</v>
      </c>
      <c r="M7" s="241">
        <f ca="1">IFERROR(+K7+L7,0.00001)</f>
        <v>2697638.4004657571</v>
      </c>
      <c r="O7" s="225"/>
      <c r="P7" s="195"/>
      <c r="R7" s="242">
        <v>2</v>
      </c>
      <c r="S7" s="243">
        <f>Revenue/Investment*100</f>
        <v>232.80705542493925</v>
      </c>
      <c r="T7" s="244">
        <f>EXP(y_inter1-(slope*LN(+S7)))</f>
        <v>7.3629076371318822</v>
      </c>
      <c r="U7" s="245">
        <f t="shared" ref="U7:U9" si="0">(+S7*T7/100)/100</f>
        <v>0.17141368463664705</v>
      </c>
      <c r="V7" s="245">
        <f>regDebt_weighted</f>
        <v>3.5860000000000003E-2</v>
      </c>
      <c r="W7" s="245">
        <f t="shared" ref="W7:W9" si="1">+U7-V7</f>
        <v>0.13555368463664705</v>
      </c>
      <c r="X7" s="245">
        <f>+((W7*(1-0.34))-Pfd_weighted)/Equity_percent</f>
        <v>0.24207974377961353</v>
      </c>
      <c r="Y7" s="245">
        <f>+Y6</f>
        <v>2.5000000000000001E-3</v>
      </c>
      <c r="Z7" s="245">
        <f>+X7+Y7</f>
        <v>0.24457974377961353</v>
      </c>
      <c r="AA7" s="245">
        <f>Z7*equityP</f>
        <v>0.1467478462677681</v>
      </c>
      <c r="AB7" s="245">
        <f>+AA7/(1-taxrate)</f>
        <v>0.18575676742755454</v>
      </c>
      <c r="AC7" s="245">
        <f>debtP*Debt_Rate</f>
        <v>1.6572E-2</v>
      </c>
      <c r="AD7" s="245">
        <f t="shared" ref="AD7:AD9" si="2">AC7+AB7</f>
        <v>0.20232876742755454</v>
      </c>
      <c r="AE7" s="245">
        <f t="shared" ref="AE7:AE9" si="3">AD7/(S7/100)</f>
        <v>8.6908348657323484E-2</v>
      </c>
      <c r="AF7" s="245">
        <f t="shared" ref="AF7:AF9" si="4">1-AE7</f>
        <v>0.91309165134267656</v>
      </c>
      <c r="AG7" s="246">
        <f>expenses/(AF7)</f>
        <v>2706459.2060905895</v>
      </c>
      <c r="AH7" s="247">
        <f>+AG7-Revenue</f>
        <v>53452.281530287582</v>
      </c>
      <c r="AI7" s="248">
        <f ca="1">+AH7/$J$49</f>
        <v>59980.126320673298</v>
      </c>
      <c r="AJ7" s="248">
        <f ca="1">+AI7*$J$47</f>
        <v>1521.6178935241207</v>
      </c>
      <c r="AK7" s="246">
        <f t="shared" ref="AK7:AK9" ca="1" si="5">ROUND(+AJ7+AG7,5)</f>
        <v>2707980.8239799999</v>
      </c>
    </row>
    <row r="8" spans="1:37" ht="15.6">
      <c r="A8" s="194"/>
      <c r="B8" s="218" t="s">
        <v>764</v>
      </c>
      <c r="C8" s="261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2471245.3057808457</v>
      </c>
      <c r="J8" s="210"/>
      <c r="K8" s="241">
        <f>+I8</f>
        <v>2471245.3057808457</v>
      </c>
      <c r="L8" s="241">
        <f ca="1">+L7</f>
        <v>1235.3508312840422</v>
      </c>
      <c r="M8" s="241">
        <f ca="1">IFERROR(+K8+L8,0.00001)</f>
        <v>2472480.6566121299</v>
      </c>
      <c r="O8" s="225"/>
      <c r="P8" s="195"/>
      <c r="R8" s="251">
        <v>3</v>
      </c>
      <c r="S8" s="243">
        <f>Revenue/Investment*100</f>
        <v>232.80705542493925</v>
      </c>
      <c r="T8" s="244">
        <f>EXP(y_inter1-(slope*LN(+S8)))</f>
        <v>7.3629076371318822</v>
      </c>
      <c r="U8" s="245">
        <f t="shared" si="0"/>
        <v>0.17141368463664705</v>
      </c>
      <c r="V8" s="245">
        <f>regDebt_weighted</f>
        <v>3.5860000000000003E-2</v>
      </c>
      <c r="W8" s="245">
        <f t="shared" si="1"/>
        <v>0.13555368463664705</v>
      </c>
      <c r="X8" s="245">
        <f>+((W8*(1-0.34))-Pfd_weighted)/Equity_percent</f>
        <v>0.24207974377961353</v>
      </c>
      <c r="Y8" s="245">
        <f>+Y7</f>
        <v>2.5000000000000001E-3</v>
      </c>
      <c r="Z8" s="245">
        <f t="shared" ref="Z8:Z9" si="6">+X8+Y8</f>
        <v>0.24457974377961353</v>
      </c>
      <c r="AA8" s="245">
        <f>Z8*equityP</f>
        <v>0.1467478462677681</v>
      </c>
      <c r="AB8" s="245">
        <f>+AA8/(1-taxrate)</f>
        <v>0.18575676742755454</v>
      </c>
      <c r="AC8" s="245">
        <f>debtP*Debt_Rate</f>
        <v>1.6572E-2</v>
      </c>
      <c r="AD8" s="245">
        <f t="shared" si="2"/>
        <v>0.20232876742755454</v>
      </c>
      <c r="AE8" s="245">
        <f t="shared" si="3"/>
        <v>8.6908348657323484E-2</v>
      </c>
      <c r="AF8" s="245">
        <f t="shared" si="4"/>
        <v>0.91309165134267656</v>
      </c>
      <c r="AG8" s="246">
        <f>expenses/(AF8)</f>
        <v>2706459.2060905895</v>
      </c>
      <c r="AH8" s="247">
        <f>+AG8-Revenue</f>
        <v>53452.281530287582</v>
      </c>
      <c r="AI8" s="248">
        <f ca="1">+AH8/$J$49</f>
        <v>59980.126320673298</v>
      </c>
      <c r="AJ8" s="248">
        <f ca="1">+AI8*$J$47</f>
        <v>1521.6178935241207</v>
      </c>
      <c r="AK8" s="246">
        <f t="shared" ca="1" si="5"/>
        <v>2707980.8239799999</v>
      </c>
    </row>
    <row r="9" spans="1:37" ht="15.6">
      <c r="A9" s="194"/>
      <c r="B9" s="218" t="s">
        <v>765</v>
      </c>
      <c r="C9" s="261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380">
        <f>+I7-I8</f>
        <v>181761.61877945624</v>
      </c>
      <c r="J9" s="210"/>
      <c r="K9" s="380">
        <f ca="1">+K7-K8</f>
        <v>225157.74385362724</v>
      </c>
      <c r="L9" s="222"/>
      <c r="M9" s="381">
        <f ca="1">+M7-M8</f>
        <v>225157.74385362724</v>
      </c>
      <c r="O9" s="225"/>
      <c r="P9" s="195"/>
      <c r="R9" s="254">
        <v>4</v>
      </c>
      <c r="S9" s="243">
        <f>Revenue/Investment*100</f>
        <v>232.80705542493925</v>
      </c>
      <c r="T9" s="244">
        <f>EXP(y_inter1-(slope*LN(+S9)))</f>
        <v>7.3629076371318822</v>
      </c>
      <c r="U9" s="245">
        <f t="shared" si="0"/>
        <v>0.17141368463664705</v>
      </c>
      <c r="V9" s="245">
        <f>regDebt_weighted</f>
        <v>3.5860000000000003E-2</v>
      </c>
      <c r="W9" s="245">
        <f t="shared" si="1"/>
        <v>0.13555368463664705</v>
      </c>
      <c r="X9" s="245">
        <f>+((W9*(1-0.34))-Pfd_weighted)/Equity_percent</f>
        <v>0.24207974377961353</v>
      </c>
      <c r="Y9" s="245">
        <f>+Y8</f>
        <v>2.5000000000000001E-3</v>
      </c>
      <c r="Z9" s="245">
        <f t="shared" si="6"/>
        <v>0.24457974377961353</v>
      </c>
      <c r="AA9" s="245">
        <f>Z9*equityP</f>
        <v>0.1467478462677681</v>
      </c>
      <c r="AB9" s="245">
        <f>+AA9/(1-taxrate)</f>
        <v>0.18575676742755454</v>
      </c>
      <c r="AC9" s="245">
        <f>debtP*Debt_Rate</f>
        <v>1.6572E-2</v>
      </c>
      <c r="AD9" s="245">
        <f t="shared" si="2"/>
        <v>0.20232876742755454</v>
      </c>
      <c r="AE9" s="245">
        <f t="shared" si="3"/>
        <v>8.6908348657323484E-2</v>
      </c>
      <c r="AF9" s="245">
        <f t="shared" si="4"/>
        <v>0.91309165134267656</v>
      </c>
      <c r="AG9" s="246">
        <f>expenses/(AF9)</f>
        <v>2706459.2060905895</v>
      </c>
      <c r="AH9" s="247">
        <f>+AG9-Revenue</f>
        <v>53452.281530287582</v>
      </c>
      <c r="AI9" s="248">
        <f ca="1">+AH9/$J$49</f>
        <v>59980.126320673298</v>
      </c>
      <c r="AJ9" s="248">
        <f ca="1">+AI9*$J$47</f>
        <v>1521.6178935241207</v>
      </c>
      <c r="AK9" s="246">
        <f t="shared" ca="1" si="5"/>
        <v>2707980.8239799999</v>
      </c>
    </row>
    <row r="10" spans="1:37" ht="15.6">
      <c r="A10" s="194"/>
      <c r="B10" s="255" t="s">
        <v>767</v>
      </c>
      <c r="C10" s="261">
        <f>'[24]LG Total'!C10</f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261">
        <f>'[24]LG Total'!C11</f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18885.007876399413</v>
      </c>
      <c r="J11" s="210"/>
      <c r="K11" s="241">
        <f>+M27</f>
        <v>18885.007876399413</v>
      </c>
      <c r="L11" s="222"/>
      <c r="M11" s="241">
        <f>+K11</f>
        <v>18885.007876399413</v>
      </c>
      <c r="O11" s="225"/>
      <c r="P11" s="194"/>
      <c r="R11" s="232">
        <v>1</v>
      </c>
      <c r="S11" s="233">
        <f ca="1">IF((AK6/Investment*100)&gt;0,(AK6/Investment*100),0)</f>
        <v>237.63113316504834</v>
      </c>
      <c r="T11" s="234">
        <f ca="1">EXP(y_inter1-(slope*LN(S11)))</f>
        <v>7.2603869311826061</v>
      </c>
      <c r="U11" s="235">
        <f ca="1">(+S11*T11/100)/100</f>
        <v>0.17252939736736306</v>
      </c>
      <c r="V11" s="235">
        <f>regDebt_weighted</f>
        <v>3.5860000000000003E-2</v>
      </c>
      <c r="W11" s="235">
        <f ca="1">+U11-V11</f>
        <v>0.13666939736736305</v>
      </c>
      <c r="X11" s="235">
        <f ca="1">+((W11*(1-0.34))-Pfd_weighted)/Equity_percent</f>
        <v>0.24422035541412679</v>
      </c>
      <c r="Y11" s="235">
        <f>+Y9</f>
        <v>2.5000000000000001E-3</v>
      </c>
      <c r="Z11" s="235">
        <f ca="1">+X11+Y11</f>
        <v>0.24672035541412679</v>
      </c>
      <c r="AA11" s="235">
        <f ca="1">Z11*equityP</f>
        <v>0.14803221324847607</v>
      </c>
      <c r="AB11" s="235">
        <f ca="1">+AA11/(1-taxrate)</f>
        <v>0.18738254841579249</v>
      </c>
      <c r="AC11" s="235">
        <f>debtP*Debt_Rate</f>
        <v>1.6572E-2</v>
      </c>
      <c r="AD11" s="235">
        <f ca="1">+AC11+AB11</f>
        <v>0.2039545484157925</v>
      </c>
      <c r="AE11" s="235">
        <f ca="1">+AD11/(S11/100)</f>
        <v>8.5828210175698846E-2</v>
      </c>
      <c r="AF11" s="235">
        <f ca="1">1-AE11</f>
        <v>0.91417178982430114</v>
      </c>
      <c r="AG11" s="236">
        <f ca="1">expenses/(AF11)</f>
        <v>2703261.3927583629</v>
      </c>
      <c r="AH11" s="237">
        <f ca="1">+AG11-Revenue</f>
        <v>50254.468198060989</v>
      </c>
      <c r="AI11" s="238">
        <f ca="1">+AH11/$J$49</f>
        <v>56391.780938106196</v>
      </c>
      <c r="AJ11" s="238">
        <f ca="1">+AI11*$J$47</f>
        <v>1430.5862322523967</v>
      </c>
      <c r="AK11" s="236">
        <f ca="1">ROUND(+AJ11+AG11,5)</f>
        <v>2704691.9789900002</v>
      </c>
    </row>
    <row r="12" spans="1:37" ht="15.6">
      <c r="A12" s="194"/>
      <c r="B12" s="218" t="s">
        <v>771</v>
      </c>
      <c r="C12" s="261">
        <f>'[24]LG Total'!C12</f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43317.274555217846</v>
      </c>
      <c r="L12" s="222"/>
      <c r="M12" s="241">
        <f ca="1">+K12</f>
        <v>43317.274555217846</v>
      </c>
      <c r="O12" s="225"/>
      <c r="P12" s="194"/>
      <c r="R12" s="242">
        <v>2</v>
      </c>
      <c r="S12" s="243">
        <f ca="1">IF((AK7/Investment*100)&gt;0,(AK7/Investment*100),0)</f>
        <v>237.63113316504834</v>
      </c>
      <c r="T12" s="257">
        <f ca="1">EXP(y_inter2-(slope*LN(+S12)))</f>
        <v>7.1570874946178336</v>
      </c>
      <c r="U12" s="245">
        <f ca="1">(+S12*T12/100)/100</f>
        <v>0.17007468115074326</v>
      </c>
      <c r="V12" s="245">
        <f>regDebt_weighted</f>
        <v>3.5860000000000003E-2</v>
      </c>
      <c r="W12" s="245">
        <f ca="1">+U12-V12</f>
        <v>0.13421468115074325</v>
      </c>
      <c r="X12" s="245">
        <f ca="1">+((W12*(1-0.34))-Pfd_weighted)/Equity_percent</f>
        <v>0.2395107254636353</v>
      </c>
      <c r="Y12" s="245">
        <f>+Y11</f>
        <v>2.5000000000000001E-3</v>
      </c>
      <c r="Z12" s="245">
        <f ca="1">+X12+Y12</f>
        <v>0.24201072546363531</v>
      </c>
      <c r="AA12" s="245">
        <f ca="1">Z12*equityP</f>
        <v>0.14520643527818117</v>
      </c>
      <c r="AB12" s="245">
        <f ca="1">+AA12/(1-taxrate)</f>
        <v>0.1838056142761787</v>
      </c>
      <c r="AC12" s="245">
        <f>debtP*Debt_Rate</f>
        <v>1.6572E-2</v>
      </c>
      <c r="AD12" s="245">
        <f ca="1">+AC12+AB12</f>
        <v>0.2003776142761787</v>
      </c>
      <c r="AE12" s="245">
        <f ca="1">+AD12/(S12/100)</f>
        <v>8.432296374945325E-2</v>
      </c>
      <c r="AF12" s="245">
        <f ca="1">1-AE12</f>
        <v>0.91567703625054675</v>
      </c>
      <c r="AG12" s="246">
        <f ca="1">expenses/(AF12)</f>
        <v>2698817.6048401697</v>
      </c>
      <c r="AH12" s="247">
        <f ca="1">+AG12-Revenue</f>
        <v>45810.680279867724</v>
      </c>
      <c r="AI12" s="248">
        <f ca="1">+AH12/$J$49</f>
        <v>51405.296675044658</v>
      </c>
      <c r="AJ12" s="248">
        <f ca="1">+AI12*$J$47</f>
        <v>1304.0856036961061</v>
      </c>
      <c r="AK12" s="246">
        <f t="shared" ref="AK12:AK14" ca="1" si="8">ROUND(+AJ12+AG12,5)</f>
        <v>2700121.69044</v>
      </c>
    </row>
    <row r="13" spans="1:37" ht="15.6">
      <c r="A13" s="194"/>
      <c r="B13" s="218" t="s">
        <v>773</v>
      </c>
      <c r="C13" s="261">
        <f>'[24]LG Total'!C13</f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237.63113316504834</v>
      </c>
      <c r="T13" s="244">
        <f ca="1">EXP(y_inter3-(slope*LN(S13)))</f>
        <v>7.0875032224657168</v>
      </c>
      <c r="U13" s="245">
        <f ca="1">(+S13*T13/100)/100</f>
        <v>0.168421142206546</v>
      </c>
      <c r="V13" s="245">
        <f>regDebt_weighted</f>
        <v>3.5860000000000003E-2</v>
      </c>
      <c r="W13" s="245">
        <f ca="1">+U13-V13</f>
        <v>0.132561142206546</v>
      </c>
      <c r="X13" s="245">
        <f ca="1">+((W13*(1-0.34))-Pfd_weighted)/Equity_percent</f>
        <v>0.23633823795441961</v>
      </c>
      <c r="Y13" s="245">
        <f>+Y12</f>
        <v>2.5000000000000001E-3</v>
      </c>
      <c r="Z13" s="245">
        <f t="shared" ref="Z13:Z14" ca="1" si="9">+X13+Y13</f>
        <v>0.23883823795441961</v>
      </c>
      <c r="AA13" s="245">
        <f ca="1">Z13*equityP</f>
        <v>0.14330294277265176</v>
      </c>
      <c r="AB13" s="245">
        <f ca="1">+AA13/(1-taxrate)</f>
        <v>0.18139613009196426</v>
      </c>
      <c r="AC13" s="245">
        <f>debtP*Debt_Rate</f>
        <v>1.6572E-2</v>
      </c>
      <c r="AD13" s="245">
        <f ca="1">+AC13+AB13</f>
        <v>0.19796813009196426</v>
      </c>
      <c r="AE13" s="245">
        <f ca="1">+AD13/(S13/100)</f>
        <v>8.3309003940348222E-2</v>
      </c>
      <c r="AF13" s="245">
        <f ca="1">1-AE13</f>
        <v>0.91669099605965176</v>
      </c>
      <c r="AG13" s="246">
        <f ca="1">expenses/(AF13)</f>
        <v>2695832.4194339905</v>
      </c>
      <c r="AH13" s="247">
        <f ca="1">+AG13-Revenue</f>
        <v>42825.494873688556</v>
      </c>
      <c r="AI13" s="248">
        <f ca="1">+AH13/$J$49</f>
        <v>48055.546343961018</v>
      </c>
      <c r="AJ13" s="248">
        <f ca="1">+AI13*$J$47</f>
        <v>1219.1067889572912</v>
      </c>
      <c r="AK13" s="246">
        <f t="shared" ca="1" si="8"/>
        <v>2697051.5262199999</v>
      </c>
    </row>
    <row r="14" spans="1:37" ht="16.2" thickBot="1">
      <c r="A14" s="194"/>
      <c r="B14" s="258" t="s">
        <v>774</v>
      </c>
      <c r="C14" s="261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162955.46142200998</v>
      </c>
      <c r="L14" s="222"/>
      <c r="M14" s="259">
        <f ca="1">+M9-SUM(M11:M13)</f>
        <v>162955.46142200998</v>
      </c>
      <c r="O14" s="225"/>
      <c r="P14" s="194"/>
      <c r="R14" s="254">
        <v>4</v>
      </c>
      <c r="S14" s="243">
        <f ca="1">IF((AK9/Investment*100)&gt;0,(AK9/Investment*100),0)</f>
        <v>237.63113316504834</v>
      </c>
      <c r="T14" s="260">
        <f ca="1">EXP(y_inter4-(slope*LN(S14)))</f>
        <v>7.0429923087620958</v>
      </c>
      <c r="U14" s="245">
        <f ca="1">(+S14*T14/100)/100</f>
        <v>0.1673634243203857</v>
      </c>
      <c r="V14" s="245">
        <f>regDebt_weighted</f>
        <v>3.5860000000000003E-2</v>
      </c>
      <c r="W14" s="245">
        <f ca="1">+U14-V14</f>
        <v>0.1315034243203857</v>
      </c>
      <c r="X14" s="245">
        <f ca="1">+((W14*(1-0.34))-Pfd_weighted)/Equity_percent</f>
        <v>0.23430889549841438</v>
      </c>
      <c r="Y14" s="245">
        <f>+Y13</f>
        <v>2.5000000000000001E-3</v>
      </c>
      <c r="Z14" s="245">
        <f t="shared" ca="1" si="9"/>
        <v>0.23680889549841438</v>
      </c>
      <c r="AA14" s="245">
        <f ca="1">Z14*equityP</f>
        <v>0.14208533729904863</v>
      </c>
      <c r="AB14" s="245">
        <f ca="1">+AA14/(1-taxrate)</f>
        <v>0.17985485734056786</v>
      </c>
      <c r="AC14" s="245">
        <f>debtP*Debt_Rate</f>
        <v>1.6572E-2</v>
      </c>
      <c r="AD14" s="245">
        <f ca="1">+AC14+AB14</f>
        <v>0.19642685734056786</v>
      </c>
      <c r="AE14" s="245">
        <f ca="1">+AD14/(S14/100)</f>
        <v>8.2660405109518303E-2</v>
      </c>
      <c r="AF14" s="245">
        <f ca="1">1-AE14</f>
        <v>0.91733959489048167</v>
      </c>
      <c r="AG14" s="246">
        <f ca="1">expenses/(AF14)</f>
        <v>2693926.3491356</v>
      </c>
      <c r="AH14" s="247">
        <f ca="1">+AG14-Revenue</f>
        <v>40919.424575298093</v>
      </c>
      <c r="AI14" s="248">
        <f ca="1">+AH14/$J$49</f>
        <v>45916.697748531784</v>
      </c>
      <c r="AJ14" s="248">
        <f ca="1">+AI14*$J$47</f>
        <v>1164.8469783502846</v>
      </c>
      <c r="AK14" s="246">
        <f t="shared" ca="1" si="8"/>
        <v>2695091.1961099999</v>
      </c>
    </row>
    <row r="15" spans="1:37" ht="16.2" thickTop="1">
      <c r="A15" s="194"/>
      <c r="B15" s="258" t="s">
        <v>776</v>
      </c>
      <c r="C15" s="261">
        <f>'[24]LG Total'!C15</f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0.93148844916430795</v>
      </c>
      <c r="J16" s="264"/>
      <c r="K16" s="263">
        <f ca="1">+K8/K7</f>
        <v>0.91649700000000001</v>
      </c>
      <c r="L16" s="265"/>
      <c r="M16" s="263">
        <f ca="1">+M8/M7</f>
        <v>0.91653523918744895</v>
      </c>
      <c r="O16" s="225"/>
      <c r="P16" s="194"/>
      <c r="R16" s="232">
        <v>1</v>
      </c>
      <c r="S16" s="233">
        <f ca="1">AK11/Investment*100</f>
        <v>237.34252995380803</v>
      </c>
      <c r="T16" s="234">
        <f ca="1">EXP(y_inter1-(slope*LN(+S16)))</f>
        <v>7.2664215298422121</v>
      </c>
      <c r="U16" s="235">
        <f ca="1">(+S16*T16/100)/100</f>
        <v>0.17246308696035709</v>
      </c>
      <c r="V16" s="235">
        <f>regDebt_weighted</f>
        <v>3.5860000000000003E-2</v>
      </c>
      <c r="W16" s="235">
        <f ca="1">+U16-V16</f>
        <v>0.13660308696035708</v>
      </c>
      <c r="X16" s="235">
        <f ca="1">+((W16*(1-0.34))-Pfd_weighted)/Equity_percent</f>
        <v>0.24409313195882462</v>
      </c>
      <c r="Y16" s="235">
        <f>+Y14</f>
        <v>2.5000000000000001E-3</v>
      </c>
      <c r="Z16" s="235">
        <f ca="1">+X16+Y16</f>
        <v>0.24659313195882462</v>
      </c>
      <c r="AA16" s="235">
        <f ca="1">Z16*equityP</f>
        <v>0.14795587917529476</v>
      </c>
      <c r="AB16" s="235">
        <f ca="1">+AA16/(1-taxrate)</f>
        <v>0.18728592300670222</v>
      </c>
      <c r="AC16" s="235">
        <f>debtP*Debt_Rate</f>
        <v>1.6572E-2</v>
      </c>
      <c r="AD16" s="235">
        <f ca="1">+AC16+AB16</f>
        <v>0.20385792300670222</v>
      </c>
      <c r="AE16" s="235">
        <f ca="1">+AD16/(S16/100)</f>
        <v>8.5891863985092506E-2</v>
      </c>
      <c r="AF16" s="235">
        <f ca="1">1-AE16</f>
        <v>0.91410813601490748</v>
      </c>
      <c r="AG16" s="236">
        <f ca="1">expenses/(AF16)</f>
        <v>2703449.6340382034</v>
      </c>
      <c r="AH16" s="237">
        <f ca="1">+AG16-Revenue</f>
        <v>50442.709477901459</v>
      </c>
      <c r="AI16" s="238">
        <f ca="1">+AH16/$J$49</f>
        <v>56603.011131099905</v>
      </c>
      <c r="AJ16" s="238">
        <f ca="1">+AI16*$J$47</f>
        <v>1435.9448678710248</v>
      </c>
      <c r="AK16" s="236">
        <f ca="1">ROUND(+AJ16+AG16,5)</f>
        <v>2704885.5789100002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236.9414773180543</v>
      </c>
      <c r="T17" s="257">
        <f ca="1">EXP(y_inter2-(slope*LN(+S17)))</f>
        <v>7.1713230513184527</v>
      </c>
      <c r="U17" s="245">
        <f ca="1">(+S17*T17/100)/100</f>
        <v>0.16991838781044113</v>
      </c>
      <c r="V17" s="245">
        <f>regDebt_weighted</f>
        <v>3.5860000000000003E-2</v>
      </c>
      <c r="W17" s="245">
        <f ca="1">+U17-V17</f>
        <v>0.13405838781044113</v>
      </c>
      <c r="X17" s="245">
        <f ca="1">+((W17*(1-0.34))-Pfd_weighted)/Equity_percent</f>
        <v>0.23921086033398586</v>
      </c>
      <c r="Y17" s="245">
        <f>+Y16</f>
        <v>2.5000000000000001E-3</v>
      </c>
      <c r="Z17" s="245">
        <f ca="1">+X17+Y17</f>
        <v>0.24171086033398587</v>
      </c>
      <c r="AA17" s="245">
        <f ca="1">Z17*equityP</f>
        <v>0.1450265162003915</v>
      </c>
      <c r="AB17" s="245">
        <f ca="1">+AA17/(1-taxrate)</f>
        <v>0.1835778686080905</v>
      </c>
      <c r="AC17" s="245">
        <f>debtP*Debt_Rate</f>
        <v>1.6572E-2</v>
      </c>
      <c r="AD17" s="245">
        <f ca="1">+AC17+AB17</f>
        <v>0.2001498686080905</v>
      </c>
      <c r="AE17" s="245">
        <f ca="1">+AD17/(S17/100)</f>
        <v>8.4472280190699911E-2</v>
      </c>
      <c r="AF17" s="245">
        <f ca="1">1-AE17</f>
        <v>0.91552771980930014</v>
      </c>
      <c r="AG17" s="246">
        <f ca="1">expenses/(AF17)</f>
        <v>2699257.763921767</v>
      </c>
      <c r="AH17" s="247">
        <f ca="1">+AG17-Revenue</f>
        <v>46250.83936146507</v>
      </c>
      <c r="AI17" s="248">
        <f ca="1">+AH17/$J$49</f>
        <v>51899.210060209349</v>
      </c>
      <c r="AJ17" s="248">
        <f ca="1">+AI17*$J$47</f>
        <v>1316.6155447085616</v>
      </c>
      <c r="AK17" s="246">
        <f t="shared" ref="AK17:AK19" ca="1" si="10">ROUND(+AJ17+AG17,5)</f>
        <v>2700574.37947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236.67206381403651</v>
      </c>
      <c r="T18" s="244">
        <f ca="1">EXP(y_inter3-(slope*LN(S18)))</f>
        <v>7.1071261977897828</v>
      </c>
      <c r="U18" s="245">
        <f ca="1">(+S18*T18/100)/100</f>
        <v>0.16820582250177143</v>
      </c>
      <c r="V18" s="245">
        <f>regDebt_weighted</f>
        <v>3.5860000000000003E-2</v>
      </c>
      <c r="W18" s="245">
        <f ca="1">+U18-V18</f>
        <v>0.13234582250177143</v>
      </c>
      <c r="X18" s="245">
        <f ca="1">+((W18*(1-0.34))-Pfd_weighted)/Equity_percent</f>
        <v>0.23592512456735212</v>
      </c>
      <c r="Y18" s="245">
        <f>+Y17</f>
        <v>2.5000000000000001E-3</v>
      </c>
      <c r="Z18" s="245">
        <f t="shared" ref="Z18:Z19" ca="1" si="11">+X18+Y18</f>
        <v>0.23842512456735213</v>
      </c>
      <c r="AA18" s="245">
        <f ca="1">Z18*equityP</f>
        <v>0.14305507474041126</v>
      </c>
      <c r="AB18" s="245">
        <f ca="1">+AA18/(1-taxrate)</f>
        <v>0.18108237308912817</v>
      </c>
      <c r="AC18" s="245">
        <f>debtP*Debt_Rate</f>
        <v>1.6572E-2</v>
      </c>
      <c r="AD18" s="245">
        <f ca="1">+AC18+AB18</f>
        <v>0.19765437308912817</v>
      </c>
      <c r="AE18" s="245">
        <f ca="1">+AD18/(S18/100)</f>
        <v>8.3514027766468366E-2</v>
      </c>
      <c r="AF18" s="245">
        <f ca="1">1-AE18</f>
        <v>0.91648597223353168</v>
      </c>
      <c r="AG18" s="246">
        <f ca="1">expenses/(AF18)</f>
        <v>2696435.4945425643</v>
      </c>
      <c r="AH18" s="247">
        <f ca="1">+AG18-Revenue</f>
        <v>43428.569982262328</v>
      </c>
      <c r="AI18" s="248">
        <f ca="1">+AH18/$J$49</f>
        <v>48732.271829899575</v>
      </c>
      <c r="AJ18" s="248">
        <f ca="1">+AI18*$J$47</f>
        <v>1236.2744355024604</v>
      </c>
      <c r="AK18" s="246">
        <f t="shared" ca="1" si="10"/>
        <v>2697671.7689800002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2653006.9245603019</v>
      </c>
      <c r="K19" s="271"/>
      <c r="L19" s="240" t="s">
        <v>785</v>
      </c>
      <c r="M19" s="272">
        <f ca="1">+J7</f>
        <v>43396.125074170996</v>
      </c>
      <c r="O19" s="194"/>
      <c r="P19" s="194"/>
      <c r="R19" s="254">
        <v>4</v>
      </c>
      <c r="S19" s="243">
        <f ca="1">AK14/Investment*100</f>
        <v>236.50004063673342</v>
      </c>
      <c r="T19" s="260">
        <f ca="1">EXP(y_inter4-(slope*LN(S19)))</f>
        <v>7.0660036903907928</v>
      </c>
      <c r="U19" s="245">
        <f ca="1">(+S19*T19/100)/100</f>
        <v>0.16711101599167308</v>
      </c>
      <c r="V19" s="245">
        <f>regDebt_weighted</f>
        <v>3.5860000000000003E-2</v>
      </c>
      <c r="W19" s="245">
        <f ca="1">+U19-V19</f>
        <v>0.13125101599167308</v>
      </c>
      <c r="X19" s="245">
        <f ca="1">+((W19*(1-0.34))-Pfd_weighted)/Equity_percent</f>
        <v>0.23382462370495416</v>
      </c>
      <c r="Y19" s="245">
        <f>+Y18</f>
        <v>2.5000000000000001E-3</v>
      </c>
      <c r="Z19" s="245">
        <f t="shared" ca="1" si="11"/>
        <v>0.23632462370495416</v>
      </c>
      <c r="AA19" s="245">
        <f ca="1">Z19*equityP</f>
        <v>0.14179477422297249</v>
      </c>
      <c r="AB19" s="245">
        <f ca="1">+AA19/(1-taxrate)</f>
        <v>0.17948705597844616</v>
      </c>
      <c r="AC19" s="245">
        <f>debtP*Debt_Rate</f>
        <v>1.6572E-2</v>
      </c>
      <c r="AD19" s="245">
        <f ca="1">+AC19+AB19</f>
        <v>0.19605905597844617</v>
      </c>
      <c r="AE19" s="245">
        <f ca="1">+AD19/(S19/100)</f>
        <v>8.2900220841650912E-2</v>
      </c>
      <c r="AF19" s="245">
        <f ca="1">1-AE19</f>
        <v>0.91709977915834906</v>
      </c>
      <c r="AG19" s="246">
        <f ca="1">expenses/(AF19)</f>
        <v>2694630.7936621513</v>
      </c>
      <c r="AH19" s="247">
        <f ca="1">+AG19-Revenue</f>
        <v>41623.869101849385</v>
      </c>
      <c r="AI19" s="248">
        <f ca="1">+AH19/$J$49</f>
        <v>46707.172363998143</v>
      </c>
      <c r="AJ19" s="248">
        <f ca="1">+AI19*$J$47</f>
        <v>1184.9002925570546</v>
      </c>
      <c r="AK19" s="246">
        <f t="shared" ca="1" si="10"/>
        <v>2695815.6939500002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44631.475905455183</v>
      </c>
      <c r="K20" s="273"/>
      <c r="L20" s="240" t="s">
        <v>787</v>
      </c>
      <c r="M20" s="272">
        <f ca="1">+L8</f>
        <v>1235.3508312840422</v>
      </c>
      <c r="O20" s="194">
        <v>-25847</v>
      </c>
      <c r="P20" s="383"/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2697638.4004657571</v>
      </c>
      <c r="L21" s="274" t="s">
        <v>786</v>
      </c>
      <c r="M21" s="276">
        <f ca="1">+M19+M20</f>
        <v>44631.475905455038</v>
      </c>
      <c r="O21" s="194"/>
      <c r="P21" s="194"/>
      <c r="R21" s="232">
        <v>1</v>
      </c>
      <c r="S21" s="233">
        <f ca="1">AK16/Investment*100</f>
        <v>237.35951876257761</v>
      </c>
      <c r="T21" s="234">
        <f ca="1">EXP(y_inter1-(slope*LN(+S21)))</f>
        <v>7.266065957229662</v>
      </c>
      <c r="U21" s="235">
        <f ca="1">(+S21*T21/100)/100</f>
        <v>0.17246699189051803</v>
      </c>
      <c r="V21" s="235">
        <f>regDebt_weighted</f>
        <v>3.5860000000000003E-2</v>
      </c>
      <c r="W21" s="235">
        <f ca="1">+U21-V21</f>
        <v>0.13660699189051803</v>
      </c>
      <c r="X21" s="235">
        <f ca="1">+((W21*(1-0.34))-Pfd_weighted)/Equity_percent</f>
        <v>0.24410062397599389</v>
      </c>
      <c r="Y21" s="235">
        <f>+Y19</f>
        <v>2.5000000000000001E-3</v>
      </c>
      <c r="Z21" s="235">
        <f ca="1">+X21+Y21</f>
        <v>0.24660062397599389</v>
      </c>
      <c r="AA21" s="235">
        <f ca="1">Z21*equityP</f>
        <v>0.14796037438559634</v>
      </c>
      <c r="AB21" s="235">
        <f ca="1">+AA21/(1-taxrate)</f>
        <v>0.18729161314632448</v>
      </c>
      <c r="AC21" s="235">
        <f>debtP*Debt_Rate</f>
        <v>1.6572E-2</v>
      </c>
      <c r="AD21" s="235">
        <f ca="1">+AC21+AB21</f>
        <v>0.20386361314632448</v>
      </c>
      <c r="AE21" s="235">
        <f ca="1">+AD21/(S21/100)</f>
        <v>8.5888113613106068E-2</v>
      </c>
      <c r="AF21" s="235">
        <f ca="1">1-AE21</f>
        <v>0.91411188638689389</v>
      </c>
      <c r="AG21" s="236">
        <f ca="1">expenses/(AF21)</f>
        <v>2703438.54246186</v>
      </c>
      <c r="AH21" s="237">
        <f ca="1">+AG21-Revenue</f>
        <v>50431.617901558056</v>
      </c>
      <c r="AI21" s="238">
        <f ca="1">+AH21/$J$49</f>
        <v>56590.564999127113</v>
      </c>
      <c r="AJ21" s="238">
        <f ca="1">+AI21*$J$47</f>
        <v>1435.6291256697878</v>
      </c>
      <c r="AK21" s="236">
        <f ca="1">ROUND(+AJ21+AG21,5)</f>
        <v>2704874.1715899999</v>
      </c>
    </row>
    <row r="22" spans="1:37" ht="21" customHeight="1" thickTop="1">
      <c r="A22" s="194"/>
      <c r="B22" s="267"/>
      <c r="C22" s="194"/>
      <c r="D22" s="194"/>
      <c r="E22" s="194"/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1.6822977540042583E-2</v>
      </c>
      <c r="L22" s="279"/>
      <c r="M22" s="282"/>
      <c r="O22" s="194"/>
      <c r="P22" s="194"/>
      <c r="R22" s="242">
        <v>2</v>
      </c>
      <c r="S22" s="243">
        <f ca="1">AK17/Investment*100</f>
        <v>236.98120175266538</v>
      </c>
      <c r="T22" s="257">
        <f ca="1">EXP(y_inter2-(slope*LN(+S22)))</f>
        <v>7.1705011850575273</v>
      </c>
      <c r="U22" s="245">
        <f ca="1">(+S22*T22/100)/100</f>
        <v>0.16992739880038443</v>
      </c>
      <c r="V22" s="245">
        <f>regDebt_weighted</f>
        <v>3.5860000000000003E-2</v>
      </c>
      <c r="W22" s="245">
        <f ca="1">+U22-V22</f>
        <v>0.13406739880038443</v>
      </c>
      <c r="X22" s="245">
        <f ca="1">+((W22*(1-0.34))-Pfd_weighted)/Equity_percent</f>
        <v>0.23922814886120267</v>
      </c>
      <c r="Y22" s="245">
        <f>+Y21</f>
        <v>2.5000000000000001E-3</v>
      </c>
      <c r="Z22" s="245">
        <f ca="1">+X22+Y22</f>
        <v>0.24172814886120267</v>
      </c>
      <c r="AA22" s="245">
        <f ca="1">Z22*equityP</f>
        <v>0.1450368893167216</v>
      </c>
      <c r="AB22" s="245">
        <f ca="1">+AA22/(1-taxrate)</f>
        <v>0.18359099913509061</v>
      </c>
      <c r="AC22" s="245">
        <f>debtP*Debt_Rate</f>
        <v>1.6572E-2</v>
      </c>
      <c r="AD22" s="245">
        <f ca="1">+AC22+AB22</f>
        <v>0.20016299913509061</v>
      </c>
      <c r="AE22" s="245">
        <f ca="1">+AD22/(S22/100)</f>
        <v>8.4463661106756682E-2</v>
      </c>
      <c r="AF22" s="245">
        <f ca="1">1-AE22</f>
        <v>0.91553633889324337</v>
      </c>
      <c r="AG22" s="246">
        <f ca="1">expenses/(AF22)</f>
        <v>2699232.3524462599</v>
      </c>
      <c r="AH22" s="247">
        <f ca="1">+AG22-Revenue</f>
        <v>46225.427885957994</v>
      </c>
      <c r="AI22" s="248">
        <f ca="1">+AH22/$J$49</f>
        <v>51870.695215430547</v>
      </c>
      <c r="AJ22" s="248">
        <f ca="1">+AI22*$J$47</f>
        <v>1315.8921601359029</v>
      </c>
      <c r="AK22" s="246">
        <f t="shared" ref="AK22:AK24" ca="1" si="12">ROUND(+AJ22+AG22,5)</f>
        <v>2700548.2446099999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236.72649144830595</v>
      </c>
      <c r="T23" s="244">
        <f ca="1">EXP(y_inter3-(slope*LN(S23)))</f>
        <v>7.10600900289867</v>
      </c>
      <c r="U23" s="245">
        <f ca="1">(+S23*T23/100)/100</f>
        <v>0.16821805794562772</v>
      </c>
      <c r="V23" s="245">
        <f>regDebt_weighted</f>
        <v>3.5860000000000003E-2</v>
      </c>
      <c r="W23" s="245">
        <f ca="1">+U23-V23</f>
        <v>0.13235805794562772</v>
      </c>
      <c r="X23" s="245">
        <f ca="1">+((W23*(1-0.34))-Pfd_weighted)/Equity_percent</f>
        <v>0.23594859954684388</v>
      </c>
      <c r="Y23" s="245">
        <f>+Y22</f>
        <v>2.5000000000000001E-3</v>
      </c>
      <c r="Z23" s="245">
        <f t="shared" ref="Z23:Z24" ca="1" si="13">+X23+Y23</f>
        <v>0.23844859954684389</v>
      </c>
      <c r="AA23" s="245">
        <f ca="1">Z23*equityP</f>
        <v>0.14306915972810633</v>
      </c>
      <c r="AB23" s="245">
        <f ca="1">+AA23/(1-taxrate)</f>
        <v>0.18110020218747636</v>
      </c>
      <c r="AC23" s="245">
        <f>debtP*Debt_Rate</f>
        <v>1.6572E-2</v>
      </c>
      <c r="AD23" s="245">
        <f ca="1">+AC23+AB23</f>
        <v>0.19767220218747636</v>
      </c>
      <c r="AE23" s="245">
        <f ca="1">+AD23/(S23/100)</f>
        <v>8.3502357922895204E-2</v>
      </c>
      <c r="AF23" s="245">
        <f ca="1">1-AE23</f>
        <v>0.91649764207710482</v>
      </c>
      <c r="AG23" s="246">
        <f ca="1">expenses/(AF23)</f>
        <v>2696401.1605967013</v>
      </c>
      <c r="AH23" s="247">
        <f ca="1">+AG23-Revenue</f>
        <v>43394.236036399379</v>
      </c>
      <c r="AI23" s="248">
        <f ca="1">+AH23/$J$49</f>
        <v>48693.744860591825</v>
      </c>
      <c r="AJ23" s="248">
        <f ca="1">+AI23*$J$47</f>
        <v>1235.2970563357592</v>
      </c>
      <c r="AK23" s="246">
        <f t="shared" ca="1" si="12"/>
        <v>2697636.4576500002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236.56361687817883</v>
      </c>
      <c r="T24" s="260">
        <f ca="1">EXP(y_inter4-(slope*LN(S24)))</f>
        <v>7.0647053584454955</v>
      </c>
      <c r="U24" s="245">
        <f ca="1">(+S24*T24/100)/100</f>
        <v>0.16712522517725173</v>
      </c>
      <c r="V24" s="245">
        <f>regDebt_weighted</f>
        <v>3.5860000000000003E-2</v>
      </c>
      <c r="W24" s="245">
        <f ca="1">+U24-V24</f>
        <v>0.13126522517725173</v>
      </c>
      <c r="X24" s="245">
        <f ca="1">+((W24*(1-0.34))-Pfd_weighted)/Equity_percent</f>
        <v>0.2338518855144946</v>
      </c>
      <c r="Y24" s="245">
        <f>+Y23</f>
        <v>2.5000000000000001E-3</v>
      </c>
      <c r="Z24" s="245">
        <f t="shared" ca="1" si="13"/>
        <v>0.2363518855144946</v>
      </c>
      <c r="AA24" s="245">
        <f ca="1">Z24*equityP</f>
        <v>0.14181113130869674</v>
      </c>
      <c r="AB24" s="245">
        <f ca="1">+AA24/(1-taxrate)</f>
        <v>0.17950776115024902</v>
      </c>
      <c r="AC24" s="245">
        <f>debtP*Debt_Rate</f>
        <v>1.6572E-2</v>
      </c>
      <c r="AD24" s="245">
        <f ca="1">+AC24+AB24</f>
        <v>0.19607976115024903</v>
      </c>
      <c r="AE24" s="245">
        <f ca="1">+AD24/(S24/100)</f>
        <v>8.2886693963265937E-2</v>
      </c>
      <c r="AF24" s="245">
        <f ca="1">1-AE24</f>
        <v>0.91711330603673402</v>
      </c>
      <c r="AG24" s="246">
        <f ca="1">expenses/(AF24)</f>
        <v>2694591.0494530131</v>
      </c>
      <c r="AH24" s="247">
        <f ca="1">+AG24-Revenue</f>
        <v>41584.124892711174</v>
      </c>
      <c r="AI24" s="248">
        <f ca="1">+AH24/$J$49</f>
        <v>46662.574404540144</v>
      </c>
      <c r="AJ24" s="248">
        <f ca="1">+AI24*$J$47</f>
        <v>1183.768900256159</v>
      </c>
      <c r="AK24" s="246">
        <f t="shared" ca="1" si="12"/>
        <v>2695774.8183499998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683743.94918173109</v>
      </c>
      <c r="K26" s="263">
        <f ca="1">+K34</f>
        <v>0.23832819525061469</v>
      </c>
      <c r="L26" s="293">
        <f ca="1">+K26*I26</f>
        <v>0.1429969171503688</v>
      </c>
      <c r="M26" s="241">
        <f ca="1">+J26*K26</f>
        <v>162955.46142200998</v>
      </c>
      <c r="O26" s="194"/>
      <c r="P26" s="194"/>
      <c r="R26" s="232">
        <v>1</v>
      </c>
      <c r="S26" s="233">
        <f ca="1">AK21/Investment*100</f>
        <v>237.35851774574837</v>
      </c>
      <c r="T26" s="234">
        <f ca="1">EXP(y_inter1-(slope*LN(+S26)))</f>
        <v>7.2660869071379919</v>
      </c>
      <c r="U26" s="235">
        <f ca="1">(+S26*T26/100)/100</f>
        <v>0.17246676180900627</v>
      </c>
      <c r="V26" s="235">
        <f>regDebt_weighted</f>
        <v>3.5860000000000003E-2</v>
      </c>
      <c r="W26" s="235">
        <f ca="1">+U26-V26</f>
        <v>0.13660676180900627</v>
      </c>
      <c r="X26" s="235">
        <f ca="1">+((W26*(1-0.34))-Pfd_weighted)/Equity_percent</f>
        <v>0.24410018254053528</v>
      </c>
      <c r="Y26" s="235">
        <f>+Y24</f>
        <v>2.5000000000000001E-3</v>
      </c>
      <c r="Z26" s="235">
        <f ca="1">+X26+Y26</f>
        <v>0.24660018254053528</v>
      </c>
      <c r="AA26" s="235">
        <f ca="1">Z26*equityP</f>
        <v>0.14796010952432118</v>
      </c>
      <c r="AB26" s="235">
        <f ca="1">+AA26/(1-taxrate)</f>
        <v>0.18729127787888755</v>
      </c>
      <c r="AC26" s="235">
        <f>debtP*Debt_Rate</f>
        <v>1.6572E-2</v>
      </c>
      <c r="AD26" s="235">
        <f ca="1">+AC26+AB26</f>
        <v>0.20386327787888756</v>
      </c>
      <c r="AE26" s="235">
        <f ca="1">+AD26/(S26/100)</f>
        <v>8.5888334581386311E-2</v>
      </c>
      <c r="AF26" s="235">
        <f ca="1">1-AE26</f>
        <v>0.91411166541861366</v>
      </c>
      <c r="AG26" s="236">
        <f ca="1">expenses/(AF26)</f>
        <v>2703439.1959642582</v>
      </c>
      <c r="AH26" s="237">
        <f ca="1">+AG26-Revenue</f>
        <v>50432.271403956227</v>
      </c>
      <c r="AI26" s="238">
        <f ca="1">+AH26/$J$49</f>
        <v>56591.298310321152</v>
      </c>
      <c r="AJ26" s="238">
        <f ca="1">+AI26*$J$47</f>
        <v>1435.6477288222454</v>
      </c>
      <c r="AK26" s="236">
        <f ca="1">ROUND(+AJ26+AG26,5)</f>
        <v>2704874.84369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455829.29945448739</v>
      </c>
      <c r="K27" s="263">
        <f>IF(A64=TRUE,C9,0)</f>
        <v>4.1430000000000002E-2</v>
      </c>
      <c r="L27" s="293">
        <f>+K27*I27</f>
        <v>1.6572E-2</v>
      </c>
      <c r="M27" s="241">
        <f>+K27*J27</f>
        <v>18885.007876399413</v>
      </c>
      <c r="O27" s="194"/>
      <c r="P27" s="194"/>
      <c r="R27" s="242">
        <v>2</v>
      </c>
      <c r="S27" s="243">
        <f ca="1">AK22/Investment*100</f>
        <v>236.97890836257122</v>
      </c>
      <c r="T27" s="257">
        <f ca="1">EXP(y_inter2-(slope*LN(+S27)))</f>
        <v>7.1705486271251271</v>
      </c>
      <c r="U27" s="245">
        <f ca="1">(+S27*T27/100)/100</f>
        <v>0.16992687860168462</v>
      </c>
      <c r="V27" s="245">
        <f>regDebt_weighted</f>
        <v>3.5860000000000003E-2</v>
      </c>
      <c r="W27" s="245">
        <f ca="1">+U27-V27</f>
        <v>0.13406687860168462</v>
      </c>
      <c r="X27" s="245">
        <f ca="1">+((W27*(1-0.34))-Pfd_weighted)/Equity_percent</f>
        <v>0.2392271508055577</v>
      </c>
      <c r="Y27" s="245">
        <f>+Y26</f>
        <v>2.5000000000000001E-3</v>
      </c>
      <c r="Z27" s="245">
        <f ca="1">+X27+Y27</f>
        <v>0.24172715080555771</v>
      </c>
      <c r="AA27" s="245">
        <f ca="1">Z27*equityP</f>
        <v>0.14503629048333461</v>
      </c>
      <c r="AB27" s="245">
        <f ca="1">+AA27/(1-taxrate)</f>
        <v>0.18359024111814506</v>
      </c>
      <c r="AC27" s="245">
        <f>debtP*Debt_Rate</f>
        <v>1.6572E-2</v>
      </c>
      <c r="AD27" s="245">
        <f ca="1">+AC27+AB27</f>
        <v>0.20016224111814507</v>
      </c>
      <c r="AE27" s="245">
        <f ca="1">+AD27/(S27/100)</f>
        <v>8.4464158646516491E-2</v>
      </c>
      <c r="AF27" s="245">
        <f ca="1">1-AE27</f>
        <v>0.91553584135348354</v>
      </c>
      <c r="AG27" s="246">
        <f ca="1">expenses/(AF27)</f>
        <v>2699233.8193199267</v>
      </c>
      <c r="AH27" s="247">
        <f ca="1">+AG27-Revenue</f>
        <v>46226.894759624731</v>
      </c>
      <c r="AI27" s="248">
        <f ca="1">+AH27/$J$49</f>
        <v>51872.341230629681</v>
      </c>
      <c r="AJ27" s="248">
        <f ca="1">+AI27*$J$47</f>
        <v>1315.9339174034124</v>
      </c>
      <c r="AK27" s="246">
        <f t="shared" ref="AK27:AK29" ca="1" si="14">ROUND(+AJ27+AG27,5)</f>
        <v>2700549.75324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1139573.2486362185</v>
      </c>
      <c r="K28" s="297"/>
      <c r="L28" s="298">
        <f ca="1">SUM(L26:L27)</f>
        <v>0.15956891715036881</v>
      </c>
      <c r="M28" s="296">
        <f ca="1">SUM(M26:M27)</f>
        <v>181840.46929840939</v>
      </c>
      <c r="O28" s="194"/>
      <c r="P28" s="194"/>
      <c r="R28" s="251">
        <v>3</v>
      </c>
      <c r="S28" s="243">
        <f ca="1">AK23/Investment*100</f>
        <v>236.72339280326122</v>
      </c>
      <c r="T28" s="244">
        <f ca="1">EXP(y_inter3-(slope*LN(S28)))</f>
        <v>7.1060725948322849</v>
      </c>
      <c r="U28" s="245">
        <f ca="1">(+S28*T28/100)/100</f>
        <v>0.16821736141549729</v>
      </c>
      <c r="V28" s="245">
        <f>regDebt_weighted</f>
        <v>3.5860000000000003E-2</v>
      </c>
      <c r="W28" s="245">
        <f ca="1">+U28-V28</f>
        <v>0.13235736141549728</v>
      </c>
      <c r="X28" s="245">
        <f ca="1">+((W28*(1-0.34))-Pfd_weighted)/Equity_percent</f>
        <v>0.23594726318089593</v>
      </c>
      <c r="Y28" s="245">
        <f>+Y27</f>
        <v>2.5000000000000001E-3</v>
      </c>
      <c r="Z28" s="245">
        <f t="shared" ref="Z28:Z29" ca="1" si="15">+X28+Y28</f>
        <v>0.23844726318089593</v>
      </c>
      <c r="AA28" s="245">
        <f ca="1">Z28*equityP</f>
        <v>0.14306835790853756</v>
      </c>
      <c r="AB28" s="245">
        <f ca="1">+AA28/(1-taxrate)</f>
        <v>0.18109918722599691</v>
      </c>
      <c r="AC28" s="245">
        <f>debtP*Debt_Rate</f>
        <v>1.6572E-2</v>
      </c>
      <c r="AD28" s="245">
        <f ca="1">+AC28+AB28</f>
        <v>0.19767118722599691</v>
      </c>
      <c r="AE28" s="245">
        <f ca="1">+AD28/(S28/100)</f>
        <v>8.3503022191930024E-2</v>
      </c>
      <c r="AF28" s="245">
        <f ca="1">1-AE28</f>
        <v>0.91649697780806993</v>
      </c>
      <c r="AG28" s="246">
        <f ca="1">expenses/(AF28)</f>
        <v>2696403.1149248006</v>
      </c>
      <c r="AH28" s="247">
        <f ca="1">+AG28-Revenue</f>
        <v>43396.190364498645</v>
      </c>
      <c r="AI28" s="248">
        <f ca="1">+AH28/$J$49</f>
        <v>48695.937860458434</v>
      </c>
      <c r="AJ28" s="248">
        <f ca="1">+AI28*$J$47</f>
        <v>1235.3526898937762</v>
      </c>
      <c r="AK28" s="246">
        <f t="shared" ca="1" si="14"/>
        <v>2697638.4676100002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236.56002995649135</v>
      </c>
      <c r="T29" s="260">
        <f ca="1">EXP(y_inter4-(slope*LN(S29)))</f>
        <v>7.0647785936778522</v>
      </c>
      <c r="U29" s="245">
        <f ca="1">(+S29*T29/100)/100</f>
        <v>0.16712442357564114</v>
      </c>
      <c r="V29" s="245">
        <f>regDebt_weighted</f>
        <v>3.5860000000000003E-2</v>
      </c>
      <c r="W29" s="245">
        <f ca="1">+U29-V29</f>
        <v>0.13126442357564114</v>
      </c>
      <c r="X29" s="245">
        <f ca="1">+((W29*(1-0.34))-Pfd_weighted)/Equity_percent</f>
        <v>0.23385034755791612</v>
      </c>
      <c r="Y29" s="245">
        <f>+Y28</f>
        <v>2.5000000000000001E-3</v>
      </c>
      <c r="Z29" s="245">
        <f t="shared" ca="1" si="15"/>
        <v>0.23635034755791612</v>
      </c>
      <c r="AA29" s="245">
        <f ca="1">Z29*equityP</f>
        <v>0.14181020853474965</v>
      </c>
      <c r="AB29" s="245">
        <f ca="1">+AA29/(1-taxrate)</f>
        <v>0.17950659308196157</v>
      </c>
      <c r="AC29" s="245">
        <f>debtP*Debt_Rate</f>
        <v>1.6572E-2</v>
      </c>
      <c r="AD29" s="245">
        <f ca="1">+AC29+AB29</f>
        <v>0.19607859308196157</v>
      </c>
      <c r="AE29" s="245">
        <f ca="1">+AD29/(S29/100)</f>
        <v>8.2887456988412114E-2</v>
      </c>
      <c r="AF29" s="245">
        <f ca="1">1-AE29</f>
        <v>0.91711254301158784</v>
      </c>
      <c r="AG29" s="246">
        <f ca="1">expenses/(AF29)</f>
        <v>2694593.2913160706</v>
      </c>
      <c r="AH29" s="247">
        <f ca="1">+AG29-Revenue</f>
        <v>41586.366755768657</v>
      </c>
      <c r="AI29" s="248">
        <f ca="1">+AH29/$J$49</f>
        <v>46665.090054490567</v>
      </c>
      <c r="AJ29" s="248">
        <f ca="1">+AI29*$J$47</f>
        <v>1183.8327190276959</v>
      </c>
      <c r="AK29" s="246">
        <f t="shared" ca="1" si="14"/>
        <v>2695777.1240400001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237.35857672396685</v>
      </c>
      <c r="T31" s="234">
        <f ca="1">EXP(y_inter1-(slope*LN(+S31)))</f>
        <v>7.2660856728007008</v>
      </c>
      <c r="U31" s="235">
        <f ca="1">(+S31*T31/100)/100</f>
        <v>0.17246677536503813</v>
      </c>
      <c r="V31" s="235">
        <f>regDebt_weighted</f>
        <v>3.5860000000000003E-2</v>
      </c>
      <c r="W31" s="235">
        <f ca="1">+U31-V31</f>
        <v>0.13660677536503812</v>
      </c>
      <c r="X31" s="235">
        <f ca="1">+((W31*(1-0.34))-Pfd_weighted)/Equity_percent</f>
        <v>0.24410020854920103</v>
      </c>
      <c r="Y31" s="235">
        <f>+Y29</f>
        <v>2.5000000000000001E-3</v>
      </c>
      <c r="Z31" s="235">
        <f ca="1">+X31+Y31</f>
        <v>0.24660020854920103</v>
      </c>
      <c r="AA31" s="235">
        <f ca="1">Z31*equityP</f>
        <v>0.14796012512952061</v>
      </c>
      <c r="AB31" s="235">
        <f ca="1">+AA31/(1-taxrate)</f>
        <v>0.18729129763230457</v>
      </c>
      <c r="AC31" s="235">
        <f>debtP*Debt_Rate</f>
        <v>1.6572E-2</v>
      </c>
      <c r="AD31" s="235">
        <f ca="1">+AC31+AB31</f>
        <v>0.20386329763230457</v>
      </c>
      <c r="AE31" s="235">
        <f ca="1">+AD31/(S31/100)</f>
        <v>8.5888321562268555E-2</v>
      </c>
      <c r="AF31" s="235">
        <f ca="1">1-AE31</f>
        <v>0.91411167843773145</v>
      </c>
      <c r="AG31" s="236">
        <f ca="1">expenses/(AF31)</f>
        <v>2703439.1574608735</v>
      </c>
      <c r="AH31" s="237">
        <f ca="1">+AG31-Revenue</f>
        <v>50432.232900571544</v>
      </c>
      <c r="AI31" s="238">
        <f ca="1">+AH31/$J$49</f>
        <v>56591.255104721487</v>
      </c>
      <c r="AJ31" s="238">
        <f ca="1">+AI31*$J$47</f>
        <v>1435.646632752304</v>
      </c>
      <c r="AK31" s="236">
        <f ca="1">ROUND(+AJ31+AG31,5)</f>
        <v>2704874.8040900002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236.97904074809375</v>
      </c>
      <c r="T32" s="257">
        <f ca="1">EXP(y_inter2-(slope*LN(+S32)))</f>
        <v>7.1705458885194568</v>
      </c>
      <c r="U32" s="245">
        <f ca="1">(+S32*T32/100)/100</f>
        <v>0.16992690863015283</v>
      </c>
      <c r="V32" s="245">
        <f>regDebt_weighted</f>
        <v>3.5860000000000003E-2</v>
      </c>
      <c r="W32" s="245">
        <f ca="1">+U32-V32</f>
        <v>0.13406690863015283</v>
      </c>
      <c r="X32" s="245">
        <f ca="1">+((W32*(1-0.34))-Pfd_weighted)/Equity_percent</f>
        <v>0.23922720841831646</v>
      </c>
      <c r="Y32" s="245">
        <f>+Y31</f>
        <v>2.5000000000000001E-3</v>
      </c>
      <c r="Z32" s="245">
        <f ca="1">+X32+Y32</f>
        <v>0.24172720841831646</v>
      </c>
      <c r="AA32" s="245">
        <f ca="1">Z32*equityP</f>
        <v>0.14503632505098987</v>
      </c>
      <c r="AB32" s="245">
        <f ca="1">+AA32/(1-taxrate)</f>
        <v>0.18359028487467072</v>
      </c>
      <c r="AC32" s="245">
        <f>debtP*Debt_Rate</f>
        <v>1.6572E-2</v>
      </c>
      <c r="AD32" s="245">
        <f ca="1">+AC32+AB32</f>
        <v>0.20016228487467072</v>
      </c>
      <c r="AE32" s="245">
        <f ca="1">+AD32/(S32/100)</f>
        <v>8.4464129925920811E-2</v>
      </c>
      <c r="AF32" s="245">
        <f ca="1">1-AE32</f>
        <v>0.91553587007407922</v>
      </c>
      <c r="AG32" s="246">
        <f ca="1">expenses/(AF32)</f>
        <v>2699233.7346442677</v>
      </c>
      <c r="AH32" s="247">
        <f ca="1">+AG32-Revenue</f>
        <v>46226.810083965771</v>
      </c>
      <c r="AI32" s="248">
        <f ca="1">+AH32/$J$49</f>
        <v>51872.246213979779</v>
      </c>
      <c r="AJ32" s="248">
        <f ca="1">+AI32*$J$47</f>
        <v>1315.9315069544264</v>
      </c>
      <c r="AK32" s="246">
        <f t="shared" ref="AK32:AK34" ca="1" si="16">ROUND(+AJ32+AG32,5)</f>
        <v>2700549.6661499999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0.19758075588654281</v>
      </c>
      <c r="K33" s="304">
        <f ca="1">+(M14+M11)/J28</f>
        <v>0.15956891715036881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236.723569181568</v>
      </c>
      <c r="T33" s="244">
        <f ca="1">EXP(y_inter3-(slope*LN(S33)))</f>
        <v>7.1060689750713966</v>
      </c>
      <c r="U33" s="245">
        <f ca="1">(+S33*T33/100)/100</f>
        <v>0.16821740106293079</v>
      </c>
      <c r="V33" s="245">
        <f>regDebt_weighted</f>
        <v>3.5860000000000003E-2</v>
      </c>
      <c r="W33" s="245">
        <f ca="1">+U33-V33</f>
        <v>0.13235740106293079</v>
      </c>
      <c r="X33" s="245">
        <f ca="1">+((W33*(1-0.34))-Pfd_weighted)/Equity_percent</f>
        <v>0.23594733924864628</v>
      </c>
      <c r="Y33" s="245">
        <f>+Y32</f>
        <v>2.5000000000000001E-3</v>
      </c>
      <c r="Z33" s="245">
        <f t="shared" ref="Z33:Z34" ca="1" si="17">+X33+Y33</f>
        <v>0.23844733924864628</v>
      </c>
      <c r="AA33" s="245">
        <f ca="1">Z33*equityP</f>
        <v>0.14306840354918776</v>
      </c>
      <c r="AB33" s="245">
        <f ca="1">+AA33/(1-taxrate)</f>
        <v>0.18109924499897184</v>
      </c>
      <c r="AC33" s="245">
        <f>debtP*Debt_Rate</f>
        <v>1.6572E-2</v>
      </c>
      <c r="AD33" s="245">
        <f ca="1">+AC33+AB33</f>
        <v>0.19767124499897185</v>
      </c>
      <c r="AE33" s="245">
        <f ca="1">+AD33/(S33/100)</f>
        <v>8.3502984380637302E-2</v>
      </c>
      <c r="AF33" s="245">
        <f ca="1">1-AE33</f>
        <v>0.9164970156193627</v>
      </c>
      <c r="AG33" s="246">
        <f ca="1">expenses/(AF33)</f>
        <v>2696403.0036811349</v>
      </c>
      <c r="AH33" s="247">
        <f ca="1">+AG33-Revenue</f>
        <v>43396.079120832961</v>
      </c>
      <c r="AI33" s="248">
        <f ca="1">+AH33/$J$49</f>
        <v>48695.813031191487</v>
      </c>
      <c r="AJ33" s="248">
        <f ca="1">+AI33*$J$47</f>
        <v>1235.3495231374209</v>
      </c>
      <c r="AK33" s="246">
        <f t="shared" ca="1" si="16"/>
        <v>2697638.3531999998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0.30168125981090471</v>
      </c>
      <c r="K34" s="304">
        <f ca="1">+M14/J26</f>
        <v>0.23832819525061469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236.56023228574074</v>
      </c>
      <c r="T34" s="260">
        <f ca="1">EXP(y_inter4-(slope*LN(S34)))</f>
        <v>7.0647744626124567</v>
      </c>
      <c r="U34" s="245">
        <f ca="1">(+S34*T34/100)/100</f>
        <v>0.16712446879219719</v>
      </c>
      <c r="V34" s="245">
        <f>regDebt_weighted</f>
        <v>3.5860000000000003E-2</v>
      </c>
      <c r="W34" s="245">
        <f ca="1">+U34-V34</f>
        <v>0.13126446879219719</v>
      </c>
      <c r="X34" s="245">
        <f ca="1">+((W34*(1-0.34))-Pfd_weighted)/Equity_percent</f>
        <v>0.23385043431061087</v>
      </c>
      <c r="Y34" s="245">
        <f>+Y33</f>
        <v>2.5000000000000001E-3</v>
      </c>
      <c r="Z34" s="245">
        <f t="shared" ca="1" si="17"/>
        <v>0.23635043431061087</v>
      </c>
      <c r="AA34" s="245">
        <f ca="1">Z34*equityP</f>
        <v>0.1418102605863665</v>
      </c>
      <c r="AB34" s="245">
        <f ca="1">+AA34/(1-taxrate)</f>
        <v>0.17950665897008417</v>
      </c>
      <c r="AC34" s="245">
        <f>debtP*Debt_Rate</f>
        <v>1.6572E-2</v>
      </c>
      <c r="AD34" s="245">
        <f ca="1">+AC34+AB34</f>
        <v>0.19607865897008417</v>
      </c>
      <c r="AE34" s="245">
        <f ca="1">+AD34/(S34/100)</f>
        <v>8.2887413947599214E-2</v>
      </c>
      <c r="AF34" s="245">
        <f ca="1">1-AE34</f>
        <v>0.91711258605240076</v>
      </c>
      <c r="AG34" s="246">
        <f ca="1">expenses/(AF34)</f>
        <v>2694593.1648566942</v>
      </c>
      <c r="AH34" s="247">
        <f ca="1">+AG34-Revenue</f>
        <v>41586.240296392236</v>
      </c>
      <c r="AI34" s="248">
        <f ca="1">+AH34/$J$49</f>
        <v>46664.9481512985</v>
      </c>
      <c r="AJ34" s="248">
        <f ca="1">+AI34*$J$47</f>
        <v>1183.8291191280384</v>
      </c>
      <c r="AK34" s="246">
        <f t="shared" ca="1" si="16"/>
        <v>2695776.9939799998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0.91649700000000001</v>
      </c>
      <c r="K35" s="304">
        <f ca="1">+M8/M7</f>
        <v>0.91653523918744895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8.3502999999999938E-2</v>
      </c>
      <c r="K36" s="304">
        <f ca="1">+J36</f>
        <v>8.3502999999999938E-2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237.3585732489818</v>
      </c>
      <c r="T36" s="234">
        <f ca="1">EXP(y_inter1-(slope*LN(+S36)))</f>
        <v>7.2660857455275965</v>
      </c>
      <c r="U36" s="235">
        <f ca="1">(+S36*T36/100)/100</f>
        <v>0.17246677456631943</v>
      </c>
      <c r="V36" s="235">
        <f>regDebt_weighted</f>
        <v>3.5860000000000003E-2</v>
      </c>
      <c r="W36" s="235">
        <f ca="1">+U36-V36</f>
        <v>0.13660677456631942</v>
      </c>
      <c r="X36" s="235">
        <f ca="1">+((W36*(1-0.34))-Pfd_weighted)/Equity_percent</f>
        <v>0.24410020701677562</v>
      </c>
      <c r="Y36" s="235">
        <f>+Y34</f>
        <v>2.5000000000000001E-3</v>
      </c>
      <c r="Z36" s="235">
        <f ca="1">+X36+Y36</f>
        <v>0.24660020701677562</v>
      </c>
      <c r="AA36" s="235">
        <f ca="1">Z36*equityP</f>
        <v>0.14796012421006538</v>
      </c>
      <c r="AB36" s="235">
        <f ca="1">+AA36/(1-taxrate)</f>
        <v>0.18729129646843717</v>
      </c>
      <c r="AC36" s="235">
        <f>debtP*Debt_Rate</f>
        <v>1.6572E-2</v>
      </c>
      <c r="AD36" s="235">
        <f ca="1">+AC36+AB36</f>
        <v>0.20386329646843718</v>
      </c>
      <c r="AE36" s="235">
        <f ca="1">+AD36/(S36/100)</f>
        <v>8.5888322329352257E-2</v>
      </c>
      <c r="AF36" s="235">
        <f ca="1">1-AE36</f>
        <v>0.91411167767064772</v>
      </c>
      <c r="AG36" s="236">
        <f ca="1">expenses/(AF36)</f>
        <v>2703439.1597294849</v>
      </c>
      <c r="AH36" s="237">
        <f ca="1">+AG36-Revenue</f>
        <v>50432.235169182997</v>
      </c>
      <c r="AI36" s="238">
        <f ca="1">+AH36/$J$49</f>
        <v>56591.257650386477</v>
      </c>
      <c r="AJ36" s="238">
        <f ca="1">+AI36*$J$47</f>
        <v>1435.646697332518</v>
      </c>
      <c r="AK36" s="236">
        <f ca="1">ROUND(+AJ36+AG36,5)</f>
        <v>2704874.8064299999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2.3656022087269637</v>
      </c>
      <c r="K37" s="309">
        <f ca="1">+J37</f>
        <v>2.3656022087269637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236.97903310575921</v>
      </c>
      <c r="T37" s="257">
        <f ca="1">EXP(y_inter2-(slope*LN(+S37)))</f>
        <v>7.1705460466132624</v>
      </c>
      <c r="U37" s="245">
        <f ca="1">(+S37*T37/100)/100</f>
        <v>0.16992690689667353</v>
      </c>
      <c r="V37" s="245">
        <f>regDebt_weighted</f>
        <v>3.5860000000000003E-2</v>
      </c>
      <c r="W37" s="245">
        <f ca="1">+U37-V37</f>
        <v>0.13406690689667353</v>
      </c>
      <c r="X37" s="245">
        <f ca="1">+((W37*(1-0.34))-Pfd_weighted)/Equity_percent</f>
        <v>0.23922720509245499</v>
      </c>
      <c r="Y37" s="245">
        <f>+Y36</f>
        <v>2.5000000000000001E-3</v>
      </c>
      <c r="Z37" s="245">
        <f ca="1">+X37+Y37</f>
        <v>0.24172720509245499</v>
      </c>
      <c r="AA37" s="245">
        <f ca="1">Z37*equityP</f>
        <v>0.14503632305547298</v>
      </c>
      <c r="AB37" s="245">
        <f ca="1">+AA37/(1-taxrate)</f>
        <v>0.18359028234869998</v>
      </c>
      <c r="AC37" s="245">
        <f>debtP*Debt_Rate</f>
        <v>1.6572E-2</v>
      </c>
      <c r="AD37" s="245">
        <f ca="1">+AC37+AB37</f>
        <v>0.20016228234869998</v>
      </c>
      <c r="AE37" s="245">
        <f ca="1">+AD37/(S37/100)</f>
        <v>8.4464131583898983E-2</v>
      </c>
      <c r="AF37" s="245">
        <f ca="1">1-AE37</f>
        <v>0.91553586841610102</v>
      </c>
      <c r="AG37" s="246">
        <f ca="1">expenses/(AF37)</f>
        <v>2699233.7395324111</v>
      </c>
      <c r="AH37" s="247">
        <f ca="1">+AG37-Revenue</f>
        <v>46226.814972109161</v>
      </c>
      <c r="AI37" s="248">
        <f ca="1">+AH37/$J$49</f>
        <v>51872.251699086301</v>
      </c>
      <c r="AJ37" s="248">
        <f ca="1">+AI37*$J$47</f>
        <v>1315.9316461044539</v>
      </c>
      <c r="AK37" s="246">
        <f t="shared" ref="AK37:AK39" ca="1" si="18">ROUND(+AJ37+AG37,5)</f>
        <v>2700549.6711800001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236.7235591418447</v>
      </c>
      <c r="T38" s="244">
        <f ca="1">EXP(y_inter3-(slope*LN(S38)))</f>
        <v>7.1060691811136065</v>
      </c>
      <c r="U38" s="245">
        <f ca="1">(+S38*T38/100)/100</f>
        <v>0.1682173988061387</v>
      </c>
      <c r="V38" s="245">
        <f>regDebt_weighted</f>
        <v>3.5860000000000003E-2</v>
      </c>
      <c r="W38" s="245">
        <f ca="1">+U38-V38</f>
        <v>0.1323573988061387</v>
      </c>
      <c r="X38" s="245">
        <f ca="1">+((W38*(1-0.34))-Pfd_weighted)/Equity_percent</f>
        <v>0.23594733491875444</v>
      </c>
      <c r="Y38" s="245">
        <f>+Y37</f>
        <v>2.5000000000000001E-3</v>
      </c>
      <c r="Z38" s="245">
        <f t="shared" ref="Z38:Z39" ca="1" si="19">+X38+Y38</f>
        <v>0.23844733491875444</v>
      </c>
      <c r="AA38" s="245">
        <f ca="1">Z38*equityP</f>
        <v>0.14306840095125267</v>
      </c>
      <c r="AB38" s="245">
        <f ca="1">+AA38/(1-taxrate)</f>
        <v>0.18109924171044642</v>
      </c>
      <c r="AC38" s="245">
        <f>debtP*Debt_Rate</f>
        <v>1.6572E-2</v>
      </c>
      <c r="AD38" s="245">
        <f ca="1">+AC38+AB38</f>
        <v>0.19767124171044642</v>
      </c>
      <c r="AE38" s="245">
        <f ca="1">+AD38/(S38/100)</f>
        <v>8.3502986532912785E-2</v>
      </c>
      <c r="AF38" s="245">
        <f ca="1">1-AE38</f>
        <v>0.91649701346708723</v>
      </c>
      <c r="AG38" s="246">
        <f ca="1">expenses/(AF38)</f>
        <v>2696403.0100132911</v>
      </c>
      <c r="AH38" s="247">
        <f ca="1">+AG38-Revenue</f>
        <v>43396.085452989209</v>
      </c>
      <c r="AI38" s="248">
        <f ca="1">+AH38/$J$49</f>
        <v>48695.820136660528</v>
      </c>
      <c r="AJ38" s="248">
        <f ca="1">+AI38*$J$47</f>
        <v>1235.3497033939407</v>
      </c>
      <c r="AK38" s="246">
        <f t="shared" ca="1" si="18"/>
        <v>2697638.3597200001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236.56022087269636</v>
      </c>
      <c r="T39" s="260">
        <f ca="1">EXP(y_inter4-(slope*LN(S39)))</f>
        <v>7.0647746956385777</v>
      </c>
      <c r="U39" s="245">
        <f ca="1">(+S39*T39/100)/100</f>
        <v>0.16712446624160981</v>
      </c>
      <c r="V39" s="245">
        <f>regDebt_weighted</f>
        <v>3.5860000000000003E-2</v>
      </c>
      <c r="W39" s="245">
        <f ca="1">+U39-V39</f>
        <v>0.13126446624160981</v>
      </c>
      <c r="X39" s="245">
        <f ca="1">+((W39*(1-0.34))-Pfd_weighted)/Equity_percent</f>
        <v>0.23385042941704207</v>
      </c>
      <c r="Y39" s="245">
        <f>+Y38</f>
        <v>2.5000000000000001E-3</v>
      </c>
      <c r="Z39" s="245">
        <f t="shared" ca="1" si="19"/>
        <v>0.23635042941704207</v>
      </c>
      <c r="AA39" s="245">
        <f ca="1">Z39*equityP</f>
        <v>0.14181025765022523</v>
      </c>
      <c r="AB39" s="245">
        <f ca="1">+AA39/(1-taxrate)</f>
        <v>0.17950665525344964</v>
      </c>
      <c r="AC39" s="245">
        <f>debtP*Debt_Rate</f>
        <v>1.6572E-2</v>
      </c>
      <c r="AD39" s="245">
        <f ca="1">+AC39+AB39</f>
        <v>0.19607865525344964</v>
      </c>
      <c r="AE39" s="245">
        <f ca="1">+AD39/(S39/100)</f>
        <v>8.2887416375455755E-2</v>
      </c>
      <c r="AF39" s="245">
        <f ca="1">1-AE39</f>
        <v>0.91711258362454429</v>
      </c>
      <c r="AG39" s="246">
        <f ca="1">expenses/(AF39)</f>
        <v>2694593.1719900444</v>
      </c>
      <c r="AH39" s="247">
        <f ca="1">+AG39-Revenue</f>
        <v>41586.247429742478</v>
      </c>
      <c r="AI39" s="248">
        <f ca="1">+AH39/$J$49</f>
        <v>46664.956155807129</v>
      </c>
      <c r="AJ39" s="248">
        <f ca="1">+AI39*$J$47</f>
        <v>1183.8293221920248</v>
      </c>
      <c r="AK39" s="246">
        <f t="shared" ca="1" si="18"/>
        <v>2695777.0013100002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852.17763043993932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8.3502986532912785E-2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248.34890944249659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0.91649700000000001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1.6822977540042583E-2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134.82429140160502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1235.3508312840409</v>
      </c>
      <c r="L47" s="210"/>
      <c r="M47" s="210"/>
      <c r="N47" s="210"/>
      <c r="O47" s="194"/>
      <c r="P47" s="194"/>
      <c r="R47" s="233">
        <f ca="1">VLOOKUP(R48,R36:S39,2)</f>
        <v>236.7235591418447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3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0.89116653813822044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0.91649700000000001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0.19758075588654281</v>
      </c>
      <c r="Z62" s="325">
        <f t="shared" ca="1" si="20"/>
        <v>0.15956891715036881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0.30168125981090471</v>
      </c>
      <c r="Z63" s="325">
        <f t="shared" ca="1" si="20"/>
        <v>0.23832819525061469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0.91649700000000001</v>
      </c>
      <c r="Z64" s="325">
        <f t="shared" ca="1" si="20"/>
        <v>0.91653523918744895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8.3502999999999938E-2</v>
      </c>
      <c r="Z65" s="325">
        <f t="shared" ca="1" si="20"/>
        <v>8.3502999999999938E-2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2.3656022087269637</v>
      </c>
      <c r="Z66" s="325">
        <f t="shared" ca="1" si="20"/>
        <v>2.3656022087269637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9F1A-B824-474D-889F-7F2E88CEB737}">
  <sheetPr>
    <tabColor theme="5" tint="0.39997558519241921"/>
    <pageSetUpPr fitToPage="1"/>
  </sheetPr>
  <dimension ref="A1:AV112"/>
  <sheetViews>
    <sheetView workbookViewId="0">
      <selection activeCell="A8" sqref="A8"/>
    </sheetView>
  </sheetViews>
  <sheetFormatPr defaultColWidth="14.44140625" defaultRowHeight="15"/>
  <cols>
    <col min="1" max="1" width="6.44140625" style="204" customWidth="1"/>
    <col min="2" max="2" width="29" style="372" bestFit="1" customWidth="1"/>
    <col min="3" max="3" width="18.33203125" style="372" customWidth="1"/>
    <col min="4" max="4" width="18.33203125" style="372" hidden="1" customWidth="1"/>
    <col min="5" max="5" width="9.33203125" style="372" customWidth="1"/>
    <col min="6" max="6" width="5" style="204" customWidth="1"/>
    <col min="7" max="7" width="7.33203125" style="204" customWidth="1"/>
    <col min="8" max="8" width="12.88671875" style="204" customWidth="1"/>
    <col min="9" max="9" width="15.33203125" style="204" customWidth="1"/>
    <col min="10" max="10" width="12.5546875" style="204" customWidth="1"/>
    <col min="11" max="11" width="13.109375" style="204" bestFit="1" customWidth="1"/>
    <col min="12" max="13" width="17.5546875" style="204" customWidth="1"/>
    <col min="14" max="14" width="2.109375" style="204" customWidth="1"/>
    <col min="15" max="15" width="8.44140625" style="372" bestFit="1" customWidth="1"/>
    <col min="16" max="16" width="35" style="372" customWidth="1"/>
    <col min="17" max="17" width="14.44140625" style="205"/>
    <col min="18" max="18" width="12" style="213" customWidth="1"/>
    <col min="19" max="19" width="14.44140625" style="204"/>
    <col min="20" max="20" width="11.6640625" style="204" customWidth="1"/>
    <col min="21" max="21" width="13.5546875" style="204" customWidth="1"/>
    <col min="22" max="22" width="14.44140625" style="204"/>
    <col min="23" max="26" width="15.33203125" style="204" customWidth="1"/>
    <col min="27" max="27" width="13.88671875" style="204" customWidth="1"/>
    <col min="28" max="28" width="14.44140625" style="204"/>
    <col min="29" max="29" width="13.6640625" style="204" customWidth="1"/>
    <col min="30" max="31" width="14.44140625" style="204"/>
    <col min="32" max="32" width="14.33203125" style="204" customWidth="1"/>
    <col min="33" max="33" width="15" style="204" customWidth="1"/>
    <col min="34" max="34" width="17.88671875" style="204" customWidth="1"/>
    <col min="35" max="35" width="15.6640625" style="204" customWidth="1"/>
    <col min="36" max="36" width="14.33203125" style="204" customWidth="1"/>
    <col min="37" max="37" width="14.44140625" style="204"/>
    <col min="38" max="38" width="12" style="204" customWidth="1"/>
    <col min="39" max="39" width="14.33203125" style="204" customWidth="1"/>
    <col min="40" max="51" width="13.109375" style="204" customWidth="1"/>
    <col min="52" max="16384" width="14.44140625" style="204"/>
  </cols>
  <sheetData>
    <row r="1" spans="1:37" s="199" customFormat="1" ht="15.6" thickBot="1">
      <c r="A1" s="194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5"/>
      <c r="P1" s="195"/>
      <c r="Q1" s="197"/>
      <c r="R1" s="198"/>
    </row>
    <row r="2" spans="1:37" ht="18.600000000000001" thickBot="1">
      <c r="A2" s="194"/>
      <c r="B2" s="392" t="s">
        <v>712</v>
      </c>
      <c r="C2" s="392"/>
      <c r="D2" s="194"/>
      <c r="E2" s="194"/>
      <c r="F2" s="200" t="s">
        <v>713</v>
      </c>
      <c r="G2" s="201"/>
      <c r="H2" s="201"/>
      <c r="I2" s="202" t="s">
        <v>714</v>
      </c>
      <c r="J2" s="201"/>
      <c r="K2" s="201"/>
      <c r="L2" s="201"/>
      <c r="M2" s="203" t="s">
        <v>713</v>
      </c>
      <c r="O2" s="194"/>
      <c r="P2" s="195"/>
      <c r="R2" s="375" t="s">
        <v>715</v>
      </c>
      <c r="S2" s="376"/>
      <c r="T2" s="377"/>
      <c r="AH2" s="393" t="s">
        <v>716</v>
      </c>
      <c r="AI2" s="394"/>
      <c r="AJ2" s="394"/>
      <c r="AK2" s="395"/>
    </row>
    <row r="3" spans="1:37" ht="16.2" thickBot="1">
      <c r="A3" s="194"/>
      <c r="B3" s="194"/>
      <c r="C3" s="194"/>
      <c r="D3" s="194"/>
      <c r="E3" s="194"/>
      <c r="F3" s="209"/>
      <c r="G3" s="210"/>
      <c r="H3" s="211"/>
      <c r="I3" s="211"/>
      <c r="J3" s="211"/>
      <c r="K3" s="212" t="s">
        <v>717</v>
      </c>
      <c r="L3" s="211"/>
      <c r="M3" s="212" t="s">
        <v>718</v>
      </c>
      <c r="O3" s="194"/>
      <c r="P3" s="195"/>
      <c r="R3" s="204"/>
      <c r="T3" s="204" t="s">
        <v>719</v>
      </c>
      <c r="V3" s="213" t="s">
        <v>719</v>
      </c>
      <c r="W3" s="213" t="s">
        <v>719</v>
      </c>
      <c r="X3" s="213" t="s">
        <v>719</v>
      </c>
      <c r="Y3" s="213"/>
      <c r="Z3" s="213" t="s">
        <v>720</v>
      </c>
      <c r="AA3" s="213" t="s">
        <v>721</v>
      </c>
      <c r="AB3" s="213" t="s">
        <v>721</v>
      </c>
      <c r="AC3" s="213" t="s">
        <v>721</v>
      </c>
      <c r="AD3" s="213" t="s">
        <v>721</v>
      </c>
      <c r="AE3" s="213" t="s">
        <v>721</v>
      </c>
      <c r="AF3" s="213" t="s">
        <v>721</v>
      </c>
      <c r="AG3" s="213" t="s">
        <v>722</v>
      </c>
      <c r="AH3" s="213" t="s">
        <v>212</v>
      </c>
      <c r="AI3" s="213" t="s">
        <v>723</v>
      </c>
      <c r="AJ3" s="213"/>
    </row>
    <row r="4" spans="1:37" ht="18.600000000000001" thickBot="1">
      <c r="A4" s="194"/>
      <c r="B4" s="214" t="s">
        <v>724</v>
      </c>
      <c r="C4" s="202"/>
      <c r="D4" s="215"/>
      <c r="E4" s="194"/>
      <c r="F4" s="216"/>
      <c r="G4" s="210"/>
      <c r="H4" s="211" t="s">
        <v>725</v>
      </c>
      <c r="I4" s="211" t="s">
        <v>726</v>
      </c>
      <c r="J4" s="211" t="s">
        <v>727</v>
      </c>
      <c r="K4" s="211" t="s">
        <v>728</v>
      </c>
      <c r="L4" s="211" t="s">
        <v>729</v>
      </c>
      <c r="M4" s="211" t="s">
        <v>730</v>
      </c>
      <c r="O4" s="217"/>
      <c r="P4" s="195"/>
      <c r="R4" s="204"/>
      <c r="T4" s="213" t="s">
        <v>731</v>
      </c>
      <c r="V4" s="213" t="s">
        <v>732</v>
      </c>
      <c r="W4" s="213" t="s">
        <v>720</v>
      </c>
      <c r="X4" s="213" t="s">
        <v>733</v>
      </c>
      <c r="Y4" s="213" t="s">
        <v>734</v>
      </c>
      <c r="Z4" s="213" t="s">
        <v>733</v>
      </c>
      <c r="AA4" s="213" t="s">
        <v>735</v>
      </c>
      <c r="AB4" s="213" t="s">
        <v>735</v>
      </c>
      <c r="AC4" s="213" t="s">
        <v>735</v>
      </c>
      <c r="AD4" s="213" t="s">
        <v>720</v>
      </c>
      <c r="AE4" s="213" t="s">
        <v>731</v>
      </c>
      <c r="AF4" s="213" t="s">
        <v>731</v>
      </c>
      <c r="AG4" s="213" t="s">
        <v>736</v>
      </c>
      <c r="AH4" s="213" t="s">
        <v>737</v>
      </c>
      <c r="AI4" s="213" t="s">
        <v>738</v>
      </c>
      <c r="AJ4" s="213" t="s">
        <v>739</v>
      </c>
      <c r="AK4" s="213" t="s">
        <v>202</v>
      </c>
    </row>
    <row r="5" spans="1:37" ht="15.6">
      <c r="A5" s="194"/>
      <c r="B5" s="218" t="s">
        <v>740</v>
      </c>
      <c r="C5" s="219">
        <f>+'[24]Joe''s LOB (C)'!G48</f>
        <v>417369.13473689771</v>
      </c>
      <c r="D5" s="215"/>
      <c r="E5" s="194"/>
      <c r="F5" s="221" t="s">
        <v>741</v>
      </c>
      <c r="G5" s="222"/>
      <c r="H5" s="222"/>
      <c r="I5" s="211" t="s">
        <v>742</v>
      </c>
      <c r="J5" s="211" t="s">
        <v>212</v>
      </c>
      <c r="K5" s="223" t="s">
        <v>743</v>
      </c>
      <c r="L5" s="224" t="s">
        <v>744</v>
      </c>
      <c r="M5" s="223" t="s">
        <v>212</v>
      </c>
      <c r="O5" s="225"/>
      <c r="P5" s="195"/>
      <c r="R5" s="226"/>
      <c r="T5" s="213" t="s">
        <v>745</v>
      </c>
      <c r="U5" s="213" t="s">
        <v>746</v>
      </c>
      <c r="V5" s="213" t="s">
        <v>747</v>
      </c>
      <c r="W5" s="213" t="s">
        <v>748</v>
      </c>
      <c r="X5" s="213" t="s">
        <v>749</v>
      </c>
      <c r="Y5" s="213" t="s">
        <v>750</v>
      </c>
      <c r="Z5" s="213" t="s">
        <v>749</v>
      </c>
      <c r="AA5" s="213" t="s">
        <v>751</v>
      </c>
      <c r="AB5" s="213" t="s">
        <v>752</v>
      </c>
      <c r="AC5" s="213" t="s">
        <v>753</v>
      </c>
      <c r="AD5" s="213" t="s">
        <v>754</v>
      </c>
      <c r="AE5" s="213" t="s">
        <v>745</v>
      </c>
      <c r="AF5" s="213" t="s">
        <v>755</v>
      </c>
      <c r="AG5" s="213" t="s">
        <v>756</v>
      </c>
      <c r="AH5" s="213" t="s">
        <v>757</v>
      </c>
      <c r="AI5" s="213" t="s">
        <v>757</v>
      </c>
      <c r="AJ5" s="213" t="s">
        <v>756</v>
      </c>
      <c r="AK5" s="213" t="s">
        <v>722</v>
      </c>
    </row>
    <row r="6" spans="1:37" ht="15.6">
      <c r="A6" s="194"/>
      <c r="B6" s="218" t="s">
        <v>758</v>
      </c>
      <c r="C6" s="378">
        <f>+'[24]Joe''s LOB (C)'!G361</f>
        <v>633028.38381892443</v>
      </c>
      <c r="D6" s="215"/>
      <c r="E6" s="194"/>
      <c r="F6" s="228" t="s">
        <v>759</v>
      </c>
      <c r="G6" s="222"/>
      <c r="H6" s="222"/>
      <c r="I6" s="229"/>
      <c r="J6" s="230" t="s">
        <v>760</v>
      </c>
      <c r="K6" s="231"/>
      <c r="L6" s="230" t="s">
        <v>761</v>
      </c>
      <c r="M6" s="230" t="s">
        <v>762</v>
      </c>
      <c r="O6" s="225"/>
      <c r="P6" s="195"/>
      <c r="R6" s="232">
        <v>1</v>
      </c>
      <c r="S6" s="233">
        <f>Revenue/Investment*100</f>
        <v>329.62698529120445</v>
      </c>
      <c r="T6" s="234">
        <f>EXP(y_inter1-(slope*LN(+S6)))</f>
        <v>5.8049299434045878</v>
      </c>
      <c r="U6" s="235">
        <f>(+S6*T6/100)/100</f>
        <v>0.19134615570710964</v>
      </c>
      <c r="V6" s="235">
        <f>regDebt_weighted</f>
        <v>3.5860000000000003E-2</v>
      </c>
      <c r="W6" s="235">
        <f>+U6-V6</f>
        <v>0.15548615570710964</v>
      </c>
      <c r="X6" s="235">
        <f>+((W6*(1-0.34))-Pfd_weighted)/Equity_percent</f>
        <v>0.28032227548457078</v>
      </c>
      <c r="Y6" s="235">
        <f>+C15</f>
        <v>2.5000000000000001E-3</v>
      </c>
      <c r="Z6" s="235">
        <f>+X6+Y6</f>
        <v>0.28282227548457078</v>
      </c>
      <c r="AA6" s="235">
        <f>Z6*equityP</f>
        <v>0.16969336529074247</v>
      </c>
      <c r="AB6" s="235">
        <f>+AA6/(1-taxrate)</f>
        <v>0.21480172821612969</v>
      </c>
      <c r="AC6" s="235">
        <f>debtP*Debt_Rate</f>
        <v>1.6572E-2</v>
      </c>
      <c r="AD6" s="235">
        <f>AC6+AB6</f>
        <v>0.2313737282161297</v>
      </c>
      <c r="AE6" s="235">
        <f>AD6/(S6/100)</f>
        <v>7.0192593003793588E-2</v>
      </c>
      <c r="AF6" s="235">
        <f>1-AE6</f>
        <v>0.92980740699620645</v>
      </c>
      <c r="AG6" s="236">
        <f>expenses/(AF6)</f>
        <v>680816.6713405276</v>
      </c>
      <c r="AH6" s="237">
        <f>+AG6-Revenue</f>
        <v>263447.53660362988</v>
      </c>
      <c r="AI6" s="238">
        <f ca="1">+AH6/$J$49</f>
        <v>284840.40543726622</v>
      </c>
      <c r="AJ6" s="238">
        <f ca="1">+AI6*$J$47</f>
        <v>7226.0310922790377</v>
      </c>
      <c r="AK6" s="236">
        <f ca="1">ROUND(+AJ6+AG6,5)</f>
        <v>688042.70242999995</v>
      </c>
    </row>
    <row r="7" spans="1:37" ht="15.6">
      <c r="A7" s="194"/>
      <c r="B7" s="218" t="s">
        <v>763</v>
      </c>
      <c r="C7" s="378">
        <f>+'[24]Joe''s LOB (C)'!G368</f>
        <v>126618.61842657655</v>
      </c>
      <c r="D7" s="215"/>
      <c r="E7" s="194"/>
      <c r="F7" s="379">
        <v>1</v>
      </c>
      <c r="G7" s="222"/>
      <c r="H7" s="240" t="s">
        <v>740</v>
      </c>
      <c r="I7" s="241">
        <f>IF(A64=TRUE,C5,0)</f>
        <v>417369.13473689771</v>
      </c>
      <c r="J7" s="241">
        <f ca="1">(+$I8/($R50))-I7</f>
        <v>249149.12559043377</v>
      </c>
      <c r="K7" s="241">
        <f ca="1">+I7+J7</f>
        <v>666518.26032733149</v>
      </c>
      <c r="L7" s="241">
        <f ca="1">((+J7/J49*K35)-J7)</f>
        <v>6833.8438511928252</v>
      </c>
      <c r="M7" s="241">
        <f ca="1">IFERROR(+K7+L7,0.00001)</f>
        <v>673352.10417852434</v>
      </c>
      <c r="O7" s="225"/>
      <c r="P7" s="195"/>
      <c r="R7" s="242">
        <v>2</v>
      </c>
      <c r="S7" s="243">
        <f>Revenue/Investment*100</f>
        <v>329.62698529120445</v>
      </c>
      <c r="T7" s="244">
        <f>EXP(y_inter1-(slope*LN(+S7)))</f>
        <v>5.8049299434045878</v>
      </c>
      <c r="U7" s="245">
        <f t="shared" ref="U7:U9" si="0">(+S7*T7/100)/100</f>
        <v>0.19134615570710964</v>
      </c>
      <c r="V7" s="245">
        <f>regDebt_weighted</f>
        <v>3.5860000000000003E-2</v>
      </c>
      <c r="W7" s="245">
        <f t="shared" ref="W7:W9" si="1">+U7-V7</f>
        <v>0.15548615570710964</v>
      </c>
      <c r="X7" s="245">
        <f>+((W7*(1-0.34))-Pfd_weighted)/Equity_percent</f>
        <v>0.28032227548457078</v>
      </c>
      <c r="Y7" s="245">
        <f>+Y6</f>
        <v>2.5000000000000001E-3</v>
      </c>
      <c r="Z7" s="245">
        <f>+X7+Y7</f>
        <v>0.28282227548457078</v>
      </c>
      <c r="AA7" s="245">
        <f>Z7*equityP</f>
        <v>0.16969336529074247</v>
      </c>
      <c r="AB7" s="245">
        <f>+AA7/(1-taxrate)</f>
        <v>0.21480172821612969</v>
      </c>
      <c r="AC7" s="245">
        <f>debtP*Debt_Rate</f>
        <v>1.6572E-2</v>
      </c>
      <c r="AD7" s="245">
        <f t="shared" ref="AD7:AD9" si="2">AC7+AB7</f>
        <v>0.2313737282161297</v>
      </c>
      <c r="AE7" s="245">
        <f t="shared" ref="AE7:AE9" si="3">AD7/(S7/100)</f>
        <v>7.0192593003793588E-2</v>
      </c>
      <c r="AF7" s="245">
        <f t="shared" ref="AF7:AF9" si="4">1-AE7</f>
        <v>0.92980740699620645</v>
      </c>
      <c r="AG7" s="246">
        <f>expenses/(AF7)</f>
        <v>680816.6713405276</v>
      </c>
      <c r="AH7" s="247">
        <f>+AG7-Revenue</f>
        <v>263447.53660362988</v>
      </c>
      <c r="AI7" s="248">
        <f ca="1">+AH7/$J$49</f>
        <v>284840.40543726622</v>
      </c>
      <c r="AJ7" s="248">
        <f ca="1">+AI7*$J$47</f>
        <v>7226.0310922790377</v>
      </c>
      <c r="AK7" s="246">
        <f t="shared" ref="AK7:AK9" ca="1" si="5">ROUND(+AJ7+AG7,5)</f>
        <v>688042.70242999995</v>
      </c>
    </row>
    <row r="8" spans="1:37" ht="15.6">
      <c r="A8" s="194"/>
      <c r="B8" s="218" t="s">
        <v>764</v>
      </c>
      <c r="C8" s="261">
        <f>'[24]LG Total'!C8</f>
        <v>0.4</v>
      </c>
      <c r="D8" s="215"/>
      <c r="E8" s="194"/>
      <c r="F8" s="250">
        <f>+F7+1</f>
        <v>2</v>
      </c>
      <c r="G8" s="222"/>
      <c r="H8" s="240" t="s">
        <v>758</v>
      </c>
      <c r="I8" s="241">
        <f>IF(A64=TRUE,C6,0)</f>
        <v>633028.38381892443</v>
      </c>
      <c r="J8" s="210"/>
      <c r="K8" s="241">
        <f>+I8</f>
        <v>633028.38381892443</v>
      </c>
      <c r="L8" s="241">
        <f ca="1">+L7</f>
        <v>6833.8438511928252</v>
      </c>
      <c r="M8" s="241">
        <f ca="1">IFERROR(+K8+L8,0.00001)</f>
        <v>639862.22767011728</v>
      </c>
      <c r="O8" s="225"/>
      <c r="P8" s="195"/>
      <c r="R8" s="251">
        <v>3</v>
      </c>
      <c r="S8" s="243">
        <f>Revenue/Investment*100</f>
        <v>329.62698529120445</v>
      </c>
      <c r="T8" s="244">
        <f>EXP(y_inter1-(slope*LN(+S8)))</f>
        <v>5.8049299434045878</v>
      </c>
      <c r="U8" s="245">
        <f t="shared" si="0"/>
        <v>0.19134615570710964</v>
      </c>
      <c r="V8" s="245">
        <f>regDebt_weighted</f>
        <v>3.5860000000000003E-2</v>
      </c>
      <c r="W8" s="245">
        <f t="shared" si="1"/>
        <v>0.15548615570710964</v>
      </c>
      <c r="X8" s="245">
        <f>+((W8*(1-0.34))-Pfd_weighted)/Equity_percent</f>
        <v>0.28032227548457078</v>
      </c>
      <c r="Y8" s="245">
        <f>+Y7</f>
        <v>2.5000000000000001E-3</v>
      </c>
      <c r="Z8" s="245">
        <f t="shared" ref="Z8:Z9" si="6">+X8+Y8</f>
        <v>0.28282227548457078</v>
      </c>
      <c r="AA8" s="245">
        <f>Z8*equityP</f>
        <v>0.16969336529074247</v>
      </c>
      <c r="AB8" s="245">
        <f>+AA8/(1-taxrate)</f>
        <v>0.21480172821612969</v>
      </c>
      <c r="AC8" s="245">
        <f>debtP*Debt_Rate</f>
        <v>1.6572E-2</v>
      </c>
      <c r="AD8" s="245">
        <f t="shared" si="2"/>
        <v>0.2313737282161297</v>
      </c>
      <c r="AE8" s="245">
        <f t="shared" si="3"/>
        <v>7.0192593003793588E-2</v>
      </c>
      <c r="AF8" s="245">
        <f t="shared" si="4"/>
        <v>0.92980740699620645</v>
      </c>
      <c r="AG8" s="246">
        <f>expenses/(AF8)</f>
        <v>680816.6713405276</v>
      </c>
      <c r="AH8" s="247">
        <f>+AG8-Revenue</f>
        <v>263447.53660362988</v>
      </c>
      <c r="AI8" s="248">
        <f ca="1">+AH8/$J$49</f>
        <v>284840.40543726622</v>
      </c>
      <c r="AJ8" s="248">
        <f ca="1">+AI8*$J$47</f>
        <v>7226.0310922790377</v>
      </c>
      <c r="AK8" s="246">
        <f t="shared" ca="1" si="5"/>
        <v>688042.70242999995</v>
      </c>
    </row>
    <row r="9" spans="1:37" ht="15.6">
      <c r="A9" s="194"/>
      <c r="B9" s="218" t="s">
        <v>765</v>
      </c>
      <c r="C9" s="261">
        <f>'[24]LG Total'!C9</f>
        <v>4.1430000000000002E-2</v>
      </c>
      <c r="D9" s="215"/>
      <c r="E9" s="194"/>
      <c r="F9" s="250">
        <f t="shared" ref="F9:F49" si="7">+F8+1</f>
        <v>3</v>
      </c>
      <c r="G9" s="222"/>
      <c r="H9" s="240" t="s">
        <v>766</v>
      </c>
      <c r="I9" s="380">
        <f>+I7-I8</f>
        <v>-215659.24908202671</v>
      </c>
      <c r="J9" s="210"/>
      <c r="K9" s="380">
        <f ca="1">+K7-K8</f>
        <v>33489.876508407062</v>
      </c>
      <c r="L9" s="222"/>
      <c r="M9" s="381">
        <f ca="1">+M7-M8</f>
        <v>33489.876508407062</v>
      </c>
      <c r="O9" s="225"/>
      <c r="P9" s="195"/>
      <c r="R9" s="254">
        <v>4</v>
      </c>
      <c r="S9" s="243">
        <f>Revenue/Investment*100</f>
        <v>329.62698529120445</v>
      </c>
      <c r="T9" s="244">
        <f>EXP(y_inter1-(slope*LN(+S9)))</f>
        <v>5.8049299434045878</v>
      </c>
      <c r="U9" s="245">
        <f t="shared" si="0"/>
        <v>0.19134615570710964</v>
      </c>
      <c r="V9" s="245">
        <f>regDebt_weighted</f>
        <v>3.5860000000000003E-2</v>
      </c>
      <c r="W9" s="245">
        <f t="shared" si="1"/>
        <v>0.15548615570710964</v>
      </c>
      <c r="X9" s="245">
        <f>+((W9*(1-0.34))-Pfd_weighted)/Equity_percent</f>
        <v>0.28032227548457078</v>
      </c>
      <c r="Y9" s="245">
        <f>+Y8</f>
        <v>2.5000000000000001E-3</v>
      </c>
      <c r="Z9" s="245">
        <f t="shared" si="6"/>
        <v>0.28282227548457078</v>
      </c>
      <c r="AA9" s="245">
        <f>Z9*equityP</f>
        <v>0.16969336529074247</v>
      </c>
      <c r="AB9" s="245">
        <f>+AA9/(1-taxrate)</f>
        <v>0.21480172821612969</v>
      </c>
      <c r="AC9" s="245">
        <f>debtP*Debt_Rate</f>
        <v>1.6572E-2</v>
      </c>
      <c r="AD9" s="245">
        <f t="shared" si="2"/>
        <v>0.2313737282161297</v>
      </c>
      <c r="AE9" s="245">
        <f t="shared" si="3"/>
        <v>7.0192593003793588E-2</v>
      </c>
      <c r="AF9" s="245">
        <f t="shared" si="4"/>
        <v>0.92980740699620645</v>
      </c>
      <c r="AG9" s="246">
        <f>expenses/(AF9)</f>
        <v>680816.6713405276</v>
      </c>
      <c r="AH9" s="247">
        <f>+AG9-Revenue</f>
        <v>263447.53660362988</v>
      </c>
      <c r="AI9" s="248">
        <f ca="1">+AH9/$J$49</f>
        <v>284840.40543726622</v>
      </c>
      <c r="AJ9" s="248">
        <f ca="1">+AI9*$J$47</f>
        <v>7226.0310922790377</v>
      </c>
      <c r="AK9" s="246">
        <f t="shared" ca="1" si="5"/>
        <v>688042.70242999995</v>
      </c>
    </row>
    <row r="10" spans="1:37" ht="15.6">
      <c r="A10" s="194"/>
      <c r="B10" s="255" t="s">
        <v>767</v>
      </c>
      <c r="C10" s="261">
        <f>'[24]LG Total'!C10</f>
        <v>0.21</v>
      </c>
      <c r="D10" s="215"/>
      <c r="E10" s="194"/>
      <c r="F10" s="250">
        <f t="shared" si="7"/>
        <v>4</v>
      </c>
      <c r="G10" s="222"/>
      <c r="H10" s="222"/>
      <c r="I10" s="210"/>
      <c r="J10" s="210"/>
      <c r="K10" s="241"/>
      <c r="L10" s="222"/>
      <c r="M10" s="222"/>
      <c r="O10" s="225"/>
      <c r="P10" s="194"/>
      <c r="R10" s="213" t="s">
        <v>768</v>
      </c>
    </row>
    <row r="11" spans="1:37" ht="15.6">
      <c r="A11" s="194"/>
      <c r="B11" s="218" t="s">
        <v>769</v>
      </c>
      <c r="C11" s="261">
        <f>'[24]LG Total'!C11</f>
        <v>1.7500000000000002E-2</v>
      </c>
      <c r="D11" s="215"/>
      <c r="E11" s="194"/>
      <c r="F11" s="250">
        <f t="shared" si="7"/>
        <v>5</v>
      </c>
      <c r="G11" s="222"/>
      <c r="H11" s="240" t="s">
        <v>770</v>
      </c>
      <c r="I11" s="241">
        <f>+K11</f>
        <v>2098.3237445652267</v>
      </c>
      <c r="J11" s="210"/>
      <c r="K11" s="241">
        <f>+M27</f>
        <v>2098.3237445652267</v>
      </c>
      <c r="L11" s="222"/>
      <c r="M11" s="241">
        <f>+K11</f>
        <v>2098.3237445652267</v>
      </c>
      <c r="O11" s="225"/>
      <c r="P11" s="194"/>
      <c r="R11" s="232">
        <v>1</v>
      </c>
      <c r="S11" s="233">
        <f ca="1">IF((AK6/Investment*100)&gt;0,(AK6/Investment*100),0)</f>
        <v>543.39773327173157</v>
      </c>
      <c r="T11" s="234">
        <f ca="1">EXP(y_inter1-(slope*LN(S11)))</f>
        <v>4.1245407662333715</v>
      </c>
      <c r="U11" s="235">
        <f ca="1">(+S11*T11/100)/100</f>
        <v>0.2241266103158065</v>
      </c>
      <c r="V11" s="235">
        <f>regDebt_weighted</f>
        <v>3.5860000000000003E-2</v>
      </c>
      <c r="W11" s="235">
        <f ca="1">+U11-V11</f>
        <v>0.18826661031580649</v>
      </c>
      <c r="X11" s="235">
        <f ca="1">+((W11*(1-0.34))-Pfd_weighted)/Equity_percent</f>
        <v>0.34321500816404732</v>
      </c>
      <c r="Y11" s="235">
        <f>+Y9</f>
        <v>2.5000000000000001E-3</v>
      </c>
      <c r="Z11" s="235">
        <f ca="1">+X11+Y11</f>
        <v>0.34571500816404732</v>
      </c>
      <c r="AA11" s="235">
        <f ca="1">Z11*equityP</f>
        <v>0.20742900489842839</v>
      </c>
      <c r="AB11" s="235">
        <f ca="1">+AA11/(1-taxrate)</f>
        <v>0.26256836063092198</v>
      </c>
      <c r="AC11" s="235">
        <f>debtP*Debt_Rate</f>
        <v>1.6572E-2</v>
      </c>
      <c r="AD11" s="235">
        <f ca="1">+AC11+AB11</f>
        <v>0.27914036063092196</v>
      </c>
      <c r="AE11" s="235">
        <f ca="1">+AD11/(S11/100)</f>
        <v>5.13694378057582E-2</v>
      </c>
      <c r="AF11" s="235">
        <f ca="1">1-AE11</f>
        <v>0.9486305621942418</v>
      </c>
      <c r="AG11" s="236">
        <f ca="1">expenses/(AF11)</f>
        <v>667307.60007846495</v>
      </c>
      <c r="AH11" s="237">
        <f ca="1">+AG11-Revenue</f>
        <v>249938.46534156724</v>
      </c>
      <c r="AI11" s="238">
        <f ca="1">+AH11/$J$49</f>
        <v>270234.34995853819</v>
      </c>
      <c r="AJ11" s="238">
        <f ca="1">+AI11*$J$47</f>
        <v>6855.4944373307408</v>
      </c>
      <c r="AK11" s="236">
        <f ca="1">ROUND(+AJ11+AG11,5)</f>
        <v>674163.09452000004</v>
      </c>
    </row>
    <row r="12" spans="1:37" ht="15.6">
      <c r="A12" s="194"/>
      <c r="B12" s="218" t="s">
        <v>771</v>
      </c>
      <c r="C12" s="261">
        <f>'[24]LG Total'!C12</f>
        <v>5.1000000000000004E-3</v>
      </c>
      <c r="D12" s="215"/>
      <c r="E12" s="194"/>
      <c r="F12" s="250">
        <f t="shared" si="7"/>
        <v>6</v>
      </c>
      <c r="G12" s="222"/>
      <c r="H12" s="240" t="s">
        <v>772</v>
      </c>
      <c r="I12" s="241" t="e">
        <f ca="1">IF(I14&lt;0,0,+J38*I14)</f>
        <v>#REF!</v>
      </c>
      <c r="J12" s="241" t="e">
        <f ca="1">+K12-I12</f>
        <v>#REF!</v>
      </c>
      <c r="K12" s="241">
        <f ca="1">+(K9-K11)*taxrate</f>
        <v>6592.2260804067855</v>
      </c>
      <c r="L12" s="222"/>
      <c r="M12" s="241">
        <f ca="1">+K12</f>
        <v>6592.2260804067855</v>
      </c>
      <c r="O12" s="225"/>
      <c r="P12" s="194"/>
      <c r="R12" s="242">
        <v>2</v>
      </c>
      <c r="S12" s="243">
        <f ca="1">IF((AK7/Investment*100)&gt;0,(AK7/Investment*100),0)</f>
        <v>543.39773327173157</v>
      </c>
      <c r="T12" s="257">
        <f ca="1">EXP(y_inter2-(slope*LN(+S12)))</f>
        <v>4.0658575663875824</v>
      </c>
      <c r="U12" s="245">
        <f ca="1">(+S12*T12/100)/100</f>
        <v>0.22093777853807312</v>
      </c>
      <c r="V12" s="245">
        <f>regDebt_weighted</f>
        <v>3.5860000000000003E-2</v>
      </c>
      <c r="W12" s="245">
        <f ca="1">+U12-V12</f>
        <v>0.18507777853807311</v>
      </c>
      <c r="X12" s="245">
        <f ca="1">+((W12*(1-0.34))-Pfd_weighted)/Equity_percent</f>
        <v>0.33709690068351239</v>
      </c>
      <c r="Y12" s="245">
        <f>+Y11</f>
        <v>2.5000000000000001E-3</v>
      </c>
      <c r="Z12" s="245">
        <f ca="1">+X12+Y12</f>
        <v>0.33959690068351239</v>
      </c>
      <c r="AA12" s="245">
        <f ca="1">Z12*equityP</f>
        <v>0.20375814041010742</v>
      </c>
      <c r="AB12" s="245">
        <f ca="1">+AA12/(1-taxrate)</f>
        <v>0.25792169672165494</v>
      </c>
      <c r="AC12" s="245">
        <f>debtP*Debt_Rate</f>
        <v>1.6572E-2</v>
      </c>
      <c r="AD12" s="245">
        <f ca="1">+AC12+AB12</f>
        <v>0.27449369672165491</v>
      </c>
      <c r="AE12" s="245">
        <f ca="1">+AD12/(S12/100)</f>
        <v>5.0514324943713294E-2</v>
      </c>
      <c r="AF12" s="245">
        <f ca="1">1-AE12</f>
        <v>0.94948567505628667</v>
      </c>
      <c r="AG12" s="246">
        <f ca="1">expenses/(AF12)</f>
        <v>666706.61859263724</v>
      </c>
      <c r="AH12" s="247">
        <f ca="1">+AG12-Revenue</f>
        <v>249337.48385573953</v>
      </c>
      <c r="AI12" s="248">
        <f ca="1">+AH12/$J$49</f>
        <v>269584.56665712508</v>
      </c>
      <c r="AJ12" s="248">
        <f ca="1">+AI12*$J$47</f>
        <v>6839.0102790104111</v>
      </c>
      <c r="AK12" s="246">
        <f t="shared" ref="AK12:AK14" ca="1" si="8">ROUND(+AJ12+AG12,5)</f>
        <v>673545.62887000002</v>
      </c>
    </row>
    <row r="13" spans="1:37" ht="15.6">
      <c r="A13" s="194"/>
      <c r="B13" s="218" t="s">
        <v>773</v>
      </c>
      <c r="C13" s="261">
        <f>'[24]LG Total'!C13</f>
        <v>0</v>
      </c>
      <c r="D13" s="215"/>
      <c r="E13" s="194"/>
      <c r="F13" s="250">
        <f t="shared" si="7"/>
        <v>7</v>
      </c>
      <c r="G13" s="222"/>
      <c r="H13" s="222"/>
      <c r="I13" s="210"/>
      <c r="J13" s="210"/>
      <c r="K13" s="241"/>
      <c r="L13" s="222"/>
      <c r="M13" s="222"/>
      <c r="O13" s="225"/>
      <c r="P13" s="194"/>
      <c r="R13" s="251">
        <v>3</v>
      </c>
      <c r="S13" s="243">
        <f ca="1">IF((AK8/Investment*100)&gt;0,(AK8/Investment*100),0)</f>
        <v>543.39773327173157</v>
      </c>
      <c r="T13" s="244">
        <f ca="1">EXP(y_inter3-(slope*LN(S13)))</f>
        <v>4.0263275564996199</v>
      </c>
      <c r="U13" s="245">
        <f ca="1">(+S13*T13/100)/100</f>
        <v>0.21878972676114031</v>
      </c>
      <c r="V13" s="245">
        <f>regDebt_weighted</f>
        <v>3.5860000000000003E-2</v>
      </c>
      <c r="W13" s="245">
        <f ca="1">+U13-V13</f>
        <v>0.1829297267611403</v>
      </c>
      <c r="X13" s="245">
        <f ca="1">+((W13*(1-0.34))-Pfd_weighted)/Equity_percent</f>
        <v>0.33297563855335055</v>
      </c>
      <c r="Y13" s="245">
        <f>+Y12</f>
        <v>2.5000000000000001E-3</v>
      </c>
      <c r="Z13" s="245">
        <f t="shared" ref="Z13:Z14" ca="1" si="9">+X13+Y13</f>
        <v>0.33547563855335055</v>
      </c>
      <c r="AA13" s="245">
        <f ca="1">Z13*equityP</f>
        <v>0.20128538313201033</v>
      </c>
      <c r="AB13" s="245">
        <f ca="1">+AA13/(1-taxrate)</f>
        <v>0.2547916242177346</v>
      </c>
      <c r="AC13" s="245">
        <f>debtP*Debt_Rate</f>
        <v>1.6572E-2</v>
      </c>
      <c r="AD13" s="245">
        <f ca="1">+AC13+AB13</f>
        <v>0.27136362421773458</v>
      </c>
      <c r="AE13" s="245">
        <f ca="1">+AD13/(S13/100)</f>
        <v>4.9938306253853371E-2</v>
      </c>
      <c r="AF13" s="245">
        <f ca="1">1-AE13</f>
        <v>0.95006169374614657</v>
      </c>
      <c r="AG13" s="246">
        <f ca="1">expenses/(AF13)</f>
        <v>666302.39697682997</v>
      </c>
      <c r="AH13" s="247">
        <f ca="1">+AG13-Revenue</f>
        <v>248933.26223993226</v>
      </c>
      <c r="AI13" s="248">
        <f ca="1">+AH13/$J$49</f>
        <v>269147.52082091261</v>
      </c>
      <c r="AJ13" s="248">
        <f ca="1">+AI13*$J$47</f>
        <v>6827.922993846727</v>
      </c>
      <c r="AK13" s="246">
        <f t="shared" ca="1" si="8"/>
        <v>673130.31996999995</v>
      </c>
    </row>
    <row r="14" spans="1:37" ht="16.2" thickBot="1">
      <c r="A14" s="194"/>
      <c r="B14" s="258" t="s">
        <v>774</v>
      </c>
      <c r="C14" s="261">
        <f>'[24]LG Total'!C14</f>
        <v>2.7687010492284665E-3</v>
      </c>
      <c r="D14" s="215"/>
      <c r="E14" s="194"/>
      <c r="F14" s="250">
        <f t="shared" si="7"/>
        <v>8</v>
      </c>
      <c r="G14" s="222"/>
      <c r="H14" s="222" t="s">
        <v>775</v>
      </c>
      <c r="I14" s="259" t="e">
        <f ca="1">+I9-SUM(I11:I13)</f>
        <v>#REF!</v>
      </c>
      <c r="J14" s="210"/>
      <c r="K14" s="259">
        <f ca="1">+K9-SUM(K11:K13)</f>
        <v>24799.326683435051</v>
      </c>
      <c r="L14" s="222"/>
      <c r="M14" s="259">
        <f ca="1">+M9-SUM(M11:M13)</f>
        <v>24799.326683435051</v>
      </c>
      <c r="O14" s="225"/>
      <c r="P14" s="194"/>
      <c r="R14" s="254">
        <v>4</v>
      </c>
      <c r="S14" s="243">
        <f ca="1">IF((AK9/Investment*100)&gt;0,(AK9/Investment*100),0)</f>
        <v>543.39773327173157</v>
      </c>
      <c r="T14" s="260">
        <f ca="1">EXP(y_inter4-(slope*LN(S14)))</f>
        <v>4.0010414278327868</v>
      </c>
      <c r="U14" s="245">
        <f ca="1">(+S14*T14/100)/100</f>
        <v>0.21741568426106286</v>
      </c>
      <c r="V14" s="245">
        <f>regDebt_weighted</f>
        <v>3.5860000000000003E-2</v>
      </c>
      <c r="W14" s="245">
        <f ca="1">+U14-V14</f>
        <v>0.18155568426106286</v>
      </c>
      <c r="X14" s="245">
        <f ca="1">+((W14*(1-0.34))-Pfd_weighted)/Equity_percent</f>
        <v>0.33033939422180664</v>
      </c>
      <c r="Y14" s="245">
        <f>+Y13</f>
        <v>2.5000000000000001E-3</v>
      </c>
      <c r="Z14" s="245">
        <f t="shared" ca="1" si="9"/>
        <v>0.33283939422180664</v>
      </c>
      <c r="AA14" s="245">
        <f ca="1">Z14*equityP</f>
        <v>0.19970363653308398</v>
      </c>
      <c r="AB14" s="245">
        <f ca="1">+AA14/(1-taxrate)</f>
        <v>0.25278941333301769</v>
      </c>
      <c r="AC14" s="245">
        <f>debtP*Debt_Rate</f>
        <v>1.6572E-2</v>
      </c>
      <c r="AD14" s="245">
        <f ca="1">+AC14+AB14</f>
        <v>0.26936141333301766</v>
      </c>
      <c r="AE14" s="245">
        <f ca="1">+AD14/(S14/100)</f>
        <v>4.956984485585271E-2</v>
      </c>
      <c r="AF14" s="245">
        <f ca="1">1-AE14</f>
        <v>0.9504301551441473</v>
      </c>
      <c r="AG14" s="246">
        <f ca="1">expenses/(AF14)</f>
        <v>666044.08582018944</v>
      </c>
      <c r="AH14" s="247">
        <f ca="1">+AG14-Revenue</f>
        <v>248674.95108329173</v>
      </c>
      <c r="AI14" s="248">
        <f ca="1">+AH14/$J$49</f>
        <v>268868.23388760129</v>
      </c>
      <c r="AJ14" s="248">
        <f ca="1">+AI14*$J$47</f>
        <v>6820.837847128596</v>
      </c>
      <c r="AK14" s="246">
        <f t="shared" ca="1" si="8"/>
        <v>672864.92367000005</v>
      </c>
    </row>
    <row r="15" spans="1:37" ht="16.2" thickTop="1">
      <c r="A15" s="194"/>
      <c r="B15" s="258" t="s">
        <v>776</v>
      </c>
      <c r="C15" s="261">
        <f>'[24]LG Total'!C15</f>
        <v>2.5000000000000001E-3</v>
      </c>
      <c r="D15" s="194"/>
      <c r="E15" s="194"/>
      <c r="F15" s="250">
        <f t="shared" si="7"/>
        <v>9</v>
      </c>
      <c r="G15" s="210"/>
      <c r="H15" s="210"/>
      <c r="I15" s="210"/>
      <c r="J15" s="210"/>
      <c r="K15" s="262"/>
      <c r="L15" s="210"/>
      <c r="M15" s="210"/>
      <c r="O15" s="225"/>
      <c r="P15" s="194"/>
      <c r="R15" s="213" t="s">
        <v>777</v>
      </c>
    </row>
    <row r="16" spans="1:37" ht="15.6">
      <c r="A16" s="194"/>
      <c r="B16" s="194"/>
      <c r="C16" s="194"/>
      <c r="D16" s="215" t="s">
        <v>778</v>
      </c>
      <c r="E16" s="194"/>
      <c r="F16" s="250">
        <f t="shared" si="7"/>
        <v>10</v>
      </c>
      <c r="G16" s="210"/>
      <c r="H16" s="240" t="s">
        <v>779</v>
      </c>
      <c r="I16" s="263">
        <f>+I8/I7</f>
        <v>1.5167110625417344</v>
      </c>
      <c r="J16" s="264"/>
      <c r="K16" s="263">
        <f ca="1">+K8/K7</f>
        <v>0.9497540000000001</v>
      </c>
      <c r="L16" s="265"/>
      <c r="M16" s="263">
        <f ca="1">+M8/M7</f>
        <v>0.95026394615746534</v>
      </c>
      <c r="O16" s="225"/>
      <c r="P16" s="194"/>
      <c r="R16" s="232">
        <v>1</v>
      </c>
      <c r="S16" s="233">
        <f ca="1">AK11/Investment*100</f>
        <v>532.43598998115192</v>
      </c>
      <c r="T16" s="234">
        <f ca="1">EXP(y_inter1-(slope*LN(+S16)))</f>
        <v>4.1824077063001655</v>
      </c>
      <c r="U16" s="235">
        <f ca="1">(+S16*T16/100)/100</f>
        <v>0.22268643876087274</v>
      </c>
      <c r="V16" s="235">
        <f>regDebt_weighted</f>
        <v>3.5860000000000003E-2</v>
      </c>
      <c r="W16" s="235">
        <f ca="1">+U16-V16</f>
        <v>0.18682643876087274</v>
      </c>
      <c r="X16" s="235">
        <f ca="1">+((W16*(1-0.34))-Pfd_weighted)/Equity_percent</f>
        <v>0.34045188832027906</v>
      </c>
      <c r="Y16" s="235">
        <f>+Y14</f>
        <v>2.5000000000000001E-3</v>
      </c>
      <c r="Z16" s="235">
        <f ca="1">+X16+Y16</f>
        <v>0.34295188832027906</v>
      </c>
      <c r="AA16" s="235">
        <f ca="1">Z16*equityP</f>
        <v>0.20577113299216743</v>
      </c>
      <c r="AB16" s="235">
        <f ca="1">+AA16/(1-taxrate)</f>
        <v>0.26046978859768027</v>
      </c>
      <c r="AC16" s="235">
        <f>debtP*Debt_Rate</f>
        <v>1.6572E-2</v>
      </c>
      <c r="AD16" s="235">
        <f ca="1">+AC16+AB16</f>
        <v>0.27704178859768025</v>
      </c>
      <c r="AE16" s="235">
        <f ca="1">+AD16/(S16/100)</f>
        <v>5.2032881662918293E-2</v>
      </c>
      <c r="AF16" s="235">
        <f ca="1">1-AE16</f>
        <v>0.94796711833708169</v>
      </c>
      <c r="AG16" s="236">
        <f ca="1">expenses/(AF16)</f>
        <v>667774.62168664567</v>
      </c>
      <c r="AH16" s="237">
        <f ca="1">+AG16-Revenue</f>
        <v>250405.48694974795</v>
      </c>
      <c r="AI16" s="238">
        <f ca="1">+AH16/$J$49</f>
        <v>270739.29536792461</v>
      </c>
      <c r="AJ16" s="238">
        <f ca="1">+AI16*$J$47</f>
        <v>6868.3042464676455</v>
      </c>
      <c r="AK16" s="236">
        <f ca="1">ROUND(+AJ16+AG16,5)</f>
        <v>674642.92593000003</v>
      </c>
    </row>
    <row r="17" spans="1:37" ht="15.6">
      <c r="A17" s="194"/>
      <c r="B17" s="266" t="s">
        <v>780</v>
      </c>
      <c r="C17" s="267"/>
      <c r="D17" s="194" t="s">
        <v>781</v>
      </c>
      <c r="E17" s="194"/>
      <c r="F17" s="250">
        <f t="shared" si="7"/>
        <v>11</v>
      </c>
      <c r="G17" s="210"/>
      <c r="H17" s="210"/>
      <c r="I17" s="210"/>
      <c r="K17" s="210"/>
      <c r="L17" s="240"/>
      <c r="M17" s="240"/>
      <c r="N17" s="263"/>
      <c r="O17" s="194"/>
      <c r="P17" s="194"/>
      <c r="R17" s="242">
        <v>2</v>
      </c>
      <c r="S17" s="243">
        <f ca="1">AK12/Investment*100</f>
        <v>531.94833211718765</v>
      </c>
      <c r="T17" s="257">
        <f ca="1">EXP(y_inter2-(slope*LN(+S17)))</f>
        <v>4.1254848280456047</v>
      </c>
      <c r="U17" s="245">
        <f ca="1">(+S17*T17/100)/100</f>
        <v>0.21945447734536219</v>
      </c>
      <c r="V17" s="245">
        <f>regDebt_weighted</f>
        <v>3.5860000000000003E-2</v>
      </c>
      <c r="W17" s="245">
        <f ca="1">+U17-V17</f>
        <v>0.18359447734536219</v>
      </c>
      <c r="X17" s="245">
        <f ca="1">+((W17*(1-0.34))-Pfd_weighted)/Equity_percent</f>
        <v>0.33425103211610185</v>
      </c>
      <c r="Y17" s="245">
        <f>+Y16</f>
        <v>2.5000000000000001E-3</v>
      </c>
      <c r="Z17" s="245">
        <f ca="1">+X17+Y17</f>
        <v>0.33675103211610186</v>
      </c>
      <c r="AA17" s="245">
        <f ca="1">Z17*equityP</f>
        <v>0.20205061926966111</v>
      </c>
      <c r="AB17" s="245">
        <f ca="1">+AA17/(1-taxrate)</f>
        <v>0.25576027755653302</v>
      </c>
      <c r="AC17" s="245">
        <f>debtP*Debt_Rate</f>
        <v>1.6572E-2</v>
      </c>
      <c r="AD17" s="245">
        <f ca="1">+AC17+AB17</f>
        <v>0.272332277556533</v>
      </c>
      <c r="AE17" s="245">
        <f ca="1">+AD17/(S17/100)</f>
        <v>5.1195249822973125E-2</v>
      </c>
      <c r="AF17" s="245">
        <f ca="1">1-AE17</f>
        <v>0.94880475017702692</v>
      </c>
      <c r="AG17" s="246">
        <f ca="1">expenses/(AF17)</f>
        <v>667185.09124328766</v>
      </c>
      <c r="AH17" s="247">
        <f ca="1">+AG17-Revenue</f>
        <v>249815.95650638995</v>
      </c>
      <c r="AI17" s="248">
        <f ca="1">+AH17/$J$49</f>
        <v>270101.89297400374</v>
      </c>
      <c r="AJ17" s="248">
        <f ca="1">+AI17*$J$47</f>
        <v>6852.1341756882048</v>
      </c>
      <c r="AK17" s="246">
        <f t="shared" ref="AK17:AK19" ca="1" si="10">ROUND(+AJ17+AG17,5)</f>
        <v>674037.22542000003</v>
      </c>
    </row>
    <row r="18" spans="1:37" ht="15.6">
      <c r="A18" s="194"/>
      <c r="B18" s="396"/>
      <c r="C18" s="396"/>
      <c r="D18" s="194"/>
      <c r="E18" s="194"/>
      <c r="F18" s="250">
        <f t="shared" si="7"/>
        <v>12</v>
      </c>
      <c r="G18" s="210"/>
      <c r="H18" s="268" t="s">
        <v>782</v>
      </c>
      <c r="I18" s="269"/>
      <c r="J18" s="269"/>
      <c r="K18" s="269"/>
      <c r="L18" s="269"/>
      <c r="M18" s="270"/>
      <c r="O18" s="194"/>
      <c r="P18" s="194"/>
      <c r="R18" s="251">
        <v>3</v>
      </c>
      <c r="S18" s="243">
        <f ca="1">AK13/Investment*100</f>
        <v>531.62033225021639</v>
      </c>
      <c r="T18" s="244">
        <f ca="1">EXP(y_inter3-(slope*LN(S18)))</f>
        <v>4.0870981872054228</v>
      </c>
      <c r="U18" s="245">
        <f ca="1">(+S18*T18/100)/100</f>
        <v>0.21727844962214038</v>
      </c>
      <c r="V18" s="245">
        <f>regDebt_weighted</f>
        <v>3.5860000000000003E-2</v>
      </c>
      <c r="W18" s="245">
        <f ca="1">+U18-V18</f>
        <v>0.18141844962214038</v>
      </c>
      <c r="X18" s="245">
        <f ca="1">+((W18*(1-0.34))-Pfd_weighted)/Equity_percent</f>
        <v>0.33007609520526932</v>
      </c>
      <c r="Y18" s="245">
        <f>+Y17</f>
        <v>2.5000000000000001E-3</v>
      </c>
      <c r="Z18" s="245">
        <f t="shared" ref="Z18:Z19" ca="1" si="11">+X18+Y18</f>
        <v>0.33257609520526932</v>
      </c>
      <c r="AA18" s="245">
        <f ca="1">Z18*equityP</f>
        <v>0.19954565712316158</v>
      </c>
      <c r="AB18" s="245">
        <f ca="1">+AA18/(1-taxrate)</f>
        <v>0.25258943939640705</v>
      </c>
      <c r="AC18" s="245">
        <f>debtP*Debt_Rate</f>
        <v>1.6572E-2</v>
      </c>
      <c r="AD18" s="245">
        <f ca="1">+AC18+AB18</f>
        <v>0.26916143939640702</v>
      </c>
      <c r="AE18" s="245">
        <f ca="1">+AD18/(S18/100)</f>
        <v>5.063038846861137E-2</v>
      </c>
      <c r="AF18" s="245">
        <f ca="1">1-AE18</f>
        <v>0.94936961153138866</v>
      </c>
      <c r="AG18" s="246">
        <f ca="1">expenses/(AF18)</f>
        <v>666788.12564667268</v>
      </c>
      <c r="AH18" s="247">
        <f ca="1">+AG18-Revenue</f>
        <v>249418.99090977496</v>
      </c>
      <c r="AI18" s="248">
        <f ca="1">+AH18/$J$49</f>
        <v>269672.69237132522</v>
      </c>
      <c r="AJ18" s="248">
        <f ca="1">+AI18*$J$47</f>
        <v>6841.2459139087041</v>
      </c>
      <c r="AK18" s="246">
        <f t="shared" ca="1" si="10"/>
        <v>673629.37156</v>
      </c>
    </row>
    <row r="19" spans="1:37" ht="15.6">
      <c r="A19" s="194"/>
      <c r="B19" s="397" t="s">
        <v>783</v>
      </c>
      <c r="C19" s="397"/>
      <c r="D19" s="194"/>
      <c r="E19" s="194"/>
      <c r="F19" s="250">
        <f t="shared" si="7"/>
        <v>13</v>
      </c>
      <c r="G19" s="210"/>
      <c r="H19" s="216"/>
      <c r="I19" s="240" t="s">
        <v>784</v>
      </c>
      <c r="J19" s="241">
        <f>+Revenue</f>
        <v>417369.13473689771</v>
      </c>
      <c r="K19" s="271"/>
      <c r="L19" s="240" t="s">
        <v>785</v>
      </c>
      <c r="M19" s="272">
        <f ca="1">+J7</f>
        <v>249149.12559043377</v>
      </c>
      <c r="O19" s="194"/>
      <c r="P19" s="194"/>
      <c r="R19" s="254">
        <v>4</v>
      </c>
      <c r="S19" s="243">
        <f ca="1">AK14/Investment*100</f>
        <v>531.41072934718534</v>
      </c>
      <c r="T19" s="260">
        <f ca="1">EXP(y_inter4-(slope*LN(S19)))</f>
        <v>4.0625255363946087</v>
      </c>
      <c r="U19" s="245">
        <f ca="1">(+S19*T19/100)/100</f>
        <v>0.21588696582870243</v>
      </c>
      <c r="V19" s="245">
        <f>regDebt_weighted</f>
        <v>3.5860000000000003E-2</v>
      </c>
      <c r="W19" s="245">
        <f ca="1">+U19-V19</f>
        <v>0.18002696582870242</v>
      </c>
      <c r="X19" s="245">
        <f ca="1">+((W19*(1-0.34))-Pfd_weighted)/Equity_percent</f>
        <v>0.32740638792716159</v>
      </c>
      <c r="Y19" s="245">
        <f>+Y18</f>
        <v>2.5000000000000001E-3</v>
      </c>
      <c r="Z19" s="245">
        <f t="shared" ca="1" si="11"/>
        <v>0.32990638792716159</v>
      </c>
      <c r="AA19" s="245">
        <f ca="1">Z19*equityP</f>
        <v>0.19794383275629696</v>
      </c>
      <c r="AB19" s="245">
        <f ca="1">+AA19/(1-taxrate)</f>
        <v>0.25056181361556573</v>
      </c>
      <c r="AC19" s="245">
        <f>debtP*Debt_Rate</f>
        <v>1.6572E-2</v>
      </c>
      <c r="AD19" s="245">
        <f ca="1">+AC19+AB19</f>
        <v>0.26713381361556571</v>
      </c>
      <c r="AE19" s="245">
        <f ca="1">+AD19/(S19/100)</f>
        <v>5.0268803180494273E-2</v>
      </c>
      <c r="AF19" s="245">
        <f ca="1">1-AE19</f>
        <v>0.94973119681950569</v>
      </c>
      <c r="AG19" s="246">
        <f ca="1">expenses/(AF19)</f>
        <v>666534.26352512464</v>
      </c>
      <c r="AH19" s="247">
        <f ca="1">+AG19-Revenue</f>
        <v>249165.12878822692</v>
      </c>
      <c r="AI19" s="248">
        <f ca="1">+AH19/$J$49</f>
        <v>269398.21575044224</v>
      </c>
      <c r="AJ19" s="248">
        <f ca="1">+AI19*$J$47</f>
        <v>6834.2827985685217</v>
      </c>
      <c r="AK19" s="246">
        <f t="shared" ca="1" si="10"/>
        <v>673368.54631999996</v>
      </c>
    </row>
    <row r="20" spans="1:37" ht="15.6">
      <c r="A20" s="194"/>
      <c r="B20" s="267"/>
      <c r="C20" s="194"/>
      <c r="D20" s="194"/>
      <c r="E20" s="194"/>
      <c r="F20" s="250">
        <f t="shared" si="7"/>
        <v>14</v>
      </c>
      <c r="G20" s="210"/>
      <c r="H20" s="216"/>
      <c r="I20" s="240" t="s">
        <v>786</v>
      </c>
      <c r="J20" s="241">
        <f ca="1">+J21-J19</f>
        <v>255982.96944162663</v>
      </c>
      <c r="K20" s="273"/>
      <c r="L20" s="240" t="s">
        <v>787</v>
      </c>
      <c r="M20" s="272">
        <f ca="1">+L8</f>
        <v>6833.8438511928252</v>
      </c>
      <c r="O20" s="194"/>
      <c r="P20" s="383"/>
      <c r="R20" s="213" t="s">
        <v>788</v>
      </c>
    </row>
    <row r="21" spans="1:37" ht="16.2" thickBot="1">
      <c r="A21" s="194"/>
      <c r="B21" s="267"/>
      <c r="C21" s="267"/>
      <c r="D21" s="194"/>
      <c r="E21" s="194"/>
      <c r="F21" s="250">
        <f t="shared" si="7"/>
        <v>15</v>
      </c>
      <c r="G21" s="210"/>
      <c r="H21" s="216"/>
      <c r="I21" s="274" t="s">
        <v>782</v>
      </c>
      <c r="J21" s="275">
        <f ca="1">+M7</f>
        <v>673352.10417852434</v>
      </c>
      <c r="L21" s="274" t="s">
        <v>786</v>
      </c>
      <c r="M21" s="276">
        <f ca="1">+M19+M20</f>
        <v>255982.9694416266</v>
      </c>
      <c r="O21" s="194"/>
      <c r="P21" s="194"/>
      <c r="R21" s="232">
        <v>1</v>
      </c>
      <c r="S21" s="233">
        <f ca="1">AK16/Investment*100</f>
        <v>532.81494800167252</v>
      </c>
      <c r="T21" s="234">
        <f ca="1">EXP(y_inter1-(slope*LN(+S21)))</f>
        <v>4.1803737741575553</v>
      </c>
      <c r="U21" s="235">
        <f ca="1">(+S21*T21/100)/100</f>
        <v>0.22273656351053134</v>
      </c>
      <c r="V21" s="235">
        <f>regDebt_weighted</f>
        <v>3.5860000000000003E-2</v>
      </c>
      <c r="W21" s="235">
        <f ca="1">+U21-V21</f>
        <v>0.18687656351053133</v>
      </c>
      <c r="X21" s="235">
        <f ca="1">+((W21*(1-0.34))-Pfd_weighted)/Equity_percent</f>
        <v>0.34054805789811243</v>
      </c>
      <c r="Y21" s="235">
        <f>+Y19</f>
        <v>2.5000000000000001E-3</v>
      </c>
      <c r="Z21" s="235">
        <f ca="1">+X21+Y21</f>
        <v>0.34304805789811244</v>
      </c>
      <c r="AA21" s="235">
        <f ca="1">Z21*equityP</f>
        <v>0.20582883473886746</v>
      </c>
      <c r="AB21" s="235">
        <f ca="1">+AA21/(1-taxrate)</f>
        <v>0.26054282878337653</v>
      </c>
      <c r="AC21" s="235">
        <f>debtP*Debt_Rate</f>
        <v>1.6572E-2</v>
      </c>
      <c r="AD21" s="235">
        <f ca="1">+AC21+AB21</f>
        <v>0.27711482878337651</v>
      </c>
      <c r="AE21" s="235">
        <f ca="1">+AD21/(S21/100)</f>
        <v>5.2009582280433064E-2</v>
      </c>
      <c r="AF21" s="235">
        <f ca="1">1-AE21</f>
        <v>0.94799041771956694</v>
      </c>
      <c r="AG21" s="236">
        <f ca="1">expenses/(AF21)</f>
        <v>667758.20935163286</v>
      </c>
      <c r="AH21" s="237">
        <f ca="1">+AG21-Revenue</f>
        <v>250389.07461473515</v>
      </c>
      <c r="AI21" s="238">
        <f ca="1">+AH21/$J$49</f>
        <v>270721.55029344227</v>
      </c>
      <c r="AJ21" s="238">
        <f ca="1">+AI21*$J$47</f>
        <v>6867.8540769780066</v>
      </c>
      <c r="AK21" s="236">
        <f ca="1">ROUND(+AJ21+AG21,5)</f>
        <v>674626.06342999998</v>
      </c>
    </row>
    <row r="22" spans="1:37" ht="21" customHeight="1" thickTop="1">
      <c r="A22" s="194"/>
      <c r="B22" s="267"/>
      <c r="C22" s="194"/>
      <c r="D22" s="194"/>
      <c r="E22" s="383">
        <f ca="1">7.34*(1+K22)</f>
        <v>11.841806289259925</v>
      </c>
      <c r="F22" s="250">
        <f t="shared" si="7"/>
        <v>16</v>
      </c>
      <c r="G22" s="210"/>
      <c r="H22" s="278"/>
      <c r="I22" s="279"/>
      <c r="J22" s="280" t="s">
        <v>789</v>
      </c>
      <c r="K22" s="281">
        <f ca="1">+(J21/J19)-1</f>
        <v>0.61332510752860014</v>
      </c>
      <c r="L22" s="279"/>
      <c r="M22" s="282"/>
      <c r="O22" s="194"/>
      <c r="P22" s="194"/>
      <c r="R22" s="242">
        <v>2</v>
      </c>
      <c r="S22" s="243">
        <f ca="1">AK17/Investment*100</f>
        <v>532.3365819307686</v>
      </c>
      <c r="T22" s="257">
        <f ca="1">EXP(y_inter2-(slope*LN(+S22)))</f>
        <v>4.1234275330359855</v>
      </c>
      <c r="U22" s="245">
        <f ca="1">(+S22*T22/100)/100</f>
        <v>0.21950513187755977</v>
      </c>
      <c r="V22" s="245">
        <f>regDebt_weighted</f>
        <v>3.5860000000000003E-2</v>
      </c>
      <c r="W22" s="245">
        <f ca="1">+U22-V22</f>
        <v>0.18364513187755976</v>
      </c>
      <c r="X22" s="245">
        <f ca="1">+((W22*(1-0.34))-Pfd_weighted)/Equity_percent</f>
        <v>0.33434821813717858</v>
      </c>
      <c r="Y22" s="245">
        <f>+Y21</f>
        <v>2.5000000000000001E-3</v>
      </c>
      <c r="Z22" s="245">
        <f ca="1">+X22+Y22</f>
        <v>0.33684821813717858</v>
      </c>
      <c r="AA22" s="245">
        <f ca="1">Z22*equityP</f>
        <v>0.20210893088230714</v>
      </c>
      <c r="AB22" s="245">
        <f ca="1">+AA22/(1-taxrate)</f>
        <v>0.25583408972443938</v>
      </c>
      <c r="AC22" s="245">
        <f>debtP*Debt_Rate</f>
        <v>1.6572E-2</v>
      </c>
      <c r="AD22" s="245">
        <f ca="1">+AC22+AB22</f>
        <v>0.27240608972443936</v>
      </c>
      <c r="AE22" s="245">
        <f ca="1">+AD22/(S22/100)</f>
        <v>5.1171777212159791E-2</v>
      </c>
      <c r="AF22" s="245">
        <f ca="1">1-AE22</f>
        <v>0.94882822278784018</v>
      </c>
      <c r="AG22" s="246">
        <f ca="1">expenses/(AF22)</f>
        <v>667168.58606815571</v>
      </c>
      <c r="AH22" s="247">
        <f ca="1">+AG22-Revenue</f>
        <v>249799.45133125799</v>
      </c>
      <c r="AI22" s="248">
        <f ca="1">+AH22/$J$49</f>
        <v>270084.04752045724</v>
      </c>
      <c r="AJ22" s="248">
        <f ca="1">+AI22*$J$47</f>
        <v>6851.6814597120956</v>
      </c>
      <c r="AK22" s="246">
        <f t="shared" ref="AK22:AK24" ca="1" si="12">ROUND(+AJ22+AG22,5)</f>
        <v>674020.26752999995</v>
      </c>
    </row>
    <row r="23" spans="1:37" ht="15.6">
      <c r="A23" s="194"/>
      <c r="B23" s="283" t="s">
        <v>790</v>
      </c>
      <c r="C23" s="284"/>
      <c r="D23" s="284"/>
      <c r="E23" s="284"/>
      <c r="F23" s="250">
        <f t="shared" si="7"/>
        <v>17</v>
      </c>
      <c r="H23" s="210"/>
      <c r="I23" s="210"/>
      <c r="J23" s="210"/>
      <c r="K23" s="210"/>
      <c r="L23" s="210"/>
      <c r="M23" s="210"/>
      <c r="N23" s="210"/>
      <c r="O23" s="194"/>
      <c r="P23" s="194"/>
      <c r="R23" s="251">
        <v>3</v>
      </c>
      <c r="S23" s="243">
        <f ca="1">AK18/Investment*100</f>
        <v>532.01446985509756</v>
      </c>
      <c r="T23" s="244">
        <f ca="1">EXP(y_inter3-(slope*LN(S23)))</f>
        <v>4.08502786983993</v>
      </c>
      <c r="U23" s="245">
        <f ca="1">(+S23*T23/100)/100</f>
        <v>0.21732939365161885</v>
      </c>
      <c r="V23" s="245">
        <f>regDebt_weighted</f>
        <v>3.5860000000000003E-2</v>
      </c>
      <c r="W23" s="245">
        <f ca="1">+U23-V23</f>
        <v>0.18146939365161885</v>
      </c>
      <c r="X23" s="245">
        <f ca="1">+((W23*(1-0.34))-Pfd_weighted)/Equity_percent</f>
        <v>0.3301738366571757</v>
      </c>
      <c r="Y23" s="245">
        <f>+Y22</f>
        <v>2.5000000000000001E-3</v>
      </c>
      <c r="Z23" s="245">
        <f t="shared" ref="Z23:Z24" ca="1" si="13">+X23+Y23</f>
        <v>0.3326738366571757</v>
      </c>
      <c r="AA23" s="245">
        <f ca="1">Z23*equityP</f>
        <v>0.19960430199430543</v>
      </c>
      <c r="AB23" s="245">
        <f ca="1">+AA23/(1-taxrate)</f>
        <v>0.25266367341051321</v>
      </c>
      <c r="AC23" s="245">
        <f>debtP*Debt_Rate</f>
        <v>1.6572E-2</v>
      </c>
      <c r="AD23" s="245">
        <f ca="1">+AC23+AB23</f>
        <v>0.26923567341051319</v>
      </c>
      <c r="AE23" s="245">
        <f ca="1">+AD23/(S23/100)</f>
        <v>5.060683283367156E-2</v>
      </c>
      <c r="AF23" s="245">
        <f ca="1">1-AE23</f>
        <v>0.94939316716632849</v>
      </c>
      <c r="AG23" s="246">
        <f ca="1">expenses/(AF23)</f>
        <v>666771.58179717686</v>
      </c>
      <c r="AH23" s="247">
        <f ca="1">+AG23-Revenue</f>
        <v>249402.44706027914</v>
      </c>
      <c r="AI23" s="248">
        <f ca="1">+AH23/$J$49</f>
        <v>269654.8051029201</v>
      </c>
      <c r="AJ23" s="248">
        <f ca="1">+AI23*$J$47</f>
        <v>6840.7921371439479</v>
      </c>
      <c r="AK23" s="246">
        <f t="shared" ca="1" si="12"/>
        <v>673612.37393</v>
      </c>
    </row>
    <row r="24" spans="1:37" ht="15.6">
      <c r="A24" s="194"/>
      <c r="B24" s="285" t="s">
        <v>791</v>
      </c>
      <c r="C24" s="284"/>
      <c r="D24" s="284"/>
      <c r="E24" s="284"/>
      <c r="F24" s="250">
        <f t="shared" si="7"/>
        <v>18</v>
      </c>
      <c r="H24" s="286" t="s">
        <v>792</v>
      </c>
      <c r="K24" s="287" t="s">
        <v>793</v>
      </c>
      <c r="L24" s="287"/>
      <c r="M24" s="287"/>
      <c r="N24" s="287"/>
      <c r="O24" s="194"/>
      <c r="P24" s="194"/>
      <c r="R24" s="254">
        <v>4</v>
      </c>
      <c r="S24" s="243">
        <f ca="1">AK19/Investment*100</f>
        <v>531.80847705305837</v>
      </c>
      <c r="T24" s="260">
        <f ca="1">EXP(y_inter4-(slope*LN(S24)))</f>
        <v>4.0604480105126024</v>
      </c>
      <c r="U24" s="245">
        <f ca="1">(+S24*T24/100)/100</f>
        <v>0.21593806726238277</v>
      </c>
      <c r="V24" s="245">
        <f>regDebt_weighted</f>
        <v>3.5860000000000003E-2</v>
      </c>
      <c r="W24" s="245">
        <f ca="1">+U24-V24</f>
        <v>0.18007806726238276</v>
      </c>
      <c r="X24" s="245">
        <f ca="1">+((W24*(1-0.34))-Pfd_weighted)/Equity_percent</f>
        <v>0.32750443137550178</v>
      </c>
      <c r="Y24" s="245">
        <f>+Y23</f>
        <v>2.5000000000000001E-3</v>
      </c>
      <c r="Z24" s="245">
        <f t="shared" ca="1" si="13"/>
        <v>0.33000443137550178</v>
      </c>
      <c r="AA24" s="245">
        <f ca="1">Z24*equityP</f>
        <v>0.19800265882530108</v>
      </c>
      <c r="AB24" s="245">
        <f ca="1">+AA24/(1-taxrate)</f>
        <v>0.250636276994052</v>
      </c>
      <c r="AC24" s="245">
        <f>debtP*Debt_Rate</f>
        <v>1.6572E-2</v>
      </c>
      <c r="AD24" s="245">
        <f ca="1">+AC24+AB24</f>
        <v>0.26720827699405197</v>
      </c>
      <c r="AE24" s="245">
        <f ca="1">+AD24/(S24/100)</f>
        <v>5.0245208289034601E-2</v>
      </c>
      <c r="AF24" s="245">
        <f ca="1">1-AE24</f>
        <v>0.94975479171096544</v>
      </c>
      <c r="AG24" s="246">
        <f ca="1">expenses/(AF24)</f>
        <v>666517.70472095825</v>
      </c>
      <c r="AH24" s="247">
        <f ca="1">+AG24-Revenue</f>
        <v>249148.56998406054</v>
      </c>
      <c r="AI24" s="248">
        <f ca="1">+AH24/$J$49</f>
        <v>269380.31231299462</v>
      </c>
      <c r="AJ24" s="248">
        <f ca="1">+AI24*$J$47</f>
        <v>6833.8286116161589</v>
      </c>
      <c r="AK24" s="246">
        <f t="shared" ca="1" si="12"/>
        <v>673351.53333000001</v>
      </c>
    </row>
    <row r="25" spans="1:37" ht="15.6">
      <c r="A25" s="194"/>
      <c r="B25" s="285" t="s">
        <v>794</v>
      </c>
      <c r="C25" s="284"/>
      <c r="D25" s="284"/>
      <c r="E25" s="284"/>
      <c r="F25" s="250">
        <f t="shared" si="7"/>
        <v>19</v>
      </c>
      <c r="H25" s="288" t="s">
        <v>795</v>
      </c>
      <c r="I25" s="289" t="s">
        <v>796</v>
      </c>
      <c r="J25" s="290" t="s">
        <v>797</v>
      </c>
      <c r="K25" s="288" t="s">
        <v>798</v>
      </c>
      <c r="L25" s="290" t="s">
        <v>799</v>
      </c>
      <c r="M25" s="290" t="s">
        <v>797</v>
      </c>
      <c r="O25" s="194"/>
      <c r="P25" s="194"/>
      <c r="R25" s="213" t="s">
        <v>800</v>
      </c>
      <c r="W25" s="291"/>
      <c r="X25" s="292"/>
      <c r="Y25" s="292"/>
      <c r="Z25" s="292"/>
      <c r="AA25" s="244"/>
      <c r="AB25" s="244"/>
      <c r="AC25" s="292"/>
      <c r="AE25" s="292"/>
      <c r="AF25" s="292"/>
      <c r="AG25" s="244"/>
      <c r="AH25" s="291"/>
    </row>
    <row r="26" spans="1:37" ht="15.6">
      <c r="A26" s="194"/>
      <c r="B26" s="285" t="s">
        <v>801</v>
      </c>
      <c r="C26" s="284"/>
      <c r="D26" s="284"/>
      <c r="E26" s="284"/>
      <c r="F26" s="250">
        <f t="shared" si="7"/>
        <v>20</v>
      </c>
      <c r="H26" s="240" t="s">
        <v>751</v>
      </c>
      <c r="I26" s="293">
        <f>1-I27</f>
        <v>0.6</v>
      </c>
      <c r="J26" s="294">
        <f>+I26*J28</f>
        <v>75971.171055945932</v>
      </c>
      <c r="K26" s="263">
        <f ca="1">+K34</f>
        <v>0.32643075443937253</v>
      </c>
      <c r="L26" s="293">
        <f ca="1">+K26*I26</f>
        <v>0.19585845266362351</v>
      </c>
      <c r="M26" s="241">
        <f ca="1">+J26*K26</f>
        <v>24799.326683435051</v>
      </c>
      <c r="O26" s="194"/>
      <c r="P26" s="194"/>
      <c r="R26" s="232">
        <v>1</v>
      </c>
      <c r="S26" s="233">
        <f ca="1">AK21/Investment*100</f>
        <v>532.80163044994947</v>
      </c>
      <c r="T26" s="234">
        <f ca="1">EXP(y_inter1-(slope*LN(+S26)))</f>
        <v>4.1804452104271679</v>
      </c>
      <c r="U26" s="235">
        <f ca="1">(+S26*T26/100)/100</f>
        <v>0.22273480241222773</v>
      </c>
      <c r="V26" s="235">
        <f>regDebt_weighted</f>
        <v>3.5860000000000003E-2</v>
      </c>
      <c r="W26" s="235">
        <f ca="1">+U26-V26</f>
        <v>0.18687480241222773</v>
      </c>
      <c r="X26" s="235">
        <f ca="1">+((W26*(1-0.34))-Pfd_weighted)/Equity_percent</f>
        <v>0.34054467904671598</v>
      </c>
      <c r="Y26" s="235">
        <f>+Y24</f>
        <v>2.5000000000000001E-3</v>
      </c>
      <c r="Z26" s="235">
        <f ca="1">+X26+Y26</f>
        <v>0.34304467904671598</v>
      </c>
      <c r="AA26" s="235">
        <f ca="1">Z26*equityP</f>
        <v>0.20582680742802958</v>
      </c>
      <c r="AB26" s="235">
        <f ca="1">+AA26/(1-taxrate)</f>
        <v>0.26054026256712604</v>
      </c>
      <c r="AC26" s="235">
        <f>debtP*Debt_Rate</f>
        <v>1.6572E-2</v>
      </c>
      <c r="AD26" s="235">
        <f ca="1">+AC26+AB26</f>
        <v>0.27711226256712601</v>
      </c>
      <c r="AE26" s="235">
        <f ca="1">+AD26/(S26/100)</f>
        <v>5.2010400631301648E-2</v>
      </c>
      <c r="AF26" s="235">
        <f ca="1">1-AE26</f>
        <v>0.94798959936869831</v>
      </c>
      <c r="AG26" s="236">
        <f ca="1">expenses/(AF26)</f>
        <v>667758.7857930949</v>
      </c>
      <c r="AH26" s="237">
        <f ca="1">+AG26-Revenue</f>
        <v>250389.65105619718</v>
      </c>
      <c r="AI26" s="238">
        <f ca="1">+AH26/$J$49</f>
        <v>270722.17354398343</v>
      </c>
      <c r="AJ26" s="238">
        <f ca="1">+AI26*$J$47</f>
        <v>6867.8698880346637</v>
      </c>
      <c r="AK26" s="236">
        <f ca="1">ROUND(+AJ26+AG26,5)</f>
        <v>674626.65567999997</v>
      </c>
    </row>
    <row r="27" spans="1:37" ht="15.6">
      <c r="A27" s="194"/>
      <c r="B27" s="285" t="s">
        <v>802</v>
      </c>
      <c r="C27" s="284"/>
      <c r="D27" s="284"/>
      <c r="E27" s="284"/>
      <c r="F27" s="250">
        <f t="shared" si="7"/>
        <v>21</v>
      </c>
      <c r="H27" s="240" t="s">
        <v>753</v>
      </c>
      <c r="I27" s="293">
        <f>IF(A64=TRUE,C8,0)</f>
        <v>0.4</v>
      </c>
      <c r="J27" s="295">
        <f>+I27*J28</f>
        <v>50647.447370630623</v>
      </c>
      <c r="K27" s="263">
        <f>IF(A64=TRUE,C9,0)</f>
        <v>4.1430000000000002E-2</v>
      </c>
      <c r="L27" s="293">
        <f>+K27*I27</f>
        <v>1.6572E-2</v>
      </c>
      <c r="M27" s="241">
        <f>+K27*J27</f>
        <v>2098.3237445652267</v>
      </c>
      <c r="O27" s="194"/>
      <c r="P27" s="194"/>
      <c r="R27" s="242">
        <v>2</v>
      </c>
      <c r="S27" s="243">
        <f ca="1">AK22/Investment*100</f>
        <v>532.32318904257352</v>
      </c>
      <c r="T27" s="257">
        <f ca="1">EXP(y_inter2-(slope*LN(+S27)))</f>
        <v>4.1234984584728362</v>
      </c>
      <c r="U27" s="245">
        <f ca="1">(+S27*T27/100)/100</f>
        <v>0.2195033849426396</v>
      </c>
      <c r="V27" s="245">
        <f>regDebt_weighted</f>
        <v>3.5860000000000003E-2</v>
      </c>
      <c r="W27" s="245">
        <f ca="1">+U27-V27</f>
        <v>0.1836433849426396</v>
      </c>
      <c r="X27" s="245">
        <f ca="1">+((W27*(1-0.34))-Pfd_weighted)/Equity_percent</f>
        <v>0.33434486645971545</v>
      </c>
      <c r="Y27" s="245">
        <f>+Y26</f>
        <v>2.5000000000000001E-3</v>
      </c>
      <c r="Z27" s="245">
        <f ca="1">+X27+Y27</f>
        <v>0.33684486645971545</v>
      </c>
      <c r="AA27" s="245">
        <f ca="1">Z27*equityP</f>
        <v>0.20210691987582927</v>
      </c>
      <c r="AB27" s="245">
        <f ca="1">+AA27/(1-taxrate)</f>
        <v>0.25583154414661929</v>
      </c>
      <c r="AC27" s="245">
        <f>debtP*Debt_Rate</f>
        <v>1.6572E-2</v>
      </c>
      <c r="AD27" s="245">
        <f ca="1">+AC27+AB27</f>
        <v>0.27240354414661927</v>
      </c>
      <c r="AE27" s="245">
        <f ca="1">+AD27/(S27/100)</f>
        <v>5.1172586457591519E-2</v>
      </c>
      <c r="AF27" s="245">
        <f ca="1">1-AE27</f>
        <v>0.94882741354240852</v>
      </c>
      <c r="AG27" s="246">
        <f ca="1">expenses/(AF27)</f>
        <v>667169.15508958441</v>
      </c>
      <c r="AH27" s="247">
        <f ca="1">+AG27-Revenue</f>
        <v>249800.0203526867</v>
      </c>
      <c r="AI27" s="248">
        <f ca="1">+AH27/$J$49</f>
        <v>270084.66274843219</v>
      </c>
      <c r="AJ27" s="248">
        <f ca="1">+AI27*$J$47</f>
        <v>6851.6970672466687</v>
      </c>
      <c r="AK27" s="246">
        <f t="shared" ref="AK27:AK29" ca="1" si="14">ROUND(+AJ27+AG27,5)</f>
        <v>674020.85216000001</v>
      </c>
    </row>
    <row r="28" spans="1:37" ht="16.2" thickBot="1">
      <c r="A28" s="194"/>
      <c r="B28" s="194"/>
      <c r="C28" s="194"/>
      <c r="D28" s="194"/>
      <c r="E28" s="194"/>
      <c r="F28" s="250">
        <f t="shared" si="7"/>
        <v>22</v>
      </c>
      <c r="H28" s="240" t="s">
        <v>201</v>
      </c>
      <c r="I28" s="293">
        <f>SUM(I26:I27)</f>
        <v>1</v>
      </c>
      <c r="J28" s="296">
        <f>IF(A64=TRUE,C7,0)</f>
        <v>126618.61842657655</v>
      </c>
      <c r="K28" s="297"/>
      <c r="L28" s="298">
        <f ca="1">SUM(L26:L27)</f>
        <v>0.21243045266362351</v>
      </c>
      <c r="M28" s="296">
        <f ca="1">SUM(M26:M27)</f>
        <v>26897.650428000277</v>
      </c>
      <c r="O28" s="194"/>
      <c r="P28" s="194"/>
      <c r="R28" s="251">
        <v>3</v>
      </c>
      <c r="S28" s="243">
        <f ca="1">AK23/Investment*100</f>
        <v>532.00104558131272</v>
      </c>
      <c r="T28" s="244">
        <f ca="1">EXP(y_inter3-(slope*LN(S28)))</f>
        <v>4.0850983420884841</v>
      </c>
      <c r="U28" s="245">
        <f ca="1">(+S28*T28/100)/100</f>
        <v>0.21732765892935607</v>
      </c>
      <c r="V28" s="245">
        <f>regDebt_weighted</f>
        <v>3.5860000000000003E-2</v>
      </c>
      <c r="W28" s="245">
        <f ca="1">+U28-V28</f>
        <v>0.18146765892935607</v>
      </c>
      <c r="X28" s="245">
        <f ca="1">+((W28*(1-0.34))-Pfd_weighted)/Equity_percent</f>
        <v>0.33017050841097384</v>
      </c>
      <c r="Y28" s="245">
        <f>+Y27</f>
        <v>2.5000000000000001E-3</v>
      </c>
      <c r="Z28" s="245">
        <f t="shared" ref="Z28:Z29" ca="1" si="15">+X28+Y28</f>
        <v>0.33267050841097384</v>
      </c>
      <c r="AA28" s="245">
        <f ca="1">Z28*equityP</f>
        <v>0.1996023050465843</v>
      </c>
      <c r="AB28" s="245">
        <f ca="1">+AA28/(1-taxrate)</f>
        <v>0.25266114562858771</v>
      </c>
      <c r="AC28" s="245">
        <f>debtP*Debt_Rate</f>
        <v>1.6572E-2</v>
      </c>
      <c r="AD28" s="245">
        <f ca="1">+AC28+AB28</f>
        <v>0.26923314562858769</v>
      </c>
      <c r="AE28" s="245">
        <f ca="1">+AD28/(S28/100)</f>
        <v>5.0607634677559528E-2</v>
      </c>
      <c r="AF28" s="245">
        <f ca="1">1-AE28</f>
        <v>0.94939236532244042</v>
      </c>
      <c r="AG28" s="246">
        <f ca="1">expenses/(AF28)</f>
        <v>666772.14494339249</v>
      </c>
      <c r="AH28" s="247">
        <f ca="1">+AG28-Revenue</f>
        <v>249403.01020649477</v>
      </c>
      <c r="AI28" s="248">
        <f ca="1">+AH28/$J$49</f>
        <v>269655.41397859401</v>
      </c>
      <c r="AJ28" s="248">
        <f ca="1">+AI28*$J$47</f>
        <v>6840.8075835288946</v>
      </c>
      <c r="AK28" s="246">
        <f t="shared" ca="1" si="14"/>
        <v>673612.95253000001</v>
      </c>
    </row>
    <row r="29" spans="1:37" ht="16.2" thickTop="1">
      <c r="A29" s="194"/>
      <c r="B29" s="194"/>
      <c r="C29" s="194"/>
      <c r="D29" s="194"/>
      <c r="E29" s="194"/>
      <c r="F29" s="250">
        <f t="shared" si="7"/>
        <v>23</v>
      </c>
      <c r="G29" s="210"/>
      <c r="H29" s="210"/>
      <c r="I29" s="210"/>
      <c r="J29" s="210"/>
      <c r="K29" s="210"/>
      <c r="L29" s="210"/>
      <c r="M29" s="210"/>
      <c r="N29" s="210"/>
      <c r="O29" s="194"/>
      <c r="P29" s="194"/>
      <c r="R29" s="254">
        <v>4</v>
      </c>
      <c r="S29" s="243">
        <f ca="1">AK24/Investment*100</f>
        <v>531.79504064835635</v>
      </c>
      <c r="T29" s="260">
        <f ca="1">EXP(y_inter4-(slope*LN(S29)))</f>
        <v>4.0605181491840172</v>
      </c>
      <c r="U29" s="245">
        <f ca="1">(+S29*T29/100)/100</f>
        <v>0.21593634141987031</v>
      </c>
      <c r="V29" s="245">
        <f>regDebt_weighted</f>
        <v>3.5860000000000003E-2</v>
      </c>
      <c r="W29" s="245">
        <f ca="1">+U29-V29</f>
        <v>0.18007634141987031</v>
      </c>
      <c r="X29" s="245">
        <f ca="1">+((W29*(1-0.34))-Pfd_weighted)/Equity_percent</f>
        <v>0.32750112016603022</v>
      </c>
      <c r="Y29" s="245">
        <f>+Y28</f>
        <v>2.5000000000000001E-3</v>
      </c>
      <c r="Z29" s="245">
        <f t="shared" ca="1" si="15"/>
        <v>0.33000112016603023</v>
      </c>
      <c r="AA29" s="245">
        <f ca="1">Z29*equityP</f>
        <v>0.19800067209961814</v>
      </c>
      <c r="AB29" s="245">
        <f ca="1">+AA29/(1-taxrate)</f>
        <v>0.25063376215141536</v>
      </c>
      <c r="AC29" s="245">
        <f>debtP*Debt_Rate</f>
        <v>1.6572E-2</v>
      </c>
      <c r="AD29" s="245">
        <f ca="1">+AC29+AB29</f>
        <v>0.26720576215141534</v>
      </c>
      <c r="AE29" s="245">
        <f ca="1">+AD29/(S29/100)</f>
        <v>5.0246004894224316E-2</v>
      </c>
      <c r="AF29" s="245">
        <f ca="1">1-AE29</f>
        <v>0.94975399510577563</v>
      </c>
      <c r="AG29" s="246">
        <f ca="1">expenses/(AF29)</f>
        <v>666518.26376199978</v>
      </c>
      <c r="AH29" s="247">
        <f ca="1">+AG29-Revenue</f>
        <v>249149.12902510207</v>
      </c>
      <c r="AI29" s="248">
        <f ca="1">+AH29/$J$49</f>
        <v>269380.91675013979</v>
      </c>
      <c r="AJ29" s="248">
        <f ca="1">+AI29*$J$47</f>
        <v>6833.8439454013978</v>
      </c>
      <c r="AK29" s="246">
        <f t="shared" ca="1" si="14"/>
        <v>673352.10771000001</v>
      </c>
    </row>
    <row r="30" spans="1:37" ht="15.6">
      <c r="A30" s="194"/>
      <c r="B30" s="194"/>
      <c r="C30" s="194"/>
      <c r="D30" s="299"/>
      <c r="E30" s="194"/>
      <c r="F30" s="250">
        <f t="shared" si="7"/>
        <v>24</v>
      </c>
      <c r="G30" s="210"/>
      <c r="H30" s="210"/>
      <c r="I30" s="210"/>
      <c r="J30" s="300" t="s">
        <v>803</v>
      </c>
      <c r="K30" s="300" t="s">
        <v>804</v>
      </c>
      <c r="L30" s="210"/>
      <c r="M30" s="210"/>
      <c r="N30" s="210"/>
      <c r="O30" s="194"/>
      <c r="P30" s="194"/>
      <c r="R30" s="213" t="s">
        <v>805</v>
      </c>
      <c r="W30" s="291"/>
      <c r="X30" s="292"/>
      <c r="Z30" s="292"/>
      <c r="AA30" s="244"/>
      <c r="AB30" s="244"/>
      <c r="AC30" s="292"/>
      <c r="AE30" s="292"/>
      <c r="AF30" s="292"/>
      <c r="AG30" s="244"/>
      <c r="AH30" s="291"/>
      <c r="AJ30" s="244"/>
    </row>
    <row r="31" spans="1:37" ht="15.6">
      <c r="A31" s="194"/>
      <c r="B31" s="194"/>
      <c r="C31" s="194"/>
      <c r="D31" s="299"/>
      <c r="E31" s="194"/>
      <c r="F31" s="250">
        <f t="shared" si="7"/>
        <v>25</v>
      </c>
      <c r="G31" s="210"/>
      <c r="H31" s="301" t="s">
        <v>806</v>
      </c>
      <c r="I31" s="302"/>
      <c r="J31" s="303" t="s">
        <v>807</v>
      </c>
      <c r="K31" s="303" t="s">
        <v>807</v>
      </c>
      <c r="L31" s="398"/>
      <c r="M31" s="398"/>
      <c r="N31" s="398"/>
      <c r="O31" s="194"/>
      <c r="P31" s="194"/>
      <c r="R31" s="232">
        <v>1</v>
      </c>
      <c r="S31" s="233">
        <f ca="1">AK26/Investment*100</f>
        <v>532.80209819316713</v>
      </c>
      <c r="T31" s="234">
        <f ca="1">EXP(y_inter1-(slope*LN(+S31)))</f>
        <v>4.1804427013692207</v>
      </c>
      <c r="U31" s="235">
        <f ca="1">(+S31*T31/100)/100</f>
        <v>0.22273486426658323</v>
      </c>
      <c r="V31" s="235">
        <f>regDebt_weighted</f>
        <v>3.5860000000000003E-2</v>
      </c>
      <c r="W31" s="235">
        <f ca="1">+U31-V31</f>
        <v>0.18687486426658323</v>
      </c>
      <c r="X31" s="235">
        <f ca="1">+((W31*(1-0.34))-Pfd_weighted)/Equity_percent</f>
        <v>0.34054479772077012</v>
      </c>
      <c r="Y31" s="235">
        <f>+Y29</f>
        <v>2.5000000000000001E-3</v>
      </c>
      <c r="Z31" s="235">
        <f ca="1">+X31+Y31</f>
        <v>0.34304479772077012</v>
      </c>
      <c r="AA31" s="235">
        <f ca="1">Z31*equityP</f>
        <v>0.20582687863246207</v>
      </c>
      <c r="AB31" s="235">
        <f ca="1">+AA31/(1-taxrate)</f>
        <v>0.26054035269931908</v>
      </c>
      <c r="AC31" s="235">
        <f>debtP*Debt_Rate</f>
        <v>1.6572E-2</v>
      </c>
      <c r="AD31" s="235">
        <f ca="1">+AC31+AB31</f>
        <v>0.27711235269931905</v>
      </c>
      <c r="AE31" s="235">
        <f ca="1">+AD31/(S31/100)</f>
        <v>5.2010371888372722E-2</v>
      </c>
      <c r="AF31" s="235">
        <f ca="1">1-AE31</f>
        <v>0.94798962811162724</v>
      </c>
      <c r="AG31" s="236">
        <f ca="1">expenses/(AF31)</f>
        <v>667758.7655467306</v>
      </c>
      <c r="AH31" s="237">
        <f ca="1">+AG31-Revenue</f>
        <v>250389.63080983289</v>
      </c>
      <c r="AI31" s="238">
        <f ca="1">+AH31/$J$49</f>
        <v>270722.15165354294</v>
      </c>
      <c r="AJ31" s="238">
        <f ca="1">+AI31*$J$47</f>
        <v>6867.8693327026231</v>
      </c>
      <c r="AK31" s="236">
        <f ca="1">ROUND(+AJ31+AG31,5)</f>
        <v>674626.63488000003</v>
      </c>
    </row>
    <row r="32" spans="1:37" ht="15.6">
      <c r="A32" s="194"/>
      <c r="B32" s="194"/>
      <c r="C32" s="194"/>
      <c r="D32" s="299"/>
      <c r="E32" s="194"/>
      <c r="F32" s="250">
        <f t="shared" si="7"/>
        <v>26</v>
      </c>
      <c r="G32" s="210"/>
      <c r="H32" s="222"/>
      <c r="I32" s="222"/>
      <c r="J32" s="222"/>
      <c r="K32" s="222"/>
      <c r="L32" s="210"/>
      <c r="M32" s="210"/>
      <c r="N32" s="210"/>
      <c r="O32" s="194"/>
      <c r="P32" s="194"/>
      <c r="R32" s="242">
        <v>2</v>
      </c>
      <c r="S32" s="243">
        <f ca="1">AK27/Investment*100</f>
        <v>532.32365076771896</v>
      </c>
      <c r="T32" s="257">
        <f ca="1">EXP(y_inter2-(slope*LN(+S32)))</f>
        <v>4.1234960132401977</v>
      </c>
      <c r="U32" s="245">
        <f ca="1">(+S32*T32/100)/100</f>
        <v>0.21950344516941564</v>
      </c>
      <c r="V32" s="245">
        <f>regDebt_weighted</f>
        <v>3.5860000000000003E-2</v>
      </c>
      <c r="W32" s="245">
        <f ca="1">+U32-V32</f>
        <v>0.18364344516941564</v>
      </c>
      <c r="X32" s="245">
        <f ca="1">+((W32*(1-0.34))-Pfd_weighted)/Equity_percent</f>
        <v>0.33434498201108814</v>
      </c>
      <c r="Y32" s="245">
        <f>+Y31</f>
        <v>2.5000000000000001E-3</v>
      </c>
      <c r="Z32" s="245">
        <f ca="1">+X32+Y32</f>
        <v>0.33684498201108815</v>
      </c>
      <c r="AA32" s="245">
        <f ca="1">Z32*equityP</f>
        <v>0.20210698920665288</v>
      </c>
      <c r="AB32" s="245">
        <f ca="1">+AA32/(1-taxrate)</f>
        <v>0.25583163190715552</v>
      </c>
      <c r="AC32" s="245">
        <f>debtP*Debt_Rate</f>
        <v>1.6572E-2</v>
      </c>
      <c r="AD32" s="245">
        <f ca="1">+AC32+AB32</f>
        <v>0.2724036319071555</v>
      </c>
      <c r="AE32" s="245">
        <f ca="1">+AD32/(S32/100)</f>
        <v>5.1172558557992694E-2</v>
      </c>
      <c r="AF32" s="245">
        <f ca="1">1-AE32</f>
        <v>0.94882744144200726</v>
      </c>
      <c r="AG32" s="246">
        <f ca="1">expenses/(AF32)</f>
        <v>667169.13547194807</v>
      </c>
      <c r="AH32" s="247">
        <f ca="1">+AG32-Revenue</f>
        <v>249800.00073505036</v>
      </c>
      <c r="AI32" s="248">
        <f ca="1">+AH32/$J$49</f>
        <v>270084.64153777465</v>
      </c>
      <c r="AJ32" s="248">
        <f ca="1">+AI32*$J$47</f>
        <v>6851.696529159839</v>
      </c>
      <c r="AK32" s="246">
        <f t="shared" ref="AK32:AK34" ca="1" si="16">ROUND(+AJ32+AG32,5)</f>
        <v>674020.83200000005</v>
      </c>
    </row>
    <row r="33" spans="1:48" ht="15.6">
      <c r="A33" s="194"/>
      <c r="B33" s="194"/>
      <c r="C33" s="194"/>
      <c r="D33" s="194"/>
      <c r="E33" s="194"/>
      <c r="F33" s="250">
        <f t="shared" si="7"/>
        <v>27</v>
      </c>
      <c r="G33" s="210"/>
      <c r="H33" s="222" t="s">
        <v>808</v>
      </c>
      <c r="I33" s="222"/>
      <c r="J33" s="304">
        <f ca="1">+K9/J28</f>
        <v>0.26449409197927026</v>
      </c>
      <c r="K33" s="304">
        <f ca="1">+(M14+M11)/J28</f>
        <v>0.21243045266362351</v>
      </c>
      <c r="L33" s="240"/>
      <c r="M33" s="240"/>
      <c r="N33" s="241"/>
      <c r="O33" s="194"/>
      <c r="P33" s="194"/>
      <c r="R33" s="251">
        <v>3</v>
      </c>
      <c r="S33" s="243">
        <f ca="1">AK28/Investment*100</f>
        <v>532.00150254412529</v>
      </c>
      <c r="T33" s="244">
        <f ca="1">EXP(y_inter3-(slope*LN(S33)))</f>
        <v>4.0850959431611225</v>
      </c>
      <c r="U33" s="245">
        <f ca="1">(+S33*T33/100)/100</f>
        <v>0.21732771797986278</v>
      </c>
      <c r="V33" s="245">
        <f>regDebt_weighted</f>
        <v>3.5860000000000003E-2</v>
      </c>
      <c r="W33" s="245">
        <f ca="1">+U33-V33</f>
        <v>0.18146771797986277</v>
      </c>
      <c r="X33" s="245">
        <f ca="1">+((W33*(1-0.34))-Pfd_weighted)/Equity_percent</f>
        <v>0.33017062170555067</v>
      </c>
      <c r="Y33" s="245">
        <f>+Y32</f>
        <v>2.5000000000000001E-3</v>
      </c>
      <c r="Z33" s="245">
        <f t="shared" ref="Z33:Z34" ca="1" si="17">+X33+Y33</f>
        <v>0.33267062170555067</v>
      </c>
      <c r="AA33" s="245">
        <f ca="1">Z33*equityP</f>
        <v>0.19960237302333039</v>
      </c>
      <c r="AB33" s="245">
        <f ca="1">+AA33/(1-taxrate)</f>
        <v>0.25266123167510174</v>
      </c>
      <c r="AC33" s="245">
        <f>debtP*Debt_Rate</f>
        <v>1.6572E-2</v>
      </c>
      <c r="AD33" s="245">
        <f ca="1">+AC33+AB33</f>
        <v>0.26923323167510171</v>
      </c>
      <c r="AE33" s="245">
        <f ca="1">+AD33/(S33/100)</f>
        <v>5.0607607382231211E-2</v>
      </c>
      <c r="AF33" s="245">
        <f ca="1">1-AE33</f>
        <v>0.94939239261776875</v>
      </c>
      <c r="AG33" s="246">
        <f ca="1">expenses/(AF33)</f>
        <v>666772.1257734847</v>
      </c>
      <c r="AH33" s="247">
        <f ca="1">+AG33-Revenue</f>
        <v>249402.99103658699</v>
      </c>
      <c r="AI33" s="248">
        <f ca="1">+AH33/$J$49</f>
        <v>269655.3932520221</v>
      </c>
      <c r="AJ33" s="248">
        <f ca="1">+AI33*$J$47</f>
        <v>6840.8070577226881</v>
      </c>
      <c r="AK33" s="246">
        <f t="shared" ca="1" si="16"/>
        <v>673612.93282999995</v>
      </c>
    </row>
    <row r="34" spans="1:48" ht="15.6">
      <c r="A34" s="194"/>
      <c r="B34" s="194"/>
      <c r="C34" s="194"/>
      <c r="D34" s="194"/>
      <c r="E34" s="194"/>
      <c r="F34" s="250">
        <f t="shared" si="7"/>
        <v>28</v>
      </c>
      <c r="G34" s="210"/>
      <c r="H34" s="222" t="s">
        <v>809</v>
      </c>
      <c r="I34" s="222"/>
      <c r="J34" s="304">
        <f ca="1">+(M9-M11)/J26</f>
        <v>0.41320348663211709</v>
      </c>
      <c r="K34" s="304">
        <f ca="1">+M14/J26</f>
        <v>0.32643075443937253</v>
      </c>
      <c r="L34" s="240"/>
      <c r="M34" s="240"/>
      <c r="N34" s="241"/>
      <c r="O34" s="305"/>
      <c r="P34" s="194"/>
      <c r="R34" s="254">
        <v>4</v>
      </c>
      <c r="S34" s="243">
        <f ca="1">AK29/Investment*100</f>
        <v>531.7954942783258</v>
      </c>
      <c r="T34" s="260">
        <f ca="1">EXP(y_inter4-(slope*LN(S34)))</f>
        <v>4.0605157811653454</v>
      </c>
      <c r="U34" s="245">
        <f ca="1">(+S34*T34/100)/100</f>
        <v>0.21593639968697673</v>
      </c>
      <c r="V34" s="245">
        <f>regDebt_weighted</f>
        <v>3.5860000000000003E-2</v>
      </c>
      <c r="W34" s="245">
        <f ca="1">+U34-V34</f>
        <v>0.18007639968697672</v>
      </c>
      <c r="X34" s="245">
        <f ca="1">+((W34*(1-0.34))-Pfd_weighted)/Equity_percent</f>
        <v>0.32750123195757158</v>
      </c>
      <c r="Y34" s="245">
        <f>+Y33</f>
        <v>2.5000000000000001E-3</v>
      </c>
      <c r="Z34" s="245">
        <f t="shared" ca="1" si="17"/>
        <v>0.33000123195757158</v>
      </c>
      <c r="AA34" s="245">
        <f ca="1">Z34*equityP</f>
        <v>0.19800073917454294</v>
      </c>
      <c r="AB34" s="245">
        <f ca="1">+AA34/(1-taxrate)</f>
        <v>0.25063384705638347</v>
      </c>
      <c r="AC34" s="245">
        <f>debtP*Debt_Rate</f>
        <v>1.6572E-2</v>
      </c>
      <c r="AD34" s="245">
        <f ca="1">+AC34+AB34</f>
        <v>0.26720584705638345</v>
      </c>
      <c r="AE34" s="245">
        <f ca="1">+AD34/(S34/100)</f>
        <v>5.0245977999305108E-2</v>
      </c>
      <c r="AF34" s="245">
        <f ca="1">1-AE34</f>
        <v>0.94975402200069492</v>
      </c>
      <c r="AG34" s="246">
        <f ca="1">expenses/(AF34)</f>
        <v>666518.24488768657</v>
      </c>
      <c r="AH34" s="247">
        <f ca="1">+AG34-Revenue</f>
        <v>249149.11015078885</v>
      </c>
      <c r="AI34" s="248">
        <f ca="1">+AH34/$J$49</f>
        <v>269380.89634316578</v>
      </c>
      <c r="AJ34" s="248">
        <f ca="1">+AI34*$J$47</f>
        <v>6833.8434277029746</v>
      </c>
      <c r="AK34" s="246">
        <f t="shared" ca="1" si="16"/>
        <v>673352.08831999998</v>
      </c>
    </row>
    <row r="35" spans="1:48" ht="15.6">
      <c r="A35" s="194"/>
      <c r="B35" s="194"/>
      <c r="C35" s="194"/>
      <c r="D35" s="194"/>
      <c r="E35" s="194"/>
      <c r="F35" s="250">
        <f t="shared" si="7"/>
        <v>29</v>
      </c>
      <c r="G35" s="210"/>
      <c r="H35" s="306" t="s">
        <v>755</v>
      </c>
      <c r="I35" s="222"/>
      <c r="J35" s="304">
        <f ca="1">+K8/K7</f>
        <v>0.9497540000000001</v>
      </c>
      <c r="K35" s="304">
        <f ca="1">+M8/M7</f>
        <v>0.95026394615746534</v>
      </c>
      <c r="L35" s="240"/>
      <c r="M35" s="240"/>
      <c r="N35" s="241"/>
      <c r="O35" s="194"/>
      <c r="P35" s="194"/>
      <c r="R35" s="213" t="s">
        <v>810</v>
      </c>
      <c r="X35" s="292"/>
      <c r="Y35" s="292"/>
      <c r="Z35" s="292"/>
      <c r="AA35" s="307"/>
      <c r="AB35" s="244"/>
      <c r="AC35" s="292"/>
      <c r="AE35" s="292"/>
      <c r="AF35" s="292"/>
      <c r="AG35" s="244"/>
      <c r="AH35" s="291"/>
      <c r="AJ35" s="244"/>
    </row>
    <row r="36" spans="1:48" ht="15.6">
      <c r="A36" s="194"/>
      <c r="B36" s="194"/>
      <c r="C36" s="194"/>
      <c r="D36" s="194"/>
      <c r="E36" s="194"/>
      <c r="F36" s="250">
        <f t="shared" si="7"/>
        <v>30</v>
      </c>
      <c r="G36" s="210"/>
      <c r="H36" s="222" t="s">
        <v>811</v>
      </c>
      <c r="I36" s="222"/>
      <c r="J36" s="304">
        <f ca="1">+K9/K7</f>
        <v>5.0245999999999943E-2</v>
      </c>
      <c r="K36" s="304">
        <f ca="1">+J36</f>
        <v>5.0245999999999943E-2</v>
      </c>
      <c r="L36" s="210"/>
      <c r="M36" s="210"/>
      <c r="N36" s="241"/>
      <c r="O36" s="194"/>
      <c r="P36" s="194"/>
      <c r="R36" s="232">
        <v>1</v>
      </c>
      <c r="S36" s="233">
        <f ca="1">AK31/Investment*100</f>
        <v>532.80208176588314</v>
      </c>
      <c r="T36" s="234">
        <f ca="1">EXP(y_inter1-(slope*LN(+S36)))</f>
        <v>4.1804427894880378</v>
      </c>
      <c r="U36" s="235">
        <f ca="1">(+S36*T36/100)/100</f>
        <v>0.2227348620942402</v>
      </c>
      <c r="V36" s="235">
        <f>regDebt_weighted</f>
        <v>3.5860000000000003E-2</v>
      </c>
      <c r="W36" s="235">
        <f ca="1">+U36-V36</f>
        <v>0.1868748620942402</v>
      </c>
      <c r="X36" s="235">
        <f ca="1">+((W36*(1-0.34))-Pfd_weighted)/Equity_percent</f>
        <v>0.34054479355290268</v>
      </c>
      <c r="Y36" s="235">
        <f>+Y34</f>
        <v>2.5000000000000001E-3</v>
      </c>
      <c r="Z36" s="235">
        <f ca="1">+X36+Y36</f>
        <v>0.34304479355290268</v>
      </c>
      <c r="AA36" s="235">
        <f ca="1">Z36*equityP</f>
        <v>0.20582687613174161</v>
      </c>
      <c r="AB36" s="235">
        <f ca="1">+AA36/(1-taxrate)</f>
        <v>0.26054034953385014</v>
      </c>
      <c r="AC36" s="235">
        <f>debtP*Debt_Rate</f>
        <v>1.6572E-2</v>
      </c>
      <c r="AD36" s="235">
        <f ca="1">+AC36+AB36</f>
        <v>0.27711234953385011</v>
      </c>
      <c r="AE36" s="235">
        <f ca="1">+AD36/(S36/100)</f>
        <v>5.2010372897832474E-2</v>
      </c>
      <c r="AF36" s="235">
        <f ca="1">1-AE36</f>
        <v>0.9479896271021675</v>
      </c>
      <c r="AG36" s="236">
        <f ca="1">expenses/(AF36)</f>
        <v>667758.76625778864</v>
      </c>
      <c r="AH36" s="237">
        <f ca="1">+AG36-Revenue</f>
        <v>250389.63152089092</v>
      </c>
      <c r="AI36" s="238">
        <f ca="1">+AH36/$J$49</f>
        <v>270722.1524223414</v>
      </c>
      <c r="AJ36" s="238">
        <f ca="1">+AI36*$J$47</f>
        <v>6867.8693522060421</v>
      </c>
      <c r="AK36" s="236">
        <f ca="1">ROUND(+AJ36+AG36,5)</f>
        <v>674626.63561</v>
      </c>
    </row>
    <row r="37" spans="1:48" ht="15.6">
      <c r="A37" s="194"/>
      <c r="B37" s="194"/>
      <c r="C37" s="194"/>
      <c r="D37" s="225"/>
      <c r="E37" s="194"/>
      <c r="F37" s="250">
        <f t="shared" si="7"/>
        <v>31</v>
      </c>
      <c r="G37" s="210"/>
      <c r="H37" s="222" t="s">
        <v>812</v>
      </c>
      <c r="I37" s="308"/>
      <c r="J37" s="309">
        <f ca="1">+S39/100</f>
        <v>5.3179547896462198</v>
      </c>
      <c r="K37" s="309">
        <f ca="1">+J37</f>
        <v>5.3179547896462198</v>
      </c>
      <c r="L37" s="210"/>
      <c r="M37" s="210"/>
      <c r="N37" s="210"/>
      <c r="O37" s="194"/>
      <c r="P37" s="194"/>
      <c r="R37" s="242">
        <v>2</v>
      </c>
      <c r="S37" s="243">
        <f ca="1">AK32/Investment*100</f>
        <v>532.32363484588996</v>
      </c>
      <c r="T37" s="257">
        <f ca="1">EXP(y_inter2-(slope*LN(+S37)))</f>
        <v>4.1234960975599453</v>
      </c>
      <c r="U37" s="245">
        <f ca="1">(+S37*T37/100)/100</f>
        <v>0.21950344309259529</v>
      </c>
      <c r="V37" s="245">
        <f>regDebt_weighted</f>
        <v>3.5860000000000003E-2</v>
      </c>
      <c r="W37" s="245">
        <f ca="1">+U37-V37</f>
        <v>0.18364344309259528</v>
      </c>
      <c r="X37" s="245">
        <f ca="1">+((W37*(1-0.34))-Pfd_weighted)/Equity_percent</f>
        <v>0.33434497802649094</v>
      </c>
      <c r="Y37" s="245">
        <f>+Y36</f>
        <v>2.5000000000000001E-3</v>
      </c>
      <c r="Z37" s="245">
        <f ca="1">+X37+Y37</f>
        <v>0.33684497802649094</v>
      </c>
      <c r="AA37" s="245">
        <f ca="1">Z37*equityP</f>
        <v>0.20210698681589456</v>
      </c>
      <c r="AB37" s="245">
        <f ca="1">+AA37/(1-taxrate)</f>
        <v>0.25583162888087918</v>
      </c>
      <c r="AC37" s="245">
        <f>debtP*Debt_Rate</f>
        <v>1.6572E-2</v>
      </c>
      <c r="AD37" s="245">
        <f ca="1">+AC37+AB37</f>
        <v>0.27240362888087916</v>
      </c>
      <c r="AE37" s="245">
        <f ca="1">+AD37/(S37/100)</f>
        <v>5.1172559520063617E-2</v>
      </c>
      <c r="AF37" s="245">
        <f ca="1">1-AE37</f>
        <v>0.94882744047993639</v>
      </c>
      <c r="AG37" s="246">
        <f ca="1">expenses/(AF37)</f>
        <v>667169.13614842936</v>
      </c>
      <c r="AH37" s="247">
        <f ca="1">+AG37-Revenue</f>
        <v>249800.00141153164</v>
      </c>
      <c r="AI37" s="248">
        <f ca="1">+AH37/$J$49</f>
        <v>270084.6422691886</v>
      </c>
      <c r="AJ37" s="248">
        <f ca="1">+AI37*$J$47</f>
        <v>6851.6965477148606</v>
      </c>
      <c r="AK37" s="246">
        <f t="shared" ref="AK37:AK39" ca="1" si="18">ROUND(+AJ37+AG37,5)</f>
        <v>674020.83270000003</v>
      </c>
    </row>
    <row r="38" spans="1:48" ht="15.6">
      <c r="A38" s="194"/>
      <c r="B38" s="194"/>
      <c r="C38" s="194"/>
      <c r="D38" s="225"/>
      <c r="E38" s="194"/>
      <c r="F38" s="250">
        <f t="shared" si="7"/>
        <v>32</v>
      </c>
      <c r="G38" s="210"/>
      <c r="H38" s="222" t="s">
        <v>813</v>
      </c>
      <c r="I38" s="210"/>
      <c r="J38" s="304">
        <f>+C10</f>
        <v>0.21</v>
      </c>
      <c r="K38" s="304">
        <f>+J38</f>
        <v>0.21</v>
      </c>
      <c r="L38" s="210"/>
      <c r="M38" s="210"/>
      <c r="N38" s="210"/>
      <c r="O38" s="194"/>
      <c r="P38" s="194"/>
      <c r="Q38" s="310"/>
      <c r="R38" s="251">
        <v>3</v>
      </c>
      <c r="S38" s="243">
        <f ca="1">AK33/Investment*100</f>
        <v>532.0014869855919</v>
      </c>
      <c r="T38" s="244">
        <f ca="1">EXP(y_inter3-(slope*LN(S38)))</f>
        <v>4.0850960248390296</v>
      </c>
      <c r="U38" s="245">
        <f ca="1">(+S38*T38/100)/100</f>
        <v>0.21732771596932945</v>
      </c>
      <c r="V38" s="245">
        <f>regDebt_weighted</f>
        <v>3.5860000000000003E-2</v>
      </c>
      <c r="W38" s="245">
        <f ca="1">+U38-V38</f>
        <v>0.18146771596932945</v>
      </c>
      <c r="X38" s="245">
        <f ca="1">+((W38*(1-0.34))-Pfd_weighted)/Equity_percent</f>
        <v>0.33017061784813206</v>
      </c>
      <c r="Y38" s="245">
        <f>+Y37</f>
        <v>2.5000000000000001E-3</v>
      </c>
      <c r="Z38" s="245">
        <f t="shared" ref="Z38:Z39" ca="1" si="19">+X38+Y38</f>
        <v>0.33267061784813207</v>
      </c>
      <c r="AA38" s="245">
        <f ca="1">Z38*equityP</f>
        <v>0.19960237070887923</v>
      </c>
      <c r="AB38" s="245">
        <f ca="1">+AA38/(1-taxrate)</f>
        <v>0.25266122874541674</v>
      </c>
      <c r="AC38" s="245">
        <f>debtP*Debt_Rate</f>
        <v>1.6572E-2</v>
      </c>
      <c r="AD38" s="245">
        <f ca="1">+AC38+AB38</f>
        <v>0.26923322874541672</v>
      </c>
      <c r="AE38" s="245">
        <f ca="1">+AD38/(S38/100)</f>
        <v>5.0607608311573814E-2</v>
      </c>
      <c r="AF38" s="245">
        <f ca="1">1-AE38</f>
        <v>0.94939239168842615</v>
      </c>
      <c r="AG38" s="246">
        <f ca="1">expenses/(AF38)</f>
        <v>666772.12642617547</v>
      </c>
      <c r="AH38" s="247">
        <f ca="1">+AG38-Revenue</f>
        <v>249402.99168927775</v>
      </c>
      <c r="AI38" s="248">
        <f ca="1">+AH38/$J$49</f>
        <v>269655.39395771368</v>
      </c>
      <c r="AJ38" s="248">
        <f ca="1">+AI38*$J$47</f>
        <v>6840.8070756251673</v>
      </c>
      <c r="AK38" s="246">
        <f t="shared" ca="1" si="18"/>
        <v>673612.93350000004</v>
      </c>
    </row>
    <row r="39" spans="1:48" ht="15.6">
      <c r="A39" s="194"/>
      <c r="B39" s="194"/>
      <c r="C39" s="194"/>
      <c r="D39" s="299"/>
      <c r="E39" s="194"/>
      <c r="F39" s="250">
        <f t="shared" si="7"/>
        <v>33</v>
      </c>
      <c r="G39" s="210"/>
      <c r="H39" s="210"/>
      <c r="I39" s="210"/>
      <c r="J39" s="210"/>
      <c r="K39" s="210"/>
      <c r="L39" s="210"/>
      <c r="M39" s="210"/>
      <c r="N39" s="210"/>
      <c r="O39" s="194"/>
      <c r="P39" s="194"/>
      <c r="R39" s="254">
        <v>4</v>
      </c>
      <c r="S39" s="243">
        <f ca="1">AK34/Investment*100</f>
        <v>531.79547896462202</v>
      </c>
      <c r="T39" s="260">
        <f ca="1">EXP(y_inter4-(slope*LN(S39)))</f>
        <v>4.0605158611051948</v>
      </c>
      <c r="U39" s="245">
        <f ca="1">(+S39*T39/100)/100</f>
        <v>0.21593639771998821</v>
      </c>
      <c r="V39" s="245">
        <f>regDebt_weighted</f>
        <v>3.5860000000000003E-2</v>
      </c>
      <c r="W39" s="245">
        <f ca="1">+U39-V39</f>
        <v>0.18007639771998821</v>
      </c>
      <c r="X39" s="245">
        <f ca="1">+((W39*(1-0.34))-Pfd_weighted)/Equity_percent</f>
        <v>0.32750122818369831</v>
      </c>
      <c r="Y39" s="245">
        <f>+Y38</f>
        <v>2.5000000000000001E-3</v>
      </c>
      <c r="Z39" s="245">
        <f t="shared" ca="1" si="19"/>
        <v>0.33000122818369831</v>
      </c>
      <c r="AA39" s="245">
        <f ca="1">Z39*equityP</f>
        <v>0.19800073691021899</v>
      </c>
      <c r="AB39" s="245">
        <f ca="1">+AA39/(1-taxrate)</f>
        <v>0.25063384419015061</v>
      </c>
      <c r="AC39" s="245">
        <f>debtP*Debt_Rate</f>
        <v>1.6572E-2</v>
      </c>
      <c r="AD39" s="245">
        <f ca="1">+AC39+AB39</f>
        <v>0.26720584419015059</v>
      </c>
      <c r="AE39" s="245">
        <f ca="1">+AD39/(S39/100)</f>
        <v>5.0245978907226971E-2</v>
      </c>
      <c r="AF39" s="245">
        <f ca="1">1-AE39</f>
        <v>0.94975402109277307</v>
      </c>
      <c r="AG39" s="246">
        <f ca="1">expenses/(AF39)</f>
        <v>666518.24552484788</v>
      </c>
      <c r="AH39" s="247">
        <f ca="1">+AG39-Revenue</f>
        <v>249149.11078795017</v>
      </c>
      <c r="AI39" s="248">
        <f ca="1">+AH39/$J$49</f>
        <v>269380.89703206683</v>
      </c>
      <c r="AJ39" s="248">
        <f ca="1">+AI39*$J$47</f>
        <v>6833.8434451795001</v>
      </c>
      <c r="AK39" s="246">
        <f t="shared" ca="1" si="18"/>
        <v>673352.08897000004</v>
      </c>
    </row>
    <row r="40" spans="1:48" ht="15.6">
      <c r="A40" s="194"/>
      <c r="B40" s="194"/>
      <c r="C40" s="194"/>
      <c r="D40" s="194"/>
      <c r="E40" s="194"/>
      <c r="F40" s="250">
        <f t="shared" si="7"/>
        <v>34</v>
      </c>
      <c r="G40" s="308"/>
      <c r="H40" s="210"/>
      <c r="I40" s="210"/>
      <c r="J40" s="210"/>
      <c r="K40" s="210"/>
      <c r="L40" s="210"/>
      <c r="M40" s="210"/>
      <c r="N40" s="210"/>
      <c r="O40" s="194"/>
      <c r="P40" s="194"/>
      <c r="X40" s="292"/>
      <c r="Y40" s="292"/>
      <c r="Z40" s="292"/>
      <c r="AA40" s="307"/>
      <c r="AB40" s="244"/>
      <c r="AC40" s="292"/>
      <c r="AE40" s="292"/>
      <c r="AF40" s="292"/>
      <c r="AG40" s="244"/>
      <c r="AH40" s="291"/>
      <c r="AJ40" s="244"/>
    </row>
    <row r="41" spans="1:48" ht="15.6">
      <c r="A41" s="194"/>
      <c r="B41" s="194"/>
      <c r="C41" s="194"/>
      <c r="D41" s="194"/>
      <c r="E41" s="194"/>
      <c r="F41" s="250">
        <f t="shared" si="7"/>
        <v>35</v>
      </c>
      <c r="G41" s="210"/>
      <c r="H41" s="301" t="s">
        <v>814</v>
      </c>
      <c r="I41" s="311"/>
      <c r="J41" s="210"/>
      <c r="K41" s="210"/>
      <c r="L41" s="210"/>
      <c r="M41" s="210"/>
      <c r="N41" s="210"/>
      <c r="O41" s="194"/>
      <c r="P41" s="194"/>
      <c r="R41" s="312" t="s">
        <v>815</v>
      </c>
      <c r="S41" s="313"/>
      <c r="T41" s="269"/>
      <c r="U41" s="269"/>
      <c r="V41" s="270"/>
      <c r="X41" s="314"/>
      <c r="Y41" s="314"/>
      <c r="Z41" s="314"/>
      <c r="AA41" s="307"/>
      <c r="AB41" s="244"/>
      <c r="AC41" s="292"/>
      <c r="AE41" s="292"/>
      <c r="AF41" s="292"/>
      <c r="AG41" s="244"/>
      <c r="AH41" s="291"/>
      <c r="AJ41" s="244"/>
    </row>
    <row r="42" spans="1:48" ht="15.6">
      <c r="A42" s="194"/>
      <c r="B42" s="194"/>
      <c r="C42" s="194"/>
      <c r="D42" s="194"/>
      <c r="E42" s="194"/>
      <c r="F42" s="250">
        <f t="shared" si="7"/>
        <v>36</v>
      </c>
      <c r="G42" s="210"/>
      <c r="H42" s="210"/>
      <c r="I42" s="210"/>
      <c r="J42" s="315" t="s">
        <v>816</v>
      </c>
      <c r="K42" s="316" t="s">
        <v>756</v>
      </c>
      <c r="L42" s="210"/>
      <c r="M42" s="210"/>
      <c r="N42" s="210"/>
      <c r="O42" s="194"/>
      <c r="P42" s="194"/>
      <c r="R42" s="317" t="s">
        <v>817</v>
      </c>
      <c r="S42" s="318"/>
      <c r="V42" s="319"/>
      <c r="X42" s="292"/>
      <c r="Y42" s="292"/>
      <c r="Z42" s="292"/>
      <c r="AA42" s="307"/>
      <c r="AB42" s="244"/>
      <c r="AC42" s="292"/>
      <c r="AE42" s="292"/>
      <c r="AF42" s="292"/>
      <c r="AG42" s="244"/>
      <c r="AJ42" s="244"/>
    </row>
    <row r="43" spans="1:48" ht="15.6">
      <c r="A43" s="194"/>
      <c r="B43" s="194"/>
      <c r="C43" s="194"/>
      <c r="D43" s="194"/>
      <c r="E43" s="194"/>
      <c r="F43" s="250">
        <f t="shared" si="7"/>
        <v>37</v>
      </c>
      <c r="G43" s="210"/>
      <c r="H43" s="222" t="s">
        <v>818</v>
      </c>
      <c r="I43" s="320"/>
      <c r="J43" s="321">
        <f>IF(A64=TRUE,C11,0)</f>
        <v>1.7500000000000002E-2</v>
      </c>
      <c r="K43" s="322">
        <f ca="1">+J43*($J$7/$J$49)</f>
        <v>4714.1659781398757</v>
      </c>
      <c r="L43" s="210"/>
      <c r="M43" s="210"/>
      <c r="N43" s="210"/>
      <c r="O43" s="194"/>
      <c r="P43" s="194"/>
      <c r="R43" s="251">
        <v>0</v>
      </c>
      <c r="S43" s="323">
        <v>1</v>
      </c>
      <c r="U43" s="324" t="s">
        <v>811</v>
      </c>
      <c r="V43" s="325">
        <f ca="1">VLOOKUP(R48,R36:AG39,14)</f>
        <v>5.0245978907226971E-2</v>
      </c>
      <c r="AC43" s="292"/>
      <c r="AE43" s="292"/>
      <c r="AJ43" s="244"/>
      <c r="AN43" s="292"/>
      <c r="AO43" s="292"/>
      <c r="AP43" s="292"/>
      <c r="AQ43" s="292"/>
      <c r="AR43" s="292"/>
      <c r="AS43" s="292"/>
      <c r="AT43" s="292"/>
      <c r="AU43" s="292"/>
      <c r="AV43" s="292"/>
    </row>
    <row r="44" spans="1:48" ht="15.6">
      <c r="A44" s="194"/>
      <c r="B44" s="194"/>
      <c r="C44" s="194"/>
      <c r="D44" s="194"/>
      <c r="E44" s="194"/>
      <c r="F44" s="250">
        <f t="shared" si="7"/>
        <v>38</v>
      </c>
      <c r="G44" s="210"/>
      <c r="H44" s="222" t="s">
        <v>819</v>
      </c>
      <c r="I44" s="320"/>
      <c r="J44" s="321">
        <f>IF(A64=TRUE,C12,0)</f>
        <v>5.1000000000000004E-3</v>
      </c>
      <c r="K44" s="322">
        <f ca="1">+J44*($J$7/$J$49)</f>
        <v>1373.8426564864781</v>
      </c>
      <c r="L44" s="210"/>
      <c r="M44" s="210"/>
      <c r="N44" s="210"/>
      <c r="O44" s="194"/>
      <c r="P44" s="194"/>
      <c r="R44" s="251">
        <v>50</v>
      </c>
      <c r="S44" s="323">
        <v>2</v>
      </c>
      <c r="U44" s="324" t="s">
        <v>755</v>
      </c>
      <c r="V44" s="325">
        <f ca="1">ROUND(1-V43,6)</f>
        <v>0.94975399999999999</v>
      </c>
      <c r="AA44" s="326"/>
      <c r="AB44" s="213"/>
      <c r="AC44" s="213"/>
      <c r="AE44" s="292"/>
      <c r="AH44" s="291"/>
      <c r="AJ44" s="244"/>
      <c r="AN44" s="292"/>
      <c r="AO44" s="292"/>
      <c r="AP44" s="292"/>
      <c r="AQ44" s="292"/>
      <c r="AR44" s="292"/>
      <c r="AS44" s="292"/>
      <c r="AT44" s="292"/>
      <c r="AU44" s="292"/>
      <c r="AV44" s="292"/>
    </row>
    <row r="45" spans="1:48" ht="15.6">
      <c r="A45" s="194"/>
      <c r="B45" s="194"/>
      <c r="C45" s="194"/>
      <c r="D45" s="194"/>
      <c r="E45" s="194"/>
      <c r="F45" s="250">
        <f t="shared" si="7"/>
        <v>39</v>
      </c>
      <c r="G45" s="210"/>
      <c r="H45" s="222" t="s">
        <v>820</v>
      </c>
      <c r="I45" s="320"/>
      <c r="J45" s="321">
        <f>IF(A64=TRUE,C13,0)</f>
        <v>0</v>
      </c>
      <c r="K45" s="322">
        <f ca="1">+J45*($J$7/$J$49)</f>
        <v>0</v>
      </c>
      <c r="L45" s="210"/>
      <c r="M45" s="210"/>
      <c r="N45" s="210"/>
      <c r="O45" s="194"/>
      <c r="P45" s="194"/>
      <c r="R45" s="251">
        <v>125</v>
      </c>
      <c r="S45" s="323">
        <v>3</v>
      </c>
      <c r="U45" s="204" t="s">
        <v>821</v>
      </c>
      <c r="V45" s="327">
        <f ca="1">+M7/Revenue-1</f>
        <v>0.61332510752860014</v>
      </c>
      <c r="W45" s="248"/>
      <c r="X45" s="292"/>
      <c r="Y45" s="292"/>
      <c r="Z45" s="292"/>
      <c r="AA45" s="326"/>
      <c r="AB45" s="244"/>
      <c r="AC45" s="292"/>
      <c r="AE45" s="292"/>
      <c r="AF45" s="292"/>
      <c r="AG45" s="244"/>
      <c r="AH45" s="291"/>
      <c r="AJ45" s="244"/>
      <c r="AN45" s="292"/>
      <c r="AO45" s="292"/>
      <c r="AP45" s="292"/>
      <c r="AQ45" s="292"/>
      <c r="AR45" s="292"/>
      <c r="AS45" s="292"/>
      <c r="AT45" s="292"/>
      <c r="AU45" s="292"/>
      <c r="AV45" s="292"/>
    </row>
    <row r="46" spans="1:48" ht="15.6">
      <c r="A46" s="194"/>
      <c r="B46" s="194"/>
      <c r="C46" s="194"/>
      <c r="D46" s="194"/>
      <c r="E46" s="194"/>
      <c r="F46" s="250">
        <f t="shared" si="7"/>
        <v>40</v>
      </c>
      <c r="G46" s="210"/>
      <c r="H46" s="222" t="s">
        <v>822</v>
      </c>
      <c r="I46" s="320"/>
      <c r="J46" s="321">
        <f>IF(A64=TRUE,C14,0)</f>
        <v>2.7687010492284665E-3</v>
      </c>
      <c r="K46" s="322">
        <f ca="1">+J46*($J$7/$J$49)</f>
        <v>745.83521656645792</v>
      </c>
      <c r="L46" s="210"/>
      <c r="M46" s="210"/>
      <c r="N46" s="210"/>
      <c r="O46" s="194"/>
      <c r="P46" s="194"/>
      <c r="R46" s="254">
        <v>401</v>
      </c>
      <c r="S46" s="328">
        <v>4</v>
      </c>
      <c r="T46" s="279"/>
      <c r="U46" s="279"/>
      <c r="V46" s="282"/>
      <c r="X46" s="292"/>
      <c r="Y46" s="292"/>
      <c r="Z46" s="292"/>
      <c r="AA46" s="307"/>
      <c r="AB46" s="244"/>
      <c r="AC46" s="292"/>
      <c r="AE46" s="292"/>
      <c r="AF46" s="292"/>
      <c r="AG46" s="244"/>
      <c r="AH46" s="291"/>
      <c r="AJ46" s="244"/>
      <c r="AN46" s="292"/>
      <c r="AO46" s="292"/>
      <c r="AP46" s="292"/>
      <c r="AQ46" s="292"/>
      <c r="AR46" s="292"/>
      <c r="AS46" s="292"/>
      <c r="AT46" s="292"/>
      <c r="AU46" s="292"/>
      <c r="AV46" s="292"/>
    </row>
    <row r="47" spans="1:48" ht="16.2" thickBot="1">
      <c r="A47" s="194"/>
      <c r="B47" s="194"/>
      <c r="C47" s="194"/>
      <c r="D47" s="194"/>
      <c r="E47" s="194"/>
      <c r="F47" s="250">
        <f t="shared" si="7"/>
        <v>41</v>
      </c>
      <c r="G47" s="210"/>
      <c r="H47" s="222" t="s">
        <v>823</v>
      </c>
      <c r="I47" s="308"/>
      <c r="J47" s="329">
        <f>SUM(J43:J46)</f>
        <v>2.5368701049228469E-2</v>
      </c>
      <c r="K47" s="296">
        <f ca="1">+K43+K44+K45+K46</f>
        <v>6833.8438511928125</v>
      </c>
      <c r="L47" s="210"/>
      <c r="M47" s="210"/>
      <c r="N47" s="210"/>
      <c r="O47" s="194"/>
      <c r="P47" s="194"/>
      <c r="R47" s="233">
        <f ca="1">VLOOKUP(R48,R36:S39,2)</f>
        <v>531.79547896462202</v>
      </c>
      <c r="S47" s="330" t="s">
        <v>824</v>
      </c>
      <c r="T47" s="270"/>
      <c r="X47" s="204" t="s">
        <v>825</v>
      </c>
      <c r="AE47" s="292"/>
      <c r="AH47" s="291"/>
      <c r="AJ47" s="244"/>
    </row>
    <row r="48" spans="1:48" ht="16.2" thickTop="1">
      <c r="A48" s="194"/>
      <c r="B48" s="194"/>
      <c r="C48" s="194"/>
      <c r="D48" s="194"/>
      <c r="E48" s="194"/>
      <c r="F48" s="250">
        <f t="shared" si="7"/>
        <v>42</v>
      </c>
      <c r="G48" s="210"/>
      <c r="H48" s="210"/>
      <c r="I48" s="210"/>
      <c r="J48" s="331"/>
      <c r="K48" s="210"/>
      <c r="L48" s="210"/>
      <c r="M48" s="210"/>
      <c r="N48" s="210"/>
      <c r="O48" s="194"/>
      <c r="P48" s="194"/>
      <c r="R48" s="251">
        <f ca="1">VLOOKUP(S36,R43:S46,2)</f>
        <v>4</v>
      </c>
      <c r="S48" s="332" t="s">
        <v>826</v>
      </c>
      <c r="T48" s="319"/>
      <c r="X48" s="204" t="s">
        <v>827</v>
      </c>
      <c r="AC48" s="213"/>
      <c r="AE48" s="292"/>
      <c r="AJ48" s="244"/>
    </row>
    <row r="49" spans="1:48" ht="15.6">
      <c r="A49" s="194"/>
      <c r="B49" s="194"/>
      <c r="C49" s="194"/>
      <c r="D49" s="194"/>
      <c r="E49" s="194"/>
      <c r="F49" s="250">
        <f t="shared" si="7"/>
        <v>43</v>
      </c>
      <c r="G49" s="216"/>
      <c r="H49" s="222" t="s">
        <v>828</v>
      </c>
      <c r="I49" s="210"/>
      <c r="J49" s="304">
        <f ca="1">((K35)-J47)</f>
        <v>0.92489524510823684</v>
      </c>
      <c r="K49" s="210"/>
      <c r="L49" s="210"/>
      <c r="M49" s="210"/>
      <c r="N49" s="210"/>
      <c r="O49" s="194"/>
      <c r="P49" s="194"/>
      <c r="R49" s="251"/>
      <c r="S49" s="332"/>
      <c r="T49" s="319"/>
      <c r="X49" s="204" t="s">
        <v>829</v>
      </c>
      <c r="AC49" s="292"/>
      <c r="AE49" s="292"/>
      <c r="AF49" s="292"/>
      <c r="AG49" s="244"/>
      <c r="AJ49" s="244"/>
    </row>
    <row r="50" spans="1:48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333"/>
      <c r="L50" s="194"/>
      <c r="M50" s="194"/>
      <c r="N50" s="334"/>
      <c r="O50" s="194"/>
      <c r="P50" s="194"/>
      <c r="R50" s="335">
        <f ca="1">+V44</f>
        <v>0.94975399999999999</v>
      </c>
      <c r="S50" s="336" t="s">
        <v>755</v>
      </c>
      <c r="T50" s="337"/>
      <c r="X50" s="204" t="s">
        <v>830</v>
      </c>
      <c r="AC50" s="292"/>
      <c r="AE50" s="292"/>
      <c r="AF50" s="292"/>
      <c r="AG50" s="244"/>
      <c r="AH50" s="292"/>
      <c r="AJ50" s="244"/>
      <c r="AN50" s="292"/>
      <c r="AO50" s="292"/>
      <c r="AP50" s="292"/>
      <c r="AQ50" s="292"/>
      <c r="AR50" s="292"/>
      <c r="AS50" s="292"/>
      <c r="AT50" s="292"/>
      <c r="AU50" s="292"/>
      <c r="AV50" s="292"/>
    </row>
    <row r="51" spans="1:48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R51" s="204"/>
      <c r="AB51" s="244"/>
      <c r="AC51" s="292"/>
      <c r="AE51" s="292"/>
      <c r="AF51" s="292"/>
      <c r="AG51" s="244"/>
      <c r="AH51" s="291"/>
      <c r="AJ51" s="244"/>
      <c r="AN51" s="292"/>
      <c r="AO51" s="292"/>
      <c r="AP51" s="292"/>
      <c r="AQ51" s="292"/>
      <c r="AR51" s="292"/>
      <c r="AS51" s="292"/>
      <c r="AT51" s="292"/>
      <c r="AU51" s="292"/>
      <c r="AV51" s="292"/>
    </row>
    <row r="52" spans="1:48">
      <c r="A52" s="194"/>
      <c r="B52" s="194"/>
      <c r="C52" s="194"/>
      <c r="D52" s="194"/>
      <c r="E52" s="194"/>
      <c r="F52" s="194"/>
      <c r="G52" s="194"/>
      <c r="H52" s="194"/>
      <c r="I52" s="194"/>
      <c r="J52" s="338"/>
      <c r="K52" s="338"/>
      <c r="L52" s="338"/>
      <c r="M52" s="338"/>
      <c r="N52" s="194"/>
      <c r="O52" s="194"/>
      <c r="P52" s="194"/>
      <c r="R52" s="204"/>
      <c r="AB52" s="244"/>
      <c r="AC52" s="292"/>
      <c r="AE52" s="292"/>
      <c r="AF52" s="292"/>
      <c r="AG52" s="244"/>
      <c r="AH52" s="291"/>
      <c r="AJ52" s="244"/>
      <c r="AN52" s="292"/>
      <c r="AO52" s="292"/>
      <c r="AP52" s="292"/>
      <c r="AQ52" s="292"/>
      <c r="AR52" s="292"/>
      <c r="AS52" s="292"/>
      <c r="AT52" s="292"/>
      <c r="AU52" s="292"/>
      <c r="AV52" s="292"/>
    </row>
    <row r="53" spans="1:48" ht="15.6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338"/>
      <c r="L53" s="338"/>
      <c r="M53" s="338"/>
      <c r="N53" s="194"/>
      <c r="O53" s="194"/>
      <c r="P53" s="194"/>
      <c r="R53" s="204"/>
      <c r="S53" s="204" t="s">
        <v>831</v>
      </c>
      <c r="T53" s="292"/>
      <c r="U53" s="339"/>
      <c r="W53" s="340" t="s">
        <v>832</v>
      </c>
      <c r="X53" s="341"/>
      <c r="Y53" s="341"/>
      <c r="Z53" s="341"/>
      <c r="AA53" s="341"/>
      <c r="AB53" s="341"/>
      <c r="AE53" s="292"/>
      <c r="AH53" s="291"/>
      <c r="AJ53" s="244"/>
      <c r="AN53" s="292"/>
      <c r="AO53" s="292"/>
      <c r="AP53" s="292"/>
      <c r="AQ53" s="292"/>
      <c r="AR53" s="292"/>
      <c r="AS53" s="292"/>
      <c r="AT53" s="292"/>
      <c r="AU53" s="292"/>
      <c r="AV53" s="292"/>
    </row>
    <row r="54" spans="1:48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342"/>
      <c r="M54" s="342"/>
      <c r="N54" s="194"/>
      <c r="O54" s="194"/>
      <c r="P54" s="194"/>
      <c r="R54" s="343"/>
      <c r="S54" s="344" t="s">
        <v>796</v>
      </c>
      <c r="T54" s="344" t="s">
        <v>833</v>
      </c>
      <c r="U54" s="345" t="s">
        <v>799</v>
      </c>
      <c r="W54" s="346" t="s">
        <v>834</v>
      </c>
      <c r="X54" s="347">
        <v>5.7225999999999999</v>
      </c>
      <c r="Y54" s="348" t="s">
        <v>835</v>
      </c>
      <c r="Z54" s="349">
        <v>5.6985000000000001</v>
      </c>
      <c r="AC54" s="213"/>
      <c r="AE54" s="292"/>
      <c r="AJ54" s="244"/>
    </row>
    <row r="55" spans="1:48">
      <c r="A55" s="194"/>
      <c r="B55" s="194"/>
      <c r="C55" s="194"/>
      <c r="D55" s="194"/>
      <c r="E55" s="194"/>
      <c r="F55" s="194"/>
      <c r="G55" s="194"/>
      <c r="H55" s="194"/>
      <c r="I55" s="194"/>
      <c r="J55" s="342"/>
      <c r="K55" s="194"/>
      <c r="L55" s="342"/>
      <c r="M55" s="342"/>
      <c r="N55" s="194"/>
      <c r="O55" s="194"/>
      <c r="P55" s="194"/>
      <c r="R55" s="205" t="s">
        <v>753</v>
      </c>
      <c r="S55" s="326">
        <v>0.56200000000000006</v>
      </c>
      <c r="T55" s="326">
        <v>6.3799999999999996E-2</v>
      </c>
      <c r="U55" s="350">
        <f>ROUND(+S55*T55,5)</f>
        <v>3.5860000000000003E-2</v>
      </c>
      <c r="W55" s="351" t="s">
        <v>836</v>
      </c>
      <c r="X55" s="352">
        <v>5.7082699999999997</v>
      </c>
      <c r="Y55" s="353" t="s">
        <v>837</v>
      </c>
      <c r="Z55" s="354">
        <v>5.6921999999999997</v>
      </c>
      <c r="AC55" s="292"/>
      <c r="AE55" s="292"/>
      <c r="AF55" s="292"/>
      <c r="AG55" s="244"/>
      <c r="AJ55" s="244"/>
    </row>
    <row r="56" spans="1:48" ht="15.6">
      <c r="A56" s="194"/>
      <c r="B56" s="194"/>
      <c r="C56" s="194"/>
      <c r="D56" s="194"/>
      <c r="E56" s="338"/>
      <c r="F56" s="194"/>
      <c r="G56" s="194"/>
      <c r="H56" s="194"/>
      <c r="I56" s="194"/>
      <c r="J56" s="342"/>
      <c r="K56" s="194"/>
      <c r="L56" s="342"/>
      <c r="M56" s="342"/>
      <c r="N56" s="194"/>
      <c r="O56" s="194"/>
      <c r="P56" s="194"/>
      <c r="R56" s="205" t="s">
        <v>838</v>
      </c>
      <c r="S56" s="326">
        <v>9.4E-2</v>
      </c>
      <c r="T56" s="326">
        <v>6.59E-2</v>
      </c>
      <c r="U56" s="350">
        <f>ROUND(+S56*T56,5)</f>
        <v>6.1900000000000002E-3</v>
      </c>
      <c r="W56" s="205"/>
      <c r="Y56" s="355"/>
      <c r="Z56" s="356"/>
      <c r="AC56" s="292"/>
      <c r="AE56" s="292"/>
      <c r="AF56" s="292"/>
      <c r="AG56" s="244"/>
      <c r="AH56" s="291"/>
      <c r="AJ56" s="244"/>
      <c r="AN56" s="292"/>
    </row>
    <row r="57" spans="1:48">
      <c r="A57" s="194"/>
      <c r="B57" s="194"/>
      <c r="C57" s="194"/>
      <c r="D57" s="194"/>
      <c r="E57" s="338"/>
      <c r="F57" s="338"/>
      <c r="G57" s="338"/>
      <c r="H57" s="357"/>
      <c r="I57" s="338"/>
      <c r="J57" s="342"/>
      <c r="K57" s="194"/>
      <c r="L57" s="194"/>
      <c r="M57" s="194"/>
      <c r="N57" s="194"/>
      <c r="O57" s="194"/>
      <c r="P57" s="194"/>
      <c r="R57" s="205" t="s">
        <v>751</v>
      </c>
      <c r="S57" s="358">
        <v>0.34399999999999997</v>
      </c>
      <c r="T57" s="359"/>
      <c r="U57" s="360"/>
      <c r="W57" s="278"/>
      <c r="X57" s="361" t="s">
        <v>839</v>
      </c>
      <c r="Y57" s="362">
        <v>0.68367</v>
      </c>
      <c r="Z57" s="363"/>
      <c r="AC57" s="292"/>
      <c r="AE57" s="292"/>
      <c r="AF57" s="292"/>
      <c r="AG57" s="244"/>
      <c r="AH57" s="291"/>
      <c r="AJ57" s="244"/>
    </row>
    <row r="58" spans="1:48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R58" s="278"/>
      <c r="S58" s="358">
        <f>SUM(S55:S57)</f>
        <v>1</v>
      </c>
      <c r="T58" s="364"/>
      <c r="U58" s="365"/>
      <c r="X58" s="292"/>
      <c r="Y58" s="292"/>
      <c r="Z58" s="292"/>
      <c r="AA58" s="307"/>
      <c r="AB58" s="244"/>
      <c r="AC58" s="292"/>
      <c r="AE58" s="292"/>
      <c r="AF58" s="292"/>
      <c r="AG58" s="244"/>
      <c r="AH58" s="291"/>
      <c r="AJ58" s="244"/>
    </row>
    <row r="59" spans="1:48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X59" s="366"/>
      <c r="Y59" s="366"/>
      <c r="Z59" s="366"/>
      <c r="AE59" s="292"/>
      <c r="AH59" s="291"/>
      <c r="AJ59" s="244"/>
      <c r="AN59" s="291"/>
      <c r="AO59" s="291"/>
      <c r="AP59" s="291"/>
      <c r="AQ59" s="291"/>
      <c r="AR59" s="291"/>
      <c r="AS59" s="291"/>
      <c r="AT59" s="291"/>
      <c r="AU59" s="291"/>
      <c r="AV59" s="291"/>
    </row>
    <row r="60" spans="1:48">
      <c r="A60" s="194"/>
      <c r="B60" s="194"/>
      <c r="C60" s="194"/>
      <c r="D60" s="194"/>
      <c r="E60" s="338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R60" s="204"/>
      <c r="S60" s="367"/>
      <c r="W60" s="343"/>
      <c r="X60" s="368" t="s">
        <v>806</v>
      </c>
      <c r="Y60" s="368" t="s">
        <v>840</v>
      </c>
      <c r="Z60" s="369" t="s">
        <v>733</v>
      </c>
      <c r="AE60" s="292"/>
      <c r="AJ60" s="244"/>
      <c r="AN60" s="291"/>
      <c r="AO60" s="291"/>
      <c r="AP60" s="291"/>
      <c r="AQ60" s="291"/>
      <c r="AR60" s="291"/>
      <c r="AS60" s="291"/>
      <c r="AT60" s="291"/>
      <c r="AU60" s="291"/>
      <c r="AV60" s="291"/>
    </row>
    <row r="61" spans="1:48">
      <c r="A61" s="194"/>
      <c r="B61" s="194"/>
      <c r="C61" s="194"/>
      <c r="D61" s="194"/>
      <c r="E61" s="194"/>
      <c r="F61" s="338"/>
      <c r="G61" s="338"/>
      <c r="H61" s="338"/>
      <c r="I61" s="338"/>
      <c r="J61" s="338"/>
      <c r="K61" s="338"/>
      <c r="L61" s="338"/>
      <c r="M61" s="338"/>
      <c r="N61" s="338"/>
      <c r="O61" s="194"/>
      <c r="P61" s="194"/>
      <c r="R61" s="204"/>
      <c r="W61" s="205"/>
      <c r="X61" s="370"/>
      <c r="Y61" s="370"/>
      <c r="Z61" s="371"/>
      <c r="AE61" s="292"/>
      <c r="AF61" s="292"/>
      <c r="AG61" s="244"/>
      <c r="AJ61" s="244"/>
      <c r="AN61" s="291"/>
      <c r="AO61" s="291"/>
      <c r="AP61" s="291"/>
      <c r="AQ61" s="291"/>
      <c r="AR61" s="291"/>
      <c r="AS61" s="291"/>
      <c r="AT61" s="291"/>
      <c r="AU61" s="291"/>
      <c r="AV61" s="291"/>
    </row>
    <row r="62" spans="1:48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R62" s="204"/>
      <c r="S62" s="367"/>
      <c r="W62" s="205"/>
      <c r="X62" s="324" t="s">
        <v>808</v>
      </c>
      <c r="Y62" s="325">
        <f t="shared" ref="Y62:Z67" ca="1" si="20">+J33</f>
        <v>0.26449409197927026</v>
      </c>
      <c r="Z62" s="325">
        <f t="shared" ca="1" si="20"/>
        <v>0.21243045266362351</v>
      </c>
      <c r="AE62" s="292"/>
      <c r="AF62" s="292"/>
      <c r="AG62" s="244"/>
      <c r="AH62" s="291"/>
      <c r="AJ62" s="244"/>
      <c r="AN62" s="291"/>
      <c r="AO62" s="291"/>
      <c r="AP62" s="291"/>
      <c r="AQ62" s="291"/>
      <c r="AR62" s="291"/>
      <c r="AS62" s="291"/>
      <c r="AT62" s="291"/>
      <c r="AU62" s="291"/>
      <c r="AV62" s="291"/>
    </row>
    <row r="63" spans="1:48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R63" s="204"/>
      <c r="W63" s="205"/>
      <c r="X63" s="324" t="s">
        <v>809</v>
      </c>
      <c r="Y63" s="325">
        <f t="shared" ca="1" si="20"/>
        <v>0.41320348663211709</v>
      </c>
      <c r="Z63" s="325">
        <f t="shared" ca="1" si="20"/>
        <v>0.32643075443937253</v>
      </c>
      <c r="AE63" s="292"/>
      <c r="AF63" s="292"/>
      <c r="AG63" s="244"/>
      <c r="AH63" s="291"/>
      <c r="AJ63" s="244"/>
    </row>
    <row r="64" spans="1:48">
      <c r="A64" s="204" t="b">
        <v>1</v>
      </c>
      <c r="B64" s="194"/>
      <c r="C64" s="194"/>
      <c r="F64" s="194"/>
      <c r="G64" s="194"/>
      <c r="H64" s="194"/>
      <c r="I64" s="194"/>
      <c r="J64" s="194"/>
      <c r="K64" s="194"/>
      <c r="L64" s="194"/>
      <c r="M64" s="194"/>
      <c r="N64" s="194"/>
      <c r="R64" s="204"/>
      <c r="S64" s="367"/>
      <c r="W64" s="205"/>
      <c r="X64" s="324" t="s">
        <v>755</v>
      </c>
      <c r="Y64" s="325">
        <f t="shared" ca="1" si="20"/>
        <v>0.9497540000000001</v>
      </c>
      <c r="Z64" s="325">
        <f t="shared" ca="1" si="20"/>
        <v>0.95026394615746534</v>
      </c>
      <c r="AE64" s="292"/>
      <c r="AF64" s="292"/>
      <c r="AG64" s="244"/>
      <c r="AH64" s="291"/>
      <c r="AJ64" s="244"/>
    </row>
    <row r="65" spans="8:40">
      <c r="H65" s="291"/>
      <c r="I65" s="291"/>
      <c r="J65" s="291"/>
      <c r="K65" s="291"/>
      <c r="L65" s="291"/>
      <c r="M65" s="291"/>
      <c r="N65" s="291"/>
      <c r="O65" s="291"/>
      <c r="R65" s="204"/>
      <c r="W65" s="205"/>
      <c r="X65" s="324" t="s">
        <v>811</v>
      </c>
      <c r="Y65" s="325">
        <f t="shared" ca="1" si="20"/>
        <v>5.0245999999999943E-2</v>
      </c>
      <c r="Z65" s="325">
        <f t="shared" ca="1" si="20"/>
        <v>5.0245999999999943E-2</v>
      </c>
      <c r="AE65" s="292"/>
      <c r="AH65" s="291"/>
      <c r="AJ65" s="244"/>
      <c r="AN65" s="291"/>
    </row>
    <row r="66" spans="8:40">
      <c r="H66" s="291"/>
      <c r="I66" s="291"/>
      <c r="J66" s="291"/>
      <c r="K66" s="291"/>
      <c r="L66" s="291"/>
      <c r="M66" s="291"/>
      <c r="N66" s="291"/>
      <c r="O66" s="291"/>
      <c r="R66" s="204"/>
      <c r="S66" s="367"/>
      <c r="W66" s="205"/>
      <c r="X66" s="324" t="s">
        <v>812</v>
      </c>
      <c r="Y66" s="325">
        <f t="shared" ca="1" si="20"/>
        <v>5.3179547896462198</v>
      </c>
      <c r="Z66" s="325">
        <f t="shared" ca="1" si="20"/>
        <v>5.3179547896462198</v>
      </c>
      <c r="AE66" s="292"/>
      <c r="AJ66" s="244"/>
    </row>
    <row r="67" spans="8:40">
      <c r="O67" s="291"/>
      <c r="W67" s="278"/>
      <c r="X67" s="373" t="s">
        <v>813</v>
      </c>
      <c r="Y67" s="374">
        <f t="shared" si="20"/>
        <v>0.21</v>
      </c>
      <c r="Z67" s="374">
        <f t="shared" si="20"/>
        <v>0.21</v>
      </c>
      <c r="AE67" s="292"/>
      <c r="AF67" s="292"/>
      <c r="AG67" s="244"/>
      <c r="AJ67" s="244"/>
    </row>
    <row r="68" spans="8:40">
      <c r="O68" s="291"/>
      <c r="W68" s="324"/>
      <c r="AE68" s="292"/>
      <c r="AF68" s="292"/>
      <c r="AG68" s="244"/>
      <c r="AH68" s="291"/>
      <c r="AJ68" s="244"/>
    </row>
    <row r="69" spans="8:40">
      <c r="O69" s="291"/>
      <c r="X69" s="292"/>
      <c r="Y69" s="292"/>
      <c r="Z69" s="292"/>
      <c r="AA69" s="307"/>
      <c r="AB69" s="244"/>
      <c r="AC69" s="292"/>
      <c r="AE69" s="292"/>
      <c r="AF69" s="292"/>
      <c r="AG69" s="244"/>
      <c r="AH69" s="291"/>
      <c r="AJ69" s="244"/>
    </row>
    <row r="70" spans="8:40">
      <c r="X70" s="292"/>
      <c r="Y70" s="292"/>
      <c r="Z70" s="292"/>
      <c r="AA70" s="307"/>
      <c r="AB70" s="244"/>
      <c r="AC70" s="292"/>
      <c r="AE70" s="292"/>
      <c r="AF70" s="292"/>
      <c r="AG70" s="244"/>
      <c r="AH70" s="291"/>
      <c r="AJ70" s="244"/>
    </row>
    <row r="71" spans="8:40">
      <c r="AE71" s="292"/>
      <c r="AH71" s="291"/>
      <c r="AJ71" s="244"/>
    </row>
    <row r="72" spans="8:40">
      <c r="AA72" s="213"/>
      <c r="AB72" s="213"/>
      <c r="AC72" s="213"/>
      <c r="AE72" s="292"/>
      <c r="AJ72" s="244"/>
    </row>
    <row r="73" spans="8:40">
      <c r="X73" s="292"/>
      <c r="Y73" s="292"/>
      <c r="Z73" s="292"/>
      <c r="AA73" s="307"/>
      <c r="AB73" s="244"/>
      <c r="AC73" s="292"/>
      <c r="AE73" s="292"/>
      <c r="AF73" s="292"/>
      <c r="AG73" s="244"/>
      <c r="AJ73" s="244"/>
    </row>
    <row r="74" spans="8:40">
      <c r="X74" s="292"/>
      <c r="Y74" s="292"/>
      <c r="Z74" s="292"/>
      <c r="AA74" s="307"/>
      <c r="AB74" s="244"/>
      <c r="AC74" s="292"/>
      <c r="AE74" s="292"/>
      <c r="AF74" s="292"/>
      <c r="AG74" s="244"/>
      <c r="AH74" s="291"/>
      <c r="AJ74" s="244"/>
    </row>
    <row r="75" spans="8:40">
      <c r="X75" s="292"/>
      <c r="Y75" s="292"/>
      <c r="Z75" s="292"/>
      <c r="AA75" s="307"/>
      <c r="AB75" s="244"/>
      <c r="AC75" s="292"/>
      <c r="AE75" s="292"/>
      <c r="AF75" s="292"/>
      <c r="AG75" s="244"/>
      <c r="AH75" s="291"/>
      <c r="AJ75" s="244"/>
    </row>
    <row r="76" spans="8:40">
      <c r="X76" s="292"/>
      <c r="Y76" s="292"/>
      <c r="Z76" s="292"/>
      <c r="AA76" s="307"/>
      <c r="AB76" s="244"/>
      <c r="AC76" s="292"/>
      <c r="AE76" s="292"/>
      <c r="AF76" s="292"/>
      <c r="AG76" s="244"/>
      <c r="AH76" s="291"/>
      <c r="AJ76" s="244"/>
    </row>
    <row r="77" spans="8:40">
      <c r="AE77" s="292"/>
      <c r="AH77" s="291"/>
      <c r="AJ77" s="244"/>
    </row>
    <row r="79" spans="8:40">
      <c r="X79" s="292"/>
      <c r="Y79" s="292"/>
      <c r="Z79" s="292"/>
      <c r="AA79" s="307"/>
      <c r="AB79" s="244"/>
      <c r="AC79" s="292"/>
      <c r="AF79" s="292"/>
      <c r="AG79" s="244"/>
    </row>
    <row r="80" spans="8:40">
      <c r="X80" s="292"/>
      <c r="Y80" s="292"/>
      <c r="Z80" s="292"/>
      <c r="AA80" s="307"/>
      <c r="AB80" s="244"/>
      <c r="AC80" s="292"/>
      <c r="AF80" s="292"/>
      <c r="AG80" s="244"/>
      <c r="AH80" s="291"/>
    </row>
    <row r="81" spans="24:34">
      <c r="X81" s="292"/>
      <c r="Y81" s="292"/>
      <c r="Z81" s="292"/>
      <c r="AA81" s="307"/>
      <c r="AB81" s="244"/>
      <c r="AC81" s="292"/>
      <c r="AF81" s="292"/>
      <c r="AG81" s="244"/>
      <c r="AH81" s="291"/>
    </row>
    <row r="82" spans="24:34">
      <c r="X82" s="292"/>
      <c r="Y82" s="292"/>
      <c r="Z82" s="292"/>
      <c r="AA82" s="307"/>
      <c r="AB82" s="244"/>
      <c r="AC82" s="292"/>
      <c r="AF82" s="292"/>
      <c r="AG82" s="244"/>
      <c r="AH82" s="291"/>
    </row>
    <row r="83" spans="24:34">
      <c r="AH83" s="291"/>
    </row>
    <row r="85" spans="24:34">
      <c r="X85" s="292"/>
      <c r="Y85" s="292"/>
      <c r="Z85" s="292"/>
      <c r="AA85" s="307"/>
      <c r="AB85" s="244"/>
      <c r="AC85" s="292"/>
      <c r="AF85" s="292"/>
      <c r="AG85" s="244"/>
    </row>
    <row r="86" spans="24:34">
      <c r="X86" s="292"/>
      <c r="Y86" s="292"/>
      <c r="Z86" s="292"/>
      <c r="AA86" s="307"/>
      <c r="AB86" s="244"/>
      <c r="AC86" s="292"/>
      <c r="AF86" s="292"/>
      <c r="AG86" s="244"/>
      <c r="AH86" s="291"/>
    </row>
    <row r="87" spans="24:34">
      <c r="X87" s="292"/>
      <c r="Y87" s="292"/>
      <c r="Z87" s="292"/>
      <c r="AA87" s="307"/>
      <c r="AB87" s="244"/>
      <c r="AC87" s="292"/>
      <c r="AF87" s="292"/>
      <c r="AG87" s="244"/>
      <c r="AH87" s="291"/>
    </row>
    <row r="88" spans="24:34">
      <c r="X88" s="292"/>
      <c r="Y88" s="292"/>
      <c r="Z88" s="292"/>
      <c r="AA88" s="307"/>
      <c r="AB88" s="244"/>
      <c r="AC88" s="292"/>
      <c r="AF88" s="292"/>
      <c r="AG88" s="244"/>
      <c r="AH88" s="291"/>
    </row>
    <row r="89" spans="24:34">
      <c r="AH89" s="291"/>
    </row>
    <row r="91" spans="24:34">
      <c r="X91" s="292"/>
      <c r="Y91" s="292"/>
      <c r="Z91" s="292"/>
      <c r="AA91" s="307"/>
      <c r="AB91" s="244"/>
      <c r="AC91" s="292"/>
      <c r="AF91" s="292"/>
      <c r="AG91" s="244"/>
    </row>
    <row r="92" spans="24:34">
      <c r="X92" s="292"/>
      <c r="Y92" s="292"/>
      <c r="Z92" s="292"/>
      <c r="AA92" s="307"/>
      <c r="AB92" s="244"/>
      <c r="AC92" s="292"/>
      <c r="AF92" s="292"/>
      <c r="AG92" s="244"/>
      <c r="AH92" s="291"/>
    </row>
    <row r="93" spans="24:34">
      <c r="X93" s="292"/>
      <c r="Y93" s="292"/>
      <c r="Z93" s="292"/>
      <c r="AA93" s="307"/>
      <c r="AB93" s="244"/>
      <c r="AC93" s="292"/>
      <c r="AF93" s="292"/>
      <c r="AG93" s="244"/>
      <c r="AH93" s="291"/>
    </row>
    <row r="94" spans="24:34">
      <c r="X94" s="292"/>
      <c r="Y94" s="292"/>
      <c r="Z94" s="292"/>
      <c r="AA94" s="307"/>
      <c r="AB94" s="244"/>
      <c r="AC94" s="292"/>
      <c r="AF94" s="292"/>
      <c r="AG94" s="244"/>
      <c r="AH94" s="291"/>
    </row>
    <row r="95" spans="24:34">
      <c r="AH95" s="291"/>
    </row>
    <row r="97" spans="24:34">
      <c r="X97" s="292"/>
      <c r="Y97" s="292"/>
      <c r="Z97" s="292"/>
      <c r="AA97" s="307"/>
      <c r="AB97" s="244"/>
      <c r="AC97" s="292"/>
      <c r="AF97" s="292"/>
      <c r="AG97" s="244"/>
    </row>
    <row r="98" spans="24:34">
      <c r="X98" s="292"/>
      <c r="Y98" s="292"/>
      <c r="Z98" s="292"/>
      <c r="AA98" s="307"/>
      <c r="AB98" s="244"/>
      <c r="AC98" s="292"/>
      <c r="AF98" s="292"/>
      <c r="AG98" s="244"/>
      <c r="AH98" s="291"/>
    </row>
    <row r="99" spans="24:34">
      <c r="X99" s="292"/>
      <c r="Y99" s="292"/>
      <c r="Z99" s="292"/>
      <c r="AA99" s="307"/>
      <c r="AB99" s="244"/>
      <c r="AC99" s="292"/>
      <c r="AF99" s="292"/>
      <c r="AG99" s="244"/>
      <c r="AH99" s="291"/>
    </row>
    <row r="100" spans="24:34">
      <c r="X100" s="292"/>
      <c r="Y100" s="292"/>
      <c r="Z100" s="292"/>
      <c r="AA100" s="307"/>
      <c r="AB100" s="244"/>
      <c r="AC100" s="292"/>
      <c r="AF100" s="292"/>
      <c r="AG100" s="244"/>
      <c r="AH100" s="291"/>
    </row>
    <row r="101" spans="24:34">
      <c r="AH101" s="291"/>
    </row>
    <row r="103" spans="24:34">
      <c r="X103" s="292"/>
      <c r="Y103" s="292"/>
      <c r="Z103" s="292"/>
      <c r="AA103" s="307"/>
      <c r="AB103" s="244"/>
      <c r="AC103" s="292"/>
      <c r="AF103" s="292"/>
      <c r="AG103" s="244"/>
    </row>
    <row r="104" spans="24:34">
      <c r="X104" s="292"/>
      <c r="Y104" s="292"/>
      <c r="Z104" s="292"/>
      <c r="AA104" s="307"/>
      <c r="AB104" s="244"/>
      <c r="AC104" s="292"/>
      <c r="AF104" s="292"/>
      <c r="AG104" s="244"/>
      <c r="AH104" s="291"/>
    </row>
    <row r="105" spans="24:34">
      <c r="X105" s="292"/>
      <c r="Y105" s="292"/>
      <c r="Z105" s="292"/>
      <c r="AA105" s="307"/>
      <c r="AB105" s="244"/>
      <c r="AC105" s="292"/>
      <c r="AF105" s="292"/>
      <c r="AG105" s="244"/>
      <c r="AH105" s="291"/>
    </row>
    <row r="106" spans="24:34">
      <c r="X106" s="292"/>
      <c r="Y106" s="292"/>
      <c r="Z106" s="292"/>
      <c r="AA106" s="307"/>
      <c r="AB106" s="244"/>
      <c r="AC106" s="292"/>
      <c r="AF106" s="292"/>
      <c r="AG106" s="244"/>
      <c r="AH106" s="291"/>
    </row>
    <row r="107" spans="24:34">
      <c r="AH107" s="291"/>
    </row>
    <row r="109" spans="24:34">
      <c r="X109" s="292"/>
      <c r="Y109" s="292"/>
      <c r="Z109" s="292"/>
      <c r="AA109" s="307"/>
      <c r="AB109" s="244"/>
      <c r="AC109" s="292"/>
      <c r="AF109" s="292"/>
      <c r="AG109" s="244"/>
    </row>
    <row r="110" spans="24:34">
      <c r="X110" s="292"/>
      <c r="Y110" s="292"/>
      <c r="Z110" s="292"/>
      <c r="AA110" s="307"/>
      <c r="AB110" s="244"/>
      <c r="AC110" s="292"/>
      <c r="AF110" s="292"/>
      <c r="AG110" s="244"/>
    </row>
    <row r="111" spans="24:34">
      <c r="X111" s="292"/>
      <c r="Y111" s="292"/>
      <c r="Z111" s="292"/>
      <c r="AA111" s="307"/>
      <c r="AB111" s="244"/>
      <c r="AC111" s="292"/>
      <c r="AF111" s="292"/>
      <c r="AG111" s="244"/>
    </row>
    <row r="112" spans="24:34">
      <c r="X112" s="292"/>
      <c r="Y112" s="292"/>
      <c r="Z112" s="292"/>
      <c r="AA112" s="307"/>
      <c r="AB112" s="244"/>
      <c r="AC112" s="292"/>
      <c r="AF112" s="292"/>
      <c r="AG112" s="244"/>
    </row>
  </sheetData>
  <mergeCells count="5">
    <mergeCell ref="B2:C2"/>
    <mergeCell ref="AH2:AK2"/>
    <mergeCell ref="B18:C18"/>
    <mergeCell ref="B19:C19"/>
    <mergeCell ref="L31:N31"/>
  </mergeCells>
  <pageMargins left="0.75" right="0.75" top="1" bottom="1" header="0.5" footer="0.5"/>
  <pageSetup paperSize="5" fitToHeight="0" orientation="landscape" r:id="rId1"/>
  <headerFooter alignWithMargins="0">
    <oddHeader>&amp;C&amp;KFF0000TEXT IN RED BOX CONFIDENTIAL PER WAC 480-07-160</oddHeader>
    <oddFooter>&amp;L&amp;D&amp;C&amp;P&amp;R&amp;T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05238EEDEC30E4CB593BCD9D2495034" ma:contentTypeVersion="19" ma:contentTypeDescription="" ma:contentTypeScope="" ma:versionID="3b9b3610289e09a3d9439b8c1f1ecd9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2025-08-21T07:00:00+00:00</OpenedDate>
    <SignificantOrder xmlns="dc463f71-b30c-4ab2-9473-d307f9d35888">false</SignificantOrder>
    <Date1 xmlns="dc463f71-b30c-4ab2-9473-d307f9d35888">2025-08-21T07:00:00+00:00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HAROLD LEMAY ENTERPRISES, INC.                </CaseCompanyNames>
    <Nickname xmlns="http://schemas.microsoft.com/sharepoint/v3" xsi:nil="true"/>
    <DocketNumber xmlns="dc463f71-b30c-4ab2-9473-d307f9d35888">250702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9CBFC75-C47F-4571-A8D4-7A0B00F277E9}"/>
</file>

<file path=customXml/itemProps2.xml><?xml version="1.0" encoding="utf-8"?>
<ds:datastoreItem xmlns:ds="http://schemas.openxmlformats.org/officeDocument/2006/customXml" ds:itemID="{ED087E1F-15B2-4762-9164-D04137A70841}"/>
</file>

<file path=customXml/itemProps3.xml><?xml version="1.0" encoding="utf-8"?>
<ds:datastoreItem xmlns:ds="http://schemas.openxmlformats.org/officeDocument/2006/customXml" ds:itemID="{F812919E-15B2-4A4E-B766-898C47F9119E}"/>
</file>

<file path=customXml/itemProps4.xml><?xml version="1.0" encoding="utf-8"?>
<ds:datastoreItem xmlns:ds="http://schemas.openxmlformats.org/officeDocument/2006/customXml" ds:itemID="{7399F160-2DC4-4200-881A-BC8A862177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116</vt:i4>
      </vt:variant>
    </vt:vector>
  </HeadingPairs>
  <TitlesOfParts>
    <vt:vector size="126" baseType="lpstr">
      <vt:lpstr>Rate Sheet</vt:lpstr>
      <vt:lpstr>Lewis Co. Regulated - Price Out</vt:lpstr>
      <vt:lpstr>Joe's Regulated - Price Out </vt:lpstr>
      <vt:lpstr>LG Lewis</vt:lpstr>
      <vt:lpstr>LG Lewis MSW</vt:lpstr>
      <vt:lpstr>LG Lewis Recycling</vt:lpstr>
      <vt:lpstr>LG Lewis Yard Waste</vt:lpstr>
      <vt:lpstr>LG Joe's MSW</vt:lpstr>
      <vt:lpstr>LG Joe's Recycling</vt:lpstr>
      <vt:lpstr>LG Joe's Yard Waste</vt:lpstr>
      <vt:lpstr>'LG Joe''s MSW'!Debt_Rate</vt:lpstr>
      <vt:lpstr>'LG Joe''s Recycling'!Debt_Rate</vt:lpstr>
      <vt:lpstr>'LG Joe''s Yard Waste'!Debt_Rate</vt:lpstr>
      <vt:lpstr>'LG Lewis'!Debt_Rate</vt:lpstr>
      <vt:lpstr>'LG Lewis MSW'!Debt_Rate</vt:lpstr>
      <vt:lpstr>'LG Lewis Recycling'!Debt_Rate</vt:lpstr>
      <vt:lpstr>'LG Lewis Yard Waste'!Debt_Rate</vt:lpstr>
      <vt:lpstr>'LG Joe''s MSW'!debtP</vt:lpstr>
      <vt:lpstr>'LG Joe''s Recycling'!debtP</vt:lpstr>
      <vt:lpstr>'LG Joe''s Yard Waste'!debtP</vt:lpstr>
      <vt:lpstr>'LG Lewis'!debtP</vt:lpstr>
      <vt:lpstr>'LG Lewis MSW'!debtP</vt:lpstr>
      <vt:lpstr>'LG Lewis Recycling'!debtP</vt:lpstr>
      <vt:lpstr>'LG Lewis Yard Waste'!debtP</vt:lpstr>
      <vt:lpstr>'LG Joe''s MSW'!Equity_percent</vt:lpstr>
      <vt:lpstr>'LG Joe''s Recycling'!Equity_percent</vt:lpstr>
      <vt:lpstr>'LG Joe''s Yard Waste'!Equity_percent</vt:lpstr>
      <vt:lpstr>'LG Lewis'!Equity_percent</vt:lpstr>
      <vt:lpstr>'LG Lewis MSW'!Equity_percent</vt:lpstr>
      <vt:lpstr>'LG Lewis Recycling'!Equity_percent</vt:lpstr>
      <vt:lpstr>'LG Lewis Yard Waste'!Equity_percent</vt:lpstr>
      <vt:lpstr>'LG Joe''s MSW'!equityP</vt:lpstr>
      <vt:lpstr>'LG Joe''s Recycling'!equityP</vt:lpstr>
      <vt:lpstr>'LG Joe''s Yard Waste'!equityP</vt:lpstr>
      <vt:lpstr>'LG Lewis'!equityP</vt:lpstr>
      <vt:lpstr>'LG Lewis MSW'!equityP</vt:lpstr>
      <vt:lpstr>'LG Lewis Recycling'!equityP</vt:lpstr>
      <vt:lpstr>'LG Lewis Yard Waste'!equityP</vt:lpstr>
      <vt:lpstr>'LG Joe''s MSW'!expenses</vt:lpstr>
      <vt:lpstr>'LG Joe''s Recycling'!expenses</vt:lpstr>
      <vt:lpstr>'LG Joe''s Yard Waste'!expenses</vt:lpstr>
      <vt:lpstr>'LG Lewis'!expenses</vt:lpstr>
      <vt:lpstr>'LG Lewis MSW'!expenses</vt:lpstr>
      <vt:lpstr>'LG Lewis Recycling'!expenses</vt:lpstr>
      <vt:lpstr>'LG Lewis Yard Waste'!expenses</vt:lpstr>
      <vt:lpstr>'LG Joe''s MSW'!Investment</vt:lpstr>
      <vt:lpstr>'LG Joe''s Recycling'!Investment</vt:lpstr>
      <vt:lpstr>'LG Joe''s Yard Waste'!Investment</vt:lpstr>
      <vt:lpstr>'LG Lewis'!Investment</vt:lpstr>
      <vt:lpstr>'LG Lewis MSW'!Investment</vt:lpstr>
      <vt:lpstr>'LG Lewis Recycling'!Investment</vt:lpstr>
      <vt:lpstr>'LG Lewis Yard Waste'!Investment</vt:lpstr>
      <vt:lpstr>'LG Joe''s MSW'!Pfd_weighted</vt:lpstr>
      <vt:lpstr>'LG Joe''s Recycling'!Pfd_weighted</vt:lpstr>
      <vt:lpstr>'LG Joe''s Yard Waste'!Pfd_weighted</vt:lpstr>
      <vt:lpstr>'LG Lewis'!Pfd_weighted</vt:lpstr>
      <vt:lpstr>'LG Lewis MSW'!Pfd_weighted</vt:lpstr>
      <vt:lpstr>'LG Lewis Recycling'!Pfd_weighted</vt:lpstr>
      <vt:lpstr>'LG Lewis Yard Waste'!Pfd_weighted</vt:lpstr>
      <vt:lpstr>'Joe''s Regulated - Price Out '!Print_Area</vt:lpstr>
      <vt:lpstr>'Lewis Co. Regulated - Price Out'!Print_Area</vt:lpstr>
      <vt:lpstr>'LG Joe''s MSW'!Print_Area</vt:lpstr>
      <vt:lpstr>'LG Joe''s Recycling'!Print_Area</vt:lpstr>
      <vt:lpstr>'LG Joe''s Yard Waste'!Print_Area</vt:lpstr>
      <vt:lpstr>'LG Lewis'!Print_Area</vt:lpstr>
      <vt:lpstr>'LG Lewis MSW'!Print_Area</vt:lpstr>
      <vt:lpstr>'LG Lewis Recycling'!Print_Area</vt:lpstr>
      <vt:lpstr>'LG Lewis Yard Waste'!Print_Area</vt:lpstr>
      <vt:lpstr>'Joe''s Regulated - Price Out '!Print_Titles</vt:lpstr>
      <vt:lpstr>'Lewis Co. Regulated - Price Out'!Print_Titles</vt:lpstr>
      <vt:lpstr>'LG Joe''s MSW'!regDebt_weighted</vt:lpstr>
      <vt:lpstr>'LG Joe''s Recycling'!regDebt_weighted</vt:lpstr>
      <vt:lpstr>'LG Joe''s Yard Waste'!regDebt_weighted</vt:lpstr>
      <vt:lpstr>'LG Lewis'!regDebt_weighted</vt:lpstr>
      <vt:lpstr>'LG Lewis MSW'!regDebt_weighted</vt:lpstr>
      <vt:lpstr>'LG Lewis Recycling'!regDebt_weighted</vt:lpstr>
      <vt:lpstr>'LG Lewis Yard Waste'!regDebt_weighted</vt:lpstr>
      <vt:lpstr>'LG Joe''s MSW'!Revenue</vt:lpstr>
      <vt:lpstr>'LG Joe''s Recycling'!Revenue</vt:lpstr>
      <vt:lpstr>'LG Joe''s Yard Waste'!Revenue</vt:lpstr>
      <vt:lpstr>'LG Lewis'!Revenue</vt:lpstr>
      <vt:lpstr>'LG Lewis MSW'!Revenue</vt:lpstr>
      <vt:lpstr>'LG Lewis Recycling'!Revenue</vt:lpstr>
      <vt:lpstr>'LG Lewis Yard Waste'!Revenue</vt:lpstr>
      <vt:lpstr>'LG Joe''s MSW'!slope</vt:lpstr>
      <vt:lpstr>'LG Joe''s Recycling'!slope</vt:lpstr>
      <vt:lpstr>'LG Joe''s Yard Waste'!slope</vt:lpstr>
      <vt:lpstr>'LG Lewis'!slope</vt:lpstr>
      <vt:lpstr>'LG Lewis MSW'!slope</vt:lpstr>
      <vt:lpstr>'LG Lewis Recycling'!slope</vt:lpstr>
      <vt:lpstr>'LG Lewis Yard Waste'!slope</vt:lpstr>
      <vt:lpstr>'LG Joe''s MSW'!taxrate</vt:lpstr>
      <vt:lpstr>'LG Joe''s Recycling'!taxrate</vt:lpstr>
      <vt:lpstr>'LG Joe''s Yard Waste'!taxrate</vt:lpstr>
      <vt:lpstr>'LG Lewis'!taxrate</vt:lpstr>
      <vt:lpstr>'LG Lewis MSW'!taxrate</vt:lpstr>
      <vt:lpstr>'LG Lewis Recycling'!taxrate</vt:lpstr>
      <vt:lpstr>'LG Lewis Yard Waste'!taxrate</vt:lpstr>
      <vt:lpstr>'LG Joe''s MSW'!y_inter1</vt:lpstr>
      <vt:lpstr>'LG Joe''s Recycling'!y_inter1</vt:lpstr>
      <vt:lpstr>'LG Joe''s Yard Waste'!y_inter1</vt:lpstr>
      <vt:lpstr>'LG Lewis'!y_inter1</vt:lpstr>
      <vt:lpstr>'LG Lewis MSW'!y_inter1</vt:lpstr>
      <vt:lpstr>'LG Lewis Recycling'!y_inter1</vt:lpstr>
      <vt:lpstr>'LG Lewis Yard Waste'!y_inter1</vt:lpstr>
      <vt:lpstr>'LG Joe''s MSW'!y_inter2</vt:lpstr>
      <vt:lpstr>'LG Joe''s Recycling'!y_inter2</vt:lpstr>
      <vt:lpstr>'LG Joe''s Yard Waste'!y_inter2</vt:lpstr>
      <vt:lpstr>'LG Lewis'!y_inter2</vt:lpstr>
      <vt:lpstr>'LG Lewis MSW'!y_inter2</vt:lpstr>
      <vt:lpstr>'LG Lewis Recycling'!y_inter2</vt:lpstr>
      <vt:lpstr>'LG Lewis Yard Waste'!y_inter2</vt:lpstr>
      <vt:lpstr>'LG Joe''s MSW'!y_inter3</vt:lpstr>
      <vt:lpstr>'LG Joe''s Recycling'!y_inter3</vt:lpstr>
      <vt:lpstr>'LG Joe''s Yard Waste'!y_inter3</vt:lpstr>
      <vt:lpstr>'LG Lewis'!y_inter3</vt:lpstr>
      <vt:lpstr>'LG Lewis MSW'!y_inter3</vt:lpstr>
      <vt:lpstr>'LG Lewis Recycling'!y_inter3</vt:lpstr>
      <vt:lpstr>'LG Lewis Yard Waste'!y_inter3</vt:lpstr>
      <vt:lpstr>'LG Joe''s MSW'!y_inter4</vt:lpstr>
      <vt:lpstr>'LG Joe''s Recycling'!y_inter4</vt:lpstr>
      <vt:lpstr>'LG Joe''s Yard Waste'!y_inter4</vt:lpstr>
      <vt:lpstr>'LG Lewis'!y_inter4</vt:lpstr>
      <vt:lpstr>'LG Lewis MSW'!y_inter4</vt:lpstr>
      <vt:lpstr>'LG Lewis Recycling'!y_inter4</vt:lpstr>
      <vt:lpstr>'LG Lewis Yard Waste'!y_inter4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Brian Vandenburg</cp:lastModifiedBy>
  <cp:lastPrinted>2025-08-21T23:30:03Z</cp:lastPrinted>
  <dcterms:created xsi:type="dcterms:W3CDTF">2025-08-15T22:33:32Z</dcterms:created>
  <dcterms:modified xsi:type="dcterms:W3CDTF">2025-08-21T23:33:16Z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0x0101006E56B4D1795A2E4DB2F0B01679ED314A00205238EEDEC30E4CB593BCD9D2495034</vt:lpwstr>
  </property>
</Properties>
</file>