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llmandisposal-my.sharepoint.com/personal/darrell_pullmandisposal_com/Documents/Desktop/DM/UTC/Commodity Adj/"/>
    </mc:Choice>
  </mc:AlternateContent>
  <xr:revisionPtr revIDLastSave="76" documentId="8_{758EFBA0-54EA-4743-8B60-4481DC14F434}" xr6:coauthVersionLast="47" xr6:coauthVersionMax="47" xr10:uidLastSave="{FB35AC24-C560-4F0F-839C-93FEFFF8FEC1}"/>
  <bookViews>
    <workbookView xWindow="480" yWindow="240" windowWidth="28440" windowHeight="15285" tabRatio="770" xr2:uid="{00000000-000D-0000-FFFF-FFFF00000000}"/>
  </bookViews>
  <sheets>
    <sheet name="Analysis" sheetId="13" r:id="rId1"/>
    <sheet name="Aug 24 - Jul 25" sheetId="20" r:id="rId2"/>
    <sheet name="Commodity Debit" sheetId="19" r:id="rId3"/>
    <sheet name="Calcs revised method" sheetId="21" r:id="rId4"/>
  </sheets>
  <definedNames>
    <definedName name="BREMAIR_COST_of_SERVICE_STUDY" localSheetId="0">#REF!</definedName>
    <definedName name="BREMAIR_COST_of_SERVICE_STUDY" localSheetId="1">#REF!</definedName>
    <definedName name="BREMAIR_COST_of_SERVICE_STUDY" localSheetId="2">#REF!</definedName>
    <definedName name="BREMAIR_COST_of_SERVICE_STUDY">#REF!</definedName>
    <definedName name="_xlnm.Print_Area" localSheetId="0">Analysis!$G$1:$L$57</definedName>
    <definedName name="_xlnm.Print_Area" localSheetId="3">'Calcs revised method'!$A$1:$Q$58</definedName>
    <definedName name="_xlnm.Print_Area" localSheetId="2">'Commodity Debit'!#REF!</definedName>
    <definedName name="Print1" localSheetId="0">#REF!</definedName>
    <definedName name="Print1" localSheetId="1">#REF!</definedName>
    <definedName name="Print1" localSheetId="2">#REF!</definedName>
    <definedName name="Print1">#REF!</definedName>
    <definedName name="Print2" localSheetId="0">#REF!</definedName>
    <definedName name="Print2" localSheetId="1">#REF!</definedName>
    <definedName name="Print2" localSheetId="2">#REF!</definedName>
    <definedName name="Print2">#REF!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0" l="1"/>
  <c r="F16" i="20" l="1"/>
  <c r="F17" i="20"/>
  <c r="F19" i="20"/>
  <c r="F20" i="20"/>
  <c r="F21" i="20"/>
  <c r="F12" i="20"/>
  <c r="F13" i="20"/>
  <c r="F14" i="20"/>
  <c r="F15" i="20"/>
  <c r="F11" i="20"/>
  <c r="A50" i="13" l="1"/>
  <c r="A42" i="13"/>
  <c r="A39" i="13"/>
  <c r="D38" i="13"/>
  <c r="A38" i="13"/>
  <c r="A37" i="13"/>
  <c r="D11" i="13"/>
  <c r="F25" i="20"/>
  <c r="C25" i="20"/>
  <c r="G50" i="13" l="1"/>
  <c r="G42" i="13"/>
  <c r="G39" i="13"/>
  <c r="G38" i="13"/>
  <c r="G37" i="13"/>
  <c r="U13" i="13" l="1"/>
  <c r="W19" i="13" s="1"/>
  <c r="M50" i="13"/>
  <c r="M42" i="13"/>
  <c r="M39" i="13"/>
  <c r="M38" i="13"/>
  <c r="M37" i="13"/>
  <c r="D11" i="20"/>
  <c r="E33" i="21"/>
  <c r="F33" i="21"/>
  <c r="G33" i="21"/>
  <c r="H33" i="21"/>
  <c r="I33" i="21"/>
  <c r="J33" i="21"/>
  <c r="K33" i="21"/>
  <c r="L33" i="21"/>
  <c r="M33" i="21"/>
  <c r="N33" i="21"/>
  <c r="O33" i="21"/>
  <c r="D33" i="21"/>
  <c r="C26" i="19"/>
  <c r="D12" i="20"/>
  <c r="AC50" i="13"/>
  <c r="AC23" i="13"/>
  <c r="E11" i="20" l="1"/>
  <c r="D41" i="21" s="1"/>
  <c r="E12" i="20"/>
  <c r="S50" i="13"/>
  <c r="S42" i="13"/>
  <c r="S39" i="13"/>
  <c r="S38" i="13"/>
  <c r="S37" i="13"/>
  <c r="AJ25" i="13" l="1"/>
  <c r="AJ52" i="13" l="1"/>
  <c r="C27" i="19"/>
  <c r="C28" i="19"/>
  <c r="C29" i="19"/>
  <c r="C30" i="19"/>
  <c r="C31" i="19"/>
  <c r="C32" i="19"/>
  <c r="C33" i="19"/>
  <c r="C34" i="19"/>
  <c r="C35" i="19"/>
  <c r="C36" i="19"/>
  <c r="C37" i="19"/>
  <c r="E12" i="19"/>
  <c r="E13" i="19"/>
  <c r="E14" i="19"/>
  <c r="E15" i="19"/>
  <c r="E16" i="19"/>
  <c r="E17" i="19"/>
  <c r="E18" i="19"/>
  <c r="E19" i="19"/>
  <c r="E20" i="19"/>
  <c r="E21" i="19"/>
  <c r="E22" i="19"/>
  <c r="E11" i="19"/>
  <c r="F23" i="19" l="1"/>
  <c r="D13" i="20"/>
  <c r="E13" i="20" s="1"/>
  <c r="D14" i="20"/>
  <c r="D15" i="20"/>
  <c r="D16" i="20"/>
  <c r="D17" i="20"/>
  <c r="D18" i="20"/>
  <c r="D19" i="20"/>
  <c r="D20" i="20"/>
  <c r="D21" i="20"/>
  <c r="D22" i="20"/>
  <c r="D25" i="20" l="1"/>
  <c r="E27" i="19"/>
  <c r="E28" i="19"/>
  <c r="E29" i="19"/>
  <c r="G37" i="21" s="1"/>
  <c r="E30" i="19"/>
  <c r="E31" i="19"/>
  <c r="E32" i="19"/>
  <c r="E33" i="19"/>
  <c r="E34" i="19"/>
  <c r="E35" i="19"/>
  <c r="E36" i="19"/>
  <c r="E37" i="19"/>
  <c r="E26" i="19" l="1"/>
  <c r="D40" i="19"/>
  <c r="H32" i="19"/>
  <c r="L17" i="20" s="1"/>
  <c r="H17" i="19"/>
  <c r="K17" i="20" s="1"/>
  <c r="I37" i="21"/>
  <c r="H31" i="19"/>
  <c r="L16" i="20" s="1"/>
  <c r="H16" i="19"/>
  <c r="K16" i="20" s="1"/>
  <c r="H36" i="19"/>
  <c r="L21" i="20" s="1"/>
  <c r="H21" i="19"/>
  <c r="K21" i="20" s="1"/>
  <c r="H30" i="19"/>
  <c r="L15" i="20" s="1"/>
  <c r="H15" i="19"/>
  <c r="K15" i="20" s="1"/>
  <c r="M37" i="21"/>
  <c r="H35" i="19"/>
  <c r="L20" i="20" s="1"/>
  <c r="H20" i="19"/>
  <c r="K20" i="20" s="1"/>
  <c r="H29" i="19"/>
  <c r="L14" i="20" s="1"/>
  <c r="H14" i="19"/>
  <c r="K14" i="20" s="1"/>
  <c r="H34" i="19"/>
  <c r="L19" i="20" s="1"/>
  <c r="H19" i="19"/>
  <c r="K19" i="20" s="1"/>
  <c r="H28" i="19"/>
  <c r="L13" i="20" s="1"/>
  <c r="H13" i="19"/>
  <c r="K13" i="20" s="1"/>
  <c r="K37" i="21"/>
  <c r="H33" i="19"/>
  <c r="L18" i="20" s="1"/>
  <c r="H18" i="19"/>
  <c r="K18" i="20" s="1"/>
  <c r="E37" i="21"/>
  <c r="H27" i="19"/>
  <c r="L12" i="20" s="1"/>
  <c r="H12" i="19"/>
  <c r="K12" i="20" s="1"/>
  <c r="H37" i="19"/>
  <c r="L22" i="20" s="1"/>
  <c r="H22" i="19"/>
  <c r="K22" i="20" s="1"/>
  <c r="O37" i="21"/>
  <c r="H37" i="21"/>
  <c r="L37" i="21"/>
  <c r="F37" i="21"/>
  <c r="J37" i="21"/>
  <c r="N37" i="21"/>
  <c r="C39" i="13" l="1"/>
  <c r="H26" i="19"/>
  <c r="H11" i="19"/>
  <c r="G11" i="20" s="1"/>
  <c r="L11" i="20"/>
  <c r="L25" i="20" s="1"/>
  <c r="D37" i="21"/>
  <c r="F38" i="19"/>
  <c r="F40" i="19" s="1"/>
  <c r="K11" i="20"/>
  <c r="AA39" i="13"/>
  <c r="O8" i="21"/>
  <c r="N8" i="21"/>
  <c r="M8" i="21"/>
  <c r="L8" i="21"/>
  <c r="K8" i="21"/>
  <c r="J8" i="21"/>
  <c r="I8" i="21"/>
  <c r="H8" i="21"/>
  <c r="G8" i="21"/>
  <c r="F8" i="21"/>
  <c r="C12" i="13" s="1"/>
  <c r="E8" i="21"/>
  <c r="D8" i="21"/>
  <c r="C38" i="13" l="1"/>
  <c r="C11" i="13"/>
  <c r="K25" i="20"/>
  <c r="L26" i="20" s="1"/>
  <c r="M11" i="20"/>
  <c r="I40" i="13"/>
  <c r="Q37" i="21"/>
  <c r="O13" i="13"/>
  <c r="O40" i="13"/>
  <c r="AC46" i="13"/>
  <c r="U40" i="13"/>
  <c r="W51" i="13" s="1"/>
  <c r="H14" i="20"/>
  <c r="G47" i="21" s="1"/>
  <c r="G14" i="20"/>
  <c r="H20" i="20"/>
  <c r="M47" i="21" s="1"/>
  <c r="G20" i="20"/>
  <c r="H15" i="20"/>
  <c r="H47" i="21" s="1"/>
  <c r="G15" i="20"/>
  <c r="H21" i="20"/>
  <c r="N47" i="21" s="1"/>
  <c r="G21" i="20"/>
  <c r="H16" i="20"/>
  <c r="I47" i="21" s="1"/>
  <c r="G16" i="20"/>
  <c r="H22" i="20"/>
  <c r="O47" i="21" s="1"/>
  <c r="G22" i="20"/>
  <c r="H17" i="20"/>
  <c r="J47" i="21" s="1"/>
  <c r="G17" i="20"/>
  <c r="H11" i="20"/>
  <c r="G12" i="20"/>
  <c r="H12" i="20"/>
  <c r="E47" i="21" s="1"/>
  <c r="H18" i="20"/>
  <c r="K47" i="21" s="1"/>
  <c r="G18" i="20"/>
  <c r="H13" i="20"/>
  <c r="F47" i="21" s="1"/>
  <c r="G13" i="20"/>
  <c r="H19" i="20"/>
  <c r="L47" i="21" s="1"/>
  <c r="G19" i="20"/>
  <c r="E21" i="20"/>
  <c r="E20" i="20"/>
  <c r="E16" i="20"/>
  <c r="E17" i="20"/>
  <c r="E19" i="20"/>
  <c r="E14" i="20"/>
  <c r="E15" i="20"/>
  <c r="E22" i="20"/>
  <c r="E18" i="20"/>
  <c r="AC19" i="13"/>
  <c r="Q8" i="21"/>
  <c r="AC24" i="13"/>
  <c r="AA38" i="13"/>
  <c r="AC51" i="13"/>
  <c r="C40" i="13" l="1"/>
  <c r="E38" i="13"/>
  <c r="C13" i="13"/>
  <c r="E11" i="13"/>
  <c r="G25" i="20"/>
  <c r="D47" i="21"/>
  <c r="H25" i="20"/>
  <c r="I11" i="20"/>
  <c r="W46" i="13"/>
  <c r="K46" i="13"/>
  <c r="K51" i="13"/>
  <c r="I13" i="13"/>
  <c r="Q47" i="21"/>
  <c r="Q19" i="13"/>
  <c r="Q24" i="13"/>
  <c r="Q46" i="13"/>
  <c r="Q51" i="13"/>
  <c r="D12" i="21"/>
  <c r="AA13" i="13"/>
  <c r="Y50" i="13"/>
  <c r="Y42" i="13"/>
  <c r="AA40" i="13"/>
  <c r="Y39" i="13"/>
  <c r="Y38" i="13"/>
  <c r="Y37" i="13"/>
  <c r="E51" i="13" l="1"/>
  <c r="E46" i="13"/>
  <c r="K50" i="13"/>
  <c r="L52" i="13" s="1"/>
  <c r="D39" i="13" s="1"/>
  <c r="E39" i="13" s="1"/>
  <c r="E40" i="13" s="1"/>
  <c r="E44" i="13" s="1"/>
  <c r="F48" i="13" s="1"/>
  <c r="F54" i="13" s="1"/>
  <c r="E42" i="13"/>
  <c r="E50" i="13" s="1"/>
  <c r="F52" i="13" s="1"/>
  <c r="E24" i="13"/>
  <c r="E19" i="13"/>
  <c r="H26" i="20"/>
  <c r="Q50" i="13"/>
  <c r="R52" i="13" s="1"/>
  <c r="Q50" i="21"/>
  <c r="W24" i="13"/>
  <c r="F44" i="21" l="1"/>
  <c r="AH11" i="13"/>
  <c r="AN39" i="13" l="1"/>
  <c r="AH38" i="13" s="1"/>
  <c r="AN38" i="13"/>
  <c r="AE39" i="13" l="1"/>
  <c r="AE38" i="13"/>
  <c r="AE50" i="13"/>
  <c r="AE42" i="13"/>
  <c r="AE37" i="13"/>
  <c r="L41" i="21"/>
  <c r="K41" i="21" l="1"/>
  <c r="K12" i="21"/>
  <c r="J41" i="21"/>
  <c r="J12" i="21"/>
  <c r="N41" i="21"/>
  <c r="N12" i="21"/>
  <c r="L12" i="21"/>
  <c r="AK42" i="13"/>
  <c r="M41" i="21" l="1"/>
  <c r="M12" i="21"/>
  <c r="O41" i="21"/>
  <c r="O12" i="21"/>
  <c r="AI11" i="13" l="1"/>
  <c r="AG13" i="13" l="1"/>
  <c r="N11" i="20"/>
  <c r="AO11" i="13" l="1"/>
  <c r="J11" i="20" l="1"/>
  <c r="AI38" i="13"/>
  <c r="M35" i="21" l="1"/>
  <c r="M39" i="21" s="1"/>
  <c r="M43" i="21" s="1"/>
  <c r="M6" i="21"/>
  <c r="M18" i="21" s="1"/>
  <c r="K35" i="21"/>
  <c r="K39" i="21" s="1"/>
  <c r="K43" i="21" s="1"/>
  <c r="J6" i="21"/>
  <c r="J18" i="21" s="1"/>
  <c r="L35" i="21"/>
  <c r="L39" i="21" s="1"/>
  <c r="L43" i="21" s="1"/>
  <c r="J35" i="21"/>
  <c r="J39" i="21" s="1"/>
  <c r="J43" i="21" s="1"/>
  <c r="N35" i="21"/>
  <c r="N39" i="21" s="1"/>
  <c r="N43" i="21" s="1"/>
  <c r="O35" i="21"/>
  <c r="O6" i="21"/>
  <c r="O18" i="21" s="1"/>
  <c r="O39" i="21" l="1"/>
  <c r="O43" i="21" s="1"/>
  <c r="M10" i="21"/>
  <c r="M14" i="21" s="1"/>
  <c r="O10" i="21"/>
  <c r="O14" i="21" s="1"/>
  <c r="J10" i="21"/>
  <c r="J14" i="21" s="1"/>
  <c r="M18" i="20"/>
  <c r="N18" i="20" s="1"/>
  <c r="K6" i="21"/>
  <c r="K18" i="21" s="1"/>
  <c r="M21" i="20"/>
  <c r="N21" i="20" s="1"/>
  <c r="N6" i="21"/>
  <c r="N18" i="21" s="1"/>
  <c r="I22" i="20"/>
  <c r="M19" i="20"/>
  <c r="N19" i="20" s="1"/>
  <c r="L6" i="21"/>
  <c r="L18" i="21" s="1"/>
  <c r="I14" i="20"/>
  <c r="I17" i="20"/>
  <c r="I18" i="20"/>
  <c r="I19" i="20"/>
  <c r="M17" i="20"/>
  <c r="N17" i="20" s="1"/>
  <c r="I21" i="20"/>
  <c r="I20" i="20"/>
  <c r="M22" i="20"/>
  <c r="N22" i="20" s="1"/>
  <c r="M20" i="20"/>
  <c r="N20" i="20" s="1"/>
  <c r="AG40" i="13"/>
  <c r="I13" i="20"/>
  <c r="I12" i="20"/>
  <c r="I16" i="20"/>
  <c r="I15" i="20"/>
  <c r="N10" i="21" l="1"/>
  <c r="N14" i="21" s="1"/>
  <c r="X25" i="13"/>
  <c r="D15" i="21" s="1"/>
  <c r="L10" i="21"/>
  <c r="L14" i="21" s="1"/>
  <c r="X52" i="13"/>
  <c r="K10" i="21"/>
  <c r="K14" i="21" s="1"/>
  <c r="J14" i="20"/>
  <c r="J13" i="20"/>
  <c r="J19" i="20"/>
  <c r="J16" i="20"/>
  <c r="J20" i="20"/>
  <c r="J22" i="20"/>
  <c r="J15" i="20"/>
  <c r="J18" i="20"/>
  <c r="J12" i="20"/>
  <c r="J21" i="20"/>
  <c r="J17" i="20"/>
  <c r="AD25" i="13"/>
  <c r="V12" i="13" s="1"/>
  <c r="AD52" i="13"/>
  <c r="AB39" i="13"/>
  <c r="AO50" i="13"/>
  <c r="P39" i="13" l="1"/>
  <c r="K40" i="13" s="1"/>
  <c r="K44" i="13" s="1"/>
  <c r="L48" i="13" s="1"/>
  <c r="L54" i="13" s="1"/>
  <c r="D44" i="21"/>
  <c r="E15" i="21"/>
  <c r="D17" i="21"/>
  <c r="P11" i="13"/>
  <c r="W12" i="13"/>
  <c r="Q39" i="13"/>
  <c r="F46" i="21"/>
  <c r="P12" i="13"/>
  <c r="J11" i="13" s="1"/>
  <c r="V39" i="13"/>
  <c r="AC39" i="13"/>
  <c r="V38" i="13"/>
  <c r="AB12" i="13"/>
  <c r="V11" i="13" s="1"/>
  <c r="W11" i="13" s="1"/>
  <c r="Q12" i="13" l="1"/>
  <c r="W13" i="13"/>
  <c r="Q11" i="13"/>
  <c r="G44" i="21"/>
  <c r="G46" i="21" s="1"/>
  <c r="P38" i="13"/>
  <c r="E17" i="21"/>
  <c r="W38" i="13"/>
  <c r="W39" i="13"/>
  <c r="AC12" i="13"/>
  <c r="AK50" i="13"/>
  <c r="AM40" i="13"/>
  <c r="AO46" i="13" s="1"/>
  <c r="AO51" i="13" s="1"/>
  <c r="AP52" i="13" s="1"/>
  <c r="AK37" i="13"/>
  <c r="Q38" i="13" l="1"/>
  <c r="Q40" i="13" s="1"/>
  <c r="Q44" i="13" s="1"/>
  <c r="R48" i="13" s="1"/>
  <c r="R54" i="13" s="1"/>
  <c r="D46" i="21"/>
  <c r="Q13" i="13"/>
  <c r="W40" i="13"/>
  <c r="W44" i="13" s="1"/>
  <c r="X48" i="13" s="1"/>
  <c r="X54" i="13" s="1"/>
  <c r="W17" i="13"/>
  <c r="X21" i="13" s="1"/>
  <c r="F48" i="21"/>
  <c r="G48" i="21"/>
  <c r="H44" i="21"/>
  <c r="H46" i="21" s="1"/>
  <c r="AH39" i="13"/>
  <c r="AB38" i="13" s="1"/>
  <c r="AC38" i="13" s="1"/>
  <c r="AC40" i="13" s="1"/>
  <c r="AC44" i="13" s="1"/>
  <c r="AD48" i="13" s="1"/>
  <c r="G35" i="21"/>
  <c r="G39" i="21" s="1"/>
  <c r="H35" i="21"/>
  <c r="H39" i="21" s="1"/>
  <c r="D35" i="21"/>
  <c r="D39" i="21" s="1"/>
  <c r="D43" i="21" s="1"/>
  <c r="I35" i="21"/>
  <c r="I39" i="21" s="1"/>
  <c r="E35" i="21"/>
  <c r="E39" i="21" s="1"/>
  <c r="F35" i="21"/>
  <c r="F39" i="21" s="1"/>
  <c r="D48" i="21" l="1"/>
  <c r="E44" i="21"/>
  <c r="X27" i="13"/>
  <c r="Q35" i="21"/>
  <c r="H48" i="21"/>
  <c r="I44" i="21"/>
  <c r="I46" i="21" s="1"/>
  <c r="AD54" i="13"/>
  <c r="AI39" i="13"/>
  <c r="AI40" i="13" s="1"/>
  <c r="AI44" i="13" s="1"/>
  <c r="AJ48" i="13" s="1"/>
  <c r="AJ54" i="13" s="1"/>
  <c r="H6" i="21"/>
  <c r="M15" i="20"/>
  <c r="N15" i="20" s="1"/>
  <c r="F41" i="21"/>
  <c r="F43" i="21" s="1"/>
  <c r="F12" i="21"/>
  <c r="G41" i="21"/>
  <c r="G43" i="21" s="1"/>
  <c r="G12" i="21"/>
  <c r="M16" i="20"/>
  <c r="N16" i="20" s="1"/>
  <c r="I6" i="21"/>
  <c r="M14" i="20"/>
  <c r="N14" i="20" s="1"/>
  <c r="G6" i="21"/>
  <c r="E41" i="21"/>
  <c r="E43" i="21" s="1"/>
  <c r="E12" i="21"/>
  <c r="M12" i="20"/>
  <c r="N12" i="20" s="1"/>
  <c r="E6" i="21"/>
  <c r="H41" i="21"/>
  <c r="H43" i="21" s="1"/>
  <c r="H12" i="21"/>
  <c r="I41" i="21"/>
  <c r="I43" i="21" s="1"/>
  <c r="I12" i="21"/>
  <c r="M13" i="20"/>
  <c r="N13" i="20" s="1"/>
  <c r="F6" i="21"/>
  <c r="D6" i="21"/>
  <c r="F18" i="21" l="1"/>
  <c r="D10" i="21"/>
  <c r="D14" i="21" s="1"/>
  <c r="D18" i="21"/>
  <c r="D19" i="21" s="1"/>
  <c r="E46" i="21"/>
  <c r="F10" i="21"/>
  <c r="F14" i="21" s="1"/>
  <c r="E10" i="21"/>
  <c r="E14" i="21" s="1"/>
  <c r="E18" i="21"/>
  <c r="I10" i="21"/>
  <c r="I14" i="21" s="1"/>
  <c r="I18" i="21"/>
  <c r="H10" i="21"/>
  <c r="H14" i="21" s="1"/>
  <c r="H18" i="21"/>
  <c r="G10" i="21"/>
  <c r="G14" i="21" s="1"/>
  <c r="G18" i="21"/>
  <c r="J44" i="21"/>
  <c r="J46" i="21" s="1"/>
  <c r="Q6" i="21"/>
  <c r="AQ50" i="13"/>
  <c r="AS40" i="13"/>
  <c r="AU46" i="13" s="1"/>
  <c r="AU51" i="13" s="1"/>
  <c r="AV52" i="13" s="1"/>
  <c r="AU39" i="13"/>
  <c r="AU38" i="13"/>
  <c r="AQ38" i="13"/>
  <c r="AQ37" i="13"/>
  <c r="E48" i="21" l="1"/>
  <c r="Q18" i="21"/>
  <c r="E15" i="13" s="1"/>
  <c r="E23" i="13" s="1"/>
  <c r="F25" i="13" s="1"/>
  <c r="I48" i="21"/>
  <c r="K44" i="21"/>
  <c r="K46" i="21" s="1"/>
  <c r="J48" i="21"/>
  <c r="AU40" i="13"/>
  <c r="AU44" i="13" s="1"/>
  <c r="AV48" i="13" s="1"/>
  <c r="AV54" i="13" s="1"/>
  <c r="Q21" i="21" l="1"/>
  <c r="L25" i="13"/>
  <c r="D12" i="13" s="1"/>
  <c r="E12" i="13" s="1"/>
  <c r="E13" i="13" s="1"/>
  <c r="E17" i="13" s="1"/>
  <c r="F21" i="13" s="1"/>
  <c r="F27" i="13" s="1"/>
  <c r="Q23" i="13"/>
  <c r="R25" i="13" s="1"/>
  <c r="L44" i="21"/>
  <c r="L46" i="21" s="1"/>
  <c r="K48" i="21"/>
  <c r="BC50" i="13"/>
  <c r="BE40" i="13"/>
  <c r="BG46" i="13" s="1"/>
  <c r="BG51" i="13" s="1"/>
  <c r="BH52" i="13" s="1"/>
  <c r="BG39" i="13"/>
  <c r="BG38" i="13"/>
  <c r="BC38" i="13"/>
  <c r="BC37" i="13"/>
  <c r="BG12" i="13"/>
  <c r="BE13" i="13"/>
  <c r="BG19" i="13" s="1"/>
  <c r="J12" i="13" l="1"/>
  <c r="K13" i="13" s="1"/>
  <c r="L21" i="13" s="1"/>
  <c r="F15" i="21"/>
  <c r="Q17" i="13"/>
  <c r="R21" i="13" s="1"/>
  <c r="R27" i="13" s="1"/>
  <c r="M44" i="21"/>
  <c r="M46" i="21" s="1"/>
  <c r="L48" i="21"/>
  <c r="BG40" i="13"/>
  <c r="BG44" i="13" s="1"/>
  <c r="BH48" i="13" s="1"/>
  <c r="BH54" i="13" s="1"/>
  <c r="BH25" i="13"/>
  <c r="BH27" i="13" s="1"/>
  <c r="BG11" i="13"/>
  <c r="BG13" i="13" s="1"/>
  <c r="BG17" i="13" s="1"/>
  <c r="BH21" i="13" s="1"/>
  <c r="F17" i="21" l="1"/>
  <c r="G15" i="21"/>
  <c r="N44" i="21"/>
  <c r="N46" i="21" s="1"/>
  <c r="M48" i="21"/>
  <c r="AZ11" i="13"/>
  <c r="AT11" i="13"/>
  <c r="AZ12" i="13"/>
  <c r="H15" i="21" l="1"/>
  <c r="G17" i="21"/>
  <c r="G19" i="21" s="1"/>
  <c r="F19" i="21"/>
  <c r="O44" i="21"/>
  <c r="O46" i="21" s="1"/>
  <c r="Q46" i="21" s="1"/>
  <c r="N48" i="21"/>
  <c r="BA39" i="13"/>
  <c r="I15" i="21" l="1"/>
  <c r="H17" i="21"/>
  <c r="O48" i="21"/>
  <c r="AS13" i="13"/>
  <c r="AU19" i="13" s="1"/>
  <c r="BB25" i="13"/>
  <c r="AV25" i="13"/>
  <c r="BA12" i="13"/>
  <c r="Q48" i="21" l="1"/>
  <c r="Q51" i="21" s="1"/>
  <c r="H19" i="21"/>
  <c r="J15" i="21"/>
  <c r="I17" i="21"/>
  <c r="I19" i="21" s="1"/>
  <c r="AO39" i="13"/>
  <c r="AT12" i="13"/>
  <c r="AO12" i="13"/>
  <c r="AM13" i="13"/>
  <c r="AO24" i="13" s="1"/>
  <c r="AP25" i="13" s="1"/>
  <c r="AH12" i="13" s="1"/>
  <c r="AY40" i="13"/>
  <c r="BA46" i="13" s="1"/>
  <c r="BA51" i="13" s="1"/>
  <c r="AW50" i="13"/>
  <c r="AW38" i="13"/>
  <c r="AW37" i="13"/>
  <c r="Q53" i="21" l="1"/>
  <c r="Q57" i="21" s="1"/>
  <c r="Q58" i="21" s="1"/>
  <c r="K15" i="21"/>
  <c r="J17" i="21"/>
  <c r="J19" i="21" s="1"/>
  <c r="AI12" i="13"/>
  <c r="AI13" i="13" s="1"/>
  <c r="AI17" i="13" s="1"/>
  <c r="AJ21" i="13" s="1"/>
  <c r="AJ27" i="13" s="1"/>
  <c r="AB11" i="13"/>
  <c r="AO38" i="13"/>
  <c r="AO19" i="13"/>
  <c r="AY13" i="13"/>
  <c r="BA19" i="13" s="1"/>
  <c r="L15" i="21" l="1"/>
  <c r="K17" i="21"/>
  <c r="AC11" i="13"/>
  <c r="AC13" i="13" s="1"/>
  <c r="AC17" i="13" s="1"/>
  <c r="AD21" i="13" s="1"/>
  <c r="AD27" i="13" s="1"/>
  <c r="AO40" i="13"/>
  <c r="AO44" i="13" s="1"/>
  <c r="AP48" i="13" s="1"/>
  <c r="AP54" i="13" s="1"/>
  <c r="BB52" i="13"/>
  <c r="K19" i="21" l="1"/>
  <c r="M15" i="21"/>
  <c r="L17" i="21"/>
  <c r="L19" i="21" s="1"/>
  <c r="E19" i="21"/>
  <c r="BA38" i="13"/>
  <c r="BA40" i="13" s="1"/>
  <c r="BA44" i="13" s="1"/>
  <c r="BB48" i="13" s="1"/>
  <c r="BB54" i="13" s="1"/>
  <c r="BA11" i="13"/>
  <c r="BA13" i="13" s="1"/>
  <c r="N15" i="21" l="1"/>
  <c r="M17" i="21"/>
  <c r="M19" i="21" s="1"/>
  <c r="BA17" i="13"/>
  <c r="O15" i="21" l="1"/>
  <c r="O17" i="21" s="1"/>
  <c r="O19" i="21" s="1"/>
  <c r="N17" i="21"/>
  <c r="N19" i="21" s="1"/>
  <c r="Q19" i="21" s="1"/>
  <c r="Q22" i="21" s="1"/>
  <c r="Q24" i="21" s="1"/>
  <c r="BB21" i="13"/>
  <c r="Q17" i="21" l="1"/>
  <c r="BB27" i="13"/>
  <c r="AO13" i="13" s="1"/>
  <c r="AO17" i="13" s="1"/>
  <c r="AP21" i="13" s="1"/>
  <c r="Q28" i="21" l="1"/>
  <c r="Q29" i="21" s="1"/>
  <c r="AP27" i="13"/>
  <c r="AU11" i="13"/>
  <c r="AU12" i="13"/>
  <c r="AU13" i="13" l="1"/>
  <c r="AU17" i="13" s="1"/>
  <c r="AV21" i="13" l="1"/>
  <c r="AV2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Sharbono, Benjamin (UTC)</author>
  </authors>
  <commentList>
    <comment ref="AI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Sharbono, Benjamin (UTC):</t>
        </r>
        <r>
          <rPr>
            <sz val="9"/>
            <color indexed="81"/>
            <rFont val="Tahoma"/>
            <family val="2"/>
          </rPr>
          <t xml:space="preserve">
6-month actual revenue to determine undercollection.</t>
        </r>
      </text>
    </comment>
    <comment ref="AI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Sharbono, Benjamin (UTC):</t>
        </r>
        <r>
          <rPr>
            <sz val="9"/>
            <color indexed="81"/>
            <rFont val="Tahoma"/>
            <family val="2"/>
          </rPr>
          <t xml:space="preserve">
12-months total customers</t>
        </r>
      </text>
    </comment>
    <comment ref="AI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Sharbono, Benjamin (UTC):</t>
        </r>
        <r>
          <rPr>
            <sz val="9"/>
            <color indexed="81"/>
            <rFont val="Tahoma"/>
            <family val="2"/>
          </rPr>
          <t xml:space="preserve">
Use 12-month actual revenue to calculate projected period revenue.</t>
        </r>
      </text>
    </comment>
    <comment ref="AI2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Sharbono, Benjamin (UTC):</t>
        </r>
        <r>
          <rPr>
            <sz val="9"/>
            <color indexed="81"/>
            <rFont val="Tahoma"/>
            <family val="2"/>
          </rPr>
          <t xml:space="preserve">
12-month total customer count</t>
        </r>
      </text>
    </comment>
    <comment ref="AI4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Sharbono, Benjamin (UTC):</t>
        </r>
        <r>
          <rPr>
            <sz val="9"/>
            <color indexed="81"/>
            <rFont val="Tahoma"/>
            <family val="2"/>
          </rPr>
          <t xml:space="preserve">
6-month actual revenue to calculate undercollected revenue</t>
        </r>
      </text>
    </comment>
    <comment ref="AI4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Sharbono, Benjamin (UTC):</t>
        </r>
        <r>
          <rPr>
            <sz val="9"/>
            <color indexed="81"/>
            <rFont val="Tahoma"/>
            <family val="2"/>
          </rPr>
          <t xml:space="preserve">
12-month pickup count</t>
        </r>
      </text>
    </comment>
    <comment ref="AI5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Sharbono, Benjamin (UTC):</t>
        </r>
        <r>
          <rPr>
            <sz val="9"/>
            <color indexed="81"/>
            <rFont val="Tahoma"/>
            <family val="2"/>
          </rPr>
          <t xml:space="preserve">
Use 12-month actual revenue to calculate projected period revenue.</t>
        </r>
      </text>
    </comment>
    <comment ref="AI5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Sharbono, Benjamin (UTC):</t>
        </r>
        <r>
          <rPr>
            <sz val="9"/>
            <color indexed="81"/>
            <rFont val="Tahoma"/>
            <family val="2"/>
          </rPr>
          <t xml:space="preserve">
12-month total pickups</t>
        </r>
      </text>
    </comment>
  </commentList>
</comments>
</file>

<file path=xl/sharedStrings.xml><?xml version="1.0" encoding="utf-8"?>
<sst xmlns="http://schemas.openxmlformats.org/spreadsheetml/2006/main" count="420" uniqueCount="110">
  <si>
    <t xml:space="preserve"> </t>
  </si>
  <si>
    <t>MO/YR</t>
  </si>
  <si>
    <t>POUNDS</t>
  </si>
  <si>
    <t>TONS</t>
  </si>
  <si>
    <t>DOLLARS</t>
  </si>
  <si>
    <t>PER TON</t>
  </si>
  <si>
    <t>Customers</t>
  </si>
  <si>
    <t>Totals</t>
  </si>
  <si>
    <t>Residential</t>
  </si>
  <si>
    <t>Commodity</t>
  </si>
  <si>
    <t>Total</t>
  </si>
  <si>
    <t>Credit</t>
  </si>
  <si>
    <t>Credits</t>
  </si>
  <si>
    <t>Actual Commodity Revenue</t>
  </si>
  <si>
    <t>Owe Customer (company)</t>
  </si>
  <si>
    <t>Total Customers</t>
  </si>
  <si>
    <t>Commodity Adjustment</t>
  </si>
  <si>
    <t>Projected Value</t>
  </si>
  <si>
    <t>Multi-family Commodity Adjustment</t>
  </si>
  <si>
    <t>2018-2019</t>
  </si>
  <si>
    <t>Pullman Disposal Services commodity adjustment</t>
  </si>
  <si>
    <t>Pullman Disposal Services</t>
  </si>
  <si>
    <t>Projected Revenue - NA</t>
  </si>
  <si>
    <t>Type</t>
  </si>
  <si>
    <t>Residential &amp; Multi-Family Commodity Adjustment per 95 gallon toter</t>
  </si>
  <si>
    <t>Residential &amp; Multi Family</t>
  </si>
  <si>
    <t>Projected Revenue Apr 2019 - Sep 2019</t>
  </si>
  <si>
    <t>Multi-Family (DNU)</t>
  </si>
  <si>
    <t xml:space="preserve">Monthly </t>
  </si>
  <si>
    <t>Annual</t>
  </si>
  <si>
    <t>Tonnage</t>
  </si>
  <si>
    <t>$/Ton</t>
  </si>
  <si>
    <t>$/Customer</t>
  </si>
  <si>
    <t>Baseline $/Cus</t>
  </si>
  <si>
    <t>Projected Rev</t>
  </si>
  <si>
    <t>Actual Rev</t>
  </si>
  <si>
    <t>New Baseline</t>
  </si>
  <si>
    <t>Prior Yr Adj</t>
  </si>
  <si>
    <t>New Credit</t>
  </si>
  <si>
    <t>Current Credit</t>
  </si>
  <si>
    <t>Annual Revenue Change</t>
  </si>
  <si>
    <t>Oct - Dec 2018 with adjustment factor</t>
  </si>
  <si>
    <t>Jul-Jun projected value without adjustment factor</t>
  </si>
  <si>
    <t>Projected Revenue Oct 2018 - Mar 2019</t>
  </si>
  <si>
    <t>Cost of one time mailing</t>
  </si>
  <si>
    <t>Jan - Sept 2019 with adjustment factor</t>
  </si>
  <si>
    <t>Actual Commodity Revenue Aug 18-Jan19</t>
  </si>
  <si>
    <t>Feb - Mar 2019 with adjustment factor</t>
  </si>
  <si>
    <t>Apr - July 2019 with adjustment factor</t>
  </si>
  <si>
    <t>Projected Revenue Oct 2019 - Mar 2020</t>
  </si>
  <si>
    <t>Actual Commodity Revenue Feb-July 2019</t>
  </si>
  <si>
    <t>Multi family</t>
  </si>
  <si>
    <t>Actual Commodity Revenue August 2019-February 2020</t>
  </si>
  <si>
    <t xml:space="preserve">Projected Revenue </t>
  </si>
  <si>
    <t>August - September 2019 with adjustment factor</t>
  </si>
  <si>
    <t>October 2019 - January 2020 with adjustment factor</t>
  </si>
  <si>
    <t>Res</t>
  </si>
  <si>
    <t>Multi</t>
  </si>
  <si>
    <t xml:space="preserve">Multi-Family </t>
  </si>
  <si>
    <t>Projected Revenue April - September 2020</t>
  </si>
  <si>
    <t>Residential Commodity Adjustment per 95 gallon toter</t>
  </si>
  <si>
    <t>Multi-family Commodity Adjustment per 95 gallon toter</t>
  </si>
  <si>
    <t>Pickups</t>
  </si>
  <si>
    <t>How billed</t>
  </si>
  <si>
    <t>per pick-up</t>
  </si>
  <si>
    <t xml:space="preserve">Annual </t>
  </si>
  <si>
    <t>monthly</t>
  </si>
  <si>
    <t>Total Pickups</t>
  </si>
  <si>
    <t>February - March 2020 with adjustment factor</t>
  </si>
  <si>
    <t>April - July 2020 with adjustment factor</t>
  </si>
  <si>
    <t>Actual Commodity Revenue February 2020 - July 2020</t>
  </si>
  <si>
    <t>Projected Revenue October 2020 - September 2021</t>
  </si>
  <si>
    <t xml:space="preserve">Residential </t>
  </si>
  <si>
    <t>Dollars by Service</t>
  </si>
  <si>
    <t>Tons per Service</t>
  </si>
  <si>
    <t>Tons/Customer</t>
  </si>
  <si>
    <t>Multi-Family</t>
  </si>
  <si>
    <t>Month</t>
  </si>
  <si>
    <t>Customers/</t>
  </si>
  <si>
    <t>No. of Toters</t>
  </si>
  <si>
    <t>Pullman Disposal Services Customers and Pick-Ups</t>
  </si>
  <si>
    <t>Pullman Disposal Services Recycling Invoices</t>
  </si>
  <si>
    <t>Actual Commodity Revenue August 2020 -July 2021</t>
  </si>
  <si>
    <t>August - September 2020 with adjustment factor</t>
  </si>
  <si>
    <t>October 2020 - July 2021 with adjustment factor</t>
  </si>
  <si>
    <t>Projected Revenue October 2021 - September 2022</t>
  </si>
  <si>
    <t>Tons/Pickup</t>
  </si>
  <si>
    <t>$/Pickup</t>
  </si>
  <si>
    <t>Baseline $/Pickup</t>
  </si>
  <si>
    <t>Per Month</t>
  </si>
  <si>
    <t>August - September 2021 with adjustment factor</t>
  </si>
  <si>
    <t>October 2021 - July 2022 with adjustment factor</t>
  </si>
  <si>
    <t>Actual Commodity Revenue August 2021 -July 2022</t>
  </si>
  <si>
    <t>Projected Revenue October 2022 - September 2023</t>
  </si>
  <si>
    <t>Difference</t>
  </si>
  <si>
    <t>August - September 2022 with adjustment factor</t>
  </si>
  <si>
    <t>October 2022 - July 2023 with adjustment factor</t>
  </si>
  <si>
    <t>Actual Commodity Revenue August 2022 -July 2023</t>
  </si>
  <si>
    <t>Projected Revenue October 2023 - September 2024</t>
  </si>
  <si>
    <t>Diff - Owe Company (Customer)</t>
  </si>
  <si>
    <t>August - September 2023 with adjustment factor</t>
  </si>
  <si>
    <t>October 2023 - July 2024 with adjustment factor</t>
  </si>
  <si>
    <t>Actual Commodity Revenue August 2023 -July 2024</t>
  </si>
  <si>
    <t>Projected Revenue October 2024 - September 2025</t>
  </si>
  <si>
    <t>Relied on Rate Case Year Customer and Pick-Up Counts</t>
  </si>
  <si>
    <t>August 2024 - July 2025</t>
  </si>
  <si>
    <t>August - September 2024 with adjustment factor</t>
  </si>
  <si>
    <t>October 2024 - July 2025 with adjustment factor</t>
  </si>
  <si>
    <t>Actual Commodity Revenue August 2024 -July 2025</t>
  </si>
  <si>
    <t>Projected Revenue October 2025 - 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</si>
</sst>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_);_(&quot;$&quot;* \(#,##0\);_(&quot;$&quot;* &quot;-&quot;??_);_(@_)"/>
    <numFmt numFmtId="167" formatCode="mm/dd/yy;@"/>
    <numFmt numFmtId="168" formatCode="[$-409]mmm\-yy;@"/>
    <numFmt numFmtId="169" formatCode="_(* #,##0.000_);_(* \(#,##0.000\);_(* &quot;-&quot;??_);_(@_)"/>
    <numFmt numFmtId="170" formatCode="_(* #,##0.000000_);_(* \(#,##0.000000\);_(* &quot;-&quot;??_);_(@_)"/>
    <numFmt numFmtId="171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name val="Comic Sans MS"/>
      <family val="4"/>
    </font>
    <font>
      <b/>
      <sz val="11"/>
      <color indexed="10"/>
      <name val="Comic Sans MS"/>
      <family val="4"/>
    </font>
    <font>
      <b/>
      <sz val="16"/>
      <name val="Arial"/>
      <family val="2"/>
    </font>
    <font>
      <i/>
      <u/>
      <sz val="12"/>
      <name val="Comic Sans MS"/>
      <family val="4"/>
    </font>
    <font>
      <b/>
      <u/>
      <sz val="10"/>
      <name val="Arial"/>
      <family val="2"/>
    </font>
    <font>
      <b/>
      <sz val="10"/>
      <name val="Comic Sans MS"/>
      <family val="4"/>
    </font>
    <font>
      <b/>
      <sz val="10"/>
      <color indexed="12"/>
      <name val="Arial"/>
      <family val="2"/>
    </font>
    <font>
      <u val="singleAccounting"/>
      <sz val="10"/>
      <name val="Arial"/>
      <family val="2"/>
    </font>
    <font>
      <b/>
      <sz val="11"/>
      <name val="Comic Sans MS"/>
      <family val="4"/>
    </font>
    <font>
      <b/>
      <u val="doubleAccounting"/>
      <sz val="10"/>
      <name val="Arial"/>
      <family val="2"/>
    </font>
    <font>
      <sz val="12"/>
      <name val="Courier"/>
      <family val="3"/>
    </font>
    <font>
      <sz val="12"/>
      <name val="Helv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41" fontId="2" fillId="0" borderId="0"/>
    <xf numFmtId="3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>
      <protection locked="0"/>
    </xf>
    <xf numFmtId="0" fontId="21" fillId="0" borderId="0"/>
    <xf numFmtId="0" fontId="2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3" fillId="0" borderId="0">
      <alignment vertical="top"/>
    </xf>
    <xf numFmtId="0" fontId="23" fillId="0" borderId="0" applyNumberFormat="0" applyBorder="0" applyAlignment="0"/>
    <xf numFmtId="0" fontId="26" fillId="0" borderId="0"/>
    <xf numFmtId="0" fontId="26" fillId="0" borderId="0"/>
    <xf numFmtId="43" fontId="26" fillId="0" borderId="0" applyFont="0" applyFill="0" applyBorder="0" applyAlignment="0" applyProtection="0"/>
  </cellStyleXfs>
  <cellXfs count="171">
    <xf numFmtId="0" fontId="0" fillId="0" borderId="0" xfId="0"/>
    <xf numFmtId="164" fontId="2" fillId="0" borderId="0" xfId="3" applyNumberFormat="1" applyFont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3" applyFont="1" applyAlignment="1">
      <alignment horizontal="center"/>
    </xf>
    <xf numFmtId="43" fontId="9" fillId="0" borderId="1" xfId="3" applyFont="1" applyBorder="1" applyAlignment="1">
      <alignment horizontal="center"/>
    </xf>
    <xf numFmtId="164" fontId="9" fillId="0" borderId="0" xfId="3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164" fontId="9" fillId="0" borderId="0" xfId="3" applyNumberFormat="1" applyFont="1" applyFill="1" applyBorder="1" applyAlignment="1"/>
    <xf numFmtId="3" fontId="9" fillId="0" borderId="0" xfId="0" applyNumberFormat="1" applyFont="1" applyAlignment="1">
      <alignment horizontal="right"/>
    </xf>
    <xf numFmtId="0" fontId="11" fillId="2" borderId="3" xfId="23" applyFont="1" applyFill="1" applyBorder="1"/>
    <xf numFmtId="0" fontId="11" fillId="2" borderId="4" xfId="23" applyFont="1" applyFill="1" applyBorder="1"/>
    <xf numFmtId="0" fontId="2" fillId="2" borderId="4" xfId="23" applyFill="1" applyBorder="1"/>
    <xf numFmtId="0" fontId="2" fillId="2" borderId="5" xfId="23" applyFill="1" applyBorder="1"/>
    <xf numFmtId="0" fontId="2" fillId="0" borderId="0" xfId="23"/>
    <xf numFmtId="0" fontId="8" fillId="2" borderId="6" xfId="23" applyFont="1" applyFill="1" applyBorder="1"/>
    <xf numFmtId="0" fontId="8" fillId="2" borderId="0" xfId="23" applyFont="1" applyFill="1"/>
    <xf numFmtId="0" fontId="12" fillId="2" borderId="0" xfId="23" applyFont="1" applyFill="1"/>
    <xf numFmtId="0" fontId="2" fillId="2" borderId="0" xfId="23" applyFill="1"/>
    <xf numFmtId="0" fontId="2" fillId="2" borderId="7" xfId="23" applyFill="1" applyBorder="1"/>
    <xf numFmtId="15" fontId="8" fillId="2" borderId="6" xfId="23" applyNumberFormat="1" applyFont="1" applyFill="1" applyBorder="1"/>
    <xf numFmtId="15" fontId="8" fillId="2" borderId="0" xfId="23" applyNumberFormat="1" applyFont="1" applyFill="1"/>
    <xf numFmtId="0" fontId="2" fillId="2" borderId="6" xfId="23" applyFill="1" applyBorder="1"/>
    <xf numFmtId="0" fontId="8" fillId="2" borderId="0" xfId="23" applyFont="1" applyFill="1" applyAlignment="1">
      <alignment horizontal="center"/>
    </xf>
    <xf numFmtId="0" fontId="15" fillId="2" borderId="0" xfId="23" applyFont="1" applyFill="1" applyAlignment="1">
      <alignment horizontal="center"/>
    </xf>
    <xf numFmtId="0" fontId="16" fillId="2" borderId="8" xfId="23" applyFont="1" applyFill="1" applyBorder="1"/>
    <xf numFmtId="0" fontId="16" fillId="2" borderId="0" xfId="23" applyFont="1" applyFill="1"/>
    <xf numFmtId="0" fontId="2" fillId="2" borderId="0" xfId="23" applyFill="1" applyAlignment="1">
      <alignment horizontal="center"/>
    </xf>
    <xf numFmtId="41" fontId="2" fillId="2" borderId="0" xfId="23" applyNumberFormat="1" applyFill="1"/>
    <xf numFmtId="44" fontId="17" fillId="2" borderId="0" xfId="14" applyFont="1" applyFill="1" applyBorder="1"/>
    <xf numFmtId="0" fontId="6" fillId="2" borderId="0" xfId="23" applyFont="1" applyFill="1"/>
    <xf numFmtId="44" fontId="2" fillId="2" borderId="7" xfId="14" applyFont="1" applyFill="1" applyBorder="1"/>
    <xf numFmtId="44" fontId="18" fillId="2" borderId="7" xfId="14" applyFont="1" applyFill="1" applyBorder="1"/>
    <xf numFmtId="44" fontId="19" fillId="2" borderId="9" xfId="14" applyFont="1" applyFill="1" applyBorder="1"/>
    <xf numFmtId="44" fontId="2" fillId="2" borderId="0" xfId="23" applyNumberFormat="1" applyFill="1"/>
    <xf numFmtId="44" fontId="20" fillId="2" borderId="7" xfId="23" applyNumberFormat="1" applyFont="1" applyFill="1" applyBorder="1"/>
    <xf numFmtId="0" fontId="8" fillId="2" borderId="2" xfId="23" applyFont="1" applyFill="1" applyBorder="1" applyAlignment="1">
      <alignment horizontal="center"/>
    </xf>
    <xf numFmtId="43" fontId="18" fillId="2" borderId="7" xfId="23" applyNumberFormat="1" applyFont="1" applyFill="1" applyBorder="1"/>
    <xf numFmtId="44" fontId="19" fillId="2" borderId="7" xfId="14" applyFont="1" applyFill="1" applyBorder="1"/>
    <xf numFmtId="0" fontId="2" fillId="2" borderId="10" xfId="23" applyFill="1" applyBorder="1"/>
    <xf numFmtId="0" fontId="2" fillId="2" borderId="11" xfId="23" applyFill="1" applyBorder="1"/>
    <xf numFmtId="0" fontId="2" fillId="2" borderId="12" xfId="23" applyFill="1" applyBorder="1"/>
    <xf numFmtId="0" fontId="11" fillId="0" borderId="0" xfId="23" applyFont="1"/>
    <xf numFmtId="0" fontId="8" fillId="0" borderId="0" xfId="23" applyFont="1"/>
    <xf numFmtId="0" fontId="12" fillId="0" borderId="0" xfId="23" applyFont="1"/>
    <xf numFmtId="15" fontId="8" fillId="0" borderId="0" xfId="23" applyNumberFormat="1" applyFont="1"/>
    <xf numFmtId="0" fontId="13" fillId="0" borderId="0" xfId="23" applyFont="1" applyAlignment="1">
      <alignment horizontal="center"/>
    </xf>
    <xf numFmtId="0" fontId="14" fillId="0" borderId="0" xfId="23" applyFont="1" applyAlignment="1">
      <alignment horizontal="center"/>
    </xf>
    <xf numFmtId="0" fontId="8" fillId="0" borderId="0" xfId="23" applyFont="1" applyAlignment="1">
      <alignment horizontal="center"/>
    </xf>
    <xf numFmtId="0" fontId="15" fillId="0" borderId="0" xfId="23" applyFont="1" applyAlignment="1">
      <alignment horizontal="center"/>
    </xf>
    <xf numFmtId="0" fontId="16" fillId="0" borderId="0" xfId="23" applyFont="1"/>
    <xf numFmtId="0" fontId="2" fillId="0" borderId="0" xfId="23" applyAlignment="1">
      <alignment horizontal="center"/>
    </xf>
    <xf numFmtId="41" fontId="2" fillId="0" borderId="0" xfId="23" applyNumberFormat="1"/>
    <xf numFmtId="44" fontId="17" fillId="0" borderId="0" xfId="14" applyFont="1" applyFill="1" applyBorder="1" applyAlignment="1"/>
    <xf numFmtId="0" fontId="6" fillId="0" borderId="0" xfId="23" applyFont="1"/>
    <xf numFmtId="41" fontId="18" fillId="0" borderId="0" xfId="23" applyNumberFormat="1" applyFont="1"/>
    <xf numFmtId="44" fontId="2" fillId="0" borderId="0" xfId="14" applyFont="1" applyFill="1" applyBorder="1" applyAlignment="1"/>
    <xf numFmtId="166" fontId="2" fillId="0" borderId="0" xfId="14" applyNumberFormat="1" applyFont="1" applyFill="1" applyBorder="1" applyAlignment="1"/>
    <xf numFmtId="164" fontId="2" fillId="0" borderId="0" xfId="6" applyNumberFormat="1" applyFont="1" applyFill="1" applyBorder="1" applyAlignment="1"/>
    <xf numFmtId="44" fontId="18" fillId="0" borderId="0" xfId="14" applyFont="1" applyFill="1" applyBorder="1" applyAlignment="1"/>
    <xf numFmtId="44" fontId="19" fillId="0" borderId="0" xfId="14" applyFont="1" applyFill="1" applyBorder="1" applyAlignment="1"/>
    <xf numFmtId="0" fontId="2" fillId="0" borderId="0" xfId="23" applyAlignment="1">
      <alignment horizontal="right"/>
    </xf>
    <xf numFmtId="44" fontId="2" fillId="0" borderId="0" xfId="23" applyNumberFormat="1"/>
    <xf numFmtId="44" fontId="8" fillId="0" borderId="0" xfId="23" applyNumberFormat="1" applyFont="1"/>
    <xf numFmtId="165" fontId="9" fillId="0" borderId="0" xfId="11" applyNumberFormat="1" applyFont="1" applyFill="1" applyAlignment="1">
      <alignment horizontal="right"/>
    </xf>
    <xf numFmtId="0" fontId="9" fillId="0" borderId="0" xfId="0" applyFont="1"/>
    <xf numFmtId="166" fontId="2" fillId="3" borderId="0" xfId="14" applyNumberFormat="1" applyFont="1" applyFill="1" applyBorder="1"/>
    <xf numFmtId="0" fontId="16" fillId="3" borderId="8" xfId="23" applyFont="1" applyFill="1" applyBorder="1"/>
    <xf numFmtId="165" fontId="9" fillId="0" borderId="0" xfId="11" applyNumberFormat="1" applyFont="1" applyFill="1" applyBorder="1" applyAlignment="1">
      <alignment horizontal="right"/>
    </xf>
    <xf numFmtId="165" fontId="9" fillId="0" borderId="2" xfId="11" applyNumberFormat="1" applyFont="1" applyFill="1" applyBorder="1" applyAlignment="1">
      <alignment horizontal="right"/>
    </xf>
    <xf numFmtId="3" fontId="9" fillId="0" borderId="0" xfId="3" applyNumberFormat="1" applyFont="1" applyFill="1" applyAlignment="1">
      <alignment horizontal="right"/>
    </xf>
    <xf numFmtId="3" fontId="9" fillId="0" borderId="0" xfId="3" applyNumberFormat="1" applyFont="1" applyFill="1" applyBorder="1" applyAlignment="1">
      <alignment horizontal="right"/>
    </xf>
    <xf numFmtId="2" fontId="9" fillId="0" borderId="0" xfId="3" applyNumberFormat="1" applyFont="1" applyFill="1" applyBorder="1" applyAlignment="1">
      <alignment horizontal="right"/>
    </xf>
    <xf numFmtId="3" fontId="9" fillId="0" borderId="2" xfId="3" applyNumberFormat="1" applyFont="1" applyFill="1" applyBorder="1" applyAlignment="1">
      <alignment horizontal="right"/>
    </xf>
    <xf numFmtId="2" fontId="9" fillId="0" borderId="2" xfId="3" applyNumberFormat="1" applyFont="1" applyFill="1" applyBorder="1" applyAlignment="1">
      <alignment horizontal="right"/>
    </xf>
    <xf numFmtId="4" fontId="9" fillId="0" borderId="0" xfId="3" applyNumberFormat="1" applyFont="1" applyFill="1" applyAlignment="1">
      <alignment horizontal="right"/>
    </xf>
    <xf numFmtId="44" fontId="17" fillId="4" borderId="0" xfId="14" applyFont="1" applyFill="1" applyBorder="1"/>
    <xf numFmtId="164" fontId="2" fillId="2" borderId="0" xfId="3" applyNumberFormat="1" applyFont="1" applyFill="1" applyBorder="1"/>
    <xf numFmtId="0" fontId="26" fillId="0" borderId="0" xfId="29"/>
    <xf numFmtId="0" fontId="26" fillId="0" borderId="0" xfId="30"/>
    <xf numFmtId="43" fontId="0" fillId="0" borderId="0" xfId="31" applyFont="1" applyFill="1"/>
    <xf numFmtId="0" fontId="27" fillId="0" borderId="0" xfId="29" applyFont="1"/>
    <xf numFmtId="164" fontId="0" fillId="0" borderId="0" xfId="31" applyNumberFormat="1" applyFont="1" applyFill="1"/>
    <xf numFmtId="0" fontId="0" fillId="0" borderId="0" xfId="0" applyAlignment="1">
      <alignment horizontal="center"/>
    </xf>
    <xf numFmtId="164" fontId="2" fillId="0" borderId="0" xfId="3" applyNumberFormat="1" applyFont="1" applyFill="1" applyAlignment="1">
      <alignment horizontal="center"/>
    </xf>
    <xf numFmtId="43" fontId="2" fillId="0" borderId="0" xfId="23" applyNumberFormat="1"/>
    <xf numFmtId="0" fontId="16" fillId="4" borderId="8" xfId="23" applyFont="1" applyFill="1" applyBorder="1"/>
    <xf numFmtId="166" fontId="2" fillId="4" borderId="0" xfId="14" applyNumberFormat="1" applyFont="1" applyFill="1" applyBorder="1"/>
    <xf numFmtId="164" fontId="0" fillId="0" borderId="0" xfId="0" applyNumberFormat="1"/>
    <xf numFmtId="164" fontId="26" fillId="0" borderId="0" xfId="4" applyNumberFormat="1" applyFont="1" applyFill="1"/>
    <xf numFmtId="2" fontId="9" fillId="0" borderId="0" xfId="11" applyNumberFormat="1" applyFont="1" applyFill="1" applyBorder="1" applyAlignment="1">
      <alignment horizontal="right"/>
    </xf>
    <xf numFmtId="0" fontId="8" fillId="2" borderId="2" xfId="23" applyFont="1" applyFill="1" applyBorder="1" applyAlignment="1">
      <alignment horizontal="center" wrapText="1"/>
    </xf>
    <xf numFmtId="166" fontId="2" fillId="0" borderId="0" xfId="14" applyNumberFormat="1" applyFont="1" applyFill="1" applyBorder="1"/>
    <xf numFmtId="0" fontId="9" fillId="0" borderId="1" xfId="0" applyFont="1" applyBorder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5" fontId="9" fillId="0" borderId="0" xfId="0" applyNumberFormat="1" applyFont="1"/>
    <xf numFmtId="167" fontId="28" fillId="0" borderId="0" xfId="29" applyNumberFormat="1" applyFont="1" applyAlignment="1">
      <alignment horizontal="center"/>
    </xf>
    <xf numFmtId="168" fontId="28" fillId="0" borderId="0" xfId="29" applyNumberFormat="1" applyFont="1" applyAlignment="1">
      <alignment horizontal="center"/>
    </xf>
    <xf numFmtId="0" fontId="27" fillId="0" borderId="0" xfId="29" applyFont="1" applyAlignment="1">
      <alignment horizontal="center"/>
    </xf>
    <xf numFmtId="0" fontId="0" fillId="0" borderId="0" xfId="29" applyFont="1"/>
    <xf numFmtId="3" fontId="2" fillId="2" borderId="0" xfId="23" applyNumberFormat="1" applyFill="1"/>
    <xf numFmtId="0" fontId="25" fillId="0" borderId="0" xfId="0" applyFont="1"/>
    <xf numFmtId="43" fontId="25" fillId="0" borderId="0" xfId="31" applyFont="1" applyFill="1"/>
    <xf numFmtId="170" fontId="26" fillId="0" borderId="0" xfId="29" applyNumberFormat="1"/>
    <xf numFmtId="171" fontId="27" fillId="0" borderId="0" xfId="29" applyNumberFormat="1" applyFont="1"/>
    <xf numFmtId="43" fontId="0" fillId="0" borderId="0" xfId="3" applyFont="1" applyFill="1"/>
    <xf numFmtId="43" fontId="0" fillId="0" borderId="0" xfId="0" applyNumberFormat="1"/>
    <xf numFmtId="0" fontId="32" fillId="0" borderId="0" xfId="0" applyFont="1"/>
    <xf numFmtId="0" fontId="32" fillId="0" borderId="0" xfId="0" applyFont="1" applyAlignment="1">
      <alignment horizontal="center"/>
    </xf>
    <xf numFmtId="17" fontId="9" fillId="0" borderId="0" xfId="0" quotePrefix="1" applyNumberFormat="1" applyFont="1" applyAlignment="1">
      <alignment horizontal="center"/>
    </xf>
    <xf numFmtId="165" fontId="32" fillId="0" borderId="0" xfId="0" applyNumberFormat="1" applyFont="1"/>
    <xf numFmtId="2" fontId="32" fillId="0" borderId="0" xfId="0" applyNumberFormat="1" applyFont="1"/>
    <xf numFmtId="0" fontId="9" fillId="0" borderId="0" xfId="0" quotePrefix="1" applyFont="1" applyAlignment="1">
      <alignment horizontal="center"/>
    </xf>
    <xf numFmtId="39" fontId="32" fillId="0" borderId="0" xfId="0" applyNumberFormat="1" applyFont="1"/>
    <xf numFmtId="4" fontId="32" fillId="0" borderId="0" xfId="0" applyNumberFormat="1" applyFont="1"/>
    <xf numFmtId="0" fontId="9" fillId="0" borderId="0" xfId="0" applyFont="1" applyAlignment="1">
      <alignment horizontal="left"/>
    </xf>
    <xf numFmtId="3" fontId="32" fillId="0" borderId="0" xfId="0" applyNumberFormat="1" applyFont="1"/>
    <xf numFmtId="3" fontId="9" fillId="0" borderId="0" xfId="0" applyNumberFormat="1" applyFont="1"/>
    <xf numFmtId="3" fontId="9" fillId="0" borderId="2" xfId="0" applyNumberFormat="1" applyFont="1" applyBorder="1"/>
    <xf numFmtId="43" fontId="32" fillId="0" borderId="0" xfId="3" applyFont="1" applyFill="1"/>
    <xf numFmtId="43" fontId="32" fillId="0" borderId="0" xfId="31" applyFont="1" applyFill="1"/>
    <xf numFmtId="0" fontId="33" fillId="0" borderId="0" xfId="29" applyFont="1"/>
    <xf numFmtId="0" fontId="32" fillId="0" borderId="0" xfId="29" applyFont="1"/>
    <xf numFmtId="3" fontId="32" fillId="0" borderId="0" xfId="29" applyNumberFormat="1" applyFont="1"/>
    <xf numFmtId="169" fontId="32" fillId="0" borderId="0" xfId="31" applyNumberFormat="1" applyFont="1" applyFill="1"/>
    <xf numFmtId="164" fontId="32" fillId="0" borderId="0" xfId="31" applyNumberFormat="1" applyFont="1" applyFill="1"/>
    <xf numFmtId="43" fontId="32" fillId="0" borderId="0" xfId="29" applyNumberFormat="1" applyFont="1"/>
    <xf numFmtId="0" fontId="32" fillId="0" borderId="0" xfId="30" applyFont="1"/>
    <xf numFmtId="164" fontId="32" fillId="0" borderId="0" xfId="4" applyNumberFormat="1" applyFont="1" applyFill="1"/>
    <xf numFmtId="165" fontId="32" fillId="0" borderId="0" xfId="3" applyNumberFormat="1" applyFont="1" applyFill="1"/>
    <xf numFmtId="43" fontId="9" fillId="0" borderId="0" xfId="3" applyFont="1" applyFill="1" applyBorder="1" applyAlignment="1">
      <alignment horizontal="right"/>
    </xf>
    <xf numFmtId="4" fontId="9" fillId="0" borderId="2" xfId="3" applyNumberFormat="1" applyFont="1" applyFill="1" applyBorder="1" applyAlignment="1">
      <alignment horizontal="right"/>
    </xf>
    <xf numFmtId="0" fontId="32" fillId="0" borderId="2" xfId="0" applyFont="1" applyBorder="1"/>
    <xf numFmtId="165" fontId="32" fillId="0" borderId="2" xfId="0" applyNumberFormat="1" applyFont="1" applyBorder="1"/>
    <xf numFmtId="170" fontId="32" fillId="0" borderId="0" xfId="29" applyNumberFormat="1" applyFont="1"/>
    <xf numFmtId="164" fontId="32" fillId="0" borderId="0" xfId="29" applyNumberFormat="1" applyFont="1"/>
    <xf numFmtId="43" fontId="27" fillId="0" borderId="0" xfId="29" applyNumberFormat="1" applyFont="1"/>
    <xf numFmtId="0" fontId="33" fillId="0" borderId="0" xfId="29" applyFont="1" applyAlignment="1">
      <alignment horizontal="center"/>
    </xf>
    <xf numFmtId="169" fontId="32" fillId="0" borderId="0" xfId="29" applyNumberFormat="1" applyFont="1"/>
    <xf numFmtId="43" fontId="26" fillId="0" borderId="0" xfId="29" applyNumberFormat="1"/>
    <xf numFmtId="0" fontId="31" fillId="0" borderId="0" xfId="29" applyFont="1"/>
    <xf numFmtId="3" fontId="31" fillId="0" borderId="0" xfId="29" applyNumberFormat="1" applyFont="1"/>
    <xf numFmtId="0" fontId="13" fillId="2" borderId="6" xfId="23" applyFont="1" applyFill="1" applyBorder="1" applyAlignment="1">
      <alignment horizontal="center"/>
    </xf>
    <xf numFmtId="0" fontId="13" fillId="2" borderId="0" xfId="23" applyFont="1" applyFill="1" applyAlignment="1">
      <alignment horizontal="center"/>
    </xf>
    <xf numFmtId="0" fontId="13" fillId="2" borderId="7" xfId="23" applyFont="1" applyFill="1" applyBorder="1" applyAlignment="1">
      <alignment horizontal="center"/>
    </xf>
    <xf numFmtId="0" fontId="14" fillId="2" borderId="6" xfId="23" applyFont="1" applyFill="1" applyBorder="1" applyAlignment="1">
      <alignment horizontal="center"/>
    </xf>
    <xf numFmtId="0" fontId="14" fillId="2" borderId="0" xfId="23" applyFont="1" applyFill="1" applyAlignment="1">
      <alignment horizontal="center"/>
    </xf>
    <xf numFmtId="0" fontId="14" fillId="2" borderId="7" xfId="23" applyFont="1" applyFill="1" applyBorder="1" applyAlignment="1">
      <alignment horizontal="center"/>
    </xf>
    <xf numFmtId="0" fontId="14" fillId="2" borderId="6" xfId="23" applyFont="1" applyFill="1" applyBorder="1" applyAlignment="1">
      <alignment horizontal="center"/>
    </xf>
    <xf numFmtId="0" fontId="14" fillId="2" borderId="0" xfId="23" applyFont="1" applyFill="1" applyAlignment="1">
      <alignment horizontal="center"/>
    </xf>
    <xf numFmtId="0" fontId="14" fillId="2" borderId="7" xfId="23" applyFont="1" applyFill="1" applyBorder="1" applyAlignment="1">
      <alignment horizontal="center"/>
    </xf>
    <xf numFmtId="0" fontId="13" fillId="2" borderId="6" xfId="23" applyFont="1" applyFill="1" applyBorder="1" applyAlignment="1">
      <alignment horizontal="center"/>
    </xf>
    <xf numFmtId="0" fontId="13" fillId="2" borderId="0" xfId="23" applyFont="1" applyFill="1" applyAlignment="1">
      <alignment horizontal="center"/>
    </xf>
    <xf numFmtId="0" fontId="13" fillId="2" borderId="7" xfId="23" applyFont="1" applyFill="1" applyBorder="1" applyAlignment="1">
      <alignment horizontal="center"/>
    </xf>
    <xf numFmtId="43" fontId="3" fillId="0" borderId="0" xfId="3" applyFont="1" applyFill="1" applyAlignment="1">
      <alignment horizontal="center"/>
    </xf>
    <xf numFmtId="43" fontId="4" fillId="0" borderId="0" xfId="3" applyFont="1" applyFill="1" applyAlignment="1">
      <alignment horizontal="center"/>
    </xf>
    <xf numFmtId="43" fontId="5" fillId="0" borderId="0" xfId="8" applyFont="1" applyFill="1" applyAlignment="1">
      <alignment horizontal="center"/>
      <protection locked="0"/>
    </xf>
    <xf numFmtId="0" fontId="32" fillId="0" borderId="0" xfId="0" applyFont="1" applyAlignment="1">
      <alignment horizontal="center"/>
    </xf>
    <xf numFmtId="43" fontId="3" fillId="0" borderId="0" xfId="3" applyFont="1" applyAlignment="1">
      <alignment horizontal="center"/>
    </xf>
    <xf numFmtId="43" fontId="5" fillId="0" borderId="0" xfId="8" applyFont="1" applyAlignment="1">
      <alignment horizontal="center"/>
      <protection locked="0"/>
    </xf>
    <xf numFmtId="0" fontId="27" fillId="0" borderId="0" xfId="0" applyFont="1" applyAlignment="1">
      <alignment horizontal="center"/>
    </xf>
    <xf numFmtId="44" fontId="32" fillId="0" borderId="0" xfId="11" applyFont="1"/>
    <xf numFmtId="0" fontId="33" fillId="0" borderId="0" xfId="0" applyFont="1"/>
    <xf numFmtId="165" fontId="33" fillId="0" borderId="0" xfId="0" applyNumberFormat="1" applyFont="1"/>
    <xf numFmtId="44" fontId="33" fillId="0" borderId="0" xfId="11" applyFont="1"/>
    <xf numFmtId="4" fontId="9" fillId="0" borderId="0" xfId="0" quotePrefix="1" applyNumberFormat="1" applyFont="1" applyAlignment="1">
      <alignment horizontal="center"/>
    </xf>
    <xf numFmtId="0" fontId="0" fillId="0" borderId="0" xfId="0"/>
    <xf numFmtId="0" fontId="0" fillId="0" borderId="0" xfId="0"/>
    <xf numFmtId="4" fontId="9" fillId="0" borderId="0" xfId="0" applyNumberFormat="1" applyFont="1" applyAlignment="1">
      <alignment horizontal="center"/>
    </xf>
  </cellXfs>
  <cellStyles count="32">
    <cellStyle name="Accounting" xfId="1" xr:uid="{00000000-0005-0000-0000-000000000000}"/>
    <cellStyle name="Budget" xfId="2" xr:uid="{00000000-0005-0000-0000-000001000000}"/>
    <cellStyle name="Comma" xfId="3" builtinId="3"/>
    <cellStyle name="Comma 2" xfId="4" xr:uid="{00000000-0005-0000-0000-000003000000}"/>
    <cellStyle name="Comma 3" xfId="5" xr:uid="{00000000-0005-0000-0000-000004000000}"/>
    <cellStyle name="Comma 3 2" xfId="6" xr:uid="{00000000-0005-0000-0000-000005000000}"/>
    <cellStyle name="Comma 4" xfId="7" xr:uid="{00000000-0005-0000-0000-000006000000}"/>
    <cellStyle name="Comma 9 3" xfId="31" xr:uid="{00000000-0005-0000-0000-000007000000}"/>
    <cellStyle name="Comma_Sheet1 (2)" xfId="8" xr:uid="{00000000-0005-0000-0000-000008000000}"/>
    <cellStyle name="Comma0 - Style2" xfId="9" xr:uid="{00000000-0005-0000-0000-000009000000}"/>
    <cellStyle name="Comma1 - Style1" xfId="10" xr:uid="{00000000-0005-0000-0000-00000A000000}"/>
    <cellStyle name="Currency" xfId="11" builtinId="4"/>
    <cellStyle name="Currency 2" xfId="12" xr:uid="{00000000-0005-0000-0000-00000C000000}"/>
    <cellStyle name="Currency 3" xfId="13" xr:uid="{00000000-0005-0000-0000-00000D000000}"/>
    <cellStyle name="Currency 3 2" xfId="14" xr:uid="{00000000-0005-0000-0000-00000E000000}"/>
    <cellStyle name="Hyperlink 2" xfId="15" xr:uid="{00000000-0005-0000-0000-00000F000000}"/>
    <cellStyle name="Normal" xfId="0" builtinId="0"/>
    <cellStyle name="Normal - Style1" xfId="16" xr:uid="{00000000-0005-0000-0000-000011000000}"/>
    <cellStyle name="Normal - Style2" xfId="17" xr:uid="{00000000-0005-0000-0000-000012000000}"/>
    <cellStyle name="Normal - Style3" xfId="18" xr:uid="{00000000-0005-0000-0000-000013000000}"/>
    <cellStyle name="Normal - Style4" xfId="19" xr:uid="{00000000-0005-0000-0000-000014000000}"/>
    <cellStyle name="Normal - Style5" xfId="20" xr:uid="{00000000-0005-0000-0000-000015000000}"/>
    <cellStyle name="Normal 13 3" xfId="29" xr:uid="{00000000-0005-0000-0000-000016000000}"/>
    <cellStyle name="Normal 2" xfId="21" xr:uid="{00000000-0005-0000-0000-000017000000}"/>
    <cellStyle name="Normal 2 2" xfId="22" xr:uid="{00000000-0005-0000-0000-000018000000}"/>
    <cellStyle name="Normal 2 3" xfId="23" xr:uid="{00000000-0005-0000-0000-000019000000}"/>
    <cellStyle name="Normal 3" xfId="24" xr:uid="{00000000-0005-0000-0000-00001A000000}"/>
    <cellStyle name="Normal 4" xfId="30" xr:uid="{00000000-0005-0000-0000-00001B000000}"/>
    <cellStyle name="Percent 2" xfId="25" xr:uid="{00000000-0005-0000-0000-00001C000000}"/>
    <cellStyle name="PRM" xfId="26" xr:uid="{00000000-0005-0000-0000-00001D000000}"/>
    <cellStyle name="Style 1" xfId="27" xr:uid="{00000000-0005-0000-0000-00001E000000}"/>
    <cellStyle name="STYLE1" xfId="28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57"/>
  <sheetViews>
    <sheetView tabSelected="1" topLeftCell="A5" zoomScale="85" zoomScaleNormal="85" workbookViewId="0">
      <selection activeCell="F21" sqref="F21"/>
    </sheetView>
  </sheetViews>
  <sheetFormatPr defaultColWidth="8.85546875" defaultRowHeight="12.75" x14ac:dyDescent="0.2"/>
  <cols>
    <col min="1" max="1" width="40.28515625" style="14" customWidth="1"/>
    <col min="2" max="2" width="6.28515625" style="14" customWidth="1"/>
    <col min="3" max="3" width="12.42578125" style="14" customWidth="1"/>
    <col min="4" max="4" width="14.85546875" style="14" bestFit="1" customWidth="1"/>
    <col min="5" max="5" width="12" style="14" bestFit="1" customWidth="1"/>
    <col min="6" max="6" width="15.85546875" style="14" customWidth="1"/>
    <col min="7" max="7" width="40.28515625" style="14" customWidth="1"/>
    <col min="8" max="8" width="6.28515625" style="14" customWidth="1"/>
    <col min="9" max="9" width="12.42578125" style="14" customWidth="1"/>
    <col min="10" max="10" width="14.85546875" style="14" bestFit="1" customWidth="1"/>
    <col min="11" max="11" width="11.140625" style="14" bestFit="1" customWidth="1"/>
    <col min="12" max="12" width="14.42578125" style="14" customWidth="1"/>
    <col min="13" max="13" width="40.28515625" style="14" customWidth="1"/>
    <col min="14" max="14" width="6.28515625" style="14" customWidth="1"/>
    <col min="15" max="15" width="12.42578125" style="14" customWidth="1"/>
    <col min="16" max="16" width="14.85546875" style="14" bestFit="1" customWidth="1"/>
    <col min="17" max="17" width="11.140625" style="14" bestFit="1" customWidth="1"/>
    <col min="18" max="18" width="14.42578125" style="14" customWidth="1"/>
    <col min="19" max="19" width="40.28515625" style="14" customWidth="1"/>
    <col min="20" max="20" width="6.28515625" style="14" customWidth="1"/>
    <col min="21" max="21" width="12.42578125" style="14" customWidth="1"/>
    <col min="22" max="22" width="14.85546875" style="14" bestFit="1" customWidth="1"/>
    <col min="23" max="23" width="11.140625" style="14" bestFit="1" customWidth="1"/>
    <col min="24" max="24" width="14.42578125" style="14" customWidth="1"/>
    <col min="25" max="25" width="40.28515625" style="14" customWidth="1"/>
    <col min="26" max="26" width="6.28515625" style="14" customWidth="1"/>
    <col min="27" max="27" width="12.42578125" style="14" customWidth="1"/>
    <col min="28" max="28" width="14.85546875" style="14" bestFit="1" customWidth="1"/>
    <col min="29" max="29" width="11.140625" style="14" bestFit="1" customWidth="1"/>
    <col min="30" max="30" width="14.42578125" style="14" customWidth="1"/>
    <col min="31" max="31" width="40.28515625" style="14" customWidth="1"/>
    <col min="32" max="32" width="6.28515625" style="14" customWidth="1"/>
    <col min="33" max="33" width="12.42578125" style="14" customWidth="1"/>
    <col min="34" max="34" width="14.85546875" style="14" bestFit="1" customWidth="1"/>
    <col min="35" max="35" width="11.140625" style="14" bestFit="1" customWidth="1"/>
    <col min="36" max="36" width="14.42578125" style="14" customWidth="1"/>
    <col min="37" max="37" width="40.28515625" style="14" customWidth="1"/>
    <col min="38" max="38" width="6.28515625" style="14" customWidth="1"/>
    <col min="39" max="39" width="12.42578125" style="14" customWidth="1"/>
    <col min="40" max="40" width="14.85546875" style="14" bestFit="1" customWidth="1"/>
    <col min="41" max="41" width="12.7109375" style="14" customWidth="1"/>
    <col min="42" max="42" width="10.5703125" style="14" bestFit="1" customWidth="1"/>
    <col min="43" max="43" width="40.28515625" style="14" customWidth="1"/>
    <col min="44" max="44" width="6.28515625" style="14" customWidth="1"/>
    <col min="45" max="45" width="12.42578125" style="14" customWidth="1"/>
    <col min="46" max="46" width="14.85546875" style="14" bestFit="1" customWidth="1"/>
    <col min="47" max="47" width="12.7109375" style="14" customWidth="1"/>
    <col min="48" max="48" width="12.7109375" style="14" bestFit="1" customWidth="1"/>
    <col min="49" max="49" width="40.28515625" style="14" customWidth="1"/>
    <col min="50" max="50" width="6.28515625" style="14" customWidth="1"/>
    <col min="51" max="51" width="12.42578125" style="14" customWidth="1"/>
    <col min="52" max="52" width="14.85546875" style="14" bestFit="1" customWidth="1"/>
    <col min="53" max="53" width="12.7109375" style="14" customWidth="1"/>
    <col min="54" max="54" width="10.5703125" style="14" bestFit="1" customWidth="1"/>
    <col min="55" max="55" width="11" style="14" customWidth="1"/>
    <col min="56" max="56" width="41.5703125" style="14" customWidth="1"/>
    <col min="57" max="57" width="10.42578125" style="14" bestFit="1" customWidth="1"/>
    <col min="58" max="58" width="13.42578125" style="14" customWidth="1"/>
    <col min="59" max="59" width="11" style="14" customWidth="1"/>
    <col min="60" max="60" width="11.85546875" style="14" customWidth="1"/>
    <col min="61" max="61" width="35.85546875" style="14" customWidth="1"/>
    <col min="62" max="62" width="8.85546875" style="14"/>
    <col min="63" max="63" width="24.140625" style="14" customWidth="1"/>
    <col min="64" max="64" width="11" style="14" bestFit="1" customWidth="1"/>
    <col min="65" max="65" width="10.5703125" style="14" bestFit="1" customWidth="1"/>
    <col min="66" max="66" width="10.42578125" style="14" customWidth="1"/>
    <col min="67" max="16384" width="8.85546875" style="14"/>
  </cols>
  <sheetData>
    <row r="1" spans="1:66" ht="19.5" customHeight="1" x14ac:dyDescent="0.4">
      <c r="A1" s="10" t="s">
        <v>20</v>
      </c>
      <c r="B1" s="11"/>
      <c r="C1" s="12"/>
      <c r="D1" s="12"/>
      <c r="E1" s="12"/>
      <c r="F1" s="13"/>
      <c r="G1" s="10" t="s">
        <v>20</v>
      </c>
      <c r="H1" s="11"/>
      <c r="I1" s="12"/>
      <c r="J1" s="12"/>
      <c r="K1" s="12"/>
      <c r="L1" s="13"/>
      <c r="M1" s="10" t="s">
        <v>20</v>
      </c>
      <c r="N1" s="11"/>
      <c r="O1" s="12"/>
      <c r="P1" s="12"/>
      <c r="Q1" s="12"/>
      <c r="R1" s="13"/>
      <c r="S1" s="10" t="s">
        <v>20</v>
      </c>
      <c r="T1" s="11"/>
      <c r="U1" s="12"/>
      <c r="V1" s="12"/>
      <c r="W1" s="12"/>
      <c r="X1" s="13"/>
      <c r="Y1" s="10" t="s">
        <v>20</v>
      </c>
      <c r="Z1" s="11"/>
      <c r="AA1" s="12"/>
      <c r="AB1" s="12"/>
      <c r="AC1" s="12"/>
      <c r="AD1" s="13"/>
      <c r="AE1" s="10" t="s">
        <v>20</v>
      </c>
      <c r="AF1" s="11"/>
      <c r="AG1" s="12"/>
      <c r="AH1" s="12"/>
      <c r="AI1" s="12"/>
      <c r="AJ1" s="13"/>
      <c r="AK1" s="10" t="s">
        <v>20</v>
      </c>
      <c r="AL1" s="11"/>
      <c r="AM1" s="12"/>
      <c r="AN1" s="12"/>
      <c r="AO1" s="12"/>
      <c r="AP1" s="13"/>
      <c r="AQ1" s="10" t="s">
        <v>20</v>
      </c>
      <c r="AR1" s="11"/>
      <c r="AS1" s="12"/>
      <c r="AT1" s="12"/>
      <c r="AU1" s="12"/>
      <c r="AV1" s="13"/>
      <c r="AW1" s="10" t="s">
        <v>20</v>
      </c>
      <c r="AX1" s="11"/>
      <c r="AY1" s="12"/>
      <c r="AZ1" s="12"/>
      <c r="BA1" s="12"/>
      <c r="BB1" s="13"/>
      <c r="BC1" s="10" t="s">
        <v>20</v>
      </c>
      <c r="BD1" s="11"/>
      <c r="BE1" s="12"/>
      <c r="BF1" s="12"/>
      <c r="BG1" s="12"/>
      <c r="BH1" s="13"/>
      <c r="BI1" s="42"/>
      <c r="BJ1" s="42"/>
    </row>
    <row r="2" spans="1:66" ht="18" x14ac:dyDescent="0.35">
      <c r="A2" s="15"/>
      <c r="B2" s="16"/>
      <c r="C2" s="17"/>
      <c r="D2" s="18"/>
      <c r="E2" s="18"/>
      <c r="F2" s="19"/>
      <c r="G2" s="15"/>
      <c r="H2" s="16"/>
      <c r="I2" s="17"/>
      <c r="J2" s="18"/>
      <c r="K2" s="18"/>
      <c r="L2" s="19"/>
      <c r="M2" s="15"/>
      <c r="N2" s="16"/>
      <c r="O2" s="17"/>
      <c r="P2" s="18"/>
      <c r="Q2" s="18"/>
      <c r="R2" s="19"/>
      <c r="S2" s="15"/>
      <c r="T2" s="16"/>
      <c r="U2" s="17"/>
      <c r="V2" s="18"/>
      <c r="W2" s="18"/>
      <c r="X2" s="19"/>
      <c r="Y2" s="15"/>
      <c r="Z2" s="16"/>
      <c r="AA2" s="17"/>
      <c r="AB2" s="18"/>
      <c r="AC2" s="18"/>
      <c r="AD2" s="19"/>
      <c r="AE2" s="15"/>
      <c r="AF2" s="16"/>
      <c r="AG2" s="17"/>
      <c r="AH2" s="18"/>
      <c r="AI2" s="18"/>
      <c r="AJ2" s="19"/>
      <c r="AK2" s="15"/>
      <c r="AL2" s="16"/>
      <c r="AM2" s="17"/>
      <c r="AN2" s="18"/>
      <c r="AO2" s="18"/>
      <c r="AP2" s="19"/>
      <c r="AQ2" s="15"/>
      <c r="AR2" s="16"/>
      <c r="AS2" s="17"/>
      <c r="AT2" s="18"/>
      <c r="AU2" s="18"/>
      <c r="AV2" s="19"/>
      <c r="AW2" s="15"/>
      <c r="AX2" s="16"/>
      <c r="AY2" s="17"/>
      <c r="AZ2" s="18"/>
      <c r="BA2" s="18"/>
      <c r="BB2" s="19"/>
      <c r="BC2" s="15"/>
      <c r="BD2" s="16"/>
      <c r="BE2" s="17"/>
      <c r="BF2" s="18"/>
      <c r="BG2" s="18"/>
      <c r="BH2" s="19"/>
      <c r="BI2" s="43"/>
      <c r="BJ2" s="43"/>
      <c r="BK2" s="44"/>
    </row>
    <row r="3" spans="1:66" x14ac:dyDescent="0.2">
      <c r="A3" s="20"/>
      <c r="B3" s="21"/>
      <c r="C3" s="18"/>
      <c r="D3" s="18"/>
      <c r="E3" s="18"/>
      <c r="F3" s="19"/>
      <c r="G3" s="20"/>
      <c r="H3" s="21"/>
      <c r="I3" s="18"/>
      <c r="J3" s="18"/>
      <c r="K3" s="18"/>
      <c r="L3" s="19"/>
      <c r="M3" s="20"/>
      <c r="N3" s="21"/>
      <c r="O3" s="18"/>
      <c r="P3" s="18"/>
      <c r="Q3" s="18"/>
      <c r="R3" s="19"/>
      <c r="S3" s="20"/>
      <c r="T3" s="21"/>
      <c r="U3" s="18"/>
      <c r="V3" s="18"/>
      <c r="W3" s="18"/>
      <c r="X3" s="19"/>
      <c r="Y3" s="20"/>
      <c r="Z3" s="21"/>
      <c r="AA3" s="18"/>
      <c r="AB3" s="18"/>
      <c r="AC3" s="18"/>
      <c r="AD3" s="19"/>
      <c r="AE3" s="20"/>
      <c r="AF3" s="21"/>
      <c r="AG3" s="18"/>
      <c r="AH3" s="18"/>
      <c r="AI3" s="18"/>
      <c r="AJ3" s="19"/>
      <c r="AK3" s="20"/>
      <c r="AL3" s="21"/>
      <c r="AM3" s="18"/>
      <c r="AN3" s="18"/>
      <c r="AO3" s="18"/>
      <c r="AP3" s="19"/>
      <c r="AQ3" s="20"/>
      <c r="AR3" s="21"/>
      <c r="AS3" s="18"/>
      <c r="AT3" s="18"/>
      <c r="AU3" s="18"/>
      <c r="AV3" s="19"/>
      <c r="AW3" s="20"/>
      <c r="AX3" s="21"/>
      <c r="AY3" s="18"/>
      <c r="AZ3" s="18"/>
      <c r="BA3" s="18"/>
      <c r="BB3" s="19"/>
      <c r="BC3" s="20"/>
      <c r="BD3" s="21"/>
      <c r="BE3" s="18"/>
      <c r="BF3" s="18"/>
      <c r="BG3" s="18"/>
      <c r="BH3" s="19"/>
      <c r="BI3" s="45"/>
      <c r="BJ3" s="45"/>
    </row>
    <row r="4" spans="1:66" ht="20.25" x14ac:dyDescent="0.3">
      <c r="A4" s="153">
        <v>2025</v>
      </c>
      <c r="B4" s="154"/>
      <c r="C4" s="154"/>
      <c r="D4" s="154"/>
      <c r="E4" s="154"/>
      <c r="F4" s="155"/>
      <c r="G4" s="153">
        <v>2024</v>
      </c>
      <c r="H4" s="154"/>
      <c r="I4" s="154"/>
      <c r="J4" s="154"/>
      <c r="K4" s="154"/>
      <c r="L4" s="155"/>
      <c r="M4" s="144">
        <v>2023</v>
      </c>
      <c r="N4" s="145"/>
      <c r="O4" s="145"/>
      <c r="P4" s="145"/>
      <c r="Q4" s="145"/>
      <c r="R4" s="146"/>
      <c r="S4" s="144">
        <v>2022</v>
      </c>
      <c r="T4" s="145"/>
      <c r="U4" s="145"/>
      <c r="V4" s="145"/>
      <c r="W4" s="145"/>
      <c r="X4" s="146"/>
      <c r="Y4" s="144">
        <v>2021</v>
      </c>
      <c r="Z4" s="145"/>
      <c r="AA4" s="145"/>
      <c r="AB4" s="145"/>
      <c r="AC4" s="145"/>
      <c r="AD4" s="146"/>
      <c r="AE4" s="144">
        <v>2020</v>
      </c>
      <c r="AF4" s="145"/>
      <c r="AG4" s="145"/>
      <c r="AH4" s="145"/>
      <c r="AI4" s="145"/>
      <c r="AJ4" s="146"/>
      <c r="AK4" s="144">
        <v>2020</v>
      </c>
      <c r="AL4" s="145"/>
      <c r="AM4" s="145"/>
      <c r="AN4" s="145"/>
      <c r="AO4" s="145"/>
      <c r="AP4" s="146"/>
      <c r="AQ4" s="144">
        <v>2019</v>
      </c>
      <c r="AR4" s="145"/>
      <c r="AS4" s="145"/>
      <c r="AT4" s="145"/>
      <c r="AU4" s="145"/>
      <c r="AV4" s="146"/>
      <c r="AW4" s="144">
        <v>2019</v>
      </c>
      <c r="AX4" s="145"/>
      <c r="AY4" s="145"/>
      <c r="AZ4" s="145"/>
      <c r="BA4" s="145"/>
      <c r="BB4" s="146"/>
      <c r="BC4" s="144" t="s">
        <v>19</v>
      </c>
      <c r="BD4" s="145"/>
      <c r="BE4" s="145"/>
      <c r="BF4" s="145"/>
      <c r="BG4" s="145"/>
      <c r="BH4" s="146"/>
      <c r="BJ4" s="46"/>
      <c r="BK4" s="46"/>
      <c r="BL4" s="46"/>
      <c r="BM4" s="46"/>
    </row>
    <row r="5" spans="1:66" x14ac:dyDescent="0.2">
      <c r="A5" s="22"/>
      <c r="B5" s="18"/>
      <c r="C5" s="18"/>
      <c r="D5" s="18"/>
      <c r="E5" s="18"/>
      <c r="F5" s="19"/>
      <c r="G5" s="22"/>
      <c r="H5" s="18"/>
      <c r="I5" s="18"/>
      <c r="J5" s="18"/>
      <c r="K5" s="18"/>
      <c r="L5" s="19"/>
      <c r="M5" s="22"/>
      <c r="N5" s="18"/>
      <c r="O5" s="18"/>
      <c r="P5" s="18"/>
      <c r="Q5" s="18"/>
      <c r="R5" s="19"/>
      <c r="S5" s="22"/>
      <c r="T5" s="18"/>
      <c r="U5" s="18"/>
      <c r="V5" s="18"/>
      <c r="W5" s="18"/>
      <c r="X5" s="19"/>
      <c r="Y5" s="22"/>
      <c r="Z5" s="18"/>
      <c r="AA5" s="18"/>
      <c r="AB5" s="18"/>
      <c r="AC5" s="18"/>
      <c r="AD5" s="19"/>
      <c r="AE5" s="22"/>
      <c r="AF5" s="18"/>
      <c r="AG5" s="18"/>
      <c r="AH5" s="18"/>
      <c r="AI5" s="18"/>
      <c r="AJ5" s="19"/>
      <c r="AK5" s="22"/>
      <c r="AL5" s="18"/>
      <c r="AM5" s="18"/>
      <c r="AN5" s="18"/>
      <c r="AO5" s="18"/>
      <c r="AP5" s="19"/>
      <c r="AQ5" s="22"/>
      <c r="AR5" s="18"/>
      <c r="AS5" s="18"/>
      <c r="AT5" s="18"/>
      <c r="AU5" s="18"/>
      <c r="AV5" s="19"/>
      <c r="AW5" s="22"/>
      <c r="AX5" s="18"/>
      <c r="AY5" s="18"/>
      <c r="AZ5" s="18"/>
      <c r="BA5" s="18"/>
      <c r="BB5" s="19"/>
      <c r="BC5" s="22"/>
      <c r="BD5" s="18"/>
      <c r="BE5" s="18"/>
      <c r="BF5" s="18"/>
      <c r="BG5" s="18"/>
      <c r="BH5" s="19"/>
    </row>
    <row r="6" spans="1:66" ht="19.5" x14ac:dyDescent="0.4">
      <c r="A6" s="150" t="s">
        <v>72</v>
      </c>
      <c r="B6" s="151"/>
      <c r="C6" s="151"/>
      <c r="D6" s="151"/>
      <c r="E6" s="151"/>
      <c r="F6" s="152"/>
      <c r="G6" s="150" t="s">
        <v>72</v>
      </c>
      <c r="H6" s="151"/>
      <c r="I6" s="151"/>
      <c r="J6" s="151"/>
      <c r="K6" s="151"/>
      <c r="L6" s="152"/>
      <c r="M6" s="147" t="s">
        <v>72</v>
      </c>
      <c r="N6" s="148"/>
      <c r="O6" s="148"/>
      <c r="P6" s="148"/>
      <c r="Q6" s="148"/>
      <c r="R6" s="149"/>
      <c r="S6" s="147" t="s">
        <v>72</v>
      </c>
      <c r="T6" s="148"/>
      <c r="U6" s="148"/>
      <c r="V6" s="148"/>
      <c r="W6" s="148"/>
      <c r="X6" s="149"/>
      <c r="Y6" s="147" t="s">
        <v>72</v>
      </c>
      <c r="Z6" s="148"/>
      <c r="AA6" s="148"/>
      <c r="AB6" s="148"/>
      <c r="AC6" s="148"/>
      <c r="AD6" s="149"/>
      <c r="AE6" s="147" t="s">
        <v>72</v>
      </c>
      <c r="AF6" s="148"/>
      <c r="AG6" s="148"/>
      <c r="AH6" s="148"/>
      <c r="AI6" s="148"/>
      <c r="AJ6" s="149"/>
      <c r="AK6" s="147" t="s">
        <v>25</v>
      </c>
      <c r="AL6" s="148"/>
      <c r="AM6" s="148"/>
      <c r="AN6" s="148"/>
      <c r="AO6" s="148"/>
      <c r="AP6" s="149"/>
      <c r="AQ6" s="147" t="s">
        <v>25</v>
      </c>
      <c r="AR6" s="148"/>
      <c r="AS6" s="148"/>
      <c r="AT6" s="148"/>
      <c r="AU6" s="148"/>
      <c r="AV6" s="149"/>
      <c r="AW6" s="147" t="s">
        <v>25</v>
      </c>
      <c r="AX6" s="148"/>
      <c r="AY6" s="148"/>
      <c r="AZ6" s="148"/>
      <c r="BA6" s="148"/>
      <c r="BB6" s="149"/>
      <c r="BC6" s="147" t="s">
        <v>25</v>
      </c>
      <c r="BD6" s="148"/>
      <c r="BE6" s="148"/>
      <c r="BF6" s="148"/>
      <c r="BG6" s="148"/>
      <c r="BH6" s="149"/>
      <c r="BI6" s="47"/>
      <c r="BJ6" s="47"/>
      <c r="BK6" s="47"/>
      <c r="BL6" s="47"/>
      <c r="BM6" s="47"/>
      <c r="BN6" s="47"/>
    </row>
    <row r="7" spans="1:66" x14ac:dyDescent="0.2">
      <c r="A7" s="22"/>
      <c r="B7" s="18"/>
      <c r="C7" s="18"/>
      <c r="D7" s="18"/>
      <c r="E7" s="18"/>
      <c r="F7" s="19"/>
      <c r="G7" s="22"/>
      <c r="H7" s="18"/>
      <c r="I7" s="18"/>
      <c r="J7" s="18"/>
      <c r="K7" s="18"/>
      <c r="L7" s="19"/>
      <c r="M7" s="22"/>
      <c r="N7" s="18"/>
      <c r="O7" s="18"/>
      <c r="P7" s="18"/>
      <c r="Q7" s="18"/>
      <c r="R7" s="19"/>
      <c r="S7" s="22"/>
      <c r="T7" s="18"/>
      <c r="U7" s="18"/>
      <c r="V7" s="18"/>
      <c r="W7" s="18"/>
      <c r="X7" s="19"/>
      <c r="Y7" s="22"/>
      <c r="Z7" s="18"/>
      <c r="AA7" s="18"/>
      <c r="AB7" s="18"/>
      <c r="AC7" s="18"/>
      <c r="AD7" s="19"/>
      <c r="AE7" s="22"/>
      <c r="AF7" s="18"/>
      <c r="AG7" s="18"/>
      <c r="AH7" s="18"/>
      <c r="AI7" s="18"/>
      <c r="AJ7" s="19"/>
      <c r="AK7" s="22"/>
      <c r="AL7" s="18"/>
      <c r="AM7" s="18"/>
      <c r="AN7" s="18"/>
      <c r="AO7" s="18"/>
      <c r="AP7" s="19"/>
      <c r="AQ7" s="22"/>
      <c r="AR7" s="18"/>
      <c r="AS7" s="18"/>
      <c r="AT7" s="18"/>
      <c r="AU7" s="18"/>
      <c r="AV7" s="19"/>
      <c r="AW7" s="22"/>
      <c r="AX7" s="18"/>
      <c r="AY7" s="18"/>
      <c r="AZ7" s="18"/>
      <c r="BA7" s="18"/>
      <c r="BB7" s="19"/>
      <c r="BC7" s="22"/>
      <c r="BD7" s="18"/>
      <c r="BE7" s="18"/>
      <c r="BF7" s="18"/>
      <c r="BG7" s="18"/>
      <c r="BH7" s="19"/>
    </row>
    <row r="8" spans="1:66" x14ac:dyDescent="0.2">
      <c r="A8" s="22"/>
      <c r="B8" s="18"/>
      <c r="C8" s="23"/>
      <c r="D8" s="23" t="s">
        <v>9</v>
      </c>
      <c r="E8" s="23" t="s">
        <v>10</v>
      </c>
      <c r="F8" s="19"/>
      <c r="G8" s="22"/>
      <c r="H8" s="18"/>
      <c r="I8" s="23"/>
      <c r="J8" s="23" t="s">
        <v>9</v>
      </c>
      <c r="K8" s="23" t="s">
        <v>10</v>
      </c>
      <c r="L8" s="19"/>
      <c r="M8" s="22"/>
      <c r="N8" s="18"/>
      <c r="O8" s="23"/>
      <c r="P8" s="23" t="s">
        <v>9</v>
      </c>
      <c r="Q8" s="23" t="s">
        <v>10</v>
      </c>
      <c r="R8" s="19"/>
      <c r="S8" s="22"/>
      <c r="T8" s="18"/>
      <c r="U8" s="23"/>
      <c r="V8" s="23" t="s">
        <v>9</v>
      </c>
      <c r="W8" s="23" t="s">
        <v>10</v>
      </c>
      <c r="X8" s="19"/>
      <c r="Y8" s="22"/>
      <c r="Z8" s="18"/>
      <c r="AA8" s="23"/>
      <c r="AB8" s="23" t="s">
        <v>9</v>
      </c>
      <c r="AC8" s="23" t="s">
        <v>10</v>
      </c>
      <c r="AD8" s="19"/>
      <c r="AE8" s="22"/>
      <c r="AF8" s="18"/>
      <c r="AG8" s="23"/>
      <c r="AH8" s="23" t="s">
        <v>9</v>
      </c>
      <c r="AI8" s="23" t="s">
        <v>10</v>
      </c>
      <c r="AJ8" s="19"/>
      <c r="AK8" s="22"/>
      <c r="AL8" s="18"/>
      <c r="AM8" s="23"/>
      <c r="AN8" s="23" t="s">
        <v>9</v>
      </c>
      <c r="AO8" s="23" t="s">
        <v>10</v>
      </c>
      <c r="AP8" s="19"/>
      <c r="AQ8" s="22"/>
      <c r="AR8" s="18"/>
      <c r="AS8" s="23"/>
      <c r="AT8" s="23" t="s">
        <v>9</v>
      </c>
      <c r="AU8" s="23" t="s">
        <v>10</v>
      </c>
      <c r="AV8" s="19"/>
      <c r="AW8" s="22"/>
      <c r="AX8" s="18"/>
      <c r="AY8" s="23"/>
      <c r="AZ8" s="23" t="s">
        <v>9</v>
      </c>
      <c r="BA8" s="23" t="s">
        <v>10</v>
      </c>
      <c r="BB8" s="19"/>
      <c r="BC8" s="22"/>
      <c r="BD8" s="18"/>
      <c r="BE8" s="23"/>
      <c r="BF8" s="23" t="s">
        <v>9</v>
      </c>
      <c r="BG8" s="23" t="s">
        <v>10</v>
      </c>
      <c r="BH8" s="19"/>
      <c r="BK8" s="48"/>
      <c r="BL8" s="48"/>
      <c r="BM8" s="48"/>
    </row>
    <row r="9" spans="1:66" x14ac:dyDescent="0.2">
      <c r="A9" s="22"/>
      <c r="B9" s="18"/>
      <c r="C9" s="24" t="s">
        <v>6</v>
      </c>
      <c r="D9" s="24" t="s">
        <v>11</v>
      </c>
      <c r="E9" s="24" t="s">
        <v>12</v>
      </c>
      <c r="F9" s="19"/>
      <c r="G9" s="22"/>
      <c r="H9" s="18"/>
      <c r="I9" s="24" t="s">
        <v>6</v>
      </c>
      <c r="J9" s="24" t="s">
        <v>11</v>
      </c>
      <c r="K9" s="24" t="s">
        <v>12</v>
      </c>
      <c r="L9" s="19"/>
      <c r="M9" s="22"/>
      <c r="N9" s="18"/>
      <c r="O9" s="24" t="s">
        <v>6</v>
      </c>
      <c r="P9" s="24" t="s">
        <v>11</v>
      </c>
      <c r="Q9" s="24" t="s">
        <v>12</v>
      </c>
      <c r="R9" s="19"/>
      <c r="S9" s="22"/>
      <c r="T9" s="18"/>
      <c r="U9" s="24" t="s">
        <v>6</v>
      </c>
      <c r="V9" s="24" t="s">
        <v>11</v>
      </c>
      <c r="W9" s="24" t="s">
        <v>12</v>
      </c>
      <c r="X9" s="19"/>
      <c r="Y9" s="22"/>
      <c r="Z9" s="18"/>
      <c r="AA9" s="24" t="s">
        <v>6</v>
      </c>
      <c r="AB9" s="24" t="s">
        <v>11</v>
      </c>
      <c r="AC9" s="24" t="s">
        <v>12</v>
      </c>
      <c r="AD9" s="19"/>
      <c r="AE9" s="22"/>
      <c r="AF9" s="18"/>
      <c r="AG9" s="24" t="s">
        <v>6</v>
      </c>
      <c r="AH9" s="24" t="s">
        <v>11</v>
      </c>
      <c r="AI9" s="24" t="s">
        <v>12</v>
      </c>
      <c r="AJ9" s="19"/>
      <c r="AK9" s="22"/>
      <c r="AL9" s="18"/>
      <c r="AM9" s="24" t="s">
        <v>6</v>
      </c>
      <c r="AN9" s="24" t="s">
        <v>11</v>
      </c>
      <c r="AO9" s="24" t="s">
        <v>12</v>
      </c>
      <c r="AP9" s="19"/>
      <c r="AQ9" s="22"/>
      <c r="AR9" s="18"/>
      <c r="AS9" s="24" t="s">
        <v>6</v>
      </c>
      <c r="AT9" s="24" t="s">
        <v>11</v>
      </c>
      <c r="AU9" s="24" t="s">
        <v>12</v>
      </c>
      <c r="AV9" s="19"/>
      <c r="AW9" s="22"/>
      <c r="AX9" s="18"/>
      <c r="AY9" s="24" t="s">
        <v>6</v>
      </c>
      <c r="AZ9" s="24" t="s">
        <v>11</v>
      </c>
      <c r="BA9" s="24" t="s">
        <v>12</v>
      </c>
      <c r="BB9" s="19"/>
      <c r="BC9" s="22"/>
      <c r="BD9" s="18"/>
      <c r="BE9" s="24" t="s">
        <v>6</v>
      </c>
      <c r="BF9" s="24" t="s">
        <v>11</v>
      </c>
      <c r="BG9" s="24" t="s">
        <v>12</v>
      </c>
      <c r="BH9" s="19"/>
      <c r="BK9" s="49"/>
      <c r="BL9" s="49"/>
      <c r="BM9" s="49"/>
    </row>
    <row r="10" spans="1:66" ht="16.5" x14ac:dyDescent="0.35">
      <c r="A10" s="25" t="s">
        <v>53</v>
      </c>
      <c r="B10" s="26"/>
      <c r="C10" s="27"/>
      <c r="D10" s="27"/>
      <c r="E10" s="27"/>
      <c r="F10" s="19"/>
      <c r="G10" s="25" t="s">
        <v>53</v>
      </c>
      <c r="H10" s="26"/>
      <c r="I10" s="27"/>
      <c r="J10" s="27"/>
      <c r="K10" s="27"/>
      <c r="L10" s="19"/>
      <c r="M10" s="25" t="s">
        <v>53</v>
      </c>
      <c r="N10" s="26"/>
      <c r="O10" s="27"/>
      <c r="P10" s="27"/>
      <c r="Q10" s="27"/>
      <c r="R10" s="19"/>
      <c r="S10" s="25" t="s">
        <v>53</v>
      </c>
      <c r="T10" s="26"/>
      <c r="U10" s="27"/>
      <c r="V10" s="27"/>
      <c r="W10" s="27"/>
      <c r="X10" s="19"/>
      <c r="Y10" s="25" t="s">
        <v>53</v>
      </c>
      <c r="Z10" s="26"/>
      <c r="AA10" s="27"/>
      <c r="AB10" s="27"/>
      <c r="AC10" s="27"/>
      <c r="AD10" s="19"/>
      <c r="AE10" s="25" t="s">
        <v>53</v>
      </c>
      <c r="AF10" s="26"/>
      <c r="AG10" s="27"/>
      <c r="AH10" s="27"/>
      <c r="AI10" s="27"/>
      <c r="AJ10" s="19"/>
      <c r="AK10" s="25" t="s">
        <v>53</v>
      </c>
      <c r="AL10" s="26"/>
      <c r="AM10" s="27"/>
      <c r="AN10" s="27"/>
      <c r="AO10" s="27"/>
      <c r="AP10" s="19"/>
      <c r="AQ10" s="25" t="s">
        <v>22</v>
      </c>
      <c r="AR10" s="26"/>
      <c r="AS10" s="27"/>
      <c r="AT10" s="27"/>
      <c r="AU10" s="27"/>
      <c r="AV10" s="19"/>
      <c r="AW10" s="25" t="s">
        <v>22</v>
      </c>
      <c r="AX10" s="26"/>
      <c r="AY10" s="27"/>
      <c r="AZ10" s="27"/>
      <c r="BA10" s="27"/>
      <c r="BB10" s="19"/>
      <c r="BC10" s="25" t="s">
        <v>22</v>
      </c>
      <c r="BD10" s="26"/>
      <c r="BE10" s="27"/>
      <c r="BF10" s="27"/>
      <c r="BG10" s="27"/>
      <c r="BH10" s="19"/>
      <c r="BI10" s="50"/>
      <c r="BJ10" s="50"/>
      <c r="BK10" s="51"/>
      <c r="BL10" s="51"/>
      <c r="BM10" s="51"/>
    </row>
    <row r="11" spans="1:66" x14ac:dyDescent="0.2">
      <c r="A11" s="22" t="s">
        <v>106</v>
      </c>
      <c r="B11" s="18"/>
      <c r="C11" s="52">
        <f>SUM('Calcs revised method'!D8:E8)</f>
        <v>10723</v>
      </c>
      <c r="D11" s="29">
        <f>+J12</f>
        <v>-1.5</v>
      </c>
      <c r="E11" s="28">
        <f>C11*D11</f>
        <v>-16084.5</v>
      </c>
      <c r="F11" s="19"/>
      <c r="G11" s="22" t="s">
        <v>100</v>
      </c>
      <c r="H11" s="18"/>
      <c r="I11" s="52">
        <v>10752</v>
      </c>
      <c r="J11" s="29">
        <f>+P12</f>
        <v>-1.36</v>
      </c>
      <c r="K11" s="28">
        <v>-14623</v>
      </c>
      <c r="L11" s="19"/>
      <c r="M11" s="22" t="s">
        <v>95</v>
      </c>
      <c r="N11" s="18"/>
      <c r="O11" s="52">
        <v>10752</v>
      </c>
      <c r="P11" s="29">
        <f>+V12</f>
        <v>-1.52</v>
      </c>
      <c r="Q11" s="28">
        <f>O11*P11</f>
        <v>-16343.04</v>
      </c>
      <c r="R11" s="19"/>
      <c r="S11" s="22" t="s">
        <v>90</v>
      </c>
      <c r="T11" s="18"/>
      <c r="U11" s="52">
        <v>10752</v>
      </c>
      <c r="V11" s="29">
        <f>+AB12</f>
        <v>-1.82</v>
      </c>
      <c r="W11" s="28">
        <f>U11*V11</f>
        <v>-19568.64</v>
      </c>
      <c r="X11" s="19"/>
      <c r="Y11" s="22" t="s">
        <v>83</v>
      </c>
      <c r="Z11" s="18"/>
      <c r="AA11" s="52">
        <v>10752</v>
      </c>
      <c r="AB11" s="29">
        <f>+AH12</f>
        <v>-1.9008299293263309</v>
      </c>
      <c r="AC11" s="28">
        <f>AA11*AB11</f>
        <v>-20437.723400116709</v>
      </c>
      <c r="AD11" s="19"/>
      <c r="AE11" s="22" t="s">
        <v>68</v>
      </c>
      <c r="AF11" s="18"/>
      <c r="AG11" s="52">
        <v>10594</v>
      </c>
      <c r="AH11" s="76">
        <f>+AN12</f>
        <v>-1.68</v>
      </c>
      <c r="AI11" s="28">
        <f>AG11*AH11</f>
        <v>-17797.919999999998</v>
      </c>
      <c r="AJ11" s="19"/>
      <c r="AK11" s="22" t="s">
        <v>54</v>
      </c>
      <c r="AL11" s="18"/>
      <c r="AM11" s="52">
        <v>10282</v>
      </c>
      <c r="AN11" s="76">
        <v>-1.47</v>
      </c>
      <c r="AO11" s="28">
        <f>AM11*AN11</f>
        <v>-15114.539999999999</v>
      </c>
      <c r="AP11" s="19"/>
      <c r="AQ11" s="22" t="s">
        <v>47</v>
      </c>
      <c r="AR11" s="18"/>
      <c r="AS11" s="52">
        <v>15485</v>
      </c>
      <c r="AT11" s="76">
        <f>ROUND(BH27,2)</f>
        <v>-1.59</v>
      </c>
      <c r="AU11" s="28">
        <f>AS11*AT11</f>
        <v>-24621.15</v>
      </c>
      <c r="AV11" s="19"/>
      <c r="AW11" s="22" t="s">
        <v>41</v>
      </c>
      <c r="AX11" s="18"/>
      <c r="AY11" s="52">
        <v>23216</v>
      </c>
      <c r="AZ11" s="76">
        <f>+BH27</f>
        <v>-1.59</v>
      </c>
      <c r="BA11" s="28">
        <f>AY11*AZ11</f>
        <v>-36913.440000000002</v>
      </c>
      <c r="BB11" s="19"/>
      <c r="BC11" s="22" t="s">
        <v>42</v>
      </c>
      <c r="BD11" s="18"/>
      <c r="BE11" s="52">
        <v>0</v>
      </c>
      <c r="BF11" s="29">
        <v>0</v>
      </c>
      <c r="BG11" s="28">
        <f>BE11*BF11</f>
        <v>0</v>
      </c>
      <c r="BH11" s="19"/>
      <c r="BK11" s="52"/>
      <c r="BL11" s="53"/>
      <c r="BM11" s="52"/>
    </row>
    <row r="12" spans="1:66" ht="15" x14ac:dyDescent="0.35">
      <c r="A12" s="22" t="s">
        <v>107</v>
      </c>
      <c r="B12" s="30"/>
      <c r="C12" s="55">
        <f>SUM('Calcs revised method'!F8:O8)</f>
        <v>49488</v>
      </c>
      <c r="D12" s="29">
        <f>+L25</f>
        <v>-1.1000000000000001</v>
      </c>
      <c r="E12" s="28">
        <f>C12*D12</f>
        <v>-54436.800000000003</v>
      </c>
      <c r="F12" s="19"/>
      <c r="G12" s="22" t="s">
        <v>101</v>
      </c>
      <c r="H12" s="30"/>
      <c r="I12" s="55">
        <v>52814</v>
      </c>
      <c r="J12" s="29">
        <f>+R25</f>
        <v>-1.5</v>
      </c>
      <c r="K12" s="28">
        <v>-79221</v>
      </c>
      <c r="L12" s="19"/>
      <c r="M12" s="22" t="s">
        <v>96</v>
      </c>
      <c r="N12" s="30"/>
      <c r="O12" s="55">
        <v>52814</v>
      </c>
      <c r="P12" s="29">
        <f>+X25</f>
        <v>-1.36</v>
      </c>
      <c r="Q12" s="28">
        <f>O12*P12</f>
        <v>-71827.040000000008</v>
      </c>
      <c r="R12" s="19"/>
      <c r="S12" s="22" t="s">
        <v>91</v>
      </c>
      <c r="T12" s="30"/>
      <c r="U12" s="55">
        <v>52814</v>
      </c>
      <c r="V12" s="29">
        <f>+AD25</f>
        <v>-1.52</v>
      </c>
      <c r="W12" s="28">
        <f>U12*V12</f>
        <v>-80277.279999999999</v>
      </c>
      <c r="X12" s="19"/>
      <c r="Y12" s="22" t="s">
        <v>84</v>
      </c>
      <c r="Z12" s="30"/>
      <c r="AA12" s="55">
        <v>52814</v>
      </c>
      <c r="AB12" s="29">
        <f>+AJ25</f>
        <v>-1.82</v>
      </c>
      <c r="AC12" s="28">
        <f>AA12*AB12</f>
        <v>-96121.48000000001</v>
      </c>
      <c r="AD12" s="19"/>
      <c r="AE12" s="22" t="s">
        <v>69</v>
      </c>
      <c r="AF12" s="30"/>
      <c r="AG12" s="55">
        <v>20656</v>
      </c>
      <c r="AH12" s="29">
        <f>+AP25</f>
        <v>-1.9008299293263309</v>
      </c>
      <c r="AI12" s="28">
        <f>AG12*AH12</f>
        <v>-39263.543020164689</v>
      </c>
      <c r="AJ12" s="19"/>
      <c r="AK12" s="22" t="s">
        <v>55</v>
      </c>
      <c r="AL12" s="30"/>
      <c r="AM12" s="55">
        <v>20564</v>
      </c>
      <c r="AN12" s="29">
        <v>-1.68</v>
      </c>
      <c r="AO12" s="28">
        <f>AM12*AN12</f>
        <v>-34547.519999999997</v>
      </c>
      <c r="AP12" s="19"/>
      <c r="AQ12" s="22" t="s">
        <v>48</v>
      </c>
      <c r="AR12" s="30"/>
      <c r="AS12" s="55">
        <v>30971</v>
      </c>
      <c r="AT12" s="29">
        <f>+ROUND(BB25,2)</f>
        <v>-1.47</v>
      </c>
      <c r="AU12" s="28">
        <f>AS12*AT12</f>
        <v>-45527.37</v>
      </c>
      <c r="AV12" s="19"/>
      <c r="AW12" s="22" t="s">
        <v>45</v>
      </c>
      <c r="AX12" s="30"/>
      <c r="AY12" s="55">
        <v>23216</v>
      </c>
      <c r="AZ12" s="29">
        <f>+BH27</f>
        <v>-1.59</v>
      </c>
      <c r="BA12" s="28">
        <f>AY12*AZ12</f>
        <v>-36913.440000000002</v>
      </c>
      <c r="BB12" s="19"/>
      <c r="BC12" s="22"/>
      <c r="BD12" s="30"/>
      <c r="BE12" s="55">
        <v>0</v>
      </c>
      <c r="BF12" s="29">
        <v>0</v>
      </c>
      <c r="BG12" s="28">
        <f>BE12*BF12</f>
        <v>0</v>
      </c>
      <c r="BH12" s="19"/>
      <c r="BJ12" s="54"/>
      <c r="BK12" s="55"/>
      <c r="BL12" s="53"/>
      <c r="BM12" s="55"/>
    </row>
    <row r="13" spans="1:66" x14ac:dyDescent="0.2">
      <c r="A13" s="22" t="s">
        <v>10</v>
      </c>
      <c r="B13" s="18"/>
      <c r="C13" s="28">
        <f>SUM(C11:C12)</f>
        <v>60211</v>
      </c>
      <c r="D13" s="28"/>
      <c r="E13" s="28">
        <f>SUM(E11:E12)</f>
        <v>-70521.3</v>
      </c>
      <c r="F13" s="19"/>
      <c r="G13" s="22" t="s">
        <v>10</v>
      </c>
      <c r="H13" s="18"/>
      <c r="I13" s="28">
        <f>SUM(I11:I12)</f>
        <v>63566</v>
      </c>
      <c r="J13" s="28"/>
      <c r="K13" s="28">
        <f>SUM(K11:K12)</f>
        <v>-93844</v>
      </c>
      <c r="L13" s="19"/>
      <c r="M13" s="22" t="s">
        <v>10</v>
      </c>
      <c r="N13" s="18"/>
      <c r="O13" s="28">
        <f>SUM(O11:O12)</f>
        <v>63566</v>
      </c>
      <c r="P13" s="28"/>
      <c r="Q13" s="28">
        <f>SUM(Q11:Q12)</f>
        <v>-88170.080000000016</v>
      </c>
      <c r="R13" s="19"/>
      <c r="S13" s="22" t="s">
        <v>10</v>
      </c>
      <c r="T13" s="18"/>
      <c r="U13" s="28">
        <f>SUM(U11:U12)</f>
        <v>63566</v>
      </c>
      <c r="V13" s="28"/>
      <c r="W13" s="28">
        <f>SUM(W11:W12)</f>
        <v>-99845.92</v>
      </c>
      <c r="X13" s="19"/>
      <c r="Y13" s="22" t="s">
        <v>10</v>
      </c>
      <c r="Z13" s="18"/>
      <c r="AA13" s="28">
        <f>SUM(AA11:AA12)</f>
        <v>63566</v>
      </c>
      <c r="AB13" s="28"/>
      <c r="AC13" s="28">
        <f>SUM(AC11:AC12)</f>
        <v>-116559.20340011672</v>
      </c>
      <c r="AD13" s="19"/>
      <c r="AE13" s="22" t="s">
        <v>10</v>
      </c>
      <c r="AF13" s="18"/>
      <c r="AG13" s="28">
        <f>SUM(AG11:AG12)</f>
        <v>31250</v>
      </c>
      <c r="AH13" s="28"/>
      <c r="AI13" s="28">
        <f>SUM(AI11:AI12)</f>
        <v>-57061.463020164687</v>
      </c>
      <c r="AJ13" s="19"/>
      <c r="AK13" s="22" t="s">
        <v>10</v>
      </c>
      <c r="AL13" s="18"/>
      <c r="AM13" s="28">
        <f>SUM(AM11:AM12)</f>
        <v>30846</v>
      </c>
      <c r="AN13" s="28"/>
      <c r="AO13" s="28">
        <f>SUM(AO11:AO12)</f>
        <v>-49662.06</v>
      </c>
      <c r="AP13" s="19"/>
      <c r="AQ13" s="22" t="s">
        <v>10</v>
      </c>
      <c r="AR13" s="18"/>
      <c r="AS13" s="28">
        <f>SUM(AS11:AS12)</f>
        <v>46456</v>
      </c>
      <c r="AT13" s="28"/>
      <c r="AU13" s="28">
        <f>SUM(AU11:AU12)</f>
        <v>-70148.52</v>
      </c>
      <c r="AV13" s="19"/>
      <c r="AW13" s="22" t="s">
        <v>10</v>
      </c>
      <c r="AX13" s="18"/>
      <c r="AY13" s="28">
        <f>SUM(AY11:AY12)</f>
        <v>46432</v>
      </c>
      <c r="AZ13" s="28"/>
      <c r="BA13" s="28">
        <f>SUM(BA11:BA12)</f>
        <v>-73826.880000000005</v>
      </c>
      <c r="BB13" s="19"/>
      <c r="BC13" s="22" t="s">
        <v>10</v>
      </c>
      <c r="BD13" s="18"/>
      <c r="BE13" s="28">
        <f>SUM(BE11:BE12)</f>
        <v>0</v>
      </c>
      <c r="BF13" s="28"/>
      <c r="BG13" s="28">
        <f>SUM(BG11:BG12)</f>
        <v>0</v>
      </c>
      <c r="BH13" s="19"/>
      <c r="BK13" s="52"/>
      <c r="BM13" s="52"/>
    </row>
    <row r="14" spans="1:66" x14ac:dyDescent="0.2">
      <c r="A14" s="22"/>
      <c r="B14" s="18"/>
      <c r="C14" s="18"/>
      <c r="D14" s="18"/>
      <c r="E14" s="18"/>
      <c r="F14" s="19"/>
      <c r="G14" s="22"/>
      <c r="H14" s="18"/>
      <c r="I14" s="18"/>
      <c r="J14" s="18"/>
      <c r="K14" s="18"/>
      <c r="L14" s="19"/>
      <c r="M14" s="22"/>
      <c r="N14" s="18"/>
      <c r="O14" s="18"/>
      <c r="P14" s="18"/>
      <c r="Q14" s="18"/>
      <c r="R14" s="19"/>
      <c r="S14" s="22"/>
      <c r="T14" s="18"/>
      <c r="U14" s="18"/>
      <c r="V14" s="18"/>
      <c r="W14" s="18"/>
      <c r="X14" s="19"/>
      <c r="Y14" s="22"/>
      <c r="Z14" s="18"/>
      <c r="AA14" s="18"/>
      <c r="AB14" s="18"/>
      <c r="AC14" s="18"/>
      <c r="AD14" s="19"/>
      <c r="AE14" s="22"/>
      <c r="AF14" s="18"/>
      <c r="AG14" s="18"/>
      <c r="AH14" s="18"/>
      <c r="AI14" s="18"/>
      <c r="AJ14" s="19"/>
      <c r="AK14" s="22"/>
      <c r="AL14" s="18"/>
      <c r="AM14" s="18"/>
      <c r="AN14" s="18"/>
      <c r="AO14" s="18"/>
      <c r="AP14" s="19"/>
      <c r="AQ14" s="22"/>
      <c r="AR14" s="18"/>
      <c r="AS14" s="18"/>
      <c r="AT14" s="18"/>
      <c r="AU14" s="18"/>
      <c r="AV14" s="19"/>
      <c r="AW14" s="22"/>
      <c r="AX14" s="18"/>
      <c r="AY14" s="18"/>
      <c r="AZ14" s="18"/>
      <c r="BA14" s="18"/>
      <c r="BB14" s="19"/>
      <c r="BC14" s="22"/>
      <c r="BD14" s="18"/>
      <c r="BE14" s="18"/>
      <c r="BF14" s="18"/>
      <c r="BG14" s="18"/>
      <c r="BH14" s="19"/>
    </row>
    <row r="15" spans="1:66" x14ac:dyDescent="0.2">
      <c r="A15" s="22" t="s">
        <v>108</v>
      </c>
      <c r="B15" s="18"/>
      <c r="C15" s="18"/>
      <c r="D15" s="18"/>
      <c r="E15" s="52">
        <f>+'Calcs revised method'!Q18</f>
        <v>-70980.150621940207</v>
      </c>
      <c r="F15" s="19"/>
      <c r="G15" s="22" t="s">
        <v>102</v>
      </c>
      <c r="H15" s="18"/>
      <c r="I15" s="18"/>
      <c r="J15" s="18"/>
      <c r="K15" s="52">
        <v>69999</v>
      </c>
      <c r="L15" s="19"/>
      <c r="M15" s="22" t="s">
        <v>97</v>
      </c>
      <c r="N15" s="18"/>
      <c r="O15" s="18"/>
      <c r="P15" s="18"/>
      <c r="Q15" s="52">
        <v>-95327</v>
      </c>
      <c r="R15" s="19"/>
      <c r="S15" s="22" t="s">
        <v>92</v>
      </c>
      <c r="T15" s="18"/>
      <c r="U15" s="18"/>
      <c r="V15" s="18"/>
      <c r="W15" s="52">
        <v>-86595</v>
      </c>
      <c r="X15" s="19"/>
      <c r="Y15" s="22" t="s">
        <v>82</v>
      </c>
      <c r="Z15" s="18"/>
      <c r="AA15" s="18"/>
      <c r="AB15" s="18"/>
      <c r="AC15" s="52">
        <v>-91283</v>
      </c>
      <c r="AD15" s="19"/>
      <c r="AE15" s="22" t="s">
        <v>70</v>
      </c>
      <c r="AF15" s="18"/>
      <c r="AG15" s="18"/>
      <c r="AH15" s="18"/>
      <c r="AI15" s="52">
        <v>-54916</v>
      </c>
      <c r="AJ15" s="19"/>
      <c r="AK15" s="22" t="s">
        <v>52</v>
      </c>
      <c r="AL15" s="18"/>
      <c r="AM15" s="18"/>
      <c r="AN15" s="18"/>
      <c r="AO15" s="52">
        <v>-58633</v>
      </c>
      <c r="AP15" s="19"/>
      <c r="AQ15" s="22" t="s">
        <v>50</v>
      </c>
      <c r="AR15" s="18"/>
      <c r="AS15" s="18"/>
      <c r="AT15" s="18"/>
      <c r="AU15" s="52">
        <v>-78148</v>
      </c>
      <c r="AV15" s="19"/>
      <c r="AW15" s="22" t="s">
        <v>46</v>
      </c>
      <c r="AX15" s="18"/>
      <c r="AY15" s="18"/>
      <c r="AZ15" s="18"/>
      <c r="BA15" s="52">
        <v>-68442</v>
      </c>
      <c r="BB15" s="19"/>
      <c r="BC15" s="22" t="s">
        <v>13</v>
      </c>
      <c r="BD15" s="18"/>
      <c r="BE15" s="18"/>
      <c r="BF15" s="18"/>
      <c r="BG15" s="52">
        <v>-122720</v>
      </c>
      <c r="BH15" s="19"/>
      <c r="BI15" s="43"/>
      <c r="BM15" s="52"/>
    </row>
    <row r="16" spans="1:66" x14ac:dyDescent="0.2">
      <c r="A16" s="22"/>
      <c r="B16" s="18"/>
      <c r="C16" s="18"/>
      <c r="D16" s="18"/>
      <c r="E16" s="77"/>
      <c r="F16" s="19"/>
      <c r="G16" s="22"/>
      <c r="H16" s="18"/>
      <c r="I16" s="18"/>
      <c r="J16" s="18"/>
      <c r="K16" s="77"/>
      <c r="L16" s="19"/>
      <c r="M16" s="22"/>
      <c r="N16" s="18"/>
      <c r="O16" s="18"/>
      <c r="P16" s="18"/>
      <c r="Q16" s="77"/>
      <c r="R16" s="19"/>
      <c r="S16" s="22"/>
      <c r="T16" s="18"/>
      <c r="U16" s="18"/>
      <c r="V16" s="18"/>
      <c r="W16" s="77"/>
      <c r="X16" s="19"/>
      <c r="Y16" s="22"/>
      <c r="Z16" s="18"/>
      <c r="AA16" s="18"/>
      <c r="AB16" s="18"/>
      <c r="AC16" s="77"/>
      <c r="AD16" s="19"/>
      <c r="AE16" s="22"/>
      <c r="AF16" s="18"/>
      <c r="AG16" s="18"/>
      <c r="AH16" s="18"/>
      <c r="AI16" s="77"/>
      <c r="AJ16" s="19"/>
      <c r="AK16" s="22"/>
      <c r="AL16" s="18"/>
      <c r="AM16" s="18"/>
      <c r="AN16" s="18"/>
      <c r="AO16" s="77"/>
      <c r="AP16" s="19"/>
      <c r="AQ16" s="22"/>
      <c r="AR16" s="18"/>
      <c r="AS16" s="18"/>
      <c r="AT16" s="18"/>
      <c r="AU16" s="77"/>
      <c r="AV16" s="19"/>
      <c r="AW16" s="22" t="s">
        <v>44</v>
      </c>
      <c r="AX16" s="18"/>
      <c r="AY16" s="18"/>
      <c r="AZ16" s="18"/>
      <c r="BA16" s="77">
        <v>2688</v>
      </c>
      <c r="BB16" s="19"/>
      <c r="BC16" s="22"/>
      <c r="BD16" s="18"/>
      <c r="BE16" s="18"/>
      <c r="BF16" s="18"/>
      <c r="BG16" s="18"/>
      <c r="BH16" s="19"/>
    </row>
    <row r="17" spans="1:66" x14ac:dyDescent="0.2">
      <c r="A17" s="22" t="s">
        <v>14</v>
      </c>
      <c r="B17" s="18"/>
      <c r="C17" s="18"/>
      <c r="D17" s="18"/>
      <c r="E17" s="28">
        <f>-E13+E15-E16</f>
        <v>-458.85062194020429</v>
      </c>
      <c r="F17" s="19"/>
      <c r="G17" s="22" t="s">
        <v>14</v>
      </c>
      <c r="H17" s="18"/>
      <c r="I17" s="18"/>
      <c r="J17" s="18"/>
      <c r="K17" s="28">
        <v>23844</v>
      </c>
      <c r="L17" s="19"/>
      <c r="M17" s="22" t="s">
        <v>14</v>
      </c>
      <c r="N17" s="18"/>
      <c r="O17" s="18"/>
      <c r="P17" s="18"/>
      <c r="Q17" s="28">
        <f>-Q13+Q15-Q16</f>
        <v>-7156.9199999999837</v>
      </c>
      <c r="R17" s="19"/>
      <c r="S17" s="22" t="s">
        <v>14</v>
      </c>
      <c r="T17" s="18"/>
      <c r="U17" s="18"/>
      <c r="V17" s="18"/>
      <c r="W17" s="28">
        <f>-W13+W15-W16</f>
        <v>13250.919999999998</v>
      </c>
      <c r="X17" s="19"/>
      <c r="Y17" s="22" t="s">
        <v>14</v>
      </c>
      <c r="Z17" s="18"/>
      <c r="AA17" s="18"/>
      <c r="AB17" s="18"/>
      <c r="AC17" s="28">
        <f>-AC13+AC15-AC16</f>
        <v>25276.203400116719</v>
      </c>
      <c r="AD17" s="19"/>
      <c r="AE17" s="22" t="s">
        <v>14</v>
      </c>
      <c r="AF17" s="18"/>
      <c r="AG17" s="18"/>
      <c r="AH17" s="18"/>
      <c r="AI17" s="28">
        <f>-AI13+AI15-AI16</f>
        <v>2145.4630201646869</v>
      </c>
      <c r="AJ17" s="19"/>
      <c r="AK17" s="22" t="s">
        <v>14</v>
      </c>
      <c r="AL17" s="18"/>
      <c r="AM17" s="18"/>
      <c r="AN17" s="18"/>
      <c r="AO17" s="28">
        <f>-AO13+AO15-AO16</f>
        <v>-8970.9400000000023</v>
      </c>
      <c r="AP17" s="19"/>
      <c r="AQ17" s="22" t="s">
        <v>14</v>
      </c>
      <c r="AR17" s="18"/>
      <c r="AS17" s="18"/>
      <c r="AT17" s="18"/>
      <c r="AU17" s="28">
        <f>-AU13+AU15-AU16</f>
        <v>-7999.4799999999959</v>
      </c>
      <c r="AV17" s="19"/>
      <c r="AW17" s="22" t="s">
        <v>14</v>
      </c>
      <c r="AX17" s="18"/>
      <c r="AY17" s="18"/>
      <c r="AZ17" s="18"/>
      <c r="BA17" s="28">
        <f>-BA13+BA15-BA16</f>
        <v>2696.8800000000047</v>
      </c>
      <c r="BB17" s="19"/>
      <c r="BC17" s="22" t="s">
        <v>14</v>
      </c>
      <c r="BD17" s="18"/>
      <c r="BE17" s="18"/>
      <c r="BF17" s="18"/>
      <c r="BG17" s="28">
        <f>BG15-BG13</f>
        <v>-122720</v>
      </c>
      <c r="BH17" s="19"/>
      <c r="BM17" s="52"/>
    </row>
    <row r="18" spans="1:66" x14ac:dyDescent="0.2">
      <c r="A18" s="22"/>
      <c r="B18" s="18"/>
      <c r="C18" s="18"/>
      <c r="D18" s="18"/>
      <c r="E18" s="18"/>
      <c r="F18" s="19"/>
      <c r="G18" s="22"/>
      <c r="H18" s="18"/>
      <c r="I18" s="18"/>
      <c r="J18" s="18"/>
      <c r="K18" s="18"/>
      <c r="L18" s="19"/>
      <c r="M18" s="22"/>
      <c r="N18" s="18"/>
      <c r="O18" s="18"/>
      <c r="P18" s="18"/>
      <c r="Q18" s="18"/>
      <c r="R18" s="19"/>
      <c r="S18" s="22"/>
      <c r="T18" s="18"/>
      <c r="U18" s="18"/>
      <c r="V18" s="18"/>
      <c r="W18" s="18"/>
      <c r="X18" s="19"/>
      <c r="Y18" s="22"/>
      <c r="Z18" s="18"/>
      <c r="AA18" s="18"/>
      <c r="AB18" s="18"/>
      <c r="AC18" s="18"/>
      <c r="AD18" s="19"/>
      <c r="AE18" s="22"/>
      <c r="AF18" s="18"/>
      <c r="AG18" s="18"/>
      <c r="AH18" s="18"/>
      <c r="AI18" s="18"/>
      <c r="AJ18" s="19"/>
      <c r="AK18" s="22"/>
      <c r="AL18" s="18"/>
      <c r="AM18" s="18"/>
      <c r="AN18" s="18"/>
      <c r="AO18" s="18"/>
      <c r="AP18" s="19"/>
      <c r="AQ18" s="22"/>
      <c r="AR18" s="18"/>
      <c r="AS18" s="18"/>
      <c r="AT18" s="18"/>
      <c r="AU18" s="18"/>
      <c r="AV18" s="19"/>
      <c r="AW18" s="22"/>
      <c r="AX18" s="18"/>
      <c r="AY18" s="18"/>
      <c r="AZ18" s="18"/>
      <c r="BA18" s="18"/>
      <c r="BB18" s="19"/>
      <c r="BC18" s="22"/>
      <c r="BD18" s="18"/>
      <c r="BE18" s="18"/>
      <c r="BF18" s="18"/>
      <c r="BG18" s="18"/>
      <c r="BH18" s="19"/>
    </row>
    <row r="19" spans="1:66" x14ac:dyDescent="0.2">
      <c r="A19" s="22" t="s">
        <v>15</v>
      </c>
      <c r="B19" s="18"/>
      <c r="C19" s="18"/>
      <c r="D19" s="18"/>
      <c r="E19" s="28">
        <f>+C13</f>
        <v>60211</v>
      </c>
      <c r="F19" s="19"/>
      <c r="G19" s="22" t="s">
        <v>15</v>
      </c>
      <c r="H19" s="18"/>
      <c r="I19" s="18"/>
      <c r="J19" s="18"/>
      <c r="K19" s="28">
        <v>63566</v>
      </c>
      <c r="L19" s="19"/>
      <c r="M19" s="22" t="s">
        <v>15</v>
      </c>
      <c r="N19" s="18"/>
      <c r="O19" s="18"/>
      <c r="P19" s="18"/>
      <c r="Q19" s="28">
        <f>+O13</f>
        <v>63566</v>
      </c>
      <c r="R19" s="19"/>
      <c r="S19" s="22" t="s">
        <v>15</v>
      </c>
      <c r="T19" s="18"/>
      <c r="U19" s="18"/>
      <c r="V19" s="18"/>
      <c r="W19" s="28">
        <f>+U13</f>
        <v>63566</v>
      </c>
      <c r="X19" s="19"/>
      <c r="Y19" s="22" t="s">
        <v>15</v>
      </c>
      <c r="Z19" s="18"/>
      <c r="AA19" s="18"/>
      <c r="AB19" s="18"/>
      <c r="AC19" s="28">
        <f>SUM('Calcs revised method'!D8:O8)</f>
        <v>60211</v>
      </c>
      <c r="AD19" s="19"/>
      <c r="AE19" s="22" t="s">
        <v>15</v>
      </c>
      <c r="AF19" s="18"/>
      <c r="AG19" s="18"/>
      <c r="AH19" s="18"/>
      <c r="AI19" s="28">
        <v>62510</v>
      </c>
      <c r="AJ19" s="19"/>
      <c r="AK19" s="22" t="s">
        <v>15</v>
      </c>
      <c r="AL19" s="18"/>
      <c r="AM19" s="18"/>
      <c r="AN19" s="18"/>
      <c r="AO19" s="28">
        <f>+AM13</f>
        <v>30846</v>
      </c>
      <c r="AP19" s="19"/>
      <c r="AQ19" s="22" t="s">
        <v>15</v>
      </c>
      <c r="AR19" s="18"/>
      <c r="AS19" s="18"/>
      <c r="AT19" s="18"/>
      <c r="AU19" s="28">
        <f>+AS13</f>
        <v>46456</v>
      </c>
      <c r="AV19" s="19"/>
      <c r="AW19" s="22" t="s">
        <v>15</v>
      </c>
      <c r="AX19" s="18"/>
      <c r="AY19" s="18"/>
      <c r="AZ19" s="18"/>
      <c r="BA19" s="28">
        <f>+AY13</f>
        <v>46432</v>
      </c>
      <c r="BB19" s="19"/>
      <c r="BC19" s="22" t="s">
        <v>15</v>
      </c>
      <c r="BD19" s="18"/>
      <c r="BE19" s="18"/>
      <c r="BF19" s="18"/>
      <c r="BG19" s="28">
        <f>+BE13</f>
        <v>0</v>
      </c>
      <c r="BH19" s="19"/>
      <c r="BM19" s="52"/>
    </row>
    <row r="20" spans="1:66" x14ac:dyDescent="0.2">
      <c r="A20" s="22"/>
      <c r="B20" s="18"/>
      <c r="C20" s="18"/>
      <c r="D20" s="18"/>
      <c r="E20" s="18"/>
      <c r="F20" s="19"/>
      <c r="G20" s="22"/>
      <c r="H20" s="18"/>
      <c r="I20" s="18"/>
      <c r="J20" s="18"/>
      <c r="K20" s="18"/>
      <c r="L20" s="19"/>
      <c r="M20" s="22"/>
      <c r="N20" s="18"/>
      <c r="O20" s="18"/>
      <c r="P20" s="18"/>
      <c r="Q20" s="18"/>
      <c r="R20" s="19"/>
      <c r="S20" s="22"/>
      <c r="T20" s="18"/>
      <c r="U20" s="18"/>
      <c r="V20" s="18"/>
      <c r="W20" s="18"/>
      <c r="X20" s="19"/>
      <c r="Y20" s="22"/>
      <c r="Z20" s="18"/>
      <c r="AA20" s="18"/>
      <c r="AB20" s="18"/>
      <c r="AC20" s="18"/>
      <c r="AD20" s="19"/>
      <c r="AE20" s="22"/>
      <c r="AF20" s="18"/>
      <c r="AG20" s="18"/>
      <c r="AH20" s="18"/>
      <c r="AI20" s="18"/>
      <c r="AJ20" s="19"/>
      <c r="AK20" s="22"/>
      <c r="AL20" s="18"/>
      <c r="AM20" s="18"/>
      <c r="AN20" s="18"/>
      <c r="AO20" s="18"/>
      <c r="AP20" s="19"/>
      <c r="AQ20" s="22"/>
      <c r="AR20" s="18"/>
      <c r="AS20" s="18"/>
      <c r="AT20" s="18"/>
      <c r="AU20" s="18"/>
      <c r="AV20" s="19"/>
      <c r="AW20" s="22"/>
      <c r="AX20" s="18"/>
      <c r="AY20" s="18"/>
      <c r="AZ20" s="18"/>
      <c r="BA20" s="18"/>
      <c r="BB20" s="19"/>
      <c r="BC20" s="22"/>
      <c r="BD20" s="18"/>
      <c r="BE20" s="18"/>
      <c r="BF20" s="18"/>
      <c r="BG20" s="18"/>
      <c r="BH20" s="19"/>
    </row>
    <row r="21" spans="1:66" x14ac:dyDescent="0.2">
      <c r="A21" s="22" t="s">
        <v>16</v>
      </c>
      <c r="B21" s="18"/>
      <c r="C21" s="18"/>
      <c r="D21" s="18"/>
      <c r="E21" s="18"/>
      <c r="F21" s="31">
        <f>ROUND((E17/E19),2)</f>
        <v>-0.01</v>
      </c>
      <c r="G21" s="22" t="s">
        <v>16</v>
      </c>
      <c r="H21" s="18"/>
      <c r="I21" s="18"/>
      <c r="J21" s="18"/>
      <c r="K21" s="18"/>
      <c r="L21" s="31">
        <f>ROUND((K17/K19),2)</f>
        <v>0.38</v>
      </c>
      <c r="M21" s="22" t="s">
        <v>16</v>
      </c>
      <c r="N21" s="18"/>
      <c r="O21" s="18"/>
      <c r="P21" s="18"/>
      <c r="Q21" s="18"/>
      <c r="R21" s="31">
        <f>ROUND((Q17/Q19),2)</f>
        <v>-0.11</v>
      </c>
      <c r="S21" s="22" t="s">
        <v>16</v>
      </c>
      <c r="T21" s="18"/>
      <c r="U21" s="18"/>
      <c r="V21" s="18"/>
      <c r="W21" s="18"/>
      <c r="X21" s="31">
        <f>ROUND((W17/W19),2)</f>
        <v>0.21</v>
      </c>
      <c r="Y21" s="22" t="s">
        <v>16</v>
      </c>
      <c r="Z21" s="18"/>
      <c r="AA21" s="18"/>
      <c r="AB21" s="18"/>
      <c r="AC21" s="18"/>
      <c r="AD21" s="31">
        <f>ROUND((AC17/AC19),2)</f>
        <v>0.42</v>
      </c>
      <c r="AE21" s="22" t="s">
        <v>16</v>
      </c>
      <c r="AF21" s="18"/>
      <c r="AG21" s="18"/>
      <c r="AH21" s="18"/>
      <c r="AI21" s="18"/>
      <c r="AJ21" s="31">
        <f>ROUND((AI17/AI19),2)</f>
        <v>0.03</v>
      </c>
      <c r="AK21" s="22" t="s">
        <v>16</v>
      </c>
      <c r="AL21" s="18"/>
      <c r="AM21" s="18"/>
      <c r="AN21" s="18"/>
      <c r="AO21" s="18"/>
      <c r="AP21" s="31">
        <f>ROUND((AO17/AO19),2)</f>
        <v>-0.28999999999999998</v>
      </c>
      <c r="AQ21" s="22" t="s">
        <v>16</v>
      </c>
      <c r="AR21" s="18"/>
      <c r="AS21" s="18"/>
      <c r="AT21" s="18"/>
      <c r="AU21" s="18"/>
      <c r="AV21" s="31">
        <f>ROUND((AU17/AU19),2)</f>
        <v>-0.17</v>
      </c>
      <c r="AW21" s="22" t="s">
        <v>16</v>
      </c>
      <c r="AX21" s="18"/>
      <c r="AY21" s="18"/>
      <c r="AZ21" s="18"/>
      <c r="BA21" s="18"/>
      <c r="BB21" s="31">
        <f>ROUND((BA17/BA19),2)</f>
        <v>0.06</v>
      </c>
      <c r="BC21" s="22" t="s">
        <v>16</v>
      </c>
      <c r="BD21" s="18"/>
      <c r="BE21" s="18"/>
      <c r="BF21" s="18"/>
      <c r="BG21" s="18"/>
      <c r="BH21" s="31" t="e">
        <f>ROUND((BG17/BG19),2)</f>
        <v>#DIV/0!</v>
      </c>
      <c r="BN21" s="56"/>
    </row>
    <row r="22" spans="1:66" x14ac:dyDescent="0.2">
      <c r="A22" s="22"/>
      <c r="B22" s="18"/>
      <c r="C22" s="18"/>
      <c r="D22" s="18"/>
      <c r="E22" s="18"/>
      <c r="F22" s="31"/>
      <c r="G22" s="22"/>
      <c r="H22" s="18"/>
      <c r="I22" s="18"/>
      <c r="J22" s="18"/>
      <c r="K22" s="18"/>
      <c r="L22" s="31"/>
      <c r="M22" s="22"/>
      <c r="N22" s="18"/>
      <c r="O22" s="18"/>
      <c r="P22" s="18"/>
      <c r="Q22" s="18"/>
      <c r="R22" s="31"/>
      <c r="S22" s="22"/>
      <c r="T22" s="18"/>
      <c r="U22" s="18"/>
      <c r="V22" s="18"/>
      <c r="W22" s="18"/>
      <c r="X22" s="31"/>
      <c r="Y22" s="22"/>
      <c r="Z22" s="18"/>
      <c r="AA22" s="18"/>
      <c r="AB22" s="18"/>
      <c r="AC22" s="18"/>
      <c r="AD22" s="31"/>
      <c r="AE22" s="22"/>
      <c r="AF22" s="18"/>
      <c r="AG22" s="18"/>
      <c r="AH22" s="18"/>
      <c r="AI22" s="18"/>
      <c r="AJ22" s="31"/>
      <c r="AK22" s="22"/>
      <c r="AL22" s="18"/>
      <c r="AM22" s="18"/>
      <c r="AN22" s="18"/>
      <c r="AO22" s="18"/>
      <c r="AP22" s="31"/>
      <c r="AQ22" s="22"/>
      <c r="AR22" s="18"/>
      <c r="AS22" s="18"/>
      <c r="AT22" s="18"/>
      <c r="AU22" s="18"/>
      <c r="AV22" s="31"/>
      <c r="AW22" s="22"/>
      <c r="AX22" s="18"/>
      <c r="AY22" s="18"/>
      <c r="AZ22" s="18"/>
      <c r="BA22" s="18"/>
      <c r="BB22" s="31"/>
      <c r="BC22" s="22"/>
      <c r="BD22" s="18"/>
      <c r="BE22" s="18"/>
      <c r="BF22" s="18"/>
      <c r="BG22" s="18"/>
      <c r="BH22" s="31"/>
      <c r="BN22" s="56"/>
    </row>
    <row r="23" spans="1:66" ht="16.5" x14ac:dyDescent="0.35">
      <c r="A23" s="25" t="s">
        <v>109</v>
      </c>
      <c r="B23" s="26"/>
      <c r="C23" s="18"/>
      <c r="D23" s="18"/>
      <c r="E23" s="52">
        <f>+E15</f>
        <v>-70980.150621940207</v>
      </c>
      <c r="F23" s="31"/>
      <c r="G23" s="25" t="s">
        <v>103</v>
      </c>
      <c r="H23" s="26"/>
      <c r="I23" s="18"/>
      <c r="J23" s="18"/>
      <c r="K23" s="52">
        <v>-69999</v>
      </c>
      <c r="L23" s="31"/>
      <c r="M23" s="25" t="s">
        <v>98</v>
      </c>
      <c r="N23" s="26"/>
      <c r="O23" s="18"/>
      <c r="P23" s="18"/>
      <c r="Q23" s="52">
        <f>+Q15</f>
        <v>-95327</v>
      </c>
      <c r="R23" s="31"/>
      <c r="S23" s="25" t="s">
        <v>93</v>
      </c>
      <c r="T23" s="26"/>
      <c r="U23" s="18"/>
      <c r="V23" s="18"/>
      <c r="W23" s="52">
        <v>-86595</v>
      </c>
      <c r="X23" s="31"/>
      <c r="Y23" s="25" t="s">
        <v>85</v>
      </c>
      <c r="Z23" s="26"/>
      <c r="AA23" s="18"/>
      <c r="AB23" s="18"/>
      <c r="AC23" s="52">
        <f>+AC15</f>
        <v>-91283</v>
      </c>
      <c r="AD23" s="31"/>
      <c r="AE23" s="25" t="s">
        <v>71</v>
      </c>
      <c r="AF23" s="26"/>
      <c r="AG23" s="18"/>
      <c r="AH23" s="18"/>
      <c r="AI23" s="52">
        <v>-113549</v>
      </c>
      <c r="AJ23" s="31"/>
      <c r="AK23" s="25" t="s">
        <v>59</v>
      </c>
      <c r="AL23" s="26"/>
      <c r="AM23" s="18"/>
      <c r="AN23" s="18"/>
      <c r="AO23" s="52">
        <v>-58633</v>
      </c>
      <c r="AP23" s="31"/>
      <c r="AQ23" s="25" t="s">
        <v>49</v>
      </c>
      <c r="AR23" s="26"/>
      <c r="AS23" s="18"/>
      <c r="AT23" s="18"/>
      <c r="AU23" s="52">
        <v>-78148</v>
      </c>
      <c r="AV23" s="31"/>
      <c r="AW23" s="25" t="s">
        <v>26</v>
      </c>
      <c r="AX23" s="26"/>
      <c r="AY23" s="18"/>
      <c r="AZ23" s="18"/>
      <c r="BA23" s="52">
        <v>-68442</v>
      </c>
      <c r="BB23" s="31"/>
      <c r="BC23" s="67" t="s">
        <v>43</v>
      </c>
      <c r="BD23" s="26"/>
      <c r="BE23" s="18"/>
      <c r="BF23" s="18"/>
      <c r="BG23" s="66">
        <v>-73974</v>
      </c>
      <c r="BH23" s="31"/>
      <c r="BI23" s="50"/>
      <c r="BJ23" s="50"/>
      <c r="BM23" s="58"/>
      <c r="BN23" s="56"/>
    </row>
    <row r="24" spans="1:66" x14ac:dyDescent="0.2">
      <c r="A24" s="22" t="s">
        <v>15</v>
      </c>
      <c r="B24" s="18"/>
      <c r="C24" s="18"/>
      <c r="D24" s="18"/>
      <c r="E24" s="85">
        <f>+C13</f>
        <v>60211</v>
      </c>
      <c r="F24" s="31"/>
      <c r="G24" s="22" t="s">
        <v>15</v>
      </c>
      <c r="H24" s="18"/>
      <c r="I24" s="18"/>
      <c r="J24" s="18"/>
      <c r="K24" s="85">
        <v>63566</v>
      </c>
      <c r="L24" s="31"/>
      <c r="M24" s="22" t="s">
        <v>15</v>
      </c>
      <c r="N24" s="18"/>
      <c r="O24" s="18"/>
      <c r="P24" s="18"/>
      <c r="Q24" s="85">
        <f>+O13</f>
        <v>63566</v>
      </c>
      <c r="R24" s="31"/>
      <c r="S24" s="22" t="s">
        <v>15</v>
      </c>
      <c r="T24" s="18"/>
      <c r="U24" s="18"/>
      <c r="V24" s="18"/>
      <c r="W24" s="85">
        <f>+U13</f>
        <v>63566</v>
      </c>
      <c r="X24" s="31"/>
      <c r="Y24" s="22" t="s">
        <v>15</v>
      </c>
      <c r="Z24" s="18"/>
      <c r="AA24" s="18"/>
      <c r="AB24" s="18"/>
      <c r="AC24" s="85">
        <f>SUM('Calcs revised method'!D8:O8)</f>
        <v>60211</v>
      </c>
      <c r="AD24" s="31"/>
      <c r="AE24" s="22" t="s">
        <v>15</v>
      </c>
      <c r="AF24" s="18"/>
      <c r="AG24" s="18"/>
      <c r="AH24" s="18"/>
      <c r="AI24" s="85">
        <v>62510</v>
      </c>
      <c r="AJ24" s="31"/>
      <c r="AK24" s="22" t="s">
        <v>15</v>
      </c>
      <c r="AL24" s="18"/>
      <c r="AM24" s="18"/>
      <c r="AN24" s="18"/>
      <c r="AO24" s="85">
        <f>+AM13</f>
        <v>30846</v>
      </c>
      <c r="AP24" s="31"/>
      <c r="AQ24" s="22" t="s">
        <v>15</v>
      </c>
      <c r="AR24" s="18"/>
      <c r="AS24" s="18"/>
      <c r="AT24" s="18"/>
      <c r="AU24" s="52">
        <v>46456</v>
      </c>
      <c r="AV24" s="31"/>
      <c r="AW24" s="22" t="s">
        <v>15</v>
      </c>
      <c r="AX24" s="18"/>
      <c r="AY24" s="18"/>
      <c r="AZ24" s="18"/>
      <c r="BA24" s="52">
        <v>46432</v>
      </c>
      <c r="BB24" s="31"/>
      <c r="BC24" s="22" t="s">
        <v>15</v>
      </c>
      <c r="BD24" s="18"/>
      <c r="BE24" s="18"/>
      <c r="BF24" s="18"/>
      <c r="BG24" s="28">
        <v>46432</v>
      </c>
      <c r="BH24" s="31"/>
      <c r="BM24" s="52"/>
      <c r="BN24" s="56"/>
    </row>
    <row r="25" spans="1:66" ht="15" x14ac:dyDescent="0.35">
      <c r="A25" s="22" t="s">
        <v>17</v>
      </c>
      <c r="B25" s="18"/>
      <c r="C25" s="18"/>
      <c r="D25" s="18"/>
      <c r="E25" s="18"/>
      <c r="F25" s="32">
        <f>ROUND((E23/E24),2)</f>
        <v>-1.18</v>
      </c>
      <c r="G25" s="22" t="s">
        <v>17</v>
      </c>
      <c r="H25" s="18"/>
      <c r="I25" s="18"/>
      <c r="J25" s="18"/>
      <c r="K25" s="18"/>
      <c r="L25" s="32">
        <f>ROUND((K23/K24),2)</f>
        <v>-1.1000000000000001</v>
      </c>
      <c r="M25" s="22" t="s">
        <v>17</v>
      </c>
      <c r="N25" s="18"/>
      <c r="O25" s="18"/>
      <c r="P25" s="18"/>
      <c r="Q25" s="18"/>
      <c r="R25" s="32">
        <f>ROUND((Q23/Q24),2)</f>
        <v>-1.5</v>
      </c>
      <c r="S25" s="22" t="s">
        <v>17</v>
      </c>
      <c r="T25" s="18"/>
      <c r="U25" s="18"/>
      <c r="V25" s="18"/>
      <c r="W25" s="18"/>
      <c r="X25" s="32">
        <f>ROUND((W23/W24),2)</f>
        <v>-1.36</v>
      </c>
      <c r="Y25" s="22" t="s">
        <v>17</v>
      </c>
      <c r="Z25" s="18"/>
      <c r="AA25" s="18"/>
      <c r="AB25" s="18"/>
      <c r="AC25" s="18"/>
      <c r="AD25" s="32">
        <f>ROUND((AC23/AC24),2)</f>
        <v>-1.52</v>
      </c>
      <c r="AE25" s="22" t="s">
        <v>17</v>
      </c>
      <c r="AF25" s="18"/>
      <c r="AG25" s="18"/>
      <c r="AH25" s="18"/>
      <c r="AI25" s="18"/>
      <c r="AJ25" s="32">
        <f>ROUND((AI23/AI24),2)</f>
        <v>-1.82</v>
      </c>
      <c r="AK25" s="22" t="s">
        <v>17</v>
      </c>
      <c r="AL25" s="18"/>
      <c r="AM25" s="18"/>
      <c r="AN25" s="18"/>
      <c r="AO25" s="18"/>
      <c r="AP25" s="32">
        <f>(AO23/AO24)</f>
        <v>-1.9008299293263309</v>
      </c>
      <c r="AQ25" s="22" t="s">
        <v>17</v>
      </c>
      <c r="AR25" s="18"/>
      <c r="AS25" s="18"/>
      <c r="AT25" s="18"/>
      <c r="AU25" s="18"/>
      <c r="AV25" s="32">
        <f>(AU23/AU24)</f>
        <v>-1.6821939039090752</v>
      </c>
      <c r="AW25" s="22" t="s">
        <v>17</v>
      </c>
      <c r="AX25" s="18"/>
      <c r="AY25" s="18"/>
      <c r="AZ25" s="18"/>
      <c r="BA25" s="18"/>
      <c r="BB25" s="32">
        <f>(BA23/BA24)</f>
        <v>-1.4740265334252241</v>
      </c>
      <c r="BC25" s="22" t="s">
        <v>17</v>
      </c>
      <c r="BD25" s="18"/>
      <c r="BE25" s="18"/>
      <c r="BF25" s="18"/>
      <c r="BG25" s="18"/>
      <c r="BH25" s="32">
        <f>(BG23/BG24)</f>
        <v>-1.5931685044796693</v>
      </c>
      <c r="BN25" s="59"/>
    </row>
    <row r="26" spans="1:66" x14ac:dyDescent="0.2">
      <c r="A26" s="22"/>
      <c r="B26" s="18"/>
      <c r="C26" s="18"/>
      <c r="D26" s="18"/>
      <c r="E26" s="18"/>
      <c r="F26" s="31"/>
      <c r="G26" s="22"/>
      <c r="H26" s="18"/>
      <c r="I26" s="18"/>
      <c r="J26" s="18"/>
      <c r="K26" s="18"/>
      <c r="L26" s="31"/>
      <c r="M26" s="22"/>
      <c r="N26" s="18"/>
      <c r="O26" s="18"/>
      <c r="P26" s="18"/>
      <c r="Q26" s="18"/>
      <c r="R26" s="31"/>
      <c r="S26" s="22"/>
      <c r="T26" s="18"/>
      <c r="U26" s="18"/>
      <c r="V26" s="18"/>
      <c r="W26" s="18"/>
      <c r="X26" s="31"/>
      <c r="Y26" s="22"/>
      <c r="Z26" s="18"/>
      <c r="AA26" s="18"/>
      <c r="AB26" s="18"/>
      <c r="AC26" s="18"/>
      <c r="AD26" s="31"/>
      <c r="AE26" s="22"/>
      <c r="AF26" s="18"/>
      <c r="AG26" s="18"/>
      <c r="AH26" s="18"/>
      <c r="AI26" s="18"/>
      <c r="AJ26" s="31"/>
      <c r="AK26" s="22"/>
      <c r="AL26" s="18"/>
      <c r="AM26" s="18"/>
      <c r="AN26" s="18"/>
      <c r="AO26" s="18"/>
      <c r="AP26" s="31"/>
      <c r="AQ26" s="22"/>
      <c r="AR26" s="18"/>
      <c r="AS26" s="18"/>
      <c r="AT26" s="18"/>
      <c r="AU26" s="18"/>
      <c r="AV26" s="31"/>
      <c r="AW26" s="22"/>
      <c r="AX26" s="18"/>
      <c r="AY26" s="18"/>
      <c r="AZ26" s="18"/>
      <c r="BA26" s="18"/>
      <c r="BB26" s="31"/>
      <c r="BC26" s="22"/>
      <c r="BD26" s="18"/>
      <c r="BE26" s="18"/>
      <c r="BF26" s="18"/>
      <c r="BG26" s="18"/>
      <c r="BH26" s="31"/>
      <c r="BN26" s="56"/>
    </row>
    <row r="27" spans="1:66" ht="18.75" thickBot="1" x14ac:dyDescent="0.4">
      <c r="A27" s="15" t="s">
        <v>60</v>
      </c>
      <c r="B27" s="16"/>
      <c r="C27" s="18"/>
      <c r="D27" s="18"/>
      <c r="E27" s="18"/>
      <c r="F27" s="33">
        <f>+F21+F25</f>
        <v>-1.19</v>
      </c>
      <c r="G27" s="15" t="s">
        <v>60</v>
      </c>
      <c r="H27" s="16"/>
      <c r="I27" s="18"/>
      <c r="J27" s="18"/>
      <c r="K27" s="18"/>
      <c r="L27" s="33">
        <v>-0.72</v>
      </c>
      <c r="M27" s="15" t="s">
        <v>60</v>
      </c>
      <c r="N27" s="16"/>
      <c r="O27" s="18"/>
      <c r="P27" s="18"/>
      <c r="Q27" s="18"/>
      <c r="R27" s="33">
        <f>+R21+R25</f>
        <v>-1.61</v>
      </c>
      <c r="S27" s="15" t="s">
        <v>60</v>
      </c>
      <c r="T27" s="16"/>
      <c r="U27" s="18"/>
      <c r="V27" s="18"/>
      <c r="W27" s="18"/>
      <c r="X27" s="33">
        <f>+X21+X25</f>
        <v>-1.1500000000000001</v>
      </c>
      <c r="Y27" s="15" t="s">
        <v>60</v>
      </c>
      <c r="Z27" s="16"/>
      <c r="AA27" s="18"/>
      <c r="AB27" s="18"/>
      <c r="AC27" s="18"/>
      <c r="AD27" s="33">
        <f>+AD21+AD25</f>
        <v>-1.1000000000000001</v>
      </c>
      <c r="AE27" s="15" t="s">
        <v>60</v>
      </c>
      <c r="AF27" s="16"/>
      <c r="AG27" s="18"/>
      <c r="AH27" s="18"/>
      <c r="AI27" s="18"/>
      <c r="AJ27" s="33">
        <f>+AJ21+AJ25</f>
        <v>-1.79</v>
      </c>
      <c r="AK27" s="15" t="s">
        <v>60</v>
      </c>
      <c r="AL27" s="16"/>
      <c r="AM27" s="18"/>
      <c r="AN27" s="18"/>
      <c r="AO27" s="18"/>
      <c r="AP27" s="33">
        <f>+AP21+AP25</f>
        <v>-2.1908299293263309</v>
      </c>
      <c r="AQ27" s="15" t="s">
        <v>24</v>
      </c>
      <c r="AR27" s="16"/>
      <c r="AS27" s="18"/>
      <c r="AT27" s="18"/>
      <c r="AU27" s="18"/>
      <c r="AV27" s="33">
        <f>+AV21+AV25</f>
        <v>-1.8521939039090751</v>
      </c>
      <c r="AW27" s="15" t="s">
        <v>24</v>
      </c>
      <c r="AX27" s="16"/>
      <c r="AY27" s="18"/>
      <c r="AZ27" s="18"/>
      <c r="BA27" s="18"/>
      <c r="BB27" s="33">
        <f>+BB21+BB25</f>
        <v>-1.414026533425224</v>
      </c>
      <c r="BC27" s="15" t="s">
        <v>24</v>
      </c>
      <c r="BD27" s="16"/>
      <c r="BE27" s="18"/>
      <c r="BF27" s="18"/>
      <c r="BG27" s="18"/>
      <c r="BH27" s="33">
        <f>+ROUND(BH25,2)</f>
        <v>-1.59</v>
      </c>
      <c r="BI27" s="43"/>
      <c r="BJ27" s="43"/>
      <c r="BN27" s="60"/>
    </row>
    <row r="28" spans="1:66" ht="13.5" thickTop="1" x14ac:dyDescent="0.2">
      <c r="A28" s="22"/>
      <c r="B28" s="18"/>
      <c r="C28" s="18"/>
      <c r="D28" s="18"/>
      <c r="E28" s="18"/>
      <c r="F28" s="31"/>
      <c r="G28" s="22"/>
      <c r="H28" s="18"/>
      <c r="I28" s="18"/>
      <c r="J28" s="18"/>
      <c r="K28" s="18"/>
      <c r="L28" s="31"/>
      <c r="M28" s="22"/>
      <c r="N28" s="18"/>
      <c r="O28" s="18"/>
      <c r="P28" s="18"/>
      <c r="Q28" s="18"/>
      <c r="R28" s="31"/>
      <c r="S28" s="22"/>
      <c r="T28" s="18"/>
      <c r="U28" s="18"/>
      <c r="V28" s="18"/>
      <c r="W28" s="18"/>
      <c r="X28" s="31"/>
      <c r="Y28" s="22"/>
      <c r="Z28" s="18"/>
      <c r="AA28" s="18"/>
      <c r="AB28" s="18"/>
      <c r="AC28" s="18"/>
      <c r="AD28" s="31"/>
      <c r="AE28" s="22"/>
      <c r="AF28" s="18"/>
      <c r="AG28" s="18"/>
      <c r="AH28" s="18"/>
      <c r="AI28" s="18"/>
      <c r="AJ28" s="31"/>
      <c r="AK28" s="22"/>
      <c r="AL28" s="18"/>
      <c r="AM28" s="18"/>
      <c r="AN28" s="18"/>
      <c r="AO28" s="18"/>
      <c r="AP28" s="31"/>
      <c r="AQ28" s="22"/>
      <c r="AR28" s="18"/>
      <c r="AS28" s="18"/>
      <c r="AT28" s="18"/>
      <c r="AU28" s="18"/>
      <c r="AV28" s="31"/>
      <c r="AW28" s="22"/>
      <c r="AX28" s="18"/>
      <c r="AY28" s="18"/>
      <c r="AZ28" s="18"/>
      <c r="BA28" s="18"/>
      <c r="BB28" s="31"/>
      <c r="BC28" s="22"/>
      <c r="BD28" s="18"/>
      <c r="BE28" s="18"/>
      <c r="BF28" s="18"/>
      <c r="BG28" s="18"/>
      <c r="BH28" s="31"/>
      <c r="BN28" s="56"/>
    </row>
    <row r="29" spans="1:66" x14ac:dyDescent="0.2">
      <c r="A29" s="22"/>
      <c r="B29" s="18"/>
      <c r="C29" s="18"/>
      <c r="D29" s="18"/>
      <c r="E29" s="18"/>
      <c r="F29" s="19"/>
      <c r="G29" s="22"/>
      <c r="H29" s="18"/>
      <c r="I29" s="18"/>
      <c r="J29" s="18"/>
      <c r="K29" s="18"/>
      <c r="L29" s="19"/>
      <c r="M29" s="22"/>
      <c r="N29" s="18"/>
      <c r="O29" s="18"/>
      <c r="P29" s="18"/>
      <c r="Q29" s="18"/>
      <c r="R29" s="19"/>
      <c r="S29" s="22"/>
      <c r="T29" s="18"/>
      <c r="U29" s="18"/>
      <c r="V29" s="18"/>
      <c r="W29" s="18"/>
      <c r="X29" s="19"/>
      <c r="Y29" s="22"/>
      <c r="Z29" s="18"/>
      <c r="AA29" s="18"/>
      <c r="AB29" s="18"/>
      <c r="AC29" s="18"/>
      <c r="AD29" s="19"/>
      <c r="AE29" s="22"/>
      <c r="AF29" s="18"/>
      <c r="AG29" s="18"/>
      <c r="AH29" s="18"/>
      <c r="AI29" s="18"/>
      <c r="AJ29" s="19"/>
      <c r="AK29" s="22"/>
      <c r="AL29" s="18"/>
      <c r="AM29" s="18"/>
      <c r="AN29" s="18"/>
      <c r="AO29" s="18"/>
      <c r="AP29" s="19"/>
      <c r="AQ29" s="22"/>
      <c r="AR29" s="18"/>
      <c r="AS29" s="18"/>
      <c r="AT29" s="18"/>
      <c r="AU29" s="18"/>
      <c r="AV29" s="19"/>
      <c r="AW29" s="22"/>
      <c r="AX29" s="18"/>
      <c r="AY29" s="18"/>
      <c r="AZ29" s="18"/>
      <c r="BA29" s="18"/>
      <c r="BB29" s="19"/>
      <c r="BC29" s="22"/>
      <c r="BD29" s="18"/>
      <c r="BE29" s="18"/>
      <c r="BF29" s="18"/>
      <c r="BG29" s="18"/>
      <c r="BH29" s="19"/>
      <c r="BM29" s="61"/>
    </row>
    <row r="30" spans="1:66" ht="15" x14ac:dyDescent="0.35">
      <c r="A30" s="22"/>
      <c r="B30" s="18"/>
      <c r="C30" s="18"/>
      <c r="D30" s="34"/>
      <c r="E30" s="18"/>
      <c r="F30" s="35"/>
      <c r="G30" s="22"/>
      <c r="H30" s="18"/>
      <c r="I30" s="18"/>
      <c r="J30" s="34"/>
      <c r="K30" s="18"/>
      <c r="L30" s="35"/>
      <c r="M30" s="22"/>
      <c r="N30" s="18"/>
      <c r="O30" s="18"/>
      <c r="P30" s="34"/>
      <c r="Q30" s="18"/>
      <c r="R30" s="35"/>
      <c r="S30" s="22"/>
      <c r="T30" s="18"/>
      <c r="U30" s="18"/>
      <c r="V30" s="34"/>
      <c r="W30" s="18"/>
      <c r="X30" s="35"/>
      <c r="Y30" s="22"/>
      <c r="Z30" s="18"/>
      <c r="AA30" s="18"/>
      <c r="AB30" s="34"/>
      <c r="AC30" s="18"/>
      <c r="AD30" s="35"/>
      <c r="AE30" s="22"/>
      <c r="AF30" s="18"/>
      <c r="AG30" s="18"/>
      <c r="AH30" s="34"/>
      <c r="AI30" s="18"/>
      <c r="AJ30" s="35"/>
      <c r="AK30" s="22"/>
      <c r="AL30" s="18"/>
      <c r="AM30" s="18"/>
      <c r="AN30" s="34"/>
      <c r="AO30" s="18"/>
      <c r="AP30" s="35"/>
      <c r="AQ30" s="22"/>
      <c r="AR30" s="18"/>
      <c r="AS30" s="18"/>
      <c r="AT30" s="34"/>
      <c r="AU30" s="18"/>
      <c r="AV30" s="35"/>
      <c r="AW30" s="22"/>
      <c r="AX30" s="18"/>
      <c r="AY30" s="18"/>
      <c r="AZ30" s="34"/>
      <c r="BA30" s="18"/>
      <c r="BB30" s="35"/>
      <c r="BC30" s="22"/>
      <c r="BD30" s="18"/>
      <c r="BE30" s="18"/>
      <c r="BF30" s="34"/>
      <c r="BG30" s="18"/>
      <c r="BH30" s="35"/>
    </row>
    <row r="31" spans="1:66" x14ac:dyDescent="0.2">
      <c r="A31" s="22"/>
      <c r="B31" s="18"/>
      <c r="C31" s="18"/>
      <c r="D31" s="34"/>
      <c r="E31" s="18"/>
      <c r="F31" s="19"/>
      <c r="G31" s="22"/>
      <c r="H31" s="18"/>
      <c r="I31" s="18"/>
      <c r="J31" s="34"/>
      <c r="K31" s="18"/>
      <c r="L31" s="19"/>
      <c r="M31" s="22"/>
      <c r="N31" s="18"/>
      <c r="O31" s="18"/>
      <c r="P31" s="34"/>
      <c r="Q31" s="18"/>
      <c r="R31" s="19"/>
      <c r="S31" s="22"/>
      <c r="T31" s="18"/>
      <c r="U31" s="18"/>
      <c r="V31" s="34"/>
      <c r="W31" s="18"/>
      <c r="X31" s="19"/>
      <c r="Y31" s="22"/>
      <c r="Z31" s="18"/>
      <c r="AA31" s="18"/>
      <c r="AB31" s="34"/>
      <c r="AC31" s="18"/>
      <c r="AD31" s="19"/>
      <c r="AE31" s="22"/>
      <c r="AF31" s="18"/>
      <c r="AG31" s="18"/>
      <c r="AH31" s="34"/>
      <c r="AI31" s="18"/>
      <c r="AJ31" s="19"/>
      <c r="AK31" s="22"/>
      <c r="AL31" s="18"/>
      <c r="AM31" s="18"/>
      <c r="AN31" s="34"/>
      <c r="AO31" s="18"/>
      <c r="AP31" s="19"/>
      <c r="AQ31" s="22"/>
      <c r="AR31" s="18"/>
      <c r="AS31" s="18"/>
      <c r="AT31" s="34"/>
      <c r="AU31" s="18"/>
      <c r="AV31" s="19"/>
      <c r="AW31" s="22"/>
      <c r="AX31" s="18"/>
      <c r="AY31" s="18"/>
      <c r="AZ31" s="34"/>
      <c r="BA31" s="18"/>
      <c r="BB31" s="19"/>
      <c r="BC31" s="22"/>
      <c r="BD31" s="18"/>
      <c r="BE31" s="18"/>
      <c r="BF31" s="34"/>
      <c r="BG31" s="18"/>
      <c r="BH31" s="19"/>
      <c r="BM31" s="61"/>
      <c r="BN31" s="62"/>
    </row>
    <row r="32" spans="1:66" x14ac:dyDescent="0.2">
      <c r="A32" s="22"/>
      <c r="B32" s="18"/>
      <c r="C32" s="18"/>
      <c r="D32" s="18"/>
      <c r="E32" s="18"/>
      <c r="F32" s="19"/>
      <c r="G32" s="22"/>
      <c r="H32" s="18"/>
      <c r="I32" s="18"/>
      <c r="J32" s="18"/>
      <c r="K32" s="18"/>
      <c r="L32" s="19"/>
      <c r="M32" s="22"/>
      <c r="N32" s="18"/>
      <c r="O32" s="18"/>
      <c r="P32" s="18"/>
      <c r="Q32" s="18"/>
      <c r="R32" s="19"/>
      <c r="S32" s="22"/>
      <c r="T32" s="18"/>
      <c r="U32" s="18"/>
      <c r="V32" s="18"/>
      <c r="W32" s="18"/>
      <c r="X32" s="19"/>
      <c r="Y32" s="22"/>
      <c r="Z32" s="18"/>
      <c r="AA32" s="18"/>
      <c r="AB32" s="18"/>
      <c r="AC32" s="18"/>
      <c r="AD32" s="19"/>
      <c r="AE32" s="22"/>
      <c r="AF32" s="18"/>
      <c r="AG32" s="18"/>
      <c r="AH32" s="18"/>
      <c r="AI32" s="18"/>
      <c r="AJ32" s="19"/>
      <c r="AK32" s="22"/>
      <c r="AL32" s="18"/>
      <c r="AM32" s="18"/>
      <c r="AN32" s="18"/>
      <c r="AO32" s="18"/>
      <c r="AP32" s="19"/>
      <c r="AQ32" s="22"/>
      <c r="AR32" s="18"/>
      <c r="AS32" s="18"/>
      <c r="AT32" s="18"/>
      <c r="AU32" s="18"/>
      <c r="AV32" s="19"/>
      <c r="AW32" s="22"/>
      <c r="AX32" s="18"/>
      <c r="AY32" s="18"/>
      <c r="AZ32" s="18"/>
      <c r="BA32" s="18"/>
      <c r="BB32" s="19"/>
      <c r="BC32" s="22"/>
      <c r="BD32" s="18"/>
      <c r="BE32" s="18"/>
      <c r="BF32" s="18"/>
      <c r="BG32" s="18"/>
      <c r="BH32" s="19"/>
    </row>
    <row r="33" spans="1:66" ht="19.5" x14ac:dyDescent="0.4">
      <c r="A33" s="150" t="s">
        <v>58</v>
      </c>
      <c r="B33" s="151"/>
      <c r="C33" s="151"/>
      <c r="D33" s="151"/>
      <c r="E33" s="151"/>
      <c r="F33" s="152"/>
      <c r="G33" s="150" t="s">
        <v>58</v>
      </c>
      <c r="H33" s="151"/>
      <c r="I33" s="151"/>
      <c r="J33" s="151"/>
      <c r="K33" s="151"/>
      <c r="L33" s="152"/>
      <c r="M33" s="147" t="s">
        <v>58</v>
      </c>
      <c r="N33" s="148"/>
      <c r="O33" s="148"/>
      <c r="P33" s="148"/>
      <c r="Q33" s="148"/>
      <c r="R33" s="149"/>
      <c r="S33" s="147" t="s">
        <v>58</v>
      </c>
      <c r="T33" s="148"/>
      <c r="U33" s="148"/>
      <c r="V33" s="148"/>
      <c r="W33" s="148"/>
      <c r="X33" s="149"/>
      <c r="Y33" s="147" t="s">
        <v>58</v>
      </c>
      <c r="Z33" s="148"/>
      <c r="AA33" s="148"/>
      <c r="AB33" s="148"/>
      <c r="AC33" s="148"/>
      <c r="AD33" s="149"/>
      <c r="AE33" s="147" t="s">
        <v>58</v>
      </c>
      <c r="AF33" s="148"/>
      <c r="AG33" s="148"/>
      <c r="AH33" s="148"/>
      <c r="AI33" s="148"/>
      <c r="AJ33" s="149"/>
      <c r="AK33" s="147" t="s">
        <v>58</v>
      </c>
      <c r="AL33" s="148"/>
      <c r="AM33" s="148"/>
      <c r="AN33" s="148"/>
      <c r="AO33" s="148"/>
      <c r="AP33" s="149"/>
      <c r="AQ33" s="147" t="s">
        <v>27</v>
      </c>
      <c r="AR33" s="148"/>
      <c r="AS33" s="148"/>
      <c r="AT33" s="148"/>
      <c r="AU33" s="148"/>
      <c r="AV33" s="149"/>
      <c r="AW33" s="147" t="s">
        <v>27</v>
      </c>
      <c r="AX33" s="148"/>
      <c r="AY33" s="148"/>
      <c r="AZ33" s="148"/>
      <c r="BA33" s="148"/>
      <c r="BB33" s="149"/>
      <c r="BC33" s="147" t="s">
        <v>27</v>
      </c>
      <c r="BD33" s="148"/>
      <c r="BE33" s="148"/>
      <c r="BF33" s="148"/>
      <c r="BG33" s="148"/>
      <c r="BH33" s="149"/>
      <c r="BI33" s="47"/>
      <c r="BJ33" s="47"/>
      <c r="BK33" s="47"/>
      <c r="BL33" s="47"/>
      <c r="BM33" s="47"/>
      <c r="BN33" s="47"/>
    </row>
    <row r="34" spans="1:66" x14ac:dyDescent="0.2">
      <c r="A34" s="15"/>
      <c r="B34" s="18"/>
      <c r="C34" s="18"/>
      <c r="D34" s="18"/>
      <c r="E34" s="18"/>
      <c r="F34" s="19"/>
      <c r="G34" s="15"/>
      <c r="H34" s="18"/>
      <c r="I34" s="18"/>
      <c r="J34" s="18"/>
      <c r="K34" s="18"/>
      <c r="L34" s="19"/>
      <c r="M34" s="15"/>
      <c r="N34" s="18"/>
      <c r="O34" s="18"/>
      <c r="P34" s="18"/>
      <c r="Q34" s="18"/>
      <c r="R34" s="19"/>
      <c r="S34" s="15"/>
      <c r="T34" s="18"/>
      <c r="U34" s="18"/>
      <c r="V34" s="18"/>
      <c r="W34" s="18"/>
      <c r="X34" s="19"/>
      <c r="Y34" s="15"/>
      <c r="Z34" s="18"/>
      <c r="AA34" s="18"/>
      <c r="AB34" s="18"/>
      <c r="AC34" s="18"/>
      <c r="AD34" s="19"/>
      <c r="AE34" s="15"/>
      <c r="AF34" s="18"/>
      <c r="AG34" s="18"/>
      <c r="AH34" s="18"/>
      <c r="AI34" s="18"/>
      <c r="AJ34" s="19"/>
      <c r="AK34" s="15"/>
      <c r="AL34" s="18"/>
      <c r="AM34" s="18"/>
      <c r="AN34" s="18"/>
      <c r="AO34" s="18"/>
      <c r="AP34" s="19"/>
      <c r="AQ34" s="15"/>
      <c r="AR34" s="18"/>
      <c r="AS34" s="18"/>
      <c r="AT34" s="18"/>
      <c r="AU34" s="18"/>
      <c r="AV34" s="19"/>
      <c r="AW34" s="15"/>
      <c r="AX34" s="18"/>
      <c r="AY34" s="18"/>
      <c r="AZ34" s="18"/>
      <c r="BA34" s="18"/>
      <c r="BB34" s="19"/>
      <c r="BC34" s="15"/>
      <c r="BD34" s="18"/>
      <c r="BE34" s="18"/>
      <c r="BF34" s="18"/>
      <c r="BG34" s="18"/>
      <c r="BH34" s="19"/>
    </row>
    <row r="35" spans="1:66" x14ac:dyDescent="0.2">
      <c r="A35" s="20"/>
      <c r="B35" s="18"/>
      <c r="C35" s="23"/>
      <c r="D35" s="23" t="s">
        <v>9</v>
      </c>
      <c r="E35" s="23" t="s">
        <v>10</v>
      </c>
      <c r="F35" s="19"/>
      <c r="G35" s="20"/>
      <c r="H35" s="18"/>
      <c r="I35" s="23"/>
      <c r="J35" s="23" t="s">
        <v>9</v>
      </c>
      <c r="K35" s="23" t="s">
        <v>10</v>
      </c>
      <c r="L35" s="19"/>
      <c r="M35" s="20"/>
      <c r="N35" s="18"/>
      <c r="O35" s="23"/>
      <c r="P35" s="23" t="s">
        <v>9</v>
      </c>
      <c r="Q35" s="23" t="s">
        <v>10</v>
      </c>
      <c r="R35" s="19"/>
      <c r="S35" s="20"/>
      <c r="T35" s="18"/>
      <c r="U35" s="23"/>
      <c r="V35" s="23" t="s">
        <v>9</v>
      </c>
      <c r="W35" s="23" t="s">
        <v>10</v>
      </c>
      <c r="X35" s="19"/>
      <c r="Y35" s="20"/>
      <c r="Z35" s="18"/>
      <c r="AA35" s="23"/>
      <c r="AB35" s="23" t="s">
        <v>9</v>
      </c>
      <c r="AC35" s="23" t="s">
        <v>10</v>
      </c>
      <c r="AD35" s="19"/>
      <c r="AE35" s="20"/>
      <c r="AF35" s="18"/>
      <c r="AG35" s="23"/>
      <c r="AH35" s="23" t="s">
        <v>9</v>
      </c>
      <c r="AI35" s="23" t="s">
        <v>10</v>
      </c>
      <c r="AJ35" s="19"/>
      <c r="AK35" s="20"/>
      <c r="AL35" s="18"/>
      <c r="AM35" s="23"/>
      <c r="AN35" s="23" t="s">
        <v>9</v>
      </c>
      <c r="AO35" s="23" t="s">
        <v>10</v>
      </c>
      <c r="AP35" s="19"/>
      <c r="AQ35" s="20"/>
      <c r="AR35" s="18"/>
      <c r="AS35" s="23"/>
      <c r="AT35" s="23" t="s">
        <v>9</v>
      </c>
      <c r="AU35" s="23" t="s">
        <v>10</v>
      </c>
      <c r="AV35" s="19"/>
      <c r="AW35" s="20"/>
      <c r="AX35" s="18"/>
      <c r="AY35" s="23"/>
      <c r="AZ35" s="23" t="s">
        <v>9</v>
      </c>
      <c r="BA35" s="23" t="s">
        <v>10</v>
      </c>
      <c r="BB35" s="19"/>
      <c r="BC35" s="20"/>
      <c r="BD35" s="18"/>
      <c r="BE35" s="23"/>
      <c r="BF35" s="23" t="s">
        <v>9</v>
      </c>
      <c r="BG35" s="23" t="s">
        <v>10</v>
      </c>
      <c r="BH35" s="19"/>
      <c r="BK35" s="48"/>
      <c r="BL35" s="48"/>
      <c r="BM35" s="48"/>
    </row>
    <row r="36" spans="1:66" x14ac:dyDescent="0.2">
      <c r="A36" s="22"/>
      <c r="B36" s="18"/>
      <c r="C36" s="91" t="s">
        <v>62</v>
      </c>
      <c r="D36" s="36" t="s">
        <v>11</v>
      </c>
      <c r="E36" s="36" t="s">
        <v>12</v>
      </c>
      <c r="F36" s="19"/>
      <c r="G36" s="22"/>
      <c r="H36" s="18"/>
      <c r="I36" s="91" t="s">
        <v>62</v>
      </c>
      <c r="J36" s="36" t="s">
        <v>11</v>
      </c>
      <c r="K36" s="36" t="s">
        <v>12</v>
      </c>
      <c r="L36" s="19"/>
      <c r="M36" s="22"/>
      <c r="N36" s="18"/>
      <c r="O36" s="91" t="s">
        <v>62</v>
      </c>
      <c r="P36" s="36" t="s">
        <v>11</v>
      </c>
      <c r="Q36" s="36" t="s">
        <v>12</v>
      </c>
      <c r="R36" s="19"/>
      <c r="S36" s="22"/>
      <c r="T36" s="18"/>
      <c r="U36" s="91" t="s">
        <v>62</v>
      </c>
      <c r="V36" s="36" t="s">
        <v>11</v>
      </c>
      <c r="W36" s="36" t="s">
        <v>12</v>
      </c>
      <c r="X36" s="19"/>
      <c r="Y36" s="22"/>
      <c r="Z36" s="18"/>
      <c r="AA36" s="91" t="s">
        <v>62</v>
      </c>
      <c r="AB36" s="36" t="s">
        <v>11</v>
      </c>
      <c r="AC36" s="36" t="s">
        <v>12</v>
      </c>
      <c r="AD36" s="19"/>
      <c r="AE36" s="22"/>
      <c r="AF36" s="18"/>
      <c r="AG36" s="91" t="s">
        <v>62</v>
      </c>
      <c r="AH36" s="36" t="s">
        <v>11</v>
      </c>
      <c r="AI36" s="36" t="s">
        <v>12</v>
      </c>
      <c r="AJ36" s="19"/>
      <c r="AK36" s="22"/>
      <c r="AL36" s="18"/>
      <c r="AM36" s="36" t="s">
        <v>62</v>
      </c>
      <c r="AN36" s="36" t="s">
        <v>11</v>
      </c>
      <c r="AO36" s="36" t="s">
        <v>12</v>
      </c>
      <c r="AP36" s="19"/>
      <c r="AQ36" s="22"/>
      <c r="AR36" s="18"/>
      <c r="AS36" s="36" t="s">
        <v>6</v>
      </c>
      <c r="AT36" s="36" t="s">
        <v>11</v>
      </c>
      <c r="AU36" s="36" t="s">
        <v>12</v>
      </c>
      <c r="AV36" s="19"/>
      <c r="AW36" s="22"/>
      <c r="AX36" s="18"/>
      <c r="AY36" s="36" t="s">
        <v>6</v>
      </c>
      <c r="AZ36" s="36" t="s">
        <v>11</v>
      </c>
      <c r="BA36" s="36" t="s">
        <v>12</v>
      </c>
      <c r="BB36" s="19"/>
      <c r="BC36" s="22"/>
      <c r="BD36" s="18"/>
      <c r="BE36" s="36" t="s">
        <v>6</v>
      </c>
      <c r="BF36" s="36" t="s">
        <v>11</v>
      </c>
      <c r="BG36" s="36" t="s">
        <v>12</v>
      </c>
      <c r="BH36" s="19"/>
      <c r="BK36" s="48"/>
      <c r="BL36" s="48"/>
      <c r="BM36" s="48"/>
    </row>
    <row r="37" spans="1:66" ht="16.5" x14ac:dyDescent="0.35">
      <c r="A37" s="25" t="str">
        <f>A10</f>
        <v xml:space="preserve">Projected Revenue </v>
      </c>
      <c r="B37" s="26"/>
      <c r="C37" s="27"/>
      <c r="D37" s="27"/>
      <c r="E37" s="27"/>
      <c r="F37" s="19"/>
      <c r="G37" s="25" t="str">
        <f>G10</f>
        <v xml:space="preserve">Projected Revenue </v>
      </c>
      <c r="H37" s="26"/>
      <c r="I37" s="27"/>
      <c r="J37" s="27"/>
      <c r="K37" s="27"/>
      <c r="L37" s="19"/>
      <c r="M37" s="25" t="str">
        <f>M10</f>
        <v xml:space="preserve">Projected Revenue </v>
      </c>
      <c r="N37" s="26"/>
      <c r="O37" s="27"/>
      <c r="P37" s="27"/>
      <c r="Q37" s="27"/>
      <c r="R37" s="19"/>
      <c r="S37" s="25" t="str">
        <f>S10</f>
        <v xml:space="preserve">Projected Revenue </v>
      </c>
      <c r="T37" s="26"/>
      <c r="U37" s="27"/>
      <c r="V37" s="27"/>
      <c r="W37" s="27"/>
      <c r="X37" s="19"/>
      <c r="Y37" s="25" t="str">
        <f>Y10</f>
        <v xml:space="preserve">Projected Revenue </v>
      </c>
      <c r="Z37" s="26"/>
      <c r="AA37" s="27"/>
      <c r="AB37" s="27"/>
      <c r="AC37" s="27"/>
      <c r="AD37" s="19"/>
      <c r="AE37" s="25" t="str">
        <f>AE10</f>
        <v xml:space="preserve">Projected Revenue </v>
      </c>
      <c r="AF37" s="26"/>
      <c r="AG37" s="27"/>
      <c r="AH37" s="27"/>
      <c r="AI37" s="27"/>
      <c r="AJ37" s="19"/>
      <c r="AK37" s="25" t="str">
        <f>AK10</f>
        <v xml:space="preserve">Projected Revenue </v>
      </c>
      <c r="AL37" s="26"/>
      <c r="AM37" s="27"/>
      <c r="AN37" s="27"/>
      <c r="AO37" s="27"/>
      <c r="AP37" s="19"/>
      <c r="AQ37" s="25" t="str">
        <f>AQ10</f>
        <v>Projected Revenue - NA</v>
      </c>
      <c r="AR37" s="26"/>
      <c r="AS37" s="27"/>
      <c r="AT37" s="27"/>
      <c r="AU37" s="27"/>
      <c r="AV37" s="19"/>
      <c r="AW37" s="25" t="str">
        <f>AW10</f>
        <v>Projected Revenue - NA</v>
      </c>
      <c r="AX37" s="26"/>
      <c r="AY37" s="27"/>
      <c r="AZ37" s="27"/>
      <c r="BA37" s="27"/>
      <c r="BB37" s="19"/>
      <c r="BC37" s="25" t="str">
        <f>BC10</f>
        <v>Projected Revenue - NA</v>
      </c>
      <c r="BD37" s="26"/>
      <c r="BE37" s="27"/>
      <c r="BF37" s="27"/>
      <c r="BG37" s="27"/>
      <c r="BH37" s="19"/>
      <c r="BI37" s="50"/>
      <c r="BJ37" s="50"/>
      <c r="BK37" s="51"/>
      <c r="BL37" s="51"/>
      <c r="BM37" s="51"/>
    </row>
    <row r="38" spans="1:66" x14ac:dyDescent="0.2">
      <c r="A38" s="22" t="str">
        <f>+A11</f>
        <v>August - September 2024 with adjustment factor</v>
      </c>
      <c r="B38" s="30"/>
      <c r="C38" s="52">
        <f>SUM('Calcs revised method'!D37:E37)</f>
        <v>3386.06</v>
      </c>
      <c r="D38" s="29">
        <f>+J39</f>
        <v>-0.63</v>
      </c>
      <c r="E38" s="28">
        <f>D38*C38</f>
        <v>-2133.2177999999999</v>
      </c>
      <c r="F38" s="19"/>
      <c r="G38" s="22" t="str">
        <f>+G11</f>
        <v>August - September 2023 with adjustment factor</v>
      </c>
      <c r="H38" s="30"/>
      <c r="I38" s="52">
        <v>6911</v>
      </c>
      <c r="J38" s="29">
        <v>-0.66</v>
      </c>
      <c r="K38" s="28">
        <v>-4354</v>
      </c>
      <c r="L38" s="19"/>
      <c r="M38" s="22" t="str">
        <f>+M11</f>
        <v>August - September 2022 with adjustment factor</v>
      </c>
      <c r="N38" s="30"/>
      <c r="O38" s="52">
        <v>6911</v>
      </c>
      <c r="P38" s="29">
        <f>+V39</f>
        <v>-1.72</v>
      </c>
      <c r="Q38" s="28">
        <f>P38*O38</f>
        <v>-11886.92</v>
      </c>
      <c r="R38" s="19"/>
      <c r="S38" s="22" t="str">
        <f>+S11</f>
        <v>August - September 2021 with adjustment factor</v>
      </c>
      <c r="T38" s="30"/>
      <c r="U38" s="52">
        <v>6911</v>
      </c>
      <c r="V38" s="29">
        <f>+AB39</f>
        <v>-0.81</v>
      </c>
      <c r="W38" s="28">
        <f>V38*U38</f>
        <v>-5597.9100000000008</v>
      </c>
      <c r="X38" s="19"/>
      <c r="Y38" s="22" t="str">
        <f>+Y11</f>
        <v>August - September 2020 with adjustment factor</v>
      </c>
      <c r="Z38" s="30"/>
      <c r="AA38" s="52">
        <f>SUM('Calcs revised method'!D37:E37)</f>
        <v>3386.06</v>
      </c>
      <c r="AB38" s="29">
        <f>+AH39</f>
        <v>-0.88</v>
      </c>
      <c r="AC38" s="28">
        <f>AB38*AA38</f>
        <v>-2979.7327999999998</v>
      </c>
      <c r="AD38" s="19"/>
      <c r="AE38" s="22" t="str">
        <f>+AE11</f>
        <v>February - March 2020 with adjustment factor</v>
      </c>
      <c r="AF38" s="30"/>
      <c r="AG38" s="52">
        <v>7098</v>
      </c>
      <c r="AH38" s="29">
        <f>+AN39</f>
        <v>-0.38799076212471129</v>
      </c>
      <c r="AI38" s="28">
        <f>AH38*AG38</f>
        <v>-2753.9584295612008</v>
      </c>
      <c r="AJ38" s="19"/>
      <c r="AK38" s="22" t="s">
        <v>54</v>
      </c>
      <c r="AL38" s="30"/>
      <c r="AM38" s="52">
        <v>6651</v>
      </c>
      <c r="AN38" s="29">
        <f>+AN11/4.33</f>
        <v>-0.33949191685912239</v>
      </c>
      <c r="AO38" s="28">
        <f>AN38*AM38</f>
        <v>-2257.960739030023</v>
      </c>
      <c r="AP38" s="19"/>
      <c r="AQ38" s="22" t="str">
        <f>AQ11</f>
        <v>Feb - Mar 2019 with adjustment factor</v>
      </c>
      <c r="AR38" s="30"/>
      <c r="AS38" s="52"/>
      <c r="AT38" s="29">
        <v>0</v>
      </c>
      <c r="AU38" s="28">
        <f>AT38*AS38</f>
        <v>0</v>
      </c>
      <c r="AV38" s="19"/>
      <c r="AW38" s="22" t="str">
        <f>AW11</f>
        <v>Oct - Dec 2018 with adjustment factor</v>
      </c>
      <c r="AX38" s="30"/>
      <c r="AY38" s="52"/>
      <c r="AZ38" s="29">
        <v>0</v>
      </c>
      <c r="BA38" s="28">
        <f>AZ38*AY38</f>
        <v>0</v>
      </c>
      <c r="BB38" s="19"/>
      <c r="BC38" s="22" t="str">
        <f>BC11</f>
        <v>Jul-Jun projected value without adjustment factor</v>
      </c>
      <c r="BD38" s="30"/>
      <c r="BE38" s="52"/>
      <c r="BF38" s="29">
        <v>0</v>
      </c>
      <c r="BG38" s="28">
        <f>BF38*BE38</f>
        <v>0</v>
      </c>
      <c r="BH38" s="19"/>
      <c r="BJ38" s="54"/>
      <c r="BK38" s="52"/>
      <c r="BL38" s="53"/>
      <c r="BM38" s="52"/>
    </row>
    <row r="39" spans="1:66" ht="15" x14ac:dyDescent="0.35">
      <c r="A39" s="22" t="str">
        <f>+A12</f>
        <v>October 2024 - July 2025 with adjustment factor</v>
      </c>
      <c r="B39" s="30"/>
      <c r="C39" s="55">
        <f>SUM('Calcs revised method'!F37:O37)</f>
        <v>12292.869999999997</v>
      </c>
      <c r="D39" s="29">
        <f>+L52</f>
        <v>-0.51</v>
      </c>
      <c r="E39" s="28">
        <f>D39*C39</f>
        <v>-6269.363699999999</v>
      </c>
      <c r="F39" s="19"/>
      <c r="G39" s="22" t="str">
        <f>+G12</f>
        <v>October 2023 - July 2024 with adjustment factor</v>
      </c>
      <c r="H39" s="30"/>
      <c r="I39" s="55">
        <v>33830</v>
      </c>
      <c r="J39" s="29">
        <v>-0.63</v>
      </c>
      <c r="K39" s="28">
        <v>-23343</v>
      </c>
      <c r="L39" s="19"/>
      <c r="M39" s="22" t="str">
        <f>+M12</f>
        <v>October 2022 - July 2023 with adjustment factor</v>
      </c>
      <c r="N39" s="30"/>
      <c r="O39" s="55">
        <v>33830</v>
      </c>
      <c r="P39" s="29">
        <f>+X52</f>
        <v>-0.63</v>
      </c>
      <c r="Q39" s="28">
        <f>P39*O39</f>
        <v>-21312.9</v>
      </c>
      <c r="R39" s="19"/>
      <c r="S39" s="22" t="str">
        <f>+S12</f>
        <v>October 2021 - July 2022 with adjustment factor</v>
      </c>
      <c r="T39" s="30"/>
      <c r="U39" s="55">
        <v>33830</v>
      </c>
      <c r="V39" s="29">
        <f>+AD52</f>
        <v>-1.72</v>
      </c>
      <c r="W39" s="28">
        <f>V39*U39</f>
        <v>-58187.6</v>
      </c>
      <c r="X39" s="19"/>
      <c r="Y39" s="22" t="str">
        <f>+Y12</f>
        <v>October 2020 - July 2021 with adjustment factor</v>
      </c>
      <c r="Z39" s="30"/>
      <c r="AA39" s="55">
        <f>SUM('Calcs revised method'!F37:O37)</f>
        <v>12292.869999999997</v>
      </c>
      <c r="AB39" s="29">
        <f>+AJ52</f>
        <v>-0.81</v>
      </c>
      <c r="AC39" s="28">
        <f>AB39*AA39</f>
        <v>-9957.2246999999988</v>
      </c>
      <c r="AD39" s="19"/>
      <c r="AE39" s="22" t="str">
        <f>+AE12</f>
        <v>April - July 2020 with adjustment factor</v>
      </c>
      <c r="AF39" s="30"/>
      <c r="AG39" s="55">
        <v>13732</v>
      </c>
      <c r="AH39" s="29">
        <f>+AP52</f>
        <v>-0.88</v>
      </c>
      <c r="AI39" s="28">
        <f>AH39*AG39</f>
        <v>-12084.16</v>
      </c>
      <c r="AJ39" s="19"/>
      <c r="AK39" s="22" t="s">
        <v>55</v>
      </c>
      <c r="AL39" s="30"/>
      <c r="AM39" s="55">
        <v>13302</v>
      </c>
      <c r="AN39" s="29">
        <f>+AN12/4.33</f>
        <v>-0.38799076212471129</v>
      </c>
      <c r="AO39" s="28">
        <f>AN39*AM39</f>
        <v>-5161.0531177829098</v>
      </c>
      <c r="AP39" s="19"/>
      <c r="AQ39" s="22"/>
      <c r="AR39" s="30"/>
      <c r="AS39" s="55">
        <v>0</v>
      </c>
      <c r="AT39" s="29">
        <v>0</v>
      </c>
      <c r="AU39" s="28">
        <f>AT39*AS39</f>
        <v>0</v>
      </c>
      <c r="AV39" s="19"/>
      <c r="AW39" s="22"/>
      <c r="AX39" s="30"/>
      <c r="AY39" s="55">
        <v>0</v>
      </c>
      <c r="AZ39" s="29">
        <v>0</v>
      </c>
      <c r="BA39" s="28">
        <f>AZ39*AY39</f>
        <v>0</v>
      </c>
      <c r="BB39" s="19"/>
      <c r="BC39" s="22"/>
      <c r="BD39" s="30"/>
      <c r="BE39" s="55">
        <v>0</v>
      </c>
      <c r="BF39" s="29">
        <v>0</v>
      </c>
      <c r="BG39" s="28">
        <f>BF39*BE39</f>
        <v>0</v>
      </c>
      <c r="BH39" s="19"/>
      <c r="BJ39" s="54"/>
      <c r="BK39" s="55"/>
      <c r="BL39" s="53"/>
      <c r="BM39" s="55"/>
    </row>
    <row r="40" spans="1:66" x14ac:dyDescent="0.2">
      <c r="A40" s="22" t="s">
        <v>10</v>
      </c>
      <c r="B40" s="18"/>
      <c r="C40" s="28">
        <f>SUM(C38:C39)</f>
        <v>15678.929999999997</v>
      </c>
      <c r="D40" s="28"/>
      <c r="E40" s="28">
        <f>SUM(E38:E39)</f>
        <v>-8402.5814999999984</v>
      </c>
      <c r="F40" s="19"/>
      <c r="G40" s="22" t="s">
        <v>10</v>
      </c>
      <c r="H40" s="18"/>
      <c r="I40" s="28">
        <f>SUM(I38:I39)</f>
        <v>40741</v>
      </c>
      <c r="J40" s="28"/>
      <c r="K40" s="28">
        <f>SUM(K38:K39)</f>
        <v>-27697</v>
      </c>
      <c r="L40" s="19"/>
      <c r="M40" s="22" t="s">
        <v>10</v>
      </c>
      <c r="N40" s="18"/>
      <c r="O40" s="28">
        <f>SUM(O38:O39)</f>
        <v>40741</v>
      </c>
      <c r="P40" s="28"/>
      <c r="Q40" s="28">
        <f>SUM(Q38:Q39)</f>
        <v>-33199.82</v>
      </c>
      <c r="R40" s="19"/>
      <c r="S40" s="22" t="s">
        <v>10</v>
      </c>
      <c r="T40" s="18"/>
      <c r="U40" s="28">
        <f>SUM(U38:U39)</f>
        <v>40741</v>
      </c>
      <c r="V40" s="28"/>
      <c r="W40" s="28">
        <f>SUM(W38:W39)</f>
        <v>-63785.51</v>
      </c>
      <c r="X40" s="19"/>
      <c r="Y40" s="22" t="s">
        <v>10</v>
      </c>
      <c r="Z40" s="18"/>
      <c r="AA40" s="28">
        <f>SUM(AA38:AA39)</f>
        <v>15678.929999999997</v>
      </c>
      <c r="AB40" s="28"/>
      <c r="AC40" s="28">
        <f>SUM(AC38:AC39)</f>
        <v>-12936.957499999999</v>
      </c>
      <c r="AD40" s="19"/>
      <c r="AE40" s="22" t="s">
        <v>10</v>
      </c>
      <c r="AF40" s="18"/>
      <c r="AG40" s="28">
        <f>SUM(AG38:AG39)</f>
        <v>20830</v>
      </c>
      <c r="AH40" s="28"/>
      <c r="AI40" s="28">
        <f>SUM(AI38:AI39)</f>
        <v>-14838.1184295612</v>
      </c>
      <c r="AJ40" s="19"/>
      <c r="AK40" s="22" t="s">
        <v>10</v>
      </c>
      <c r="AL40" s="18"/>
      <c r="AM40" s="28">
        <f>SUM(AM38:AM39)</f>
        <v>19953</v>
      </c>
      <c r="AN40" s="28"/>
      <c r="AO40" s="28">
        <f>SUM(AO38:AO39)</f>
        <v>-7419.0138568129332</v>
      </c>
      <c r="AP40" s="19"/>
      <c r="AQ40" s="22" t="s">
        <v>10</v>
      </c>
      <c r="AR40" s="18"/>
      <c r="AS40" s="28">
        <f>SUM(AS38:AS39)</f>
        <v>0</v>
      </c>
      <c r="AT40" s="28"/>
      <c r="AU40" s="28">
        <f>SUM(AU38:AU39)</f>
        <v>0</v>
      </c>
      <c r="AV40" s="19"/>
      <c r="AW40" s="22" t="s">
        <v>10</v>
      </c>
      <c r="AX40" s="18"/>
      <c r="AY40" s="28">
        <f>SUM(AY38:AY39)</f>
        <v>0</v>
      </c>
      <c r="AZ40" s="28"/>
      <c r="BA40" s="28">
        <f>SUM(BA38:BA39)</f>
        <v>0</v>
      </c>
      <c r="BB40" s="19"/>
      <c r="BC40" s="22" t="s">
        <v>10</v>
      </c>
      <c r="BD40" s="18"/>
      <c r="BE40" s="28">
        <f>SUM(BE38:BE39)</f>
        <v>0</v>
      </c>
      <c r="BF40" s="28"/>
      <c r="BG40" s="28">
        <f>SUM(BG38:BG39)</f>
        <v>0</v>
      </c>
      <c r="BH40" s="19"/>
      <c r="BK40" s="52"/>
      <c r="BM40" s="52"/>
    </row>
    <row r="41" spans="1:66" x14ac:dyDescent="0.2">
      <c r="A41" s="22"/>
      <c r="B41" s="18"/>
      <c r="C41" s="28"/>
      <c r="D41" s="18"/>
      <c r="E41" s="18"/>
      <c r="F41" s="19"/>
      <c r="G41" s="22"/>
      <c r="H41" s="18"/>
      <c r="I41" s="28"/>
      <c r="J41" s="18"/>
      <c r="K41" s="18"/>
      <c r="L41" s="19"/>
      <c r="M41" s="22"/>
      <c r="N41" s="18"/>
      <c r="O41" s="28"/>
      <c r="P41" s="18"/>
      <c r="Q41" s="18"/>
      <c r="R41" s="19"/>
      <c r="S41" s="22"/>
      <c r="T41" s="18"/>
      <c r="U41" s="28"/>
      <c r="V41" s="18"/>
      <c r="W41" s="18"/>
      <c r="X41" s="19"/>
      <c r="Y41" s="22"/>
      <c r="Z41" s="18"/>
      <c r="AA41" s="28"/>
      <c r="AB41" s="18"/>
      <c r="AC41" s="18"/>
      <c r="AD41" s="19"/>
      <c r="AE41" s="22"/>
      <c r="AF41" s="18"/>
      <c r="AG41" s="28"/>
      <c r="AH41" s="18"/>
      <c r="AI41" s="18"/>
      <c r="AJ41" s="19"/>
      <c r="AK41" s="22"/>
      <c r="AL41" s="18"/>
      <c r="AM41" s="18"/>
      <c r="AN41" s="18"/>
      <c r="AO41" s="18"/>
      <c r="AP41" s="19"/>
      <c r="AQ41" s="22"/>
      <c r="AR41" s="18"/>
      <c r="AS41" s="18"/>
      <c r="AT41" s="18"/>
      <c r="AU41" s="18"/>
      <c r="AV41" s="19"/>
      <c r="AW41" s="22"/>
      <c r="AX41" s="18"/>
      <c r="AY41" s="18"/>
      <c r="AZ41" s="18"/>
      <c r="BA41" s="18"/>
      <c r="BB41" s="19"/>
      <c r="BC41" s="22"/>
      <c r="BD41" s="18"/>
      <c r="BE41" s="18"/>
      <c r="BF41" s="18"/>
      <c r="BG41" s="18"/>
      <c r="BH41" s="19"/>
    </row>
    <row r="42" spans="1:66" x14ac:dyDescent="0.2">
      <c r="A42" s="22" t="str">
        <f>+A15</f>
        <v>Actual Commodity Revenue August 2024 -July 2025</v>
      </c>
      <c r="B42" s="18"/>
      <c r="C42" s="18"/>
      <c r="D42" s="18"/>
      <c r="E42" s="52">
        <f>+'Calcs revised method'!Q47</f>
        <v>-8408.69</v>
      </c>
      <c r="F42" s="19"/>
      <c r="G42" s="22" t="str">
        <f>+G15</f>
        <v>Actual Commodity Revenue August 2023 -July 2024</v>
      </c>
      <c r="H42" s="18"/>
      <c r="I42" s="18"/>
      <c r="J42" s="18"/>
      <c r="K42" s="52">
        <v>-20723</v>
      </c>
      <c r="L42" s="19"/>
      <c r="M42" s="22" t="str">
        <f>+M15</f>
        <v>Actual Commodity Revenue August 2022 -July 2023</v>
      </c>
      <c r="N42" s="18"/>
      <c r="O42" s="18"/>
      <c r="P42" s="18"/>
      <c r="Q42" s="52">
        <v>-28083</v>
      </c>
      <c r="R42" s="19"/>
      <c r="S42" s="22" t="str">
        <f>+S15</f>
        <v>Actual Commodity Revenue August 2021 -July 2022</v>
      </c>
      <c r="T42" s="18"/>
      <c r="U42" s="18"/>
      <c r="V42" s="18"/>
      <c r="W42" s="52">
        <v>-25589</v>
      </c>
      <c r="X42" s="19"/>
      <c r="Y42" s="22" t="str">
        <f>+Y15</f>
        <v>Actual Commodity Revenue August 2020 -July 2021</v>
      </c>
      <c r="Z42" s="18"/>
      <c r="AA42" s="18"/>
      <c r="AB42" s="18"/>
      <c r="AC42" s="52">
        <v>-26908</v>
      </c>
      <c r="AD42" s="19"/>
      <c r="AE42" s="22" t="str">
        <f>+AE15</f>
        <v>Actual Commodity Revenue February 2020 - July 2020</v>
      </c>
      <c r="AF42" s="18"/>
      <c r="AG42" s="18"/>
      <c r="AH42" s="18"/>
      <c r="AI42" s="52">
        <v>-16370</v>
      </c>
      <c r="AJ42" s="19"/>
      <c r="AK42" s="22" t="str">
        <f>+AK15</f>
        <v>Actual Commodity Revenue August 2019-February 2020</v>
      </c>
      <c r="AL42" s="18"/>
      <c r="AM42" s="18"/>
      <c r="AN42" s="18"/>
      <c r="AO42" s="52">
        <v>-17478</v>
      </c>
      <c r="AP42" s="19"/>
      <c r="AQ42" s="22" t="s">
        <v>13</v>
      </c>
      <c r="AR42" s="18"/>
      <c r="AS42" s="18"/>
      <c r="AT42" s="18"/>
      <c r="AU42" s="52"/>
      <c r="AV42" s="19"/>
      <c r="AW42" s="22" t="s">
        <v>13</v>
      </c>
      <c r="AX42" s="18"/>
      <c r="AY42" s="18"/>
      <c r="AZ42" s="18"/>
      <c r="BA42" s="52"/>
      <c r="BB42" s="19"/>
      <c r="BC42" s="22" t="s">
        <v>13</v>
      </c>
      <c r="BD42" s="18"/>
      <c r="BE42" s="18"/>
      <c r="BF42" s="18"/>
      <c r="BG42" s="52"/>
      <c r="BH42" s="19"/>
      <c r="BM42" s="52"/>
    </row>
    <row r="43" spans="1:66" x14ac:dyDescent="0.2">
      <c r="A43" s="22"/>
      <c r="B43" s="18"/>
      <c r="C43" s="18"/>
      <c r="D43" s="18"/>
      <c r="E43" s="18"/>
      <c r="F43" s="19"/>
      <c r="G43" s="22"/>
      <c r="H43" s="18"/>
      <c r="I43" s="18"/>
      <c r="J43" s="18"/>
      <c r="K43" s="18"/>
      <c r="L43" s="19"/>
      <c r="M43" s="22"/>
      <c r="N43" s="18"/>
      <c r="O43" s="18"/>
      <c r="P43" s="18"/>
      <c r="Q43" s="18"/>
      <c r="R43" s="19"/>
      <c r="S43" s="22"/>
      <c r="T43" s="18"/>
      <c r="U43" s="18"/>
      <c r="V43" s="18"/>
      <c r="W43" s="18"/>
      <c r="X43" s="19"/>
      <c r="Y43" s="22"/>
      <c r="Z43" s="18"/>
      <c r="AA43" s="18"/>
      <c r="AB43" s="18"/>
      <c r="AC43" s="18"/>
      <c r="AD43" s="19"/>
      <c r="AE43" s="22"/>
      <c r="AF43" s="18"/>
      <c r="AG43" s="18"/>
      <c r="AH43" s="18"/>
      <c r="AI43" s="18"/>
      <c r="AJ43" s="19"/>
      <c r="AK43" s="22"/>
      <c r="AL43" s="18"/>
      <c r="AM43" s="18"/>
      <c r="AN43" s="18"/>
      <c r="AO43" s="18"/>
      <c r="AP43" s="19"/>
      <c r="AQ43" s="22"/>
      <c r="AR43" s="18"/>
      <c r="AS43" s="18"/>
      <c r="AT43" s="18"/>
      <c r="AU43" s="18"/>
      <c r="AV43" s="19"/>
      <c r="AW43" s="22"/>
      <c r="AX43" s="18"/>
      <c r="AY43" s="18"/>
      <c r="AZ43" s="18"/>
      <c r="BA43" s="18"/>
      <c r="BB43" s="19"/>
      <c r="BC43" s="22"/>
      <c r="BD43" s="18"/>
      <c r="BE43" s="18"/>
      <c r="BF43" s="18"/>
      <c r="BG43" s="18"/>
      <c r="BH43" s="19"/>
    </row>
    <row r="44" spans="1:66" x14ac:dyDescent="0.2">
      <c r="A44" s="22" t="s">
        <v>14</v>
      </c>
      <c r="B44" s="18"/>
      <c r="C44" s="18"/>
      <c r="D44" s="18"/>
      <c r="E44" s="28">
        <f>E42-E40</f>
        <v>-6.1085000000020955</v>
      </c>
      <c r="F44" s="19"/>
      <c r="G44" s="22" t="s">
        <v>14</v>
      </c>
      <c r="H44" s="18"/>
      <c r="I44" s="18"/>
      <c r="J44" s="18"/>
      <c r="K44" s="28">
        <f>K42-K40</f>
        <v>6974</v>
      </c>
      <c r="L44" s="19"/>
      <c r="M44" s="22" t="s">
        <v>14</v>
      </c>
      <c r="N44" s="18"/>
      <c r="O44" s="18"/>
      <c r="P44" s="18"/>
      <c r="Q44" s="28">
        <f>Q42-Q40</f>
        <v>5116.82</v>
      </c>
      <c r="R44" s="19"/>
      <c r="S44" s="22" t="s">
        <v>14</v>
      </c>
      <c r="T44" s="18"/>
      <c r="U44" s="18"/>
      <c r="V44" s="18"/>
      <c r="W44" s="28">
        <f>W42-W40</f>
        <v>38196.51</v>
      </c>
      <c r="X44" s="19"/>
      <c r="Y44" s="22" t="s">
        <v>14</v>
      </c>
      <c r="Z44" s="18"/>
      <c r="AA44" s="18"/>
      <c r="AB44" s="18"/>
      <c r="AC44" s="28">
        <f>AC42-AC40</f>
        <v>-13971.042500000001</v>
      </c>
      <c r="AD44" s="19"/>
      <c r="AE44" s="22" t="s">
        <v>14</v>
      </c>
      <c r="AF44" s="18"/>
      <c r="AG44" s="18"/>
      <c r="AH44" s="18"/>
      <c r="AI44" s="28">
        <f>AI42-AI40</f>
        <v>-1531.8815704387998</v>
      </c>
      <c r="AJ44" s="19"/>
      <c r="AK44" s="22" t="s">
        <v>14</v>
      </c>
      <c r="AL44" s="18"/>
      <c r="AM44" s="18"/>
      <c r="AN44" s="18"/>
      <c r="AO44" s="28">
        <f>AO42-AO40</f>
        <v>-10058.986143187067</v>
      </c>
      <c r="AP44" s="19"/>
      <c r="AQ44" s="22" t="s">
        <v>14</v>
      </c>
      <c r="AR44" s="18"/>
      <c r="AS44" s="18"/>
      <c r="AT44" s="18"/>
      <c r="AU44" s="28">
        <f>AU42-AU40</f>
        <v>0</v>
      </c>
      <c r="AV44" s="19"/>
      <c r="AW44" s="22" t="s">
        <v>14</v>
      </c>
      <c r="AX44" s="18"/>
      <c r="AY44" s="18"/>
      <c r="AZ44" s="18"/>
      <c r="BA44" s="28">
        <f>BA42-BA40</f>
        <v>0</v>
      </c>
      <c r="BB44" s="19"/>
      <c r="BC44" s="22" t="s">
        <v>14</v>
      </c>
      <c r="BD44" s="18"/>
      <c r="BE44" s="18"/>
      <c r="BF44" s="18"/>
      <c r="BG44" s="28">
        <f>BG42-BG40</f>
        <v>0</v>
      </c>
      <c r="BH44" s="19"/>
      <c r="BM44" s="52"/>
    </row>
    <row r="45" spans="1:66" x14ac:dyDescent="0.2">
      <c r="A45" s="22"/>
      <c r="B45" s="18"/>
      <c r="C45" s="18"/>
      <c r="D45" s="18"/>
      <c r="E45" s="18"/>
      <c r="F45" s="19"/>
      <c r="G45" s="22"/>
      <c r="H45" s="18"/>
      <c r="I45" s="18"/>
      <c r="J45" s="18"/>
      <c r="K45" s="18"/>
      <c r="L45" s="19"/>
      <c r="M45" s="22"/>
      <c r="N45" s="18"/>
      <c r="O45" s="18"/>
      <c r="P45" s="18"/>
      <c r="Q45" s="18"/>
      <c r="R45" s="19"/>
      <c r="S45" s="22"/>
      <c r="T45" s="18"/>
      <c r="U45" s="18"/>
      <c r="V45" s="18"/>
      <c r="W45" s="18"/>
      <c r="X45" s="19"/>
      <c r="Y45" s="22"/>
      <c r="Z45" s="18"/>
      <c r="AA45" s="18"/>
      <c r="AB45" s="18"/>
      <c r="AC45" s="18"/>
      <c r="AD45" s="19"/>
      <c r="AE45" s="22"/>
      <c r="AF45" s="18"/>
      <c r="AG45" s="18"/>
      <c r="AH45" s="18"/>
      <c r="AI45" s="18"/>
      <c r="AJ45" s="19"/>
      <c r="AK45" s="22"/>
      <c r="AL45" s="18"/>
      <c r="AM45" s="18"/>
      <c r="AN45" s="18"/>
      <c r="AO45" s="18"/>
      <c r="AP45" s="19"/>
      <c r="AQ45" s="22"/>
      <c r="AR45" s="18"/>
      <c r="AS45" s="18"/>
      <c r="AT45" s="18"/>
      <c r="AU45" s="18"/>
      <c r="AV45" s="19"/>
      <c r="AW45" s="22"/>
      <c r="AX45" s="18"/>
      <c r="AY45" s="18"/>
      <c r="AZ45" s="18"/>
      <c r="BA45" s="18"/>
      <c r="BB45" s="19"/>
      <c r="BC45" s="22"/>
      <c r="BD45" s="18"/>
      <c r="BE45" s="18"/>
      <c r="BF45" s="18"/>
      <c r="BG45" s="18"/>
      <c r="BH45" s="19"/>
    </row>
    <row r="46" spans="1:66" x14ac:dyDescent="0.2">
      <c r="A46" s="22" t="s">
        <v>67</v>
      </c>
      <c r="B46" s="18"/>
      <c r="C46" s="18"/>
      <c r="D46" s="18"/>
      <c r="E46" s="28">
        <f>+C40</f>
        <v>15678.929999999997</v>
      </c>
      <c r="F46" s="19"/>
      <c r="G46" s="22" t="s">
        <v>67</v>
      </c>
      <c r="H46" s="18"/>
      <c r="I46" s="18"/>
      <c r="J46" s="18"/>
      <c r="K46" s="28">
        <f>+I40</f>
        <v>40741</v>
      </c>
      <c r="L46" s="19"/>
      <c r="M46" s="22" t="s">
        <v>67</v>
      </c>
      <c r="N46" s="18"/>
      <c r="O46" s="18"/>
      <c r="P46" s="18"/>
      <c r="Q46" s="28">
        <f>+O40</f>
        <v>40741</v>
      </c>
      <c r="R46" s="19"/>
      <c r="S46" s="22" t="s">
        <v>67</v>
      </c>
      <c r="T46" s="18"/>
      <c r="U46" s="18"/>
      <c r="V46" s="18"/>
      <c r="W46" s="28">
        <f>+U40</f>
        <v>40741</v>
      </c>
      <c r="X46" s="19"/>
      <c r="Y46" s="22" t="s">
        <v>67</v>
      </c>
      <c r="Z46" s="18"/>
      <c r="AA46" s="18"/>
      <c r="AB46" s="18"/>
      <c r="AC46" s="28">
        <f>SUM('Calcs revised method'!D37:O37)</f>
        <v>15678.929999999997</v>
      </c>
      <c r="AD46" s="19"/>
      <c r="AE46" s="22" t="s">
        <v>67</v>
      </c>
      <c r="AF46" s="18"/>
      <c r="AG46" s="18"/>
      <c r="AH46" s="18"/>
      <c r="AI46" s="28">
        <v>41661</v>
      </c>
      <c r="AJ46" s="19"/>
      <c r="AK46" s="22" t="s">
        <v>67</v>
      </c>
      <c r="AL46" s="18"/>
      <c r="AM46" s="18"/>
      <c r="AN46" s="18"/>
      <c r="AO46" s="28">
        <f>+AM40</f>
        <v>19953</v>
      </c>
      <c r="AP46" s="19"/>
      <c r="AQ46" s="22" t="s">
        <v>15</v>
      </c>
      <c r="AR46" s="18"/>
      <c r="AS46" s="18"/>
      <c r="AT46" s="18"/>
      <c r="AU46" s="28">
        <f>+AS40</f>
        <v>0</v>
      </c>
      <c r="AV46" s="19"/>
      <c r="AW46" s="22" t="s">
        <v>15</v>
      </c>
      <c r="AX46" s="18"/>
      <c r="AY46" s="18"/>
      <c r="AZ46" s="18"/>
      <c r="BA46" s="28">
        <f>+AY40</f>
        <v>0</v>
      </c>
      <c r="BB46" s="19"/>
      <c r="BC46" s="22" t="s">
        <v>15</v>
      </c>
      <c r="BD46" s="18"/>
      <c r="BE46" s="18"/>
      <c r="BF46" s="18"/>
      <c r="BG46" s="28">
        <f>+BE40</f>
        <v>0</v>
      </c>
      <c r="BH46" s="19"/>
      <c r="BM46" s="52"/>
    </row>
    <row r="47" spans="1:66" x14ac:dyDescent="0.2">
      <c r="A47" s="22"/>
      <c r="B47" s="18"/>
      <c r="C47" s="18"/>
      <c r="D47" s="18"/>
      <c r="E47" s="18"/>
      <c r="F47" s="19"/>
      <c r="G47" s="22"/>
      <c r="H47" s="18"/>
      <c r="I47" s="18"/>
      <c r="J47" s="18"/>
      <c r="K47" s="18"/>
      <c r="L47" s="19"/>
      <c r="M47" s="22"/>
      <c r="N47" s="18"/>
      <c r="O47" s="18"/>
      <c r="P47" s="18"/>
      <c r="Q47" s="18"/>
      <c r="R47" s="19"/>
      <c r="S47" s="22"/>
      <c r="T47" s="18"/>
      <c r="U47" s="18"/>
      <c r="V47" s="18"/>
      <c r="W47" s="18"/>
      <c r="X47" s="19"/>
      <c r="Y47" s="22"/>
      <c r="Z47" s="18"/>
      <c r="AA47" s="18"/>
      <c r="AB47" s="18"/>
      <c r="AC47" s="18"/>
      <c r="AD47" s="19"/>
      <c r="AE47" s="22"/>
      <c r="AF47" s="18"/>
      <c r="AG47" s="18"/>
      <c r="AH47" s="18"/>
      <c r="AI47" s="18"/>
      <c r="AJ47" s="19"/>
      <c r="AK47" s="22"/>
      <c r="AL47" s="18"/>
      <c r="AM47" s="18"/>
      <c r="AN47" s="18"/>
      <c r="AO47" s="18"/>
      <c r="AP47" s="19"/>
      <c r="AQ47" s="22"/>
      <c r="AR47" s="18"/>
      <c r="AS47" s="18"/>
      <c r="AT47" s="18"/>
      <c r="AU47" s="18"/>
      <c r="AV47" s="19"/>
      <c r="AW47" s="22"/>
      <c r="AX47" s="18"/>
      <c r="AY47" s="18"/>
      <c r="AZ47" s="18"/>
      <c r="BA47" s="18"/>
      <c r="BB47" s="19"/>
      <c r="BC47" s="22"/>
      <c r="BD47" s="18"/>
      <c r="BE47" s="18"/>
      <c r="BF47" s="18"/>
      <c r="BG47" s="18"/>
      <c r="BH47" s="19"/>
    </row>
    <row r="48" spans="1:66" x14ac:dyDescent="0.2">
      <c r="A48" s="22" t="s">
        <v>16</v>
      </c>
      <c r="B48" s="18"/>
      <c r="C48" s="18"/>
      <c r="D48" s="18"/>
      <c r="E48" s="18"/>
      <c r="F48" s="31">
        <f>ROUND((E44/E46),2)</f>
        <v>0</v>
      </c>
      <c r="G48" s="22" t="s">
        <v>16</v>
      </c>
      <c r="H48" s="18"/>
      <c r="I48" s="18"/>
      <c r="J48" s="18"/>
      <c r="K48" s="18"/>
      <c r="L48" s="31">
        <f>ROUND((K44/K46),2)</f>
        <v>0.17</v>
      </c>
      <c r="M48" s="22" t="s">
        <v>16</v>
      </c>
      <c r="N48" s="18"/>
      <c r="O48" s="18"/>
      <c r="P48" s="18"/>
      <c r="Q48" s="18"/>
      <c r="R48" s="31">
        <f>ROUND((Q44/Q46),2)</f>
        <v>0.13</v>
      </c>
      <c r="S48" s="22" t="s">
        <v>16</v>
      </c>
      <c r="T48" s="18"/>
      <c r="U48" s="18"/>
      <c r="V48" s="18"/>
      <c r="W48" s="18"/>
      <c r="X48" s="31">
        <f>ROUND((W44/W46),2)</f>
        <v>0.94</v>
      </c>
      <c r="Y48" s="22" t="s">
        <v>16</v>
      </c>
      <c r="Z48" s="18"/>
      <c r="AA48" s="18"/>
      <c r="AB48" s="18"/>
      <c r="AC48" s="18"/>
      <c r="AD48" s="31">
        <f>ROUND((AC44/AC46),2)</f>
        <v>-0.89</v>
      </c>
      <c r="AE48" s="22" t="s">
        <v>16</v>
      </c>
      <c r="AF48" s="18"/>
      <c r="AG48" s="18"/>
      <c r="AH48" s="18"/>
      <c r="AI48" s="18"/>
      <c r="AJ48" s="31">
        <f>ROUND((AI44/AI46),2)</f>
        <v>-0.04</v>
      </c>
      <c r="AK48" s="22" t="s">
        <v>16</v>
      </c>
      <c r="AL48" s="18"/>
      <c r="AM48" s="18"/>
      <c r="AN48" s="18"/>
      <c r="AO48" s="18"/>
      <c r="AP48" s="31">
        <f>ROUND((AO44/AO46),2)</f>
        <v>-0.5</v>
      </c>
      <c r="AQ48" s="22" t="s">
        <v>16</v>
      </c>
      <c r="AR48" s="18"/>
      <c r="AS48" s="18"/>
      <c r="AT48" s="18"/>
      <c r="AU48" s="18"/>
      <c r="AV48" s="31" t="e">
        <f>ROUND((AU44/AU46),2)</f>
        <v>#DIV/0!</v>
      </c>
      <c r="AW48" s="22" t="s">
        <v>16</v>
      </c>
      <c r="AX48" s="18"/>
      <c r="AY48" s="18"/>
      <c r="AZ48" s="18"/>
      <c r="BA48" s="18"/>
      <c r="BB48" s="31" t="e">
        <f>ROUND((BA44/BA46),2)</f>
        <v>#DIV/0!</v>
      </c>
      <c r="BC48" s="22" t="s">
        <v>16</v>
      </c>
      <c r="BD48" s="18"/>
      <c r="BE48" s="18"/>
      <c r="BF48" s="18"/>
      <c r="BG48" s="18"/>
      <c r="BH48" s="31" t="e">
        <f>ROUND((BG44/BG46),2)</f>
        <v>#DIV/0!</v>
      </c>
      <c r="BN48" s="56"/>
    </row>
    <row r="49" spans="1:66" x14ac:dyDescent="0.2">
      <c r="A49" s="22"/>
      <c r="B49" s="18"/>
      <c r="C49" s="18"/>
      <c r="D49" s="18"/>
      <c r="E49" s="28"/>
      <c r="F49" s="19"/>
      <c r="G49" s="22"/>
      <c r="H49" s="18"/>
      <c r="I49" s="18"/>
      <c r="J49" s="18"/>
      <c r="K49" s="28"/>
      <c r="L49" s="19"/>
      <c r="M49" s="22"/>
      <c r="N49" s="18"/>
      <c r="O49" s="18"/>
      <c r="P49" s="18"/>
      <c r="Q49" s="28"/>
      <c r="R49" s="19"/>
      <c r="S49" s="22"/>
      <c r="T49" s="18"/>
      <c r="U49" s="18"/>
      <c r="V49" s="18"/>
      <c r="W49" s="28"/>
      <c r="X49" s="19"/>
      <c r="Y49" s="22"/>
      <c r="Z49" s="18"/>
      <c r="AA49" s="18"/>
      <c r="AB49" s="18"/>
      <c r="AC49" s="28"/>
      <c r="AD49" s="19"/>
      <c r="AE49" s="22"/>
      <c r="AF49" s="18"/>
      <c r="AG49" s="18"/>
      <c r="AH49" s="18"/>
      <c r="AI49" s="28"/>
      <c r="AJ49" s="19"/>
      <c r="AK49" s="22"/>
      <c r="AL49" s="18"/>
      <c r="AM49" s="18"/>
      <c r="AN49" s="18"/>
      <c r="AO49" s="28"/>
      <c r="AP49" s="19"/>
      <c r="AQ49" s="22"/>
      <c r="AR49" s="18"/>
      <c r="AS49" s="18"/>
      <c r="AT49" s="18"/>
      <c r="AU49" s="28"/>
      <c r="AV49" s="19"/>
      <c r="AW49" s="22"/>
      <c r="AX49" s="18"/>
      <c r="AY49" s="18"/>
      <c r="AZ49" s="18"/>
      <c r="BA49" s="28"/>
      <c r="BB49" s="19"/>
      <c r="BC49" s="22"/>
      <c r="BD49" s="18"/>
      <c r="BE49" s="18"/>
      <c r="BF49" s="18"/>
      <c r="BG49" s="28"/>
      <c r="BH49" s="19"/>
      <c r="BM49" s="52"/>
    </row>
    <row r="50" spans="1:66" ht="16.5" x14ac:dyDescent="0.35">
      <c r="A50" s="86" t="str">
        <f>A23</f>
        <v>Projected Revenue October 2025 - September 2026</v>
      </c>
      <c r="B50" s="26"/>
      <c r="C50" s="18"/>
      <c r="D50" s="18"/>
      <c r="E50" s="87">
        <f>+E42</f>
        <v>-8408.69</v>
      </c>
      <c r="F50" s="19"/>
      <c r="G50" s="86" t="str">
        <f>G23</f>
        <v>Projected Revenue October 2024 - September 2025</v>
      </c>
      <c r="H50" s="26"/>
      <c r="I50" s="18"/>
      <c r="J50" s="18"/>
      <c r="K50" s="87">
        <f>+K42</f>
        <v>-20723</v>
      </c>
      <c r="L50" s="19"/>
      <c r="M50" s="86" t="str">
        <f>M23</f>
        <v>Projected Revenue October 2023 - September 2024</v>
      </c>
      <c r="N50" s="26"/>
      <c r="O50" s="18"/>
      <c r="P50" s="18"/>
      <c r="Q50" s="87">
        <f>+Q42</f>
        <v>-28083</v>
      </c>
      <c r="R50" s="19"/>
      <c r="S50" s="86" t="str">
        <f>S23</f>
        <v>Projected Revenue October 2022 - September 2023</v>
      </c>
      <c r="T50" s="26"/>
      <c r="U50" s="18"/>
      <c r="V50" s="18"/>
      <c r="W50" s="87">
        <v>-25589</v>
      </c>
      <c r="X50" s="19"/>
      <c r="Y50" s="86" t="str">
        <f>Y23</f>
        <v>Projected Revenue October 2021 - September 2022</v>
      </c>
      <c r="Z50" s="26"/>
      <c r="AA50" s="18"/>
      <c r="AB50" s="18"/>
      <c r="AC50" s="87">
        <f>+AC42</f>
        <v>-26908</v>
      </c>
      <c r="AD50" s="19"/>
      <c r="AE50" s="86" t="str">
        <f>AE23</f>
        <v>Projected Revenue October 2020 - September 2021</v>
      </c>
      <c r="AF50" s="26"/>
      <c r="AG50" s="18"/>
      <c r="AH50" s="18"/>
      <c r="AI50" s="87">
        <v>-33848</v>
      </c>
      <c r="AJ50" s="19"/>
      <c r="AK50" s="86" t="str">
        <f>AK23</f>
        <v>Projected Revenue April - September 2020</v>
      </c>
      <c r="AL50" s="26"/>
      <c r="AM50" s="18"/>
      <c r="AN50" s="18"/>
      <c r="AO50" s="87">
        <f>+AO42</f>
        <v>-17478</v>
      </c>
      <c r="AP50" s="19"/>
      <c r="AQ50" s="86" t="str">
        <f>AQ23</f>
        <v>Projected Revenue Oct 2019 - Mar 2020</v>
      </c>
      <c r="AR50" s="26"/>
      <c r="AS50" s="18"/>
      <c r="AT50" s="18"/>
      <c r="AU50" s="92"/>
      <c r="AV50" s="19"/>
      <c r="AW50" s="86" t="str">
        <f>AW23</f>
        <v>Projected Revenue Apr 2019 - Sep 2019</v>
      </c>
      <c r="AX50" s="26"/>
      <c r="AY50" s="18"/>
      <c r="AZ50" s="18"/>
      <c r="BA50" s="92"/>
      <c r="BB50" s="19"/>
      <c r="BC50" s="67" t="str">
        <f>BC23</f>
        <v>Projected Revenue Oct 2018 - Mar 2019</v>
      </c>
      <c r="BD50" s="26"/>
      <c r="BE50" s="18"/>
      <c r="BF50" s="18"/>
      <c r="BG50" s="66"/>
      <c r="BH50" s="19"/>
      <c r="BI50" s="50"/>
      <c r="BJ50" s="50"/>
      <c r="BM50" s="57"/>
    </row>
    <row r="51" spans="1:66" x14ac:dyDescent="0.2">
      <c r="A51" s="22" t="s">
        <v>67</v>
      </c>
      <c r="B51" s="18"/>
      <c r="C51" s="18"/>
      <c r="D51" s="102"/>
      <c r="E51" s="28">
        <f>+C40</f>
        <v>15678.929999999997</v>
      </c>
      <c r="F51" s="19"/>
      <c r="G51" s="22" t="s">
        <v>67</v>
      </c>
      <c r="H51" s="18"/>
      <c r="I51" s="18"/>
      <c r="J51" s="102"/>
      <c r="K51" s="28">
        <f>+I40</f>
        <v>40741</v>
      </c>
      <c r="L51" s="19"/>
      <c r="M51" s="22" t="s">
        <v>67</v>
      </c>
      <c r="N51" s="18"/>
      <c r="O51" s="18"/>
      <c r="P51" s="102"/>
      <c r="Q51" s="28">
        <f>+O40</f>
        <v>40741</v>
      </c>
      <c r="R51" s="19"/>
      <c r="S51" s="22" t="s">
        <v>67</v>
      </c>
      <c r="T51" s="18"/>
      <c r="U51" s="18"/>
      <c r="V51" s="102"/>
      <c r="W51" s="28">
        <f>+U40</f>
        <v>40741</v>
      </c>
      <c r="X51" s="19"/>
      <c r="Y51" s="22" t="s">
        <v>67</v>
      </c>
      <c r="Z51" s="18"/>
      <c r="AA51" s="18"/>
      <c r="AB51" s="102"/>
      <c r="AC51" s="28">
        <f>SUM('Calcs revised method'!D37:O37)</f>
        <v>15678.929999999997</v>
      </c>
      <c r="AD51" s="19"/>
      <c r="AE51" s="22" t="s">
        <v>67</v>
      </c>
      <c r="AF51" s="18"/>
      <c r="AG51" s="18"/>
      <c r="AH51" s="102"/>
      <c r="AI51" s="28">
        <v>41661</v>
      </c>
      <c r="AJ51" s="19"/>
      <c r="AK51" s="22" t="s">
        <v>67</v>
      </c>
      <c r="AL51" s="18"/>
      <c r="AM51" s="18"/>
      <c r="AN51" s="18"/>
      <c r="AO51" s="28">
        <f>AO46</f>
        <v>19953</v>
      </c>
      <c r="AP51" s="19"/>
      <c r="AQ51" s="22" t="s">
        <v>15</v>
      </c>
      <c r="AR51" s="18"/>
      <c r="AS51" s="18"/>
      <c r="AT51" s="18"/>
      <c r="AU51" s="28">
        <f>AU46</f>
        <v>0</v>
      </c>
      <c r="AV51" s="19"/>
      <c r="AW51" s="22" t="s">
        <v>15</v>
      </c>
      <c r="AX51" s="18"/>
      <c r="AY51" s="18"/>
      <c r="AZ51" s="18"/>
      <c r="BA51" s="28">
        <f>BA46</f>
        <v>0</v>
      </c>
      <c r="BB51" s="19"/>
      <c r="BC51" s="22" t="s">
        <v>15</v>
      </c>
      <c r="BD51" s="18"/>
      <c r="BE51" s="18"/>
      <c r="BF51" s="18"/>
      <c r="BG51" s="28">
        <f>BG46</f>
        <v>0</v>
      </c>
      <c r="BH51" s="19"/>
      <c r="BM51" s="52"/>
    </row>
    <row r="52" spans="1:66" ht="15" x14ac:dyDescent="0.35">
      <c r="A52" s="22" t="s">
        <v>17</v>
      </c>
      <c r="B52" s="18"/>
      <c r="C52" s="18"/>
      <c r="D52" s="18"/>
      <c r="E52" s="18"/>
      <c r="F52" s="37">
        <f>ROUND((E50/E51),2)</f>
        <v>-0.54</v>
      </c>
      <c r="G52" s="22" t="s">
        <v>17</v>
      </c>
      <c r="H52" s="18"/>
      <c r="I52" s="18"/>
      <c r="J52" s="18"/>
      <c r="K52" s="18"/>
      <c r="L52" s="37">
        <f>ROUND((K50/K51),2)</f>
        <v>-0.51</v>
      </c>
      <c r="M52" s="22" t="s">
        <v>17</v>
      </c>
      <c r="N52" s="18"/>
      <c r="O52" s="18"/>
      <c r="P52" s="18"/>
      <c r="Q52" s="18"/>
      <c r="R52" s="37">
        <f>ROUND((Q50/Q51),2)</f>
        <v>-0.69</v>
      </c>
      <c r="S52" s="22" t="s">
        <v>17</v>
      </c>
      <c r="T52" s="18"/>
      <c r="U52" s="18"/>
      <c r="V52" s="18"/>
      <c r="W52" s="18"/>
      <c r="X52" s="37">
        <f>ROUND((W50/W51),2)</f>
        <v>-0.63</v>
      </c>
      <c r="Y52" s="22" t="s">
        <v>17</v>
      </c>
      <c r="Z52" s="18"/>
      <c r="AA52" s="18"/>
      <c r="AB52" s="18"/>
      <c r="AC52" s="18"/>
      <c r="AD52" s="37">
        <f>ROUND((AC50/AC51),2)</f>
        <v>-1.72</v>
      </c>
      <c r="AE52" s="22" t="s">
        <v>17</v>
      </c>
      <c r="AF52" s="18"/>
      <c r="AG52" s="18"/>
      <c r="AH52" s="18"/>
      <c r="AI52" s="18"/>
      <c r="AJ52" s="37">
        <f>ROUND((AI50/AI51),2)</f>
        <v>-0.81</v>
      </c>
      <c r="AK52" s="22" t="s">
        <v>17</v>
      </c>
      <c r="AL52" s="18"/>
      <c r="AM52" s="18"/>
      <c r="AN52" s="18"/>
      <c r="AO52" s="18"/>
      <c r="AP52" s="37">
        <f>ROUND((AO50/AO51),2)</f>
        <v>-0.88</v>
      </c>
      <c r="AQ52" s="22" t="s">
        <v>17</v>
      </c>
      <c r="AR52" s="18"/>
      <c r="AS52" s="18"/>
      <c r="AT52" s="18"/>
      <c r="AU52" s="18"/>
      <c r="AV52" s="37" t="e">
        <f>ROUND((AU50/AU51),2)</f>
        <v>#DIV/0!</v>
      </c>
      <c r="AW52" s="22" t="s">
        <v>17</v>
      </c>
      <c r="AX52" s="18"/>
      <c r="AY52" s="18"/>
      <c r="AZ52" s="18"/>
      <c r="BA52" s="18"/>
      <c r="BB52" s="37" t="e">
        <f>ROUND((BA50/BA51),2)</f>
        <v>#DIV/0!</v>
      </c>
      <c r="BC52" s="22" t="s">
        <v>17</v>
      </c>
      <c r="BD52" s="18"/>
      <c r="BE52" s="18"/>
      <c r="BF52" s="18"/>
      <c r="BG52" s="18"/>
      <c r="BH52" s="37" t="e">
        <f>ROUND((BG50/BG51),2)</f>
        <v>#DIV/0!</v>
      </c>
      <c r="BN52" s="59"/>
    </row>
    <row r="53" spans="1:66" x14ac:dyDescent="0.2">
      <c r="A53" s="22"/>
      <c r="B53" s="18"/>
      <c r="C53" s="18"/>
      <c r="D53" s="18"/>
      <c r="E53" s="18"/>
      <c r="F53" s="19"/>
      <c r="G53" s="22"/>
      <c r="H53" s="18"/>
      <c r="I53" s="18"/>
      <c r="J53" s="18"/>
      <c r="K53" s="18"/>
      <c r="L53" s="19"/>
      <c r="M53" s="22"/>
      <c r="N53" s="18"/>
      <c r="O53" s="18"/>
      <c r="P53" s="18"/>
      <c r="Q53" s="18"/>
      <c r="R53" s="19"/>
      <c r="S53" s="22"/>
      <c r="T53" s="18"/>
      <c r="U53" s="18"/>
      <c r="V53" s="18"/>
      <c r="W53" s="18"/>
      <c r="X53" s="19"/>
      <c r="Y53" s="22"/>
      <c r="Z53" s="18"/>
      <c r="AA53" s="18"/>
      <c r="AB53" s="18"/>
      <c r="AC53" s="18"/>
      <c r="AD53" s="19"/>
      <c r="AE53" s="22"/>
      <c r="AF53" s="18"/>
      <c r="AG53" s="18"/>
      <c r="AH53" s="18"/>
      <c r="AI53" s="18"/>
      <c r="AJ53" s="19"/>
      <c r="AK53" s="22"/>
      <c r="AL53" s="18"/>
      <c r="AM53" s="18"/>
      <c r="AN53" s="18"/>
      <c r="AO53" s="18"/>
      <c r="AP53" s="19"/>
      <c r="AQ53" s="22"/>
      <c r="AR53" s="18"/>
      <c r="AS53" s="18"/>
      <c r="AT53" s="18"/>
      <c r="AU53" s="18"/>
      <c r="AV53" s="19"/>
      <c r="AW53" s="22"/>
      <c r="AX53" s="18"/>
      <c r="AY53" s="18"/>
      <c r="AZ53" s="18"/>
      <c r="BA53" s="18"/>
      <c r="BB53" s="19"/>
      <c r="BC53" s="22"/>
      <c r="BD53" s="18"/>
      <c r="BE53" s="18"/>
      <c r="BF53" s="18"/>
      <c r="BG53" s="18"/>
      <c r="BH53" s="19"/>
    </row>
    <row r="54" spans="1:66" ht="18.75" thickBot="1" x14ac:dyDescent="0.4">
      <c r="A54" s="15" t="s">
        <v>61</v>
      </c>
      <c r="B54" s="16"/>
      <c r="C54" s="18"/>
      <c r="D54" s="18"/>
      <c r="E54" s="18"/>
      <c r="F54" s="33">
        <f>+F52+F48</f>
        <v>-0.54</v>
      </c>
      <c r="G54" s="15" t="s">
        <v>61</v>
      </c>
      <c r="H54" s="16"/>
      <c r="I54" s="18"/>
      <c r="J54" s="18"/>
      <c r="K54" s="18"/>
      <c r="L54" s="33">
        <f>+L52+L48</f>
        <v>-0.33999999999999997</v>
      </c>
      <c r="M54" s="15" t="s">
        <v>61</v>
      </c>
      <c r="N54" s="16"/>
      <c r="O54" s="18"/>
      <c r="P54" s="18"/>
      <c r="Q54" s="18"/>
      <c r="R54" s="33">
        <f>+R52+R48</f>
        <v>-0.55999999999999994</v>
      </c>
      <c r="S54" s="15" t="s">
        <v>61</v>
      </c>
      <c r="T54" s="16"/>
      <c r="U54" s="18"/>
      <c r="V54" s="18"/>
      <c r="W54" s="18"/>
      <c r="X54" s="33">
        <f>+X52+X48</f>
        <v>0.30999999999999994</v>
      </c>
      <c r="Y54" s="15" t="s">
        <v>61</v>
      </c>
      <c r="Z54" s="16"/>
      <c r="AA54" s="18"/>
      <c r="AB54" s="18"/>
      <c r="AC54" s="18"/>
      <c r="AD54" s="33">
        <f>+AD52+AD48</f>
        <v>-2.61</v>
      </c>
      <c r="AE54" s="15" t="s">
        <v>61</v>
      </c>
      <c r="AF54" s="16"/>
      <c r="AG54" s="18"/>
      <c r="AH54" s="18"/>
      <c r="AI54" s="18"/>
      <c r="AJ54" s="33">
        <f>+AJ52+AJ48</f>
        <v>-0.85000000000000009</v>
      </c>
      <c r="AK54" s="15" t="s">
        <v>61</v>
      </c>
      <c r="AL54" s="16"/>
      <c r="AM54" s="18"/>
      <c r="AN54" s="18"/>
      <c r="AO54" s="18"/>
      <c r="AP54" s="33">
        <f>+AP52+AP48</f>
        <v>-1.38</v>
      </c>
      <c r="AQ54" s="15" t="s">
        <v>18</v>
      </c>
      <c r="AR54" s="16"/>
      <c r="AS54" s="18"/>
      <c r="AT54" s="18"/>
      <c r="AU54" s="18"/>
      <c r="AV54" s="33" t="e">
        <f>+AV52+AV48</f>
        <v>#DIV/0!</v>
      </c>
      <c r="AW54" s="15" t="s">
        <v>18</v>
      </c>
      <c r="AX54" s="16"/>
      <c r="AY54" s="18"/>
      <c r="AZ54" s="18"/>
      <c r="BA54" s="18"/>
      <c r="BB54" s="33" t="e">
        <f>+BB52+BB48</f>
        <v>#DIV/0!</v>
      </c>
      <c r="BC54" s="15" t="s">
        <v>18</v>
      </c>
      <c r="BD54" s="16"/>
      <c r="BE54" s="18"/>
      <c r="BF54" s="18"/>
      <c r="BG54" s="18"/>
      <c r="BH54" s="33" t="e">
        <f>+BH52+BH48</f>
        <v>#DIV/0!</v>
      </c>
      <c r="BI54" s="43"/>
      <c r="BJ54" s="43"/>
      <c r="BN54" s="60"/>
    </row>
    <row r="55" spans="1:66" ht="18.75" thickTop="1" x14ac:dyDescent="0.35">
      <c r="A55" s="15"/>
      <c r="B55" s="16"/>
      <c r="C55" s="18"/>
      <c r="D55" s="18"/>
      <c r="E55" s="18"/>
      <c r="F55" s="38"/>
      <c r="G55" s="15"/>
      <c r="H55" s="16"/>
      <c r="I55" s="18"/>
      <c r="J55" s="18"/>
      <c r="K55" s="18"/>
      <c r="L55" s="38"/>
      <c r="M55" s="15"/>
      <c r="N55" s="16"/>
      <c r="O55" s="18"/>
      <c r="P55" s="18"/>
      <c r="Q55" s="18"/>
      <c r="R55" s="38"/>
      <c r="S55" s="15"/>
      <c r="T55" s="16"/>
      <c r="U55" s="18"/>
      <c r="V55" s="18"/>
      <c r="W55" s="18"/>
      <c r="X55" s="38"/>
      <c r="Y55" s="15"/>
      <c r="Z55" s="16"/>
      <c r="AA55" s="18"/>
      <c r="AB55" s="18"/>
      <c r="AC55" s="18"/>
      <c r="AD55" s="38"/>
      <c r="AE55" s="15"/>
      <c r="AF55" s="16"/>
      <c r="AG55" s="18"/>
      <c r="AH55" s="18"/>
      <c r="AI55" s="18"/>
      <c r="AJ55" s="38"/>
      <c r="AK55" s="15"/>
      <c r="AL55" s="16"/>
      <c r="AM55" s="18"/>
      <c r="AN55" s="18"/>
      <c r="AO55" s="18"/>
      <c r="AP55" s="38"/>
      <c r="AQ55" s="15"/>
      <c r="AR55" s="16"/>
      <c r="AS55" s="18"/>
      <c r="AT55" s="18"/>
      <c r="AU55" s="18"/>
      <c r="AV55" s="38"/>
      <c r="AW55" s="15"/>
      <c r="AX55" s="16"/>
      <c r="AY55" s="18"/>
      <c r="AZ55" s="18"/>
      <c r="BA55" s="18"/>
      <c r="BB55" s="38"/>
      <c r="BC55" s="15"/>
      <c r="BD55" s="16"/>
      <c r="BE55" s="18"/>
      <c r="BF55" s="18"/>
      <c r="BG55" s="18"/>
      <c r="BH55" s="38"/>
      <c r="BI55" s="43"/>
      <c r="BJ55" s="43"/>
      <c r="BL55" s="61"/>
      <c r="BN55" s="60"/>
    </row>
    <row r="56" spans="1:66" ht="15" x14ac:dyDescent="0.35">
      <c r="A56" s="22"/>
      <c r="B56" s="18"/>
      <c r="C56" s="18"/>
      <c r="D56" s="18"/>
      <c r="E56" s="18"/>
      <c r="F56" s="35"/>
      <c r="G56" s="22"/>
      <c r="H56" s="18"/>
      <c r="I56" s="18"/>
      <c r="J56" s="18"/>
      <c r="K56" s="18"/>
      <c r="L56" s="35"/>
      <c r="M56" s="22"/>
      <c r="N56" s="18"/>
      <c r="O56" s="18"/>
      <c r="P56" s="18"/>
      <c r="Q56" s="18"/>
      <c r="R56" s="35"/>
      <c r="S56" s="22"/>
      <c r="T56" s="18"/>
      <c r="U56" s="18"/>
      <c r="V56" s="18"/>
      <c r="W56" s="18"/>
      <c r="X56" s="35"/>
      <c r="Y56" s="22"/>
      <c r="Z56" s="18"/>
      <c r="AA56" s="18"/>
      <c r="AB56" s="18"/>
      <c r="AC56" s="18"/>
      <c r="AD56" s="35"/>
      <c r="AE56" s="22"/>
      <c r="AF56" s="18"/>
      <c r="AG56" s="18"/>
      <c r="AH56" s="18"/>
      <c r="AI56" s="18"/>
      <c r="AJ56" s="35"/>
      <c r="AK56" s="22"/>
      <c r="AL56" s="18"/>
      <c r="AM56" s="18"/>
      <c r="AN56" s="18"/>
      <c r="AO56" s="18"/>
      <c r="AP56" s="35"/>
      <c r="AQ56" s="22"/>
      <c r="AR56" s="18"/>
      <c r="AS56" s="18"/>
      <c r="AT56" s="18"/>
      <c r="AU56" s="18"/>
      <c r="AV56" s="35"/>
      <c r="AW56" s="22"/>
      <c r="AX56" s="18"/>
      <c r="AY56" s="18"/>
      <c r="AZ56" s="18"/>
      <c r="BA56" s="18"/>
      <c r="BB56" s="35"/>
      <c r="BC56" s="22"/>
      <c r="BD56" s="18"/>
      <c r="BE56" s="18"/>
      <c r="BF56" s="18"/>
      <c r="BG56" s="18"/>
      <c r="BH56" s="35"/>
    </row>
    <row r="57" spans="1:66" ht="13.5" thickBot="1" x14ac:dyDescent="0.25">
      <c r="A57" s="39"/>
      <c r="B57" s="40"/>
      <c r="C57" s="40"/>
      <c r="D57" s="40"/>
      <c r="E57" s="40"/>
      <c r="F57" s="41"/>
      <c r="G57" s="39"/>
      <c r="H57" s="40"/>
      <c r="I57" s="40"/>
      <c r="J57" s="40"/>
      <c r="K57" s="40"/>
      <c r="L57" s="41"/>
      <c r="M57" s="39"/>
      <c r="N57" s="40"/>
      <c r="O57" s="40"/>
      <c r="P57" s="40"/>
      <c r="Q57" s="40"/>
      <c r="R57" s="41"/>
      <c r="S57" s="39"/>
      <c r="T57" s="40"/>
      <c r="U57" s="40"/>
      <c r="V57" s="40"/>
      <c r="W57" s="40"/>
      <c r="X57" s="41"/>
      <c r="Y57" s="39"/>
      <c r="Z57" s="40"/>
      <c r="AA57" s="40"/>
      <c r="AB57" s="40"/>
      <c r="AC57" s="40"/>
      <c r="AD57" s="41"/>
      <c r="AE57" s="39"/>
      <c r="AF57" s="40"/>
      <c r="AG57" s="40"/>
      <c r="AH57" s="40"/>
      <c r="AI57" s="40"/>
      <c r="AJ57" s="41"/>
      <c r="AK57" s="39"/>
      <c r="AL57" s="40"/>
      <c r="AM57" s="40"/>
      <c r="AN57" s="40"/>
      <c r="AO57" s="40"/>
      <c r="AP57" s="41"/>
      <c r="AQ57" s="39"/>
      <c r="AR57" s="40"/>
      <c r="AS57" s="40"/>
      <c r="AT57" s="40"/>
      <c r="AU57" s="40"/>
      <c r="AV57" s="41"/>
      <c r="AW57" s="39"/>
      <c r="AX57" s="40"/>
      <c r="AY57" s="40"/>
      <c r="AZ57" s="40"/>
      <c r="BA57" s="40"/>
      <c r="BB57" s="41"/>
      <c r="BC57" s="39"/>
      <c r="BD57" s="40"/>
      <c r="BE57" s="40"/>
      <c r="BF57" s="40"/>
      <c r="BG57" s="40"/>
      <c r="BH57" s="41"/>
      <c r="BL57" s="61"/>
      <c r="BN57" s="63"/>
    </row>
  </sheetData>
  <mergeCells count="6">
    <mergeCell ref="A4:F4"/>
    <mergeCell ref="A6:F6"/>
    <mergeCell ref="A33:F33"/>
    <mergeCell ref="G4:L4"/>
    <mergeCell ref="G6:L6"/>
    <mergeCell ref="G33:L33"/>
  </mergeCells>
  <phoneticPr fontId="7" type="noConversion"/>
  <pageMargins left="0.92" right="0.25" top="0.45" bottom="0.37" header="0.3" footer="0.3"/>
  <pageSetup scale="92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1"/>
  <sheetViews>
    <sheetView zoomScaleNormal="100" workbookViewId="0">
      <selection activeCell="F13" sqref="F13"/>
    </sheetView>
  </sheetViews>
  <sheetFormatPr defaultColWidth="9.140625" defaultRowHeight="15" x14ac:dyDescent="0.25"/>
  <cols>
    <col min="1" max="1" width="3.5703125" style="109" customWidth="1"/>
    <col min="2" max="2" width="10.140625" style="109" bestFit="1" customWidth="1"/>
    <col min="3" max="5" width="12.7109375" style="109" customWidth="1"/>
    <col min="6" max="6" width="15.85546875" style="109" customWidth="1"/>
    <col min="7" max="7" width="11.85546875" style="109" bestFit="1" customWidth="1"/>
    <col min="8" max="8" width="12" style="109" bestFit="1" customWidth="1"/>
    <col min="9" max="9" width="13.42578125" style="109" bestFit="1" customWidth="1"/>
    <col min="10" max="10" width="9.5703125" style="109" bestFit="1" customWidth="1"/>
    <col min="11" max="13" width="9.140625" style="109"/>
    <col min="14" max="14" width="12.140625" style="109" bestFit="1" customWidth="1"/>
    <col min="15" max="15" width="9.140625" style="109"/>
    <col min="16" max="16" width="12.7109375" style="109" bestFit="1" customWidth="1"/>
    <col min="17" max="17" width="12.7109375" style="109" customWidth="1"/>
    <col min="18" max="19" width="9.140625" style="109"/>
    <col min="20" max="20" width="10.5703125" style="109" bestFit="1" customWidth="1"/>
    <col min="21" max="16384" width="9.140625" style="109"/>
  </cols>
  <sheetData>
    <row r="1" spans="1:24" ht="23.25" x14ac:dyDescent="0.35">
      <c r="A1" s="156" t="s">
        <v>21</v>
      </c>
      <c r="B1" s="156"/>
      <c r="C1" s="156"/>
      <c r="D1" s="156"/>
      <c r="E1" s="156"/>
      <c r="F1" s="156"/>
    </row>
    <row r="2" spans="1:24" ht="18" x14ac:dyDescent="0.25">
      <c r="A2" s="157" t="s">
        <v>81</v>
      </c>
      <c r="B2" s="157"/>
      <c r="C2" s="157"/>
      <c r="D2" s="157"/>
      <c r="E2" s="157"/>
      <c r="F2" s="157"/>
    </row>
    <row r="3" spans="1:24" ht="15.75" x14ac:dyDescent="0.25">
      <c r="A3" s="158" t="s">
        <v>105</v>
      </c>
      <c r="B3" s="158"/>
      <c r="C3" s="158"/>
      <c r="D3" s="158"/>
      <c r="E3" s="158"/>
      <c r="F3" s="158"/>
    </row>
    <row r="4" spans="1:24" x14ac:dyDescent="0.25">
      <c r="A4" s="110"/>
      <c r="B4" s="110"/>
      <c r="C4" s="84"/>
      <c r="D4" s="110"/>
      <c r="E4" s="110"/>
    </row>
    <row r="5" spans="1:24" x14ac:dyDescent="0.25">
      <c r="A5" s="110"/>
      <c r="B5" s="110"/>
      <c r="C5" s="84"/>
      <c r="D5" s="110"/>
      <c r="E5" s="110"/>
    </row>
    <row r="6" spans="1:24" x14ac:dyDescent="0.25">
      <c r="A6" s="110"/>
      <c r="B6" s="110"/>
      <c r="C6" s="84"/>
      <c r="D6" s="110"/>
      <c r="E6" s="110"/>
      <c r="F6" s="110"/>
    </row>
    <row r="7" spans="1:24" x14ac:dyDescent="0.25">
      <c r="A7" s="110"/>
      <c r="C7" s="110"/>
      <c r="D7" s="84"/>
      <c r="E7" s="110"/>
    </row>
    <row r="8" spans="1:24" ht="15.75" x14ac:dyDescent="0.25">
      <c r="B8" s="2" t="s">
        <v>1</v>
      </c>
      <c r="C8" s="2" t="s">
        <v>2</v>
      </c>
      <c r="D8" s="2" t="s">
        <v>3</v>
      </c>
      <c r="E8" s="2" t="s">
        <v>4</v>
      </c>
      <c r="F8" s="2" t="s">
        <v>4</v>
      </c>
      <c r="G8" s="159" t="s">
        <v>73</v>
      </c>
      <c r="H8" s="159"/>
      <c r="I8" s="159"/>
      <c r="K8" s="159" t="s">
        <v>74</v>
      </c>
      <c r="L8" s="159"/>
      <c r="M8" s="159"/>
    </row>
    <row r="9" spans="1:24" ht="16.5" thickBot="1" x14ac:dyDescent="0.3">
      <c r="B9" s="93"/>
      <c r="C9" s="93"/>
      <c r="D9" s="93"/>
      <c r="E9" s="93" t="s">
        <v>5</v>
      </c>
      <c r="F9" s="93"/>
      <c r="G9" s="109" t="s">
        <v>56</v>
      </c>
      <c r="H9" s="109" t="s">
        <v>57</v>
      </c>
      <c r="I9" s="109" t="s">
        <v>10</v>
      </c>
      <c r="K9" s="109" t="s">
        <v>56</v>
      </c>
      <c r="L9" s="109" t="s">
        <v>57</v>
      </c>
      <c r="M9" s="109" t="s">
        <v>10</v>
      </c>
      <c r="T9" s="163"/>
    </row>
    <row r="10" spans="1:24" ht="16.5" thickTop="1" x14ac:dyDescent="0.25">
      <c r="B10" s="2"/>
      <c r="C10" s="65"/>
      <c r="D10" s="2"/>
      <c r="E10" s="65"/>
      <c r="F10" s="2"/>
      <c r="T10" s="163"/>
    </row>
    <row r="11" spans="1:24" ht="15.75" x14ac:dyDescent="0.25">
      <c r="B11" s="111">
        <v>45505</v>
      </c>
      <c r="C11" s="71">
        <v>196180</v>
      </c>
      <c r="D11" s="72">
        <f>ROUND(C11/2000,2)</f>
        <v>98.09</v>
      </c>
      <c r="E11" s="68">
        <f>F11/D11</f>
        <v>100.43327556325823</v>
      </c>
      <c r="F11" s="68">
        <f>2942.7+6908.8</f>
        <v>9851.5</v>
      </c>
      <c r="G11" s="112">
        <f>ROUND(F11*('Commodity Debit'!E11/'Commodity Debit'!H11),2)</f>
        <v>8594.61</v>
      </c>
      <c r="H11" s="112">
        <f>ROUND(F11*('Commodity Debit'!E26/'Commodity Debit'!H26),2)</f>
        <v>1256.8900000000001</v>
      </c>
      <c r="I11" s="167">
        <f>+G11+H11</f>
        <v>9851.5</v>
      </c>
      <c r="J11" s="71" t="str">
        <f>IF(I11=F11,"True","Error")</f>
        <v>True</v>
      </c>
      <c r="K11" s="72">
        <f>ROUND(D11*('Commodity Debit'!E11/'Commodity Debit'!H11),2)</f>
        <v>85.58</v>
      </c>
      <c r="L11" s="72">
        <f>ROUND(D11*('Commodity Debit'!E26/'Commodity Debit'!H26),2)</f>
        <v>12.51</v>
      </c>
      <c r="M11" s="90">
        <f>+K11+L11</f>
        <v>98.09</v>
      </c>
      <c r="N11" s="68" t="str">
        <f>IF(D11=M11,"True","Error")</f>
        <v>True</v>
      </c>
      <c r="Q11" s="112"/>
      <c r="S11" s="112"/>
      <c r="T11" s="163"/>
      <c r="U11" s="112"/>
      <c r="X11" s="113"/>
    </row>
    <row r="12" spans="1:24" ht="15.75" x14ac:dyDescent="0.25">
      <c r="B12" s="111">
        <v>45536</v>
      </c>
      <c r="C12" s="71">
        <v>175920</v>
      </c>
      <c r="D12" s="72">
        <f>ROUND(C12/2000,2)</f>
        <v>87.96</v>
      </c>
      <c r="E12" s="68">
        <f>F12/D12</f>
        <v>90.809458844929523</v>
      </c>
      <c r="F12" s="68">
        <f>2638.8+5348.8</f>
        <v>7987.6</v>
      </c>
      <c r="G12" s="112">
        <f>ROUND(F12*('Commodity Debit'!E12/'Commodity Debit'!H12),2)</f>
        <v>6977.27</v>
      </c>
      <c r="H12" s="112">
        <f>ROUND(F12*('Commodity Debit'!E27/'Commodity Debit'!H27),2)</f>
        <v>1010.33</v>
      </c>
      <c r="I12" s="167">
        <f t="shared" ref="I12:I18" si="0">+G12+H12</f>
        <v>7987.6</v>
      </c>
      <c r="J12" s="71" t="str">
        <f t="shared" ref="J12:J22" si="1">IF(I12=F12,"True","Error")</f>
        <v>True</v>
      </c>
      <c r="K12" s="72">
        <f>ROUND(D12*('Commodity Debit'!E12/'Commodity Debit'!H12),2)</f>
        <v>76.83</v>
      </c>
      <c r="L12" s="72">
        <f>ROUND(D12*('Commodity Debit'!E27/'Commodity Debit'!H27),2)</f>
        <v>11.13</v>
      </c>
      <c r="M12" s="90">
        <f t="shared" ref="M12:M22" si="2">+K12+L12</f>
        <v>87.96</v>
      </c>
      <c r="N12" s="68" t="str">
        <f t="shared" ref="N12:N22" si="3">IF(D12=M12,"True","Error")</f>
        <v>True</v>
      </c>
      <c r="Q12" s="112"/>
      <c r="S12" s="112"/>
      <c r="T12" s="163"/>
      <c r="U12" s="112"/>
      <c r="X12" s="113"/>
    </row>
    <row r="13" spans="1:24" ht="15.75" x14ac:dyDescent="0.25">
      <c r="B13" s="111">
        <v>45566</v>
      </c>
      <c r="C13" s="71">
        <v>199040</v>
      </c>
      <c r="D13" s="72">
        <f t="shared" ref="D13:D22" si="4">ROUND(C13/2000,2)</f>
        <v>99.52</v>
      </c>
      <c r="E13" s="68">
        <f t="shared" ref="E13:E22" si="5">F13/D13</f>
        <v>51.712218649517681</v>
      </c>
      <c r="F13" s="68">
        <f>2985.6+2160.8</f>
        <v>5146.3999999999996</v>
      </c>
      <c r="G13" s="112">
        <f>ROUND(F13*('Commodity Debit'!E13/'Commodity Debit'!H13),2)</f>
        <v>4493.13</v>
      </c>
      <c r="H13" s="112">
        <f>ROUND(F13*('Commodity Debit'!E28/'Commodity Debit'!H28),2)</f>
        <v>653.27</v>
      </c>
      <c r="I13" s="167">
        <f t="shared" si="0"/>
        <v>5146.3999999999996</v>
      </c>
      <c r="J13" s="71" t="str">
        <f t="shared" si="1"/>
        <v>True</v>
      </c>
      <c r="K13" s="72">
        <f>ROUND(D13*('Commodity Debit'!E13/'Commodity Debit'!H13),2)</f>
        <v>86.89</v>
      </c>
      <c r="L13" s="72">
        <f>ROUND(D13*('Commodity Debit'!E28/'Commodity Debit'!H28),2)</f>
        <v>12.63</v>
      </c>
      <c r="M13" s="90">
        <f t="shared" si="2"/>
        <v>99.52</v>
      </c>
      <c r="N13" s="68" t="str">
        <f t="shared" si="3"/>
        <v>True</v>
      </c>
      <c r="Q13" s="112"/>
      <c r="S13" s="112"/>
      <c r="T13" s="163"/>
      <c r="U13" s="112"/>
      <c r="X13" s="113"/>
    </row>
    <row r="14" spans="1:24" ht="15.75" x14ac:dyDescent="0.25">
      <c r="B14" s="111">
        <v>45597</v>
      </c>
      <c r="C14" s="71">
        <v>99320</v>
      </c>
      <c r="D14" s="72">
        <f t="shared" si="4"/>
        <v>49.66</v>
      </c>
      <c r="E14" s="68">
        <f t="shared" si="5"/>
        <v>121.1316955296013</v>
      </c>
      <c r="F14" s="68">
        <f>4525.6+1489.8</f>
        <v>6015.4000000000005</v>
      </c>
      <c r="G14" s="112">
        <f>ROUND(F14*('Commodity Debit'!E14/'Commodity Debit'!H14),2)</f>
        <v>5172.29</v>
      </c>
      <c r="H14" s="112">
        <f>ROUND(F14*('Commodity Debit'!E29/'Commodity Debit'!H29),2)</f>
        <v>843.11</v>
      </c>
      <c r="I14" s="167">
        <f t="shared" si="0"/>
        <v>6015.4</v>
      </c>
      <c r="J14" s="71" t="str">
        <f t="shared" si="1"/>
        <v>True</v>
      </c>
      <c r="K14" s="72">
        <f>ROUND(D14*('Commodity Debit'!E14/'Commodity Debit'!H14),2)</f>
        <v>42.7</v>
      </c>
      <c r="L14" s="72">
        <f>ROUND(D14*('Commodity Debit'!E29/'Commodity Debit'!H29),2)</f>
        <v>6.96</v>
      </c>
      <c r="M14" s="90">
        <f t="shared" si="2"/>
        <v>49.660000000000004</v>
      </c>
      <c r="N14" s="68" t="str">
        <f t="shared" si="3"/>
        <v>True</v>
      </c>
      <c r="Q14" s="112"/>
      <c r="R14" s="164"/>
      <c r="S14" s="165"/>
      <c r="T14" s="166"/>
      <c r="U14" s="112"/>
      <c r="X14" s="113"/>
    </row>
    <row r="15" spans="1:24" ht="15.75" x14ac:dyDescent="0.25">
      <c r="B15" s="111">
        <v>45627</v>
      </c>
      <c r="C15" s="71">
        <v>162180</v>
      </c>
      <c r="D15" s="72">
        <f t="shared" si="4"/>
        <v>81.09</v>
      </c>
      <c r="E15" s="68">
        <f t="shared" si="5"/>
        <v>58.942286348501661</v>
      </c>
      <c r="F15" s="68">
        <f>2478.98+2300.65</f>
        <v>4779.63</v>
      </c>
      <c r="G15" s="112">
        <f>ROUND(F15*('Commodity Debit'!E15/'Commodity Debit'!H15),2)</f>
        <v>4093.34</v>
      </c>
      <c r="H15" s="112">
        <f>ROUND(F15*('Commodity Debit'!E30/'Commodity Debit'!H30),2)</f>
        <v>686.29</v>
      </c>
      <c r="I15" s="167">
        <f t="shared" si="0"/>
        <v>4779.63</v>
      </c>
      <c r="J15" s="71" t="str">
        <f t="shared" si="1"/>
        <v>True</v>
      </c>
      <c r="K15" s="72">
        <f>ROUND(D15*('Commodity Debit'!E15/'Commodity Debit'!H15),2)</f>
        <v>69.45</v>
      </c>
      <c r="L15" s="72">
        <f>ROUND(D15*('Commodity Debit'!E30/'Commodity Debit'!H30),2)</f>
        <v>11.64</v>
      </c>
      <c r="M15" s="90">
        <f t="shared" si="2"/>
        <v>81.09</v>
      </c>
      <c r="N15" s="68" t="str">
        <f t="shared" si="3"/>
        <v>True</v>
      </c>
      <c r="Q15" s="112"/>
      <c r="S15" s="112"/>
      <c r="T15" s="163"/>
      <c r="U15" s="112"/>
      <c r="X15" s="113"/>
    </row>
    <row r="16" spans="1:24" ht="15.75" x14ac:dyDescent="0.25">
      <c r="B16" s="111">
        <v>45658</v>
      </c>
      <c r="C16" s="71">
        <v>192300</v>
      </c>
      <c r="D16" s="72">
        <f t="shared" si="4"/>
        <v>96.15</v>
      </c>
      <c r="E16" s="68">
        <f t="shared" si="5"/>
        <v>80.889963598543929</v>
      </c>
      <c r="F16" s="68">
        <f>2838.22+4939.35</f>
        <v>7777.57</v>
      </c>
      <c r="G16" s="112">
        <f>ROUND(F16*('Commodity Debit'!E16/'Commodity Debit'!H16),2)</f>
        <v>7095.36</v>
      </c>
      <c r="H16" s="112">
        <f>ROUND(F16*('Commodity Debit'!E31/'Commodity Debit'!H31),2)</f>
        <v>682.21</v>
      </c>
      <c r="I16" s="167">
        <f t="shared" si="0"/>
        <v>7777.57</v>
      </c>
      <c r="J16" s="71" t="str">
        <f t="shared" si="1"/>
        <v>True</v>
      </c>
      <c r="K16" s="72">
        <f>ROUND(D16*('Commodity Debit'!E16/'Commodity Debit'!H16),2)</f>
        <v>87.72</v>
      </c>
      <c r="L16" s="72">
        <f>ROUND(D16*('Commodity Debit'!E31/'Commodity Debit'!H31),2)</f>
        <v>8.43</v>
      </c>
      <c r="M16" s="90">
        <f t="shared" si="2"/>
        <v>96.15</v>
      </c>
      <c r="N16" s="68" t="str">
        <f t="shared" si="3"/>
        <v>True</v>
      </c>
      <c r="Q16" s="112"/>
      <c r="S16" s="112"/>
      <c r="T16" s="163"/>
      <c r="U16" s="112"/>
      <c r="X16" s="113"/>
    </row>
    <row r="17" spans="1:24" ht="15.75" x14ac:dyDescent="0.25">
      <c r="B17" s="111">
        <v>45689</v>
      </c>
      <c r="C17" s="71">
        <v>174420</v>
      </c>
      <c r="D17" s="72">
        <f t="shared" si="4"/>
        <v>87.21</v>
      </c>
      <c r="E17" s="68">
        <f t="shared" si="5"/>
        <v>103.51335855979819</v>
      </c>
      <c r="F17" s="68">
        <f>2751+6276.4</f>
        <v>9027.4</v>
      </c>
      <c r="G17" s="112">
        <f>ROUND(F17*('Commodity Debit'!E17/'Commodity Debit'!H17),2)</f>
        <v>8246.26</v>
      </c>
      <c r="H17" s="112">
        <f>ROUND(F17*('Commodity Debit'!E32/'Commodity Debit'!H32),2)</f>
        <v>781.14</v>
      </c>
      <c r="I17" s="167">
        <f t="shared" si="0"/>
        <v>9027.4</v>
      </c>
      <c r="J17" s="71" t="str">
        <f t="shared" si="1"/>
        <v>True</v>
      </c>
      <c r="K17" s="72">
        <f>ROUND(D17*('Commodity Debit'!E17/'Commodity Debit'!H17),2)</f>
        <v>79.66</v>
      </c>
      <c r="L17" s="72">
        <f>ROUND(D17*('Commodity Debit'!E32/'Commodity Debit'!H32),2)</f>
        <v>7.55</v>
      </c>
      <c r="M17" s="90">
        <f t="shared" si="2"/>
        <v>87.21</v>
      </c>
      <c r="N17" s="68" t="str">
        <f t="shared" si="3"/>
        <v>True</v>
      </c>
      <c r="Q17" s="112"/>
      <c r="S17" s="112"/>
      <c r="T17" s="113"/>
      <c r="U17" s="112"/>
      <c r="X17" s="113"/>
    </row>
    <row r="18" spans="1:24" ht="15.75" x14ac:dyDescent="0.25">
      <c r="B18" s="111">
        <v>45717</v>
      </c>
      <c r="C18" s="71">
        <v>178720</v>
      </c>
      <c r="D18" s="72">
        <f t="shared" si="4"/>
        <v>89.36</v>
      </c>
      <c r="E18" s="68">
        <f t="shared" si="5"/>
        <v>30.000000000000004</v>
      </c>
      <c r="F18" s="68">
        <v>2680.8</v>
      </c>
      <c r="G18" s="112">
        <f>ROUND(F18*('Commodity Debit'!E18/'Commodity Debit'!H18),2)</f>
        <v>2447.96</v>
      </c>
      <c r="H18" s="112">
        <f>ROUND(F18*('Commodity Debit'!E33/'Commodity Debit'!H33),2)</f>
        <v>232.84</v>
      </c>
      <c r="I18" s="170">
        <f t="shared" si="0"/>
        <v>2680.8</v>
      </c>
      <c r="J18" s="71" t="str">
        <f t="shared" si="1"/>
        <v>True</v>
      </c>
      <c r="K18" s="72">
        <f>ROUND(D18*('Commodity Debit'!E18/'Commodity Debit'!H18),2)</f>
        <v>81.599999999999994</v>
      </c>
      <c r="L18" s="72">
        <f>ROUND(D18*('Commodity Debit'!E33/'Commodity Debit'!H33),2)</f>
        <v>7.76</v>
      </c>
      <c r="M18" s="90">
        <f t="shared" si="2"/>
        <v>89.36</v>
      </c>
      <c r="N18" s="68" t="str">
        <f t="shared" si="3"/>
        <v>True</v>
      </c>
      <c r="Q18" s="112"/>
      <c r="S18" s="112"/>
      <c r="T18" s="113"/>
      <c r="U18" s="112"/>
      <c r="X18" s="113"/>
    </row>
    <row r="19" spans="1:24" ht="15.75" x14ac:dyDescent="0.25">
      <c r="B19" s="111">
        <v>45748</v>
      </c>
      <c r="C19" s="71">
        <v>182680</v>
      </c>
      <c r="D19" s="72">
        <f t="shared" si="4"/>
        <v>91.34</v>
      </c>
      <c r="E19" s="68">
        <f>F19/D19</f>
        <v>76.194438362163339</v>
      </c>
      <c r="F19" s="68">
        <f>2740.2+4219.4</f>
        <v>6959.5999999999995</v>
      </c>
      <c r="G19" s="112">
        <f>ROUND(F19*('Commodity Debit'!E19/'Commodity Debit'!H19),2)</f>
        <v>6359.61</v>
      </c>
      <c r="H19" s="112">
        <f>ROUND(F19*('Commodity Debit'!E34/'Commodity Debit'!H34),2)</f>
        <v>599.99</v>
      </c>
      <c r="I19" s="170">
        <f>+G19+H19</f>
        <v>6959.5999999999995</v>
      </c>
      <c r="J19" s="71" t="str">
        <f t="shared" si="1"/>
        <v>True</v>
      </c>
      <c r="K19" s="72">
        <f>ROUND(D19*('Commodity Debit'!E19/'Commodity Debit'!H19),2)</f>
        <v>83.47</v>
      </c>
      <c r="L19" s="72">
        <f>ROUND(D19*('Commodity Debit'!E34/'Commodity Debit'!H34),2)</f>
        <v>7.87</v>
      </c>
      <c r="M19" s="90">
        <f t="shared" si="2"/>
        <v>91.34</v>
      </c>
      <c r="N19" s="68" t="str">
        <f t="shared" si="3"/>
        <v>True</v>
      </c>
      <c r="Q19" s="112"/>
      <c r="S19" s="112"/>
      <c r="T19" s="113"/>
      <c r="U19" s="112"/>
      <c r="X19" s="113"/>
    </row>
    <row r="20" spans="1:24" ht="15.75" x14ac:dyDescent="0.25">
      <c r="B20" s="111">
        <v>45778</v>
      </c>
      <c r="C20" s="71">
        <v>189840</v>
      </c>
      <c r="D20" s="72">
        <f t="shared" si="4"/>
        <v>94.92</v>
      </c>
      <c r="E20" s="68">
        <f t="shared" si="5"/>
        <v>77.989359460598394</v>
      </c>
      <c r="F20" s="68">
        <f>2847.6+4555.15</f>
        <v>7402.75</v>
      </c>
      <c r="G20" s="112">
        <f>ROUND(F20*('Commodity Debit'!E20/'Commodity Debit'!H20),2)</f>
        <v>6764.57</v>
      </c>
      <c r="H20" s="112">
        <f>ROUND(F20*('Commodity Debit'!E35/'Commodity Debit'!H35),2)</f>
        <v>638.17999999999995</v>
      </c>
      <c r="I20" s="170">
        <f t="shared" ref="I20:I22" si="6">+G20+H20</f>
        <v>7402.75</v>
      </c>
      <c r="J20" s="71" t="str">
        <f t="shared" si="1"/>
        <v>True</v>
      </c>
      <c r="K20" s="72">
        <f>ROUND(D20*('Commodity Debit'!E20/'Commodity Debit'!H20),2)</f>
        <v>86.74</v>
      </c>
      <c r="L20" s="72">
        <f>ROUND(D20*('Commodity Debit'!E35/'Commodity Debit'!H35),2)</f>
        <v>8.18</v>
      </c>
      <c r="M20" s="90">
        <f t="shared" si="2"/>
        <v>94.919999999999987</v>
      </c>
      <c r="N20" s="68" t="str">
        <f t="shared" si="3"/>
        <v>True</v>
      </c>
      <c r="Q20" s="112"/>
      <c r="S20" s="112"/>
      <c r="T20" s="113"/>
      <c r="U20" s="112"/>
      <c r="X20" s="113"/>
    </row>
    <row r="21" spans="1:24" ht="15.75" x14ac:dyDescent="0.25">
      <c r="B21" s="111">
        <v>45809</v>
      </c>
      <c r="C21" s="71">
        <v>163840</v>
      </c>
      <c r="D21" s="72">
        <f t="shared" si="4"/>
        <v>81.92</v>
      </c>
      <c r="E21" s="68">
        <f t="shared" si="5"/>
        <v>82.265625000000014</v>
      </c>
      <c r="F21" s="68">
        <f>2458.6+4280.6</f>
        <v>6739.2000000000007</v>
      </c>
      <c r="G21" s="112">
        <f>ROUND(F21*('Commodity Debit'!E21/'Commodity Debit'!H21),2)</f>
        <v>6157.52</v>
      </c>
      <c r="H21" s="112">
        <f>ROUND(F21*('Commodity Debit'!E36/'Commodity Debit'!H36),2)</f>
        <v>581.67999999999995</v>
      </c>
      <c r="I21" s="170">
        <f t="shared" si="6"/>
        <v>6739.2000000000007</v>
      </c>
      <c r="J21" s="71" t="str">
        <f t="shared" si="1"/>
        <v>True</v>
      </c>
      <c r="K21" s="72">
        <f>ROUND(D21*('Commodity Debit'!E21/'Commodity Debit'!H21),2)</f>
        <v>74.849999999999994</v>
      </c>
      <c r="L21" s="72">
        <f>ROUND(D21*('Commodity Debit'!E36/'Commodity Debit'!H36),2)</f>
        <v>7.07</v>
      </c>
      <c r="M21" s="90">
        <f t="shared" si="2"/>
        <v>81.919999999999987</v>
      </c>
      <c r="N21" s="68" t="str">
        <f t="shared" si="3"/>
        <v>True</v>
      </c>
      <c r="Q21" s="112"/>
      <c r="S21" s="112"/>
      <c r="T21" s="113"/>
      <c r="U21" s="112"/>
      <c r="X21" s="113"/>
    </row>
    <row r="22" spans="1:24" ht="15.75" x14ac:dyDescent="0.25">
      <c r="B22" s="111">
        <v>45839</v>
      </c>
      <c r="C22" s="71">
        <v>161300</v>
      </c>
      <c r="D22" s="72">
        <f t="shared" si="4"/>
        <v>80.650000000000006</v>
      </c>
      <c r="E22" s="68">
        <f t="shared" si="5"/>
        <v>62.240545567265954</v>
      </c>
      <c r="F22" s="68">
        <f>2367.7+2652</f>
        <v>5019.7</v>
      </c>
      <c r="G22" s="112">
        <f>ROUND(F22*('Commodity Debit'!E22/'Commodity Debit'!H22),2)</f>
        <v>4576.9399999999996</v>
      </c>
      <c r="H22" s="112">
        <f>ROUND(F22*('Commodity Debit'!E37/'Commodity Debit'!H37),2)</f>
        <v>442.76</v>
      </c>
      <c r="I22" s="170">
        <f t="shared" si="6"/>
        <v>5019.7</v>
      </c>
      <c r="J22" s="71" t="str">
        <f t="shared" si="1"/>
        <v>True</v>
      </c>
      <c r="K22" s="72">
        <f>ROUND(D22*('Commodity Debit'!E22/'Commodity Debit'!H22),2)</f>
        <v>73.540000000000006</v>
      </c>
      <c r="L22" s="72">
        <f>ROUND(D22*('Commodity Debit'!E37/'Commodity Debit'!H37),2)</f>
        <v>7.11</v>
      </c>
      <c r="M22" s="90">
        <f t="shared" si="2"/>
        <v>80.650000000000006</v>
      </c>
      <c r="N22" s="68" t="str">
        <f t="shared" si="3"/>
        <v>True</v>
      </c>
      <c r="Q22" s="112"/>
      <c r="S22" s="112"/>
      <c r="T22" s="113"/>
      <c r="U22" s="112"/>
      <c r="X22" s="113"/>
    </row>
    <row r="23" spans="1:24" ht="15.75" x14ac:dyDescent="0.25">
      <c r="B23" s="114"/>
      <c r="J23" s="71"/>
      <c r="K23" s="71"/>
      <c r="L23" s="72"/>
      <c r="M23" s="68"/>
      <c r="N23" s="68"/>
    </row>
    <row r="24" spans="1:24" ht="15.75" x14ac:dyDescent="0.25">
      <c r="B24" s="114"/>
      <c r="C24" s="73"/>
      <c r="D24" s="74"/>
      <c r="E24" s="69"/>
      <c r="F24" s="69"/>
      <c r="G24" s="134"/>
      <c r="H24" s="135"/>
      <c r="I24" s="94"/>
      <c r="K24" s="134"/>
      <c r="L24" s="134"/>
    </row>
    <row r="25" spans="1:24" ht="15.75" x14ac:dyDescent="0.25">
      <c r="A25" s="109" t="s">
        <v>7</v>
      </c>
      <c r="B25" s="2"/>
      <c r="C25" s="9">
        <f>SUM(C11:C22)</f>
        <v>2075740</v>
      </c>
      <c r="D25" s="95">
        <f>SUM(D11:D22)</f>
        <v>1037.8700000000001</v>
      </c>
      <c r="E25" s="65"/>
      <c r="F25" s="97">
        <f>SUM(F11:F22)</f>
        <v>79387.549999999988</v>
      </c>
      <c r="G25" s="112">
        <f>SUM(G11:G22)</f>
        <v>70978.86</v>
      </c>
      <c r="H25" s="112">
        <f>SUM(H11:H22)</f>
        <v>8408.69</v>
      </c>
      <c r="K25" s="121">
        <f>SUM(K11:K22)</f>
        <v>929.03</v>
      </c>
      <c r="L25" s="121">
        <f>SUM(L11:L22)</f>
        <v>108.84000000000002</v>
      </c>
      <c r="R25" s="112"/>
      <c r="V25" s="113"/>
    </row>
    <row r="26" spans="1:24" ht="15.75" x14ac:dyDescent="0.25">
      <c r="B26" s="6"/>
      <c r="C26" s="8"/>
      <c r="D26" s="96" t="s">
        <v>0</v>
      </c>
      <c r="E26" s="2"/>
      <c r="F26" s="65"/>
      <c r="H26" s="131">
        <f>+F25-G25-H25</f>
        <v>0</v>
      </c>
      <c r="K26" s="121"/>
      <c r="L26" s="121">
        <f>+D25-K25-L25</f>
        <v>1.2789769243681803E-13</v>
      </c>
    </row>
    <row r="27" spans="1:24" ht="15.75" x14ac:dyDescent="0.25">
      <c r="B27" s="6"/>
      <c r="C27" s="8"/>
      <c r="D27" s="96"/>
      <c r="E27" s="2"/>
      <c r="F27" s="97"/>
    </row>
    <row r="28" spans="1:24" ht="15.75" x14ac:dyDescent="0.25">
      <c r="B28" s="6"/>
      <c r="C28" s="8"/>
      <c r="D28" s="96"/>
      <c r="E28" s="2"/>
      <c r="F28" s="65"/>
    </row>
    <row r="29" spans="1:24" x14ac:dyDescent="0.25">
      <c r="D29" s="115"/>
    </row>
    <row r="30" spans="1:24" x14ac:dyDescent="0.25">
      <c r="D30" s="115"/>
    </row>
    <row r="31" spans="1:24" x14ac:dyDescent="0.25">
      <c r="D31" s="115"/>
    </row>
  </sheetData>
  <mergeCells count="5">
    <mergeCell ref="A1:F1"/>
    <mergeCell ref="A2:F2"/>
    <mergeCell ref="A3:F3"/>
    <mergeCell ref="G8:I8"/>
    <mergeCell ref="K8:M8"/>
  </mergeCells>
  <pageMargins left="0.75" right="0.75" top="1" bottom="1" header="0.5" footer="0.5"/>
  <pageSetup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zoomScaleNormal="100" workbookViewId="0">
      <selection activeCell="J10" sqref="J10"/>
    </sheetView>
  </sheetViews>
  <sheetFormatPr defaultColWidth="9.140625" defaultRowHeight="15" x14ac:dyDescent="0.25"/>
  <cols>
    <col min="1" max="1" width="3.28515625" style="109" customWidth="1"/>
    <col min="2" max="2" width="11.5703125" style="109" customWidth="1"/>
    <col min="3" max="3" width="16.42578125" style="109" customWidth="1"/>
    <col min="4" max="5" width="12.7109375" style="109" customWidth="1"/>
    <col min="6" max="6" width="14.85546875" style="109" bestFit="1" customWidth="1"/>
    <col min="7" max="7" width="12.7109375" style="109" bestFit="1" customWidth="1"/>
    <col min="8" max="8" width="10.28515625" style="109" bestFit="1" customWidth="1"/>
    <col min="9" max="16384" width="9.140625" style="109"/>
  </cols>
  <sheetData>
    <row r="1" spans="1:8" ht="23.25" x14ac:dyDescent="0.35">
      <c r="A1" s="160" t="s">
        <v>21</v>
      </c>
      <c r="B1" s="160"/>
      <c r="C1" s="160"/>
      <c r="D1" s="160"/>
      <c r="E1" s="160"/>
      <c r="F1" s="160"/>
      <c r="G1" s="160"/>
    </row>
    <row r="2" spans="1:8" ht="18" x14ac:dyDescent="0.25">
      <c r="A2" s="157" t="s">
        <v>80</v>
      </c>
      <c r="B2" s="157"/>
      <c r="C2" s="157"/>
      <c r="D2" s="157"/>
      <c r="E2" s="157"/>
      <c r="F2" s="157"/>
      <c r="G2" s="157"/>
    </row>
    <row r="3" spans="1:8" ht="15.75" x14ac:dyDescent="0.25">
      <c r="A3" s="161" t="s">
        <v>104</v>
      </c>
      <c r="B3" s="161"/>
      <c r="C3" s="161"/>
      <c r="D3" s="161"/>
      <c r="E3" s="161"/>
      <c r="F3" s="161"/>
      <c r="G3" s="161"/>
    </row>
    <row r="4" spans="1:8" x14ac:dyDescent="0.25">
      <c r="A4" s="110"/>
      <c r="B4" s="110"/>
      <c r="C4" s="110"/>
      <c r="E4" s="110"/>
      <c r="F4" s="110"/>
      <c r="G4" s="1"/>
    </row>
    <row r="5" spans="1:8" x14ac:dyDescent="0.25">
      <c r="A5" s="110"/>
      <c r="B5" s="110"/>
      <c r="C5" s="110"/>
      <c r="E5" s="110"/>
      <c r="F5" s="110"/>
      <c r="G5" s="84"/>
    </row>
    <row r="6" spans="1:8" x14ac:dyDescent="0.25">
      <c r="A6" s="110"/>
      <c r="B6" s="110"/>
      <c r="C6" s="110"/>
      <c r="E6" s="110"/>
      <c r="F6" s="110"/>
      <c r="G6" s="1"/>
    </row>
    <row r="7" spans="1:8" ht="15" customHeight="1" x14ac:dyDescent="0.25">
      <c r="A7" s="110"/>
      <c r="B7" s="110"/>
      <c r="C7" s="110"/>
      <c r="E7" s="110"/>
      <c r="F7" s="110"/>
      <c r="G7" s="1"/>
    </row>
    <row r="8" spans="1:8" ht="15.75" x14ac:dyDescent="0.25">
      <c r="B8" s="2" t="s">
        <v>23</v>
      </c>
      <c r="C8" s="2" t="s">
        <v>77</v>
      </c>
      <c r="D8" s="3" t="s">
        <v>78</v>
      </c>
      <c r="E8" s="2" t="s">
        <v>28</v>
      </c>
      <c r="F8" s="2" t="s">
        <v>65</v>
      </c>
      <c r="G8" s="2" t="s">
        <v>63</v>
      </c>
      <c r="H8" s="2" t="s">
        <v>10</v>
      </c>
    </row>
    <row r="9" spans="1:8" ht="16.5" thickBot="1" x14ac:dyDescent="0.3">
      <c r="B9" s="93"/>
      <c r="C9" s="93"/>
      <c r="D9" s="4" t="s">
        <v>79</v>
      </c>
      <c r="E9" s="93" t="s">
        <v>62</v>
      </c>
      <c r="F9" s="93" t="s">
        <v>62</v>
      </c>
      <c r="G9" s="93"/>
      <c r="H9" s="93" t="s">
        <v>89</v>
      </c>
    </row>
    <row r="10" spans="1:8" ht="16.5" thickTop="1" x14ac:dyDescent="0.25">
      <c r="B10" s="2"/>
      <c r="C10" s="2"/>
      <c r="D10" s="65"/>
      <c r="E10" s="65"/>
      <c r="F10" s="65"/>
      <c r="G10" s="65"/>
    </row>
    <row r="11" spans="1:8" ht="15.75" x14ac:dyDescent="0.25">
      <c r="B11" s="114" t="s">
        <v>8</v>
      </c>
      <c r="C11" s="111">
        <v>45505</v>
      </c>
      <c r="D11" s="168">
        <v>5335</v>
      </c>
      <c r="E11" s="75">
        <f>+D11*2.17</f>
        <v>11576.949999999999</v>
      </c>
      <c r="F11" s="75"/>
      <c r="G11" s="64" t="s">
        <v>66</v>
      </c>
      <c r="H11" s="116">
        <f>ROUND(E11+E26,2)</f>
        <v>13269.98</v>
      </c>
    </row>
    <row r="12" spans="1:8" ht="15.75" x14ac:dyDescent="0.25">
      <c r="C12" s="111">
        <v>45536</v>
      </c>
      <c r="D12" s="168">
        <v>5388</v>
      </c>
      <c r="E12" s="75">
        <f t="shared" ref="E12:E22" si="0">+D12*2.17</f>
        <v>11691.96</v>
      </c>
      <c r="G12" s="64" t="s">
        <v>66</v>
      </c>
      <c r="H12" s="116">
        <f t="shared" ref="H12:H22" si="1">ROUND(E12+E27,2)</f>
        <v>13384.99</v>
      </c>
    </row>
    <row r="13" spans="1:8" ht="15.75" x14ac:dyDescent="0.25">
      <c r="C13" s="111">
        <v>45566</v>
      </c>
      <c r="D13" s="168">
        <v>5325</v>
      </c>
      <c r="E13" s="75">
        <f t="shared" si="0"/>
        <v>11555.25</v>
      </c>
      <c r="G13" s="64" t="s">
        <v>66</v>
      </c>
      <c r="H13" s="116">
        <f t="shared" si="1"/>
        <v>13235.29</v>
      </c>
    </row>
    <row r="14" spans="1:8" ht="15.75" x14ac:dyDescent="0.25">
      <c r="C14" s="111">
        <v>45597</v>
      </c>
      <c r="D14" s="168">
        <v>4872</v>
      </c>
      <c r="E14" s="75">
        <f t="shared" si="0"/>
        <v>10572.24</v>
      </c>
      <c r="G14" s="64" t="s">
        <v>66</v>
      </c>
      <c r="H14" s="116">
        <f t="shared" si="1"/>
        <v>12295.58</v>
      </c>
    </row>
    <row r="15" spans="1:8" ht="15.75" x14ac:dyDescent="0.25">
      <c r="B15" s="2"/>
      <c r="C15" s="111">
        <v>45627</v>
      </c>
      <c r="D15" s="168">
        <v>4951</v>
      </c>
      <c r="E15" s="75">
        <f t="shared" si="0"/>
        <v>10743.67</v>
      </c>
      <c r="F15" s="7"/>
      <c r="G15" s="64" t="s">
        <v>66</v>
      </c>
      <c r="H15" s="116">
        <f t="shared" si="1"/>
        <v>12544.95</v>
      </c>
    </row>
    <row r="16" spans="1:8" ht="15.75" x14ac:dyDescent="0.25">
      <c r="B16" s="117"/>
      <c r="C16" s="111">
        <v>45658</v>
      </c>
      <c r="D16" s="168">
        <v>4877</v>
      </c>
      <c r="E16" s="75">
        <f t="shared" si="0"/>
        <v>10583.09</v>
      </c>
      <c r="F16" s="7"/>
      <c r="G16" s="64" t="s">
        <v>66</v>
      </c>
      <c r="H16" s="116">
        <f t="shared" si="1"/>
        <v>11600.64</v>
      </c>
    </row>
    <row r="17" spans="2:8" ht="15.75" x14ac:dyDescent="0.25">
      <c r="C17" s="111">
        <v>45689</v>
      </c>
      <c r="D17" s="168">
        <v>4887</v>
      </c>
      <c r="E17" s="75">
        <f t="shared" si="0"/>
        <v>10604.789999999999</v>
      </c>
      <c r="G17" s="64" t="s">
        <v>66</v>
      </c>
      <c r="H17" s="116">
        <f t="shared" si="1"/>
        <v>11609.35</v>
      </c>
    </row>
    <row r="18" spans="2:8" ht="15.75" x14ac:dyDescent="0.25">
      <c r="C18" s="111">
        <v>45717</v>
      </c>
      <c r="D18" s="168">
        <v>4888</v>
      </c>
      <c r="E18" s="75">
        <f t="shared" si="0"/>
        <v>10606.96</v>
      </c>
      <c r="F18" s="118"/>
      <c r="G18" s="64" t="s">
        <v>66</v>
      </c>
      <c r="H18" s="116">
        <f t="shared" si="1"/>
        <v>11615.85</v>
      </c>
    </row>
    <row r="19" spans="2:8" ht="15.75" x14ac:dyDescent="0.25">
      <c r="C19" s="111">
        <v>45748</v>
      </c>
      <c r="D19" s="168">
        <v>4928</v>
      </c>
      <c r="E19" s="75">
        <f t="shared" si="0"/>
        <v>10693.76</v>
      </c>
      <c r="F19" s="118"/>
      <c r="G19" s="64" t="s">
        <v>66</v>
      </c>
      <c r="H19" s="116">
        <f t="shared" si="1"/>
        <v>11702.65</v>
      </c>
    </row>
    <row r="20" spans="2:8" ht="15.75" x14ac:dyDescent="0.25">
      <c r="C20" s="111">
        <v>45778</v>
      </c>
      <c r="D20" s="168">
        <v>4907</v>
      </c>
      <c r="E20" s="75">
        <f t="shared" si="0"/>
        <v>10648.19</v>
      </c>
      <c r="F20" s="118"/>
      <c r="G20" s="64" t="s">
        <v>66</v>
      </c>
      <c r="H20" s="116">
        <f t="shared" si="1"/>
        <v>11652.75</v>
      </c>
    </row>
    <row r="21" spans="2:8" ht="15.75" x14ac:dyDescent="0.25">
      <c r="C21" s="111">
        <v>45809</v>
      </c>
      <c r="D21" s="168">
        <v>4985</v>
      </c>
      <c r="E21" s="75">
        <f t="shared" si="0"/>
        <v>10817.449999999999</v>
      </c>
      <c r="F21" s="7"/>
      <c r="G21" s="64" t="s">
        <v>66</v>
      </c>
      <c r="H21" s="116">
        <f t="shared" si="1"/>
        <v>11839.33</v>
      </c>
    </row>
    <row r="22" spans="2:8" ht="15.75" x14ac:dyDescent="0.25">
      <c r="C22" s="111">
        <v>45839</v>
      </c>
      <c r="D22" s="168">
        <v>4868</v>
      </c>
      <c r="E22" s="75">
        <f t="shared" si="0"/>
        <v>10563.56</v>
      </c>
      <c r="F22" s="7"/>
      <c r="G22" s="64" t="s">
        <v>66</v>
      </c>
      <c r="H22" s="116">
        <f t="shared" si="1"/>
        <v>11585.44</v>
      </c>
    </row>
    <row r="23" spans="2:8" x14ac:dyDescent="0.25">
      <c r="F23" s="116">
        <f>SUM(E11:E22)</f>
        <v>130657.86999999997</v>
      </c>
    </row>
    <row r="25" spans="2:8" ht="15.75" x14ac:dyDescent="0.25">
      <c r="B25" s="114" t="s">
        <v>51</v>
      </c>
      <c r="C25" s="114"/>
      <c r="D25" s="119"/>
      <c r="F25" s="70"/>
    </row>
    <row r="26" spans="2:8" ht="15.75" x14ac:dyDescent="0.25">
      <c r="C26" s="111">
        <f>+C11</f>
        <v>45505</v>
      </c>
      <c r="D26" s="169">
        <v>391</v>
      </c>
      <c r="E26" s="75">
        <f>+D26*4.33</f>
        <v>1693.03</v>
      </c>
      <c r="G26" s="64" t="s">
        <v>64</v>
      </c>
      <c r="H26" s="116">
        <f>ROUND(E26+E11,2)</f>
        <v>13269.98</v>
      </c>
    </row>
    <row r="27" spans="2:8" ht="15.75" x14ac:dyDescent="0.25">
      <c r="C27" s="111">
        <f t="shared" ref="C27:C37" si="2">+C12</f>
        <v>45536</v>
      </c>
      <c r="D27" s="169">
        <v>391</v>
      </c>
      <c r="E27" s="75">
        <f t="shared" ref="E27:E37" si="3">+D27*4.33</f>
        <v>1693.03</v>
      </c>
      <c r="G27" s="64" t="s">
        <v>64</v>
      </c>
      <c r="H27" s="116">
        <f t="shared" ref="H27:H37" si="4">ROUND(E27+E12,2)</f>
        <v>13384.99</v>
      </c>
    </row>
    <row r="28" spans="2:8" ht="15.75" x14ac:dyDescent="0.25">
      <c r="C28" s="111">
        <f t="shared" si="2"/>
        <v>45566</v>
      </c>
      <c r="D28" s="169">
        <v>388</v>
      </c>
      <c r="E28" s="75">
        <f t="shared" si="3"/>
        <v>1680.04</v>
      </c>
      <c r="G28" s="64" t="s">
        <v>64</v>
      </c>
      <c r="H28" s="116">
        <f t="shared" si="4"/>
        <v>13235.29</v>
      </c>
    </row>
    <row r="29" spans="2:8" ht="15.75" x14ac:dyDescent="0.25">
      <c r="C29" s="111">
        <f t="shared" si="2"/>
        <v>45597</v>
      </c>
      <c r="D29" s="169">
        <v>398</v>
      </c>
      <c r="E29" s="75">
        <f t="shared" si="3"/>
        <v>1723.34</v>
      </c>
      <c r="G29" s="64" t="s">
        <v>64</v>
      </c>
      <c r="H29" s="116">
        <f t="shared" si="4"/>
        <v>12295.58</v>
      </c>
    </row>
    <row r="30" spans="2:8" ht="15.75" x14ac:dyDescent="0.25">
      <c r="C30" s="111">
        <f t="shared" si="2"/>
        <v>45627</v>
      </c>
      <c r="D30" s="169">
        <v>416</v>
      </c>
      <c r="E30" s="75">
        <f t="shared" si="3"/>
        <v>1801.28</v>
      </c>
      <c r="G30" s="64" t="s">
        <v>64</v>
      </c>
      <c r="H30" s="116">
        <f t="shared" si="4"/>
        <v>12544.95</v>
      </c>
    </row>
    <row r="31" spans="2:8" ht="15.75" x14ac:dyDescent="0.25">
      <c r="C31" s="111">
        <f t="shared" si="2"/>
        <v>45658</v>
      </c>
      <c r="D31" s="169">
        <v>235</v>
      </c>
      <c r="E31" s="75">
        <f t="shared" si="3"/>
        <v>1017.5500000000001</v>
      </c>
      <c r="G31" s="64" t="s">
        <v>64</v>
      </c>
      <c r="H31" s="116">
        <f t="shared" si="4"/>
        <v>11600.64</v>
      </c>
    </row>
    <row r="32" spans="2:8" ht="15.75" x14ac:dyDescent="0.25">
      <c r="C32" s="111">
        <f t="shared" si="2"/>
        <v>45689</v>
      </c>
      <c r="D32" s="169">
        <v>232</v>
      </c>
      <c r="E32" s="75">
        <f t="shared" si="3"/>
        <v>1004.5600000000001</v>
      </c>
      <c r="G32" s="64" t="s">
        <v>64</v>
      </c>
      <c r="H32" s="116">
        <f t="shared" si="4"/>
        <v>11609.35</v>
      </c>
    </row>
    <row r="33" spans="1:8" ht="15.75" x14ac:dyDescent="0.25">
      <c r="C33" s="111">
        <f t="shared" si="2"/>
        <v>45717</v>
      </c>
      <c r="D33" s="169">
        <v>233</v>
      </c>
      <c r="E33" s="75">
        <f t="shared" si="3"/>
        <v>1008.89</v>
      </c>
      <c r="G33" s="64" t="s">
        <v>64</v>
      </c>
      <c r="H33" s="116">
        <f t="shared" si="4"/>
        <v>11615.85</v>
      </c>
    </row>
    <row r="34" spans="1:8" ht="15.75" x14ac:dyDescent="0.25">
      <c r="C34" s="111">
        <f t="shared" si="2"/>
        <v>45748</v>
      </c>
      <c r="D34" s="169">
        <v>233</v>
      </c>
      <c r="E34" s="75">
        <f t="shared" si="3"/>
        <v>1008.89</v>
      </c>
      <c r="G34" s="64" t="s">
        <v>64</v>
      </c>
      <c r="H34" s="116">
        <f t="shared" si="4"/>
        <v>11702.65</v>
      </c>
    </row>
    <row r="35" spans="1:8" ht="15.75" x14ac:dyDescent="0.25">
      <c r="C35" s="111">
        <f t="shared" si="2"/>
        <v>45778</v>
      </c>
      <c r="D35" s="169">
        <v>232</v>
      </c>
      <c r="E35" s="75">
        <f t="shared" si="3"/>
        <v>1004.5600000000001</v>
      </c>
      <c r="G35" s="64" t="s">
        <v>64</v>
      </c>
      <c r="H35" s="116">
        <f t="shared" si="4"/>
        <v>11652.75</v>
      </c>
    </row>
    <row r="36" spans="1:8" ht="15.75" x14ac:dyDescent="0.25">
      <c r="C36" s="111">
        <f t="shared" si="2"/>
        <v>45809</v>
      </c>
      <c r="D36" s="169">
        <v>236</v>
      </c>
      <c r="E36" s="75">
        <f t="shared" si="3"/>
        <v>1021.88</v>
      </c>
      <c r="G36" s="64" t="s">
        <v>64</v>
      </c>
      <c r="H36" s="116">
        <f t="shared" si="4"/>
        <v>11839.33</v>
      </c>
    </row>
    <row r="37" spans="1:8" ht="15.75" x14ac:dyDescent="0.25">
      <c r="C37" s="111">
        <f t="shared" si="2"/>
        <v>45839</v>
      </c>
      <c r="D37" s="169">
        <v>236</v>
      </c>
      <c r="E37" s="75">
        <f t="shared" si="3"/>
        <v>1021.88</v>
      </c>
      <c r="G37" s="64" t="s">
        <v>64</v>
      </c>
      <c r="H37" s="116">
        <f t="shared" si="4"/>
        <v>11585.44</v>
      </c>
    </row>
    <row r="38" spans="1:8" ht="15.75" x14ac:dyDescent="0.25">
      <c r="F38" s="116">
        <f>SUM(E26:E37)</f>
        <v>15678.929999999997</v>
      </c>
      <c r="G38" s="64"/>
    </row>
    <row r="39" spans="1:8" ht="15.75" x14ac:dyDescent="0.25">
      <c r="B39" s="114"/>
      <c r="C39" s="114"/>
      <c r="D39" s="120"/>
      <c r="E39" s="75"/>
      <c r="F39" s="133"/>
    </row>
    <row r="40" spans="1:8" ht="15.75" x14ac:dyDescent="0.25">
      <c r="A40" s="109" t="s">
        <v>7</v>
      </c>
      <c r="B40" s="5"/>
      <c r="C40" s="5"/>
      <c r="D40" s="119">
        <f>SUM(D11:D39)</f>
        <v>63832</v>
      </c>
      <c r="E40" s="9"/>
      <c r="F40" s="132">
        <f>F38+F23</f>
        <v>146336.79999999996</v>
      </c>
    </row>
  </sheetData>
  <mergeCells count="3">
    <mergeCell ref="A1:G1"/>
    <mergeCell ref="A2:G2"/>
    <mergeCell ref="A3:G3"/>
  </mergeCells>
  <pageMargins left="0.75" right="0.75" top="1" bottom="1" header="0.5" footer="0.5"/>
  <pageSetup scale="9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G61"/>
  <sheetViews>
    <sheetView zoomScaleNormal="100" workbookViewId="0">
      <selection activeCell="D8" sqref="D8:E8"/>
    </sheetView>
  </sheetViews>
  <sheetFormatPr defaultColWidth="9.140625" defaultRowHeight="15" x14ac:dyDescent="0.25"/>
  <cols>
    <col min="4" max="4" width="12.28515625" bestFit="1" customWidth="1"/>
    <col min="5" max="5" width="10.42578125" bestFit="1" customWidth="1"/>
    <col min="6" max="6" width="10.140625" bestFit="1" customWidth="1"/>
    <col min="7" max="7" width="10.85546875" bestFit="1" customWidth="1"/>
    <col min="8" max="8" width="10.5703125" bestFit="1" customWidth="1"/>
    <col min="9" max="9" width="10.140625" bestFit="1" customWidth="1"/>
    <col min="10" max="10" width="10.42578125" bestFit="1" customWidth="1"/>
    <col min="11" max="11" width="10.5703125" bestFit="1" customWidth="1"/>
    <col min="12" max="12" width="10.140625" bestFit="1" customWidth="1"/>
    <col min="13" max="13" width="10.85546875" bestFit="1" customWidth="1"/>
    <col min="14" max="14" width="10.140625" bestFit="1" customWidth="1"/>
    <col min="15" max="15" width="9.42578125" bestFit="1" customWidth="1"/>
    <col min="17" max="17" width="12.28515625" bestFit="1" customWidth="1"/>
    <col min="32" max="32" width="9.7109375" bestFit="1" customWidth="1"/>
  </cols>
  <sheetData>
    <row r="2" spans="1:32" x14ac:dyDescent="0.25">
      <c r="D2" s="162" t="s">
        <v>72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32" x14ac:dyDescent="0.25">
      <c r="F3" s="83"/>
      <c r="G3" s="83"/>
      <c r="H3" s="83"/>
      <c r="I3" s="83"/>
      <c r="J3" s="83"/>
      <c r="K3" s="83"/>
      <c r="L3" s="83"/>
      <c r="M3" s="83"/>
    </row>
    <row r="4" spans="1:32" x14ac:dyDescent="0.25">
      <c r="A4" s="98"/>
      <c r="B4" s="98"/>
      <c r="C4" s="98"/>
      <c r="D4" s="99">
        <v>45505</v>
      </c>
      <c r="E4" s="99">
        <v>45536</v>
      </c>
      <c r="F4" s="99">
        <v>45566</v>
      </c>
      <c r="G4" s="99">
        <v>45597</v>
      </c>
      <c r="H4" s="99">
        <v>45627</v>
      </c>
      <c r="I4" s="99">
        <v>45658</v>
      </c>
      <c r="J4" s="99">
        <v>45689</v>
      </c>
      <c r="K4" s="99">
        <v>45717</v>
      </c>
      <c r="L4" s="99">
        <v>45748</v>
      </c>
      <c r="M4" s="99">
        <v>45778</v>
      </c>
      <c r="N4" s="99">
        <v>45809</v>
      </c>
      <c r="O4" s="99">
        <v>45839</v>
      </c>
      <c r="P4" s="99"/>
      <c r="Q4" s="100" t="s">
        <v>29</v>
      </c>
    </row>
    <row r="5" spans="1:32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32" x14ac:dyDescent="0.25">
      <c r="A6" s="81" t="s">
        <v>30</v>
      </c>
      <c r="B6" s="81"/>
      <c r="C6" s="81"/>
      <c r="D6" s="122">
        <f>+'Aug 24 - Jul 25'!K11</f>
        <v>85.58</v>
      </c>
      <c r="E6" s="122">
        <f>+'Aug 24 - Jul 25'!K12</f>
        <v>76.83</v>
      </c>
      <c r="F6" s="122">
        <f>+'Aug 24 - Jul 25'!K13</f>
        <v>86.89</v>
      </c>
      <c r="G6" s="122">
        <f>+'Aug 24 - Jul 25'!K14</f>
        <v>42.7</v>
      </c>
      <c r="H6" s="122">
        <f>+'Aug 24 - Jul 25'!K15</f>
        <v>69.45</v>
      </c>
      <c r="I6" s="122">
        <f>+'Aug 24 - Jul 25'!K16</f>
        <v>87.72</v>
      </c>
      <c r="J6" s="122">
        <f>+'Aug 24 - Jul 25'!K17</f>
        <v>79.66</v>
      </c>
      <c r="K6" s="122">
        <f>+'Aug 24 - Jul 25'!K18</f>
        <v>81.599999999999994</v>
      </c>
      <c r="L6" s="122">
        <f>+'Aug 24 - Jul 25'!K19</f>
        <v>83.47</v>
      </c>
      <c r="M6" s="122">
        <f>+'Aug 24 - Jul 25'!K20</f>
        <v>86.74</v>
      </c>
      <c r="N6" s="122">
        <f>+'Aug 24 - Jul 25'!K21</f>
        <v>74.849999999999994</v>
      </c>
      <c r="O6" s="122">
        <f>+'Aug 24 - Jul 25'!K22</f>
        <v>73.540000000000006</v>
      </c>
      <c r="P6" s="122"/>
      <c r="Q6" s="122">
        <f>SUM(D6:O6)</f>
        <v>929.03</v>
      </c>
    </row>
    <row r="7" spans="1:32" x14ac:dyDescent="0.25">
      <c r="A7" s="81"/>
      <c r="B7" s="81"/>
      <c r="C7" s="81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4"/>
      <c r="Q7" s="124"/>
    </row>
    <row r="8" spans="1:32" x14ac:dyDescent="0.25">
      <c r="A8" s="81" t="s">
        <v>6</v>
      </c>
      <c r="B8" s="81"/>
      <c r="C8" s="81"/>
      <c r="D8" s="125">
        <f>'Commodity Debit'!D11</f>
        <v>5335</v>
      </c>
      <c r="E8" s="125">
        <f>'Commodity Debit'!D12</f>
        <v>5388</v>
      </c>
      <c r="F8" s="125">
        <f>'Commodity Debit'!D13</f>
        <v>5325</v>
      </c>
      <c r="G8" s="125">
        <f>'Commodity Debit'!D14</f>
        <v>4872</v>
      </c>
      <c r="H8" s="125">
        <f>'Commodity Debit'!D15</f>
        <v>4951</v>
      </c>
      <c r="I8" s="125">
        <f>'Commodity Debit'!D16</f>
        <v>4877</v>
      </c>
      <c r="J8" s="125">
        <f>'Commodity Debit'!D17</f>
        <v>4887</v>
      </c>
      <c r="K8" s="125">
        <f>'Commodity Debit'!D18</f>
        <v>4888</v>
      </c>
      <c r="L8" s="125">
        <f>'Commodity Debit'!D19</f>
        <v>4928</v>
      </c>
      <c r="M8" s="125">
        <f>'Commodity Debit'!D20</f>
        <v>4907</v>
      </c>
      <c r="N8" s="125">
        <f>'Commodity Debit'!D21</f>
        <v>4985</v>
      </c>
      <c r="O8" s="125">
        <f>'Commodity Debit'!D22</f>
        <v>4868</v>
      </c>
      <c r="P8" s="125"/>
      <c r="Q8" s="122">
        <f>SUM(D8:O8)</f>
        <v>60211</v>
      </c>
    </row>
    <row r="9" spans="1:32" x14ac:dyDescent="0.25">
      <c r="A9" s="81"/>
      <c r="B9" s="81"/>
      <c r="C9" s="81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4"/>
      <c r="Q9" s="124"/>
    </row>
    <row r="10" spans="1:32" x14ac:dyDescent="0.25">
      <c r="A10" s="81" t="s">
        <v>75</v>
      </c>
      <c r="B10" s="81"/>
      <c r="C10" s="81"/>
      <c r="D10" s="126">
        <f>D6/D8</f>
        <v>1.6041237113402062E-2</v>
      </c>
      <c r="E10" s="126">
        <f t="shared" ref="E10:O10" si="0">E6/E8</f>
        <v>1.4259465478841871E-2</v>
      </c>
      <c r="F10" s="126">
        <f t="shared" si="0"/>
        <v>1.6317370892018779E-2</v>
      </c>
      <c r="G10" s="126">
        <f t="shared" si="0"/>
        <v>8.7643678160919548E-3</v>
      </c>
      <c r="H10" s="126">
        <f t="shared" si="0"/>
        <v>1.402746919814179E-2</v>
      </c>
      <c r="I10" s="126">
        <f t="shared" si="0"/>
        <v>1.7986467090424441E-2</v>
      </c>
      <c r="J10" s="126">
        <f t="shared" si="0"/>
        <v>1.6300388786576633E-2</v>
      </c>
      <c r="K10" s="126">
        <f t="shared" si="0"/>
        <v>1.6693944353518821E-2</v>
      </c>
      <c r="L10" s="126">
        <f t="shared" si="0"/>
        <v>1.6937905844155846E-2</v>
      </c>
      <c r="M10" s="126">
        <f t="shared" si="0"/>
        <v>1.7676788261667006E-2</v>
      </c>
      <c r="N10" s="126">
        <f t="shared" si="0"/>
        <v>1.5015045135406217E-2</v>
      </c>
      <c r="O10" s="126">
        <f t="shared" si="0"/>
        <v>1.5106820049301563E-2</v>
      </c>
      <c r="P10" s="126"/>
      <c r="Q10" s="136"/>
      <c r="AF10" s="105"/>
    </row>
    <row r="11" spans="1:32" x14ac:dyDescent="0.25">
      <c r="A11" s="81"/>
      <c r="B11" s="81"/>
      <c r="C11" s="81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4"/>
      <c r="Q11" s="124"/>
    </row>
    <row r="12" spans="1:32" x14ac:dyDescent="0.25">
      <c r="A12" s="81" t="s">
        <v>31</v>
      </c>
      <c r="B12" s="81"/>
      <c r="C12" s="81"/>
      <c r="D12" s="122">
        <f>+'Aug 24 - Jul 25'!E11</f>
        <v>100.43327556325823</v>
      </c>
      <c r="E12" s="122">
        <f>+'Aug 24 - Jul 25'!E12</f>
        <v>90.809458844929523</v>
      </c>
      <c r="F12" s="122">
        <f>+'Aug 24 - Jul 25'!E13</f>
        <v>51.712218649517681</v>
      </c>
      <c r="G12" s="122">
        <f>+'Aug 24 - Jul 25'!E14</f>
        <v>121.1316955296013</v>
      </c>
      <c r="H12" s="122">
        <f>+'Aug 24 - Jul 25'!E15</f>
        <v>58.942286348501661</v>
      </c>
      <c r="I12" s="122">
        <f>+'Aug 24 - Jul 25'!E16</f>
        <v>80.889963598543929</v>
      </c>
      <c r="J12" s="122">
        <f>+'Aug 24 - Jul 25'!E17</f>
        <v>103.51335855979819</v>
      </c>
      <c r="K12" s="122">
        <f>+'Aug 24 - Jul 25'!E18</f>
        <v>30.000000000000004</v>
      </c>
      <c r="L12" s="122">
        <f>+'Aug 24 - Jul 25'!E19</f>
        <v>76.194438362163339</v>
      </c>
      <c r="M12" s="122">
        <f>+'Aug 24 - Jul 25'!E20</f>
        <v>77.989359460598394</v>
      </c>
      <c r="N12" s="122">
        <f>+'Aug 24 - Jul 25'!E21</f>
        <v>82.265625000000014</v>
      </c>
      <c r="O12" s="122">
        <f>+'Aug 24 - Jul 25'!E22</f>
        <v>62.240545567265954</v>
      </c>
      <c r="P12" s="122"/>
      <c r="Q12" s="124"/>
    </row>
    <row r="13" spans="1:32" x14ac:dyDescent="0.25">
      <c r="A13" s="81"/>
      <c r="B13" s="81"/>
      <c r="C13" s="81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2"/>
      <c r="Q13" s="124"/>
    </row>
    <row r="14" spans="1:32" x14ac:dyDescent="0.25">
      <c r="A14" s="81" t="s">
        <v>32</v>
      </c>
      <c r="B14" s="81"/>
      <c r="C14" s="81"/>
      <c r="D14" s="122">
        <f>D10*D12</f>
        <v>1.6110739873858744</v>
      </c>
      <c r="E14" s="122">
        <f t="shared" ref="E14:N14" si="1">E10*E12</f>
        <v>1.2948943435515843</v>
      </c>
      <c r="F14" s="122">
        <f t="shared" si="1"/>
        <v>0.84380745135335045</v>
      </c>
      <c r="G14" s="122">
        <f t="shared" si="1"/>
        <v>1.0616427338082874</v>
      </c>
      <c r="H14" s="122">
        <f t="shared" si="1"/>
        <v>0.82681110622166043</v>
      </c>
      <c r="I14" s="122">
        <f t="shared" si="1"/>
        <v>1.4549246682108414</v>
      </c>
      <c r="J14" s="122">
        <f t="shared" si="1"/>
        <v>1.6873079891290208</v>
      </c>
      <c r="K14" s="122">
        <f t="shared" si="1"/>
        <v>0.50081833060556469</v>
      </c>
      <c r="L14" s="122">
        <f t="shared" si="1"/>
        <v>1.2905742228266588</v>
      </c>
      <c r="M14" s="122">
        <f t="shared" si="1"/>
        <v>1.3786013938480344</v>
      </c>
      <c r="N14" s="122">
        <f t="shared" si="1"/>
        <v>1.2352220724674023</v>
      </c>
      <c r="O14" s="122">
        <f>O10*O12</f>
        <v>0.94025672165504082</v>
      </c>
      <c r="P14" s="122"/>
      <c r="Q14" s="124"/>
    </row>
    <row r="15" spans="1:32" x14ac:dyDescent="0.25">
      <c r="A15" s="81" t="s">
        <v>33</v>
      </c>
      <c r="B15" s="81"/>
      <c r="C15" s="81"/>
      <c r="D15" s="122">
        <f>+Analysis!X25</f>
        <v>-1.36</v>
      </c>
      <c r="E15" s="122">
        <f>+D15</f>
        <v>-1.36</v>
      </c>
      <c r="F15" s="122">
        <f>+Analysis!R25</f>
        <v>-1.5</v>
      </c>
      <c r="G15" s="122">
        <f>+F15</f>
        <v>-1.5</v>
      </c>
      <c r="H15" s="122">
        <f t="shared" ref="H15:O15" si="2">+G15</f>
        <v>-1.5</v>
      </c>
      <c r="I15" s="122">
        <f t="shared" si="2"/>
        <v>-1.5</v>
      </c>
      <c r="J15" s="122">
        <f t="shared" si="2"/>
        <v>-1.5</v>
      </c>
      <c r="K15" s="122">
        <f t="shared" si="2"/>
        <v>-1.5</v>
      </c>
      <c r="L15" s="122">
        <f t="shared" si="2"/>
        <v>-1.5</v>
      </c>
      <c r="M15" s="122">
        <f t="shared" si="2"/>
        <v>-1.5</v>
      </c>
      <c r="N15" s="122">
        <f t="shared" si="2"/>
        <v>-1.5</v>
      </c>
      <c r="O15" s="122">
        <f t="shared" si="2"/>
        <v>-1.5</v>
      </c>
      <c r="P15" s="122"/>
      <c r="Q15" s="124"/>
    </row>
    <row r="16" spans="1:32" x14ac:dyDescent="0.25">
      <c r="A16" s="78"/>
      <c r="B16" s="78"/>
      <c r="C16" s="78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2"/>
      <c r="Q16" s="124"/>
    </row>
    <row r="17" spans="1:33" x14ac:dyDescent="0.25">
      <c r="A17" s="81" t="s">
        <v>34</v>
      </c>
      <c r="B17" s="81"/>
      <c r="C17" s="81"/>
      <c r="D17" s="127">
        <f>+D15*D8</f>
        <v>-7255.6</v>
      </c>
      <c r="E17" s="127">
        <f>+E15*E8</f>
        <v>-7327.68</v>
      </c>
      <c r="F17" s="127">
        <f>+F15*F8</f>
        <v>-7987.5</v>
      </c>
      <c r="G17" s="127">
        <f t="shared" ref="G17:N17" si="3">+G15*G8</f>
        <v>-7308</v>
      </c>
      <c r="H17" s="127">
        <f t="shared" si="3"/>
        <v>-7426.5</v>
      </c>
      <c r="I17" s="127">
        <f t="shared" si="3"/>
        <v>-7315.5</v>
      </c>
      <c r="J17" s="127">
        <f t="shared" si="3"/>
        <v>-7330.5</v>
      </c>
      <c r="K17" s="127">
        <f t="shared" si="3"/>
        <v>-7332</v>
      </c>
      <c r="L17" s="127">
        <f t="shared" si="3"/>
        <v>-7392</v>
      </c>
      <c r="M17" s="127">
        <f t="shared" si="3"/>
        <v>-7360.5</v>
      </c>
      <c r="N17" s="127">
        <f t="shared" si="3"/>
        <v>-7477.5</v>
      </c>
      <c r="O17" s="127">
        <f>+O15*O8</f>
        <v>-7302</v>
      </c>
      <c r="P17" s="127"/>
      <c r="Q17" s="137">
        <f>SUM(D17:O17)</f>
        <v>-88815.28</v>
      </c>
      <c r="R17" s="88"/>
    </row>
    <row r="18" spans="1:33" x14ac:dyDescent="0.25">
      <c r="A18" s="81" t="s">
        <v>35</v>
      </c>
      <c r="B18" s="81"/>
      <c r="C18" s="81"/>
      <c r="D18" s="127">
        <f>-D6*D12</f>
        <v>-8595.0797227036401</v>
      </c>
      <c r="E18" s="127">
        <f t="shared" ref="E18:O18" si="4">-E6*E12</f>
        <v>-6976.8907230559353</v>
      </c>
      <c r="F18" s="127">
        <f>-F6*F12</f>
        <v>-4493.2746784565916</v>
      </c>
      <c r="G18" s="127">
        <f t="shared" si="4"/>
        <v>-5172.3233991139759</v>
      </c>
      <c r="H18" s="127">
        <f t="shared" si="4"/>
        <v>-4093.5417869034404</v>
      </c>
      <c r="I18" s="127">
        <f t="shared" si="4"/>
        <v>-7095.6676068642737</v>
      </c>
      <c r="J18" s="127">
        <f t="shared" si="4"/>
        <v>-8245.8741428735229</v>
      </c>
      <c r="K18" s="127">
        <f t="shared" si="4"/>
        <v>-2448</v>
      </c>
      <c r="L18" s="127">
        <f t="shared" si="4"/>
        <v>-6359.9497700897737</v>
      </c>
      <c r="M18" s="127">
        <f t="shared" si="4"/>
        <v>-6764.7970396123046</v>
      </c>
      <c r="N18" s="127">
        <f t="shared" si="4"/>
        <v>-6157.5820312500009</v>
      </c>
      <c r="O18" s="127">
        <f t="shared" si="4"/>
        <v>-4577.1697210167385</v>
      </c>
      <c r="P18" s="127"/>
      <c r="Q18" s="137">
        <f>SUM(D18:O18)</f>
        <v>-70980.150621940207</v>
      </c>
    </row>
    <row r="19" spans="1:33" x14ac:dyDescent="0.25">
      <c r="A19" s="81" t="s">
        <v>99</v>
      </c>
      <c r="B19" s="81"/>
      <c r="C19" s="81"/>
      <c r="D19" s="127">
        <f>+D17-D18</f>
        <v>1339.4797227036397</v>
      </c>
      <c r="E19" s="127">
        <f t="shared" ref="E19:N19" si="5">+E17-E18</f>
        <v>-350.78927694406502</v>
      </c>
      <c r="F19" s="127">
        <f t="shared" si="5"/>
        <v>-3494.2253215434084</v>
      </c>
      <c r="G19" s="127">
        <f t="shared" si="5"/>
        <v>-2135.6766008860241</v>
      </c>
      <c r="H19" s="127">
        <f t="shared" si="5"/>
        <v>-3332.9582130965596</v>
      </c>
      <c r="I19" s="127">
        <f t="shared" si="5"/>
        <v>-219.83239313572631</v>
      </c>
      <c r="J19" s="127">
        <f t="shared" si="5"/>
        <v>915.37414287352294</v>
      </c>
      <c r="K19" s="127">
        <f t="shared" si="5"/>
        <v>-4884</v>
      </c>
      <c r="L19" s="127">
        <f t="shared" si="5"/>
        <v>-1032.0502299102263</v>
      </c>
      <c r="M19" s="127">
        <f t="shared" si="5"/>
        <v>-595.70296038769538</v>
      </c>
      <c r="N19" s="127">
        <f t="shared" si="5"/>
        <v>-1319.9179687499991</v>
      </c>
      <c r="O19" s="127">
        <f>+O17-O18</f>
        <v>-2724.8302789832615</v>
      </c>
      <c r="P19" s="127"/>
      <c r="Q19" s="137">
        <f>SUM(D19:O19)</f>
        <v>-17835.129378059806</v>
      </c>
      <c r="R19" s="88"/>
    </row>
    <row r="20" spans="1:33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82"/>
      <c r="Q20" s="124"/>
    </row>
    <row r="21" spans="1:33" x14ac:dyDescent="0.25">
      <c r="A21" s="81" t="s">
        <v>36</v>
      </c>
      <c r="B21" s="81"/>
      <c r="C21" s="81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80"/>
      <c r="Q21" s="122">
        <f>ROUND(+Q18/Q8, 2)</f>
        <v>-1.18</v>
      </c>
      <c r="AG21" s="107"/>
    </row>
    <row r="22" spans="1:33" x14ac:dyDescent="0.25">
      <c r="A22" s="81" t="s">
        <v>37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0"/>
      <c r="Q22" s="122">
        <f>-Q19/Q8</f>
        <v>0.29621048276992257</v>
      </c>
      <c r="AG22" s="107"/>
    </row>
    <row r="23" spans="1:33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82"/>
      <c r="Q23" s="124"/>
      <c r="AG23" s="107"/>
    </row>
    <row r="24" spans="1:33" x14ac:dyDescent="0.25">
      <c r="A24" s="81" t="s">
        <v>38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/>
      <c r="Q24" s="128">
        <f>ROUND(+Q21+Q22, 2)</f>
        <v>-0.88</v>
      </c>
      <c r="T24" s="108"/>
      <c r="AG24" s="107"/>
    </row>
    <row r="25" spans="1:33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124"/>
      <c r="AG25" s="107"/>
    </row>
    <row r="26" spans="1:33" s="109" customFormat="1" x14ac:dyDescent="0.25">
      <c r="A26" s="124" t="s">
        <v>39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8">
        <v>-1.63</v>
      </c>
      <c r="AG26" s="121"/>
    </row>
    <row r="27" spans="1:33" s="109" customFormat="1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8"/>
      <c r="AG27" s="121"/>
    </row>
    <row r="28" spans="1:33" s="109" customFormat="1" x14ac:dyDescent="0.25">
      <c r="A28" s="124" t="s">
        <v>94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8">
        <f>+Q26-Q24</f>
        <v>-0.74999999999999989</v>
      </c>
    </row>
    <row r="29" spans="1:33" s="109" customFormat="1" x14ac:dyDescent="0.25">
      <c r="A29" s="124" t="s">
        <v>40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30">
        <f>+Q28*Q8</f>
        <v>-45158.249999999993</v>
      </c>
    </row>
    <row r="30" spans="1:33" s="109" customFormat="1" x14ac:dyDescent="0.2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33" x14ac:dyDescent="0.25">
      <c r="D31" s="162" t="s">
        <v>76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Q31" s="109"/>
    </row>
    <row r="32" spans="1:33" x14ac:dyDescent="0.25">
      <c r="F32" s="83"/>
      <c r="G32" s="83"/>
      <c r="H32" s="83"/>
      <c r="I32" s="83"/>
      <c r="J32" s="83"/>
      <c r="K32" s="83"/>
      <c r="L32" s="83"/>
      <c r="M32" s="83"/>
      <c r="Q32" s="109"/>
    </row>
    <row r="33" spans="1:18" x14ac:dyDescent="0.25">
      <c r="A33" s="98"/>
      <c r="B33" s="98"/>
      <c r="C33" s="98"/>
      <c r="D33" s="99">
        <f>+D4</f>
        <v>45505</v>
      </c>
      <c r="E33" s="99">
        <f t="shared" ref="E33:O33" si="6">+E4</f>
        <v>45536</v>
      </c>
      <c r="F33" s="99">
        <f t="shared" si="6"/>
        <v>45566</v>
      </c>
      <c r="G33" s="99">
        <f t="shared" si="6"/>
        <v>45597</v>
      </c>
      <c r="H33" s="99">
        <f t="shared" si="6"/>
        <v>45627</v>
      </c>
      <c r="I33" s="99">
        <f t="shared" si="6"/>
        <v>45658</v>
      </c>
      <c r="J33" s="99">
        <f t="shared" si="6"/>
        <v>45689</v>
      </c>
      <c r="K33" s="99">
        <f t="shared" si="6"/>
        <v>45717</v>
      </c>
      <c r="L33" s="99">
        <f t="shared" si="6"/>
        <v>45748</v>
      </c>
      <c r="M33" s="99">
        <f t="shared" si="6"/>
        <v>45778</v>
      </c>
      <c r="N33" s="99">
        <f t="shared" si="6"/>
        <v>45809</v>
      </c>
      <c r="O33" s="99">
        <f t="shared" si="6"/>
        <v>45839</v>
      </c>
      <c r="P33" s="99"/>
      <c r="Q33" s="139" t="s">
        <v>29</v>
      </c>
    </row>
    <row r="34" spans="1:18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124"/>
    </row>
    <row r="35" spans="1:18" x14ac:dyDescent="0.25">
      <c r="A35" s="81" t="s">
        <v>30</v>
      </c>
      <c r="B35" s="81"/>
      <c r="C35" s="81"/>
      <c r="D35" s="122">
        <f>+'Aug 24 - Jul 25'!L11</f>
        <v>12.51</v>
      </c>
      <c r="E35" s="122">
        <f>+'Aug 24 - Jul 25'!L12</f>
        <v>11.13</v>
      </c>
      <c r="F35" s="122">
        <f>+'Aug 24 - Jul 25'!L13</f>
        <v>12.63</v>
      </c>
      <c r="G35" s="122">
        <f>+'Aug 24 - Jul 25'!L14</f>
        <v>6.96</v>
      </c>
      <c r="H35" s="122">
        <f>+'Aug 24 - Jul 25'!L15</f>
        <v>11.64</v>
      </c>
      <c r="I35" s="122">
        <f>+'Aug 24 - Jul 25'!L16</f>
        <v>8.43</v>
      </c>
      <c r="J35" s="122">
        <f>+'Aug 24 - Jul 25'!L17</f>
        <v>7.55</v>
      </c>
      <c r="K35" s="122">
        <f>+'Aug 24 - Jul 25'!L18</f>
        <v>7.76</v>
      </c>
      <c r="L35" s="122">
        <f>+'Aug 24 - Jul 25'!L19</f>
        <v>7.87</v>
      </c>
      <c r="M35" s="122">
        <f>+'Aug 24 - Jul 25'!L20</f>
        <v>8.18</v>
      </c>
      <c r="N35" s="122">
        <f>+'Aug 24 - Jul 25'!L21</f>
        <v>7.07</v>
      </c>
      <c r="O35" s="122">
        <f>+'Aug 24 - Jul 25'!L22</f>
        <v>7.11</v>
      </c>
      <c r="P35" s="122"/>
      <c r="Q35" s="122">
        <f>SUM(D35:O35)</f>
        <v>108.84000000000002</v>
      </c>
    </row>
    <row r="36" spans="1:18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78"/>
      <c r="Q36" s="124"/>
    </row>
    <row r="37" spans="1:18" x14ac:dyDescent="0.25">
      <c r="A37" s="123" t="s">
        <v>62</v>
      </c>
      <c r="B37" s="123"/>
      <c r="C37" s="123"/>
      <c r="D37" s="125">
        <f>'Commodity Debit'!E26</f>
        <v>1693.03</v>
      </c>
      <c r="E37" s="125">
        <f>'Commodity Debit'!E27</f>
        <v>1693.03</v>
      </c>
      <c r="F37" s="125">
        <f>'Commodity Debit'!E28</f>
        <v>1680.04</v>
      </c>
      <c r="G37" s="125">
        <f>'Commodity Debit'!E29</f>
        <v>1723.34</v>
      </c>
      <c r="H37" s="125">
        <f>'Commodity Debit'!E30</f>
        <v>1801.28</v>
      </c>
      <c r="I37" s="125">
        <f>'Commodity Debit'!E31</f>
        <v>1017.5500000000001</v>
      </c>
      <c r="J37" s="125">
        <f>'Commodity Debit'!E32</f>
        <v>1004.5600000000001</v>
      </c>
      <c r="K37" s="125">
        <f>'Commodity Debit'!E33</f>
        <v>1008.89</v>
      </c>
      <c r="L37" s="125">
        <f>'Commodity Debit'!E34</f>
        <v>1008.89</v>
      </c>
      <c r="M37" s="125">
        <f>'Commodity Debit'!E35</f>
        <v>1004.5600000000001</v>
      </c>
      <c r="N37" s="125">
        <f>'Commodity Debit'!E36</f>
        <v>1021.88</v>
      </c>
      <c r="O37" s="125">
        <f>'Commodity Debit'!E37</f>
        <v>1021.88</v>
      </c>
      <c r="P37" s="125"/>
      <c r="Q37" s="122">
        <f>SUM(D37:O37)</f>
        <v>15678.929999999997</v>
      </c>
    </row>
    <row r="38" spans="1:18" x14ac:dyDescent="0.25">
      <c r="A38" s="81"/>
      <c r="B38" s="81"/>
      <c r="C38" s="81"/>
      <c r="D38" s="142"/>
      <c r="E38" s="143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78"/>
      <c r="Q38" s="124"/>
    </row>
    <row r="39" spans="1:18" s="109" customFormat="1" x14ac:dyDescent="0.25">
      <c r="A39" s="123" t="s">
        <v>86</v>
      </c>
      <c r="B39" s="123"/>
      <c r="C39" s="123"/>
      <c r="D39" s="126">
        <f>D35/D37</f>
        <v>7.389118916971347E-3</v>
      </c>
      <c r="E39" s="126">
        <f t="shared" ref="E39:N39" si="7">E35/E37</f>
        <v>6.5740122738522063E-3</v>
      </c>
      <c r="F39" s="126">
        <f t="shared" si="7"/>
        <v>7.5176781505202264E-3</v>
      </c>
      <c r="G39" s="126">
        <f t="shared" si="7"/>
        <v>4.0386690960576557E-3</v>
      </c>
      <c r="H39" s="126">
        <f t="shared" si="7"/>
        <v>6.4620714158820395E-3</v>
      </c>
      <c r="I39" s="126">
        <f t="shared" si="7"/>
        <v>8.2846051791066761E-3</v>
      </c>
      <c r="J39" s="126">
        <f t="shared" si="7"/>
        <v>7.5157282790475422E-3</v>
      </c>
      <c r="K39" s="126">
        <f t="shared" si="7"/>
        <v>7.6916214849983644E-3</v>
      </c>
      <c r="L39" s="126">
        <f t="shared" si="7"/>
        <v>7.8006522019248882E-3</v>
      </c>
      <c r="M39" s="126">
        <f t="shared" si="7"/>
        <v>8.1428685195508478E-3</v>
      </c>
      <c r="N39" s="126">
        <f t="shared" si="7"/>
        <v>6.9186205816729948E-3</v>
      </c>
      <c r="O39" s="126">
        <f>O35/O37</f>
        <v>6.9577641210318243E-3</v>
      </c>
      <c r="P39" s="126"/>
      <c r="Q39" s="140"/>
    </row>
    <row r="40" spans="1:18" x14ac:dyDescent="0.25">
      <c r="A40" s="81"/>
      <c r="B40" s="81"/>
      <c r="C40" s="106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78"/>
      <c r="Q40" s="124"/>
    </row>
    <row r="41" spans="1:18" x14ac:dyDescent="0.25">
      <c r="A41" s="81" t="s">
        <v>31</v>
      </c>
      <c r="B41" s="81"/>
      <c r="C41" s="81"/>
      <c r="D41" s="122">
        <f>+'Aug 24 - Jul 25'!E11</f>
        <v>100.43327556325823</v>
      </c>
      <c r="E41" s="122">
        <f>+'Aug 24 - Jul 25'!E12</f>
        <v>90.809458844929523</v>
      </c>
      <c r="F41" s="122">
        <f>+'Aug 24 - Jul 25'!E13</f>
        <v>51.712218649517681</v>
      </c>
      <c r="G41" s="122">
        <f>+'Aug 24 - Jul 25'!E14</f>
        <v>121.1316955296013</v>
      </c>
      <c r="H41" s="122">
        <f>+'Aug 24 - Jul 25'!E15</f>
        <v>58.942286348501661</v>
      </c>
      <c r="I41" s="122">
        <f>+'Aug 24 - Jul 25'!E16</f>
        <v>80.889963598543929</v>
      </c>
      <c r="J41" s="122">
        <f>+'Aug 24 - Jul 25'!E17</f>
        <v>103.51335855979819</v>
      </c>
      <c r="K41" s="122">
        <f>+'Aug 24 - Jul 25'!E18</f>
        <v>30.000000000000004</v>
      </c>
      <c r="L41" s="122">
        <f>+'Aug 24 - Jul 25'!E19</f>
        <v>76.194438362163339</v>
      </c>
      <c r="M41" s="122">
        <f>+'Aug 24 - Jul 25'!E20</f>
        <v>77.989359460598394</v>
      </c>
      <c r="N41" s="122">
        <f>+'Aug 24 - Jul 25'!E21</f>
        <v>82.265625000000014</v>
      </c>
      <c r="O41" s="122">
        <f>+'Aug 24 - Jul 25'!E22</f>
        <v>62.240545567265954</v>
      </c>
      <c r="P41" s="80"/>
      <c r="Q41" s="124"/>
    </row>
    <row r="42" spans="1:18" x14ac:dyDescent="0.25">
      <c r="A42" s="81"/>
      <c r="B42" s="81"/>
      <c r="C42" s="81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80"/>
      <c r="Q42" s="124"/>
    </row>
    <row r="43" spans="1:18" s="109" customFormat="1" x14ac:dyDescent="0.25">
      <c r="A43" s="123" t="s">
        <v>87</v>
      </c>
      <c r="B43" s="123"/>
      <c r="C43" s="123"/>
      <c r="D43" s="122">
        <f>D39*D41</f>
        <v>0.74211341635786754</v>
      </c>
      <c r="E43" s="122">
        <f t="shared" ref="E43:O43" si="8">E39*E41</f>
        <v>0.59698249702844353</v>
      </c>
      <c r="F43" s="122">
        <f t="shared" si="8"/>
        <v>0.38875581625640365</v>
      </c>
      <c r="G43" s="122">
        <f t="shared" si="8"/>
        <v>0.48921083528846604</v>
      </c>
      <c r="H43" s="122">
        <f t="shared" si="8"/>
        <v>0.38088926379938676</v>
      </c>
      <c r="I43" s="122">
        <f t="shared" si="8"/>
        <v>0.6701414113662475</v>
      </c>
      <c r="J43" s="122">
        <f t="shared" si="8"/>
        <v>0.77797827618706328</v>
      </c>
      <c r="K43" s="122">
        <f t="shared" si="8"/>
        <v>0.23074864454995095</v>
      </c>
      <c r="L43" s="122">
        <f t="shared" si="8"/>
        <v>0.59436631338423962</v>
      </c>
      <c r="M43" s="122">
        <f t="shared" si="8"/>
        <v>0.63505710001164173</v>
      </c>
      <c r="N43" s="122">
        <f t="shared" si="8"/>
        <v>0.56916464628919261</v>
      </c>
      <c r="O43" s="122">
        <f t="shared" si="8"/>
        <v>0.43305503482136942</v>
      </c>
      <c r="P43" s="122"/>
      <c r="Q43" s="124"/>
    </row>
    <row r="44" spans="1:18" s="103" customFormat="1" x14ac:dyDescent="0.25">
      <c r="A44" s="123" t="s">
        <v>88</v>
      </c>
      <c r="B44" s="123"/>
      <c r="C44" s="123"/>
      <c r="D44" s="122">
        <f>+Analysis!X52</f>
        <v>-0.63</v>
      </c>
      <c r="E44" s="122">
        <f>+D44</f>
        <v>-0.63</v>
      </c>
      <c r="F44" s="122">
        <f>+Analysis!R52</f>
        <v>-0.69</v>
      </c>
      <c r="G44" s="122">
        <f>+F44</f>
        <v>-0.69</v>
      </c>
      <c r="H44" s="122">
        <f t="shared" ref="H44:O44" si="9">+G44</f>
        <v>-0.69</v>
      </c>
      <c r="I44" s="122">
        <f t="shared" si="9"/>
        <v>-0.69</v>
      </c>
      <c r="J44" s="122">
        <f t="shared" si="9"/>
        <v>-0.69</v>
      </c>
      <c r="K44" s="122">
        <f t="shared" si="9"/>
        <v>-0.69</v>
      </c>
      <c r="L44" s="122">
        <f t="shared" si="9"/>
        <v>-0.69</v>
      </c>
      <c r="M44" s="122">
        <f t="shared" si="9"/>
        <v>-0.69</v>
      </c>
      <c r="N44" s="122">
        <f t="shared" si="9"/>
        <v>-0.69</v>
      </c>
      <c r="O44" s="122">
        <f t="shared" si="9"/>
        <v>-0.69</v>
      </c>
      <c r="P44" s="104"/>
      <c r="Q44" s="124"/>
    </row>
    <row r="45" spans="1:18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80"/>
      <c r="Q45" s="124"/>
    </row>
    <row r="46" spans="1:18" x14ac:dyDescent="0.25">
      <c r="A46" s="81" t="s">
        <v>34</v>
      </c>
      <c r="B46" s="81"/>
      <c r="C46" s="81"/>
      <c r="D46" s="127">
        <f>+D44*D37</f>
        <v>-1066.6088999999999</v>
      </c>
      <c r="E46" s="127">
        <f t="shared" ref="E46:N46" si="10">+E44*E37</f>
        <v>-1066.6088999999999</v>
      </c>
      <c r="F46" s="127">
        <f t="shared" si="10"/>
        <v>-1159.2275999999999</v>
      </c>
      <c r="G46" s="127">
        <f t="shared" si="10"/>
        <v>-1189.1045999999999</v>
      </c>
      <c r="H46" s="127">
        <f t="shared" si="10"/>
        <v>-1242.8832</v>
      </c>
      <c r="I46" s="127">
        <f t="shared" si="10"/>
        <v>-702.10950000000003</v>
      </c>
      <c r="J46" s="127">
        <f t="shared" si="10"/>
        <v>-693.14639999999997</v>
      </c>
      <c r="K46" s="127">
        <f t="shared" si="10"/>
        <v>-696.13409999999999</v>
      </c>
      <c r="L46" s="127">
        <f t="shared" si="10"/>
        <v>-696.13409999999999</v>
      </c>
      <c r="M46" s="127">
        <f t="shared" si="10"/>
        <v>-693.14639999999997</v>
      </c>
      <c r="N46" s="127">
        <f t="shared" si="10"/>
        <v>-705.09719999999993</v>
      </c>
      <c r="O46" s="127">
        <f>+O44*O37</f>
        <v>-705.09719999999993</v>
      </c>
      <c r="P46" s="82"/>
      <c r="Q46" s="137">
        <f>SUM(D46:O46)</f>
        <v>-10615.2981</v>
      </c>
      <c r="R46" s="88"/>
    </row>
    <row r="47" spans="1:18" x14ac:dyDescent="0.25">
      <c r="A47" s="81" t="s">
        <v>35</v>
      </c>
      <c r="B47" s="81"/>
      <c r="C47" s="81"/>
      <c r="D47" s="127">
        <f>-'Aug 24 - Jul 25'!H11</f>
        <v>-1256.8900000000001</v>
      </c>
      <c r="E47" s="127">
        <f>-'Aug 24 - Jul 25'!H12</f>
        <v>-1010.33</v>
      </c>
      <c r="F47" s="127">
        <f>-'Aug 24 - Jul 25'!H13</f>
        <v>-653.27</v>
      </c>
      <c r="G47" s="127">
        <f>-'Aug 24 - Jul 25'!H14</f>
        <v>-843.11</v>
      </c>
      <c r="H47" s="127">
        <f>-'Aug 24 - Jul 25'!H15</f>
        <v>-686.29</v>
      </c>
      <c r="I47" s="127">
        <f>-'Aug 24 - Jul 25'!H16</f>
        <v>-682.21</v>
      </c>
      <c r="J47" s="127">
        <f>-'Aug 24 - Jul 25'!H17</f>
        <v>-781.14</v>
      </c>
      <c r="K47" s="127">
        <f>-'Aug 24 - Jul 25'!H18</f>
        <v>-232.84</v>
      </c>
      <c r="L47" s="127">
        <f>-'Aug 24 - Jul 25'!H19</f>
        <v>-599.99</v>
      </c>
      <c r="M47" s="127">
        <f>-'Aug 24 - Jul 25'!H20</f>
        <v>-638.17999999999995</v>
      </c>
      <c r="N47" s="127">
        <f>-'Aug 24 - Jul 25'!H21</f>
        <v>-581.67999999999995</v>
      </c>
      <c r="O47" s="127">
        <f>-'Aug 24 - Jul 25'!H22</f>
        <v>-442.76</v>
      </c>
      <c r="P47" s="127"/>
      <c r="Q47" s="137">
        <f>SUM(D47:O47)</f>
        <v>-8408.69</v>
      </c>
    </row>
    <row r="48" spans="1:18" x14ac:dyDescent="0.25">
      <c r="A48" s="81" t="s">
        <v>99</v>
      </c>
      <c r="B48" s="81"/>
      <c r="C48" s="81"/>
      <c r="D48" s="127">
        <f>+D46-D47</f>
        <v>190.28110000000015</v>
      </c>
      <c r="E48" s="127">
        <f t="shared" ref="E48:O48" si="11">+E46-E47</f>
        <v>-56.278899999999908</v>
      </c>
      <c r="F48" s="127">
        <f t="shared" si="11"/>
        <v>-505.95759999999996</v>
      </c>
      <c r="G48" s="127">
        <f t="shared" si="11"/>
        <v>-345.99459999999988</v>
      </c>
      <c r="H48" s="127">
        <f t="shared" si="11"/>
        <v>-556.59320000000002</v>
      </c>
      <c r="I48" s="127">
        <f t="shared" si="11"/>
        <v>-19.899499999999989</v>
      </c>
      <c r="J48" s="127">
        <f t="shared" si="11"/>
        <v>87.993600000000015</v>
      </c>
      <c r="K48" s="127">
        <f t="shared" si="11"/>
        <v>-463.29409999999996</v>
      </c>
      <c r="L48" s="127">
        <f t="shared" si="11"/>
        <v>-96.14409999999998</v>
      </c>
      <c r="M48" s="127">
        <f t="shared" si="11"/>
        <v>-54.966400000000021</v>
      </c>
      <c r="N48" s="127">
        <f t="shared" si="11"/>
        <v>-123.41719999999998</v>
      </c>
      <c r="O48" s="127">
        <f t="shared" si="11"/>
        <v>-262.33719999999994</v>
      </c>
      <c r="P48" s="82"/>
      <c r="Q48" s="137">
        <f>SUM(D48:O48)</f>
        <v>-2206.6080999999995</v>
      </c>
    </row>
    <row r="49" spans="1:20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82"/>
      <c r="Q49" s="124"/>
    </row>
    <row r="50" spans="1:20" x14ac:dyDescent="0.25">
      <c r="A50" s="81" t="s">
        <v>36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0"/>
      <c r="Q50" s="122">
        <f>Q47/Q37</f>
        <v>-0.53630509224800427</v>
      </c>
    </row>
    <row r="51" spans="1:20" x14ac:dyDescent="0.25">
      <c r="A51" s="81" t="s">
        <v>37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0"/>
      <c r="Q51" s="122">
        <f>-Q48/Q37</f>
        <v>0.14073716127312258</v>
      </c>
    </row>
    <row r="52" spans="1:20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82"/>
      <c r="Q52" s="124"/>
    </row>
    <row r="53" spans="1:20" x14ac:dyDescent="0.25">
      <c r="A53" s="81" t="s">
        <v>38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78"/>
      <c r="Q53" s="128">
        <f>+Q51+Q50</f>
        <v>-0.39556793097488169</v>
      </c>
      <c r="T53" s="108"/>
    </row>
    <row r="54" spans="1:20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124"/>
    </row>
    <row r="55" spans="1:20" x14ac:dyDescent="0.25">
      <c r="A55" s="101" t="s">
        <v>39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78"/>
      <c r="Q55" s="128">
        <v>-0.74</v>
      </c>
    </row>
    <row r="56" spans="1:20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78"/>
      <c r="Q56" s="128"/>
    </row>
    <row r="57" spans="1:20" x14ac:dyDescent="0.25">
      <c r="A57" s="78" t="s">
        <v>94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141">
        <f>+Q55-Q53</f>
        <v>-0.3444320690251183</v>
      </c>
    </row>
    <row r="58" spans="1:20" x14ac:dyDescent="0.25">
      <c r="A58" s="101" t="s">
        <v>40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78"/>
      <c r="Q58" s="89">
        <f>+Q57*Q37</f>
        <v>-5400.326299999997</v>
      </c>
    </row>
    <row r="59" spans="1:20" x14ac:dyDescent="0.2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20" x14ac:dyDescent="0.25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78"/>
      <c r="Q60" s="89"/>
    </row>
    <row r="61" spans="1:20" x14ac:dyDescent="0.2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</row>
  </sheetData>
  <mergeCells count="2">
    <mergeCell ref="D2:O2"/>
    <mergeCell ref="D31:O31"/>
  </mergeCells>
  <pageMargins left="0.7" right="0.7" top="0.75" bottom="0.75" header="0.3" footer="0.3"/>
  <pageSetup scale="52" fitToHeight="0" orientation="portrait" r:id="rId1"/>
  <colBreaks count="1" manualBreakCount="1">
    <brk id="17" max="5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15F2DB9BE1111B46A0F2E04A1141B5F0" ma:contentTypeVersion="19" ma:contentTypeDescription="" ma:contentTypeScope="" ma:versionID="844392e4770132dd35d4f88ece4a79e8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Closed</CaseStatus>
    <OpenedDate xmlns="dc463f71-b30c-4ab2-9473-d307f9d35888">2025-08-26T07:00:00+00:00</OpenedDate>
    <SignificantOrder xmlns="dc463f71-b30c-4ab2-9473-d307f9d35888">false</SignificantOrder>
    <Date1 xmlns="dc463f71-b30c-4ab2-9473-d307f9d35888">2025-08-26T07:00:00+00:00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Pullman Disposal Service, Inc</CaseCompanyNames>
    <Nickname xmlns="http://schemas.microsoft.com/sharepoint/v3" xsi:nil="true"/>
    <DocketNumber xmlns="dc463f71-b30c-4ab2-9473-d307f9d35888">250679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3BB44D08-7253-4EE9-9EF3-09231370BAD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B0F066C-F8D4-4C14-AD35-CD9F66F84FBF}"/>
</file>

<file path=customXml/itemProps3.xml><?xml version="1.0" encoding="utf-8"?>
<ds:datastoreItem xmlns:ds="http://schemas.openxmlformats.org/officeDocument/2006/customXml" ds:itemID="{45C9AF4E-3DCA-4230-BC99-3D70510E0F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5F2745-C311-4CBF-A376-4BFC69D0A006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dc463f71-b30c-4ab2-9473-d307f9d35888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Analysis</vt:lpstr>
      <vt:lpstr>Aug 24 - Jul 25</vt:lpstr>
      <vt:lpstr>Commodity Debit</vt:lpstr>
      <vt:lpstr>Calcs revised method</vt:lpstr>
      <vt:lpstr>Analysis!Print_Area</vt:lpstr>
      <vt:lpstr>'Calcs revised method'!Print_Area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</dc:creator>
  <cp:lastModifiedBy>Darrell Moseley</cp:lastModifiedBy>
  <cp:lastPrinted>2024-08-15T22:40:01Z</cp:lastPrinted>
  <dcterms:created xsi:type="dcterms:W3CDTF">2011-01-20T20:41:17Z</dcterms:created>
  <dcterms:modified xsi:type="dcterms:W3CDTF">2025-08-19T18:59:26Z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0x0101006E56B4D1795A2E4DB2F0B01679ED314A0015F2DB9BE1111B46A0F2E04A1141B5F0</vt:lpwstr>
  </property>
  <property fmtid="{D5CDD505-2E9C-101B-9397-08002B2CF9AE}" pid="3" name="EFilingId">
    <vt:lpwstr>1732</vt:lpwstr>
  </property>
  <property fmtid="{D5CDD505-2E9C-101B-9397-08002B2CF9AE}" pid="4" name="Confidentiality">
    <vt:lpwstr>None</vt:lpwstr>
  </property>
  <property fmtid="{D5CDD505-2E9C-101B-9397-08002B2CF9AE}" pid="5" name="EFilingLookup">
    <vt:lpwstr/>
  </property>
  <property fmtid="{D5CDD505-2E9C-101B-9397-08002B2CF9AE}" pid="6" name="DocumentDescription">
    <vt:lpwstr>Excel File containing statistical data with rate calculations</vt:lpwstr>
  </property>
  <property fmtid="{D5CDD505-2E9C-101B-9397-08002B2CF9AE}" pid="7" name="_docset_NoMedatataSyncRequired">
    <vt:lpwstr>False</vt:lpwstr>
  </property>
</Properties>
</file>