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J:\Regulatory Filings\2025 Regulatory Filings\EIA Annual Filings\Annual EIA Filing\"/>
    </mc:Choice>
  </mc:AlternateContent>
  <xr:revisionPtr revIDLastSave="0" documentId="13_ncr:1_{2B8BD259-203D-428A-95FD-B22DB1EEB71E}" xr6:coauthVersionLast="47" xr6:coauthVersionMax="47" xr10:uidLastSave="{00000000-0000-0000-0000-000000000000}"/>
  <bookViews>
    <workbookView xWindow="-120" yWindow="-120" windowWidth="25335" windowHeight="14340" firstSheet="17" activeTab="24" xr2:uid="{00000000-000D-0000-FFFF-FFFF00000000}"/>
  </bookViews>
  <sheets>
    <sheet name="Jan-Dec 2019 (2)" sheetId="21" r:id="rId1"/>
    <sheet name="July 2017   (2)" sheetId="13" r:id="rId2"/>
    <sheet name="October 2016" sheetId="1" r:id="rId3"/>
    <sheet name="November 2016 (2)" sheetId="3" r:id="rId4"/>
    <sheet name="December 2016" sheetId="4" r:id="rId5"/>
    <sheet name="January 2017" sheetId="5" r:id="rId6"/>
    <sheet name="February 2017 " sheetId="7" r:id="rId7"/>
    <sheet name="March 2017 " sheetId="8" r:id="rId8"/>
    <sheet name="April 2017  " sheetId="9" r:id="rId9"/>
    <sheet name="May 2017  " sheetId="10" r:id="rId10"/>
    <sheet name="June 2017 " sheetId="11" r:id="rId11"/>
    <sheet name="July 2017  " sheetId="12" r:id="rId12"/>
    <sheet name="August 2017  " sheetId="14" state="hidden" r:id="rId13"/>
    <sheet name="September 2017   " sheetId="15" state="hidden" r:id="rId14"/>
    <sheet name="October 2017  " sheetId="16" state="hidden" r:id="rId15"/>
    <sheet name="November 2017  " sheetId="17" state="hidden" r:id="rId16"/>
    <sheet name="December 2017  " sheetId="18" state="hidden" r:id="rId17"/>
    <sheet name="Jan-Dec 2019" sheetId="19" r:id="rId18"/>
    <sheet name="Sheet1" sheetId="20" state="hidden" r:id="rId19"/>
    <sheet name="Jan-Dec 2020" sheetId="22" r:id="rId20"/>
    <sheet name="Jan-Dec 2021  " sheetId="24" r:id="rId21"/>
    <sheet name="Jan-Dec 2022 (est)" sheetId="25" r:id="rId22"/>
    <sheet name="Jan-Dec 2023" sheetId="26" r:id="rId23"/>
    <sheet name="Jan-Dec 2024" sheetId="27" r:id="rId24"/>
    <sheet name="Jan-Dec 2025" sheetId="28"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 i="28" l="1"/>
  <c r="C39" i="28"/>
  <c r="C38" i="28"/>
  <c r="C37" i="28"/>
  <c r="E34" i="28" l="1"/>
  <c r="E33" i="28"/>
  <c r="C34" i="28"/>
  <c r="C33" i="28"/>
  <c r="C30" i="28"/>
  <c r="B30" i="28"/>
  <c r="D30" i="28" s="1"/>
  <c r="D29" i="28"/>
  <c r="D28" i="28"/>
  <c r="D22" i="28"/>
  <c r="D21" i="28"/>
  <c r="D20" i="28"/>
  <c r="D17" i="28"/>
  <c r="D12" i="28"/>
  <c r="D11" i="28"/>
  <c r="D10" i="28"/>
  <c r="D9" i="28"/>
  <c r="D8" i="28"/>
  <c r="D6" i="28"/>
  <c r="B35" i="27"/>
  <c r="C32" i="27"/>
  <c r="C35" i="27"/>
  <c r="B32" i="27"/>
  <c r="D32" i="27" s="1"/>
  <c r="D31" i="27"/>
  <c r="D30" i="27"/>
  <c r="D24" i="27"/>
  <c r="D22" i="27"/>
  <c r="D19" i="27"/>
  <c r="D16" i="27"/>
  <c r="D12" i="27"/>
  <c r="D11" i="27"/>
  <c r="D10" i="27"/>
  <c r="D9" i="27"/>
  <c r="D8" i="27"/>
  <c r="D7" i="27"/>
  <c r="D6" i="27"/>
  <c r="C27" i="26"/>
  <c r="C26" i="26"/>
  <c r="B26" i="26"/>
  <c r="M23" i="26"/>
  <c r="L23" i="26"/>
  <c r="K23" i="26"/>
  <c r="H23" i="26"/>
  <c r="G23" i="26"/>
  <c r="F23" i="26"/>
  <c r="C23" i="26"/>
  <c r="B23" i="26"/>
  <c r="D23" i="26" s="1"/>
  <c r="D22" i="26"/>
  <c r="D21" i="26"/>
  <c r="D20" i="26"/>
  <c r="D19" i="26"/>
  <c r="D18" i="26"/>
  <c r="D16" i="26"/>
  <c r="D15" i="26"/>
  <c r="D14" i="26"/>
  <c r="D13" i="26"/>
  <c r="D12" i="26"/>
  <c r="D11" i="26"/>
  <c r="D10" i="26"/>
  <c r="D9" i="26"/>
  <c r="D8" i="26"/>
  <c r="D7" i="26"/>
  <c r="D6" i="26"/>
  <c r="D5" i="26"/>
  <c r="D4" i="26"/>
  <c r="E27" i="25"/>
  <c r="C27" i="25"/>
  <c r="B27" i="25"/>
  <c r="M24" i="25"/>
  <c r="L24" i="25"/>
  <c r="K24" i="25"/>
  <c r="H24" i="25"/>
  <c r="G24" i="25"/>
  <c r="F24" i="25"/>
  <c r="C24" i="25"/>
  <c r="C28" i="25" s="1"/>
  <c r="E28" i="25" s="1"/>
  <c r="B24" i="25"/>
  <c r="D24" i="25" s="1"/>
  <c r="D23" i="25"/>
  <c r="D22" i="25"/>
  <c r="D21" i="25"/>
  <c r="D20" i="25"/>
  <c r="D19" i="25"/>
  <c r="D18" i="25"/>
  <c r="D16" i="25"/>
  <c r="D15" i="25"/>
  <c r="D14" i="25"/>
  <c r="D13" i="25"/>
  <c r="D12" i="25"/>
  <c r="D11" i="25"/>
  <c r="D10" i="25"/>
  <c r="D9" i="25"/>
  <c r="D8" i="25"/>
  <c r="D7" i="25"/>
  <c r="D6" i="25"/>
  <c r="D5" i="25"/>
  <c r="D4" i="25"/>
  <c r="E28" i="24"/>
  <c r="E27" i="24"/>
  <c r="C28" i="24"/>
  <c r="C27" i="24"/>
  <c r="C24" i="24"/>
  <c r="B28" i="24"/>
  <c r="B27" i="24"/>
  <c r="M24" i="24"/>
  <c r="L24" i="24"/>
  <c r="K24" i="24"/>
  <c r="H24" i="24"/>
  <c r="G24" i="24"/>
  <c r="E24" i="24" s="1"/>
  <c r="F24" i="24"/>
  <c r="B24" i="24"/>
  <c r="D24" i="24" s="1"/>
  <c r="D23" i="24"/>
  <c r="D22" i="24"/>
  <c r="D21" i="24"/>
  <c r="D20" i="24"/>
  <c r="D19" i="24"/>
  <c r="D18" i="24"/>
  <c r="D16" i="24"/>
  <c r="D15" i="24"/>
  <c r="D14" i="24"/>
  <c r="D13" i="24"/>
  <c r="D12" i="24"/>
  <c r="D11" i="24"/>
  <c r="D10" i="24"/>
  <c r="D9" i="24"/>
  <c r="D8" i="24"/>
  <c r="D7" i="24"/>
  <c r="D6" i="24"/>
  <c r="D5" i="24"/>
  <c r="D4" i="24"/>
  <c r="D32" i="19"/>
  <c r="D31" i="19"/>
  <c r="B32" i="19"/>
  <c r="B31" i="19"/>
  <c r="E40" i="27" l="1"/>
  <c r="C36" i="27"/>
  <c r="C37" i="27" s="1"/>
  <c r="E35" i="27"/>
  <c r="B36" i="27"/>
  <c r="E27" i="26"/>
  <c r="E23" i="26"/>
  <c r="E26" i="26"/>
  <c r="B27" i="26"/>
  <c r="E24" i="25"/>
  <c r="B28" i="25"/>
  <c r="D21" i="22"/>
  <c r="D22" i="22"/>
  <c r="D23" i="22"/>
  <c r="D24" i="22"/>
  <c r="D25" i="22"/>
  <c r="D26" i="22"/>
  <c r="H7" i="22"/>
  <c r="E36" i="27" l="1"/>
  <c r="E41" i="27"/>
  <c r="E42" i="27" s="1"/>
  <c r="E44" i="27" s="1"/>
  <c r="G27" i="22"/>
  <c r="M27" i="22" s="1"/>
  <c r="B27" i="22"/>
  <c r="C27" i="22" s="1"/>
  <c r="M26" i="22"/>
  <c r="K26" i="22"/>
  <c r="H26" i="22"/>
  <c r="F26" i="22"/>
  <c r="C26" i="22"/>
  <c r="M25" i="22"/>
  <c r="K25" i="22"/>
  <c r="C25" i="22"/>
  <c r="M24" i="22"/>
  <c r="K24" i="22"/>
  <c r="C24" i="22"/>
  <c r="M23" i="22"/>
  <c r="K23" i="22"/>
  <c r="C23" i="22"/>
  <c r="M22" i="22"/>
  <c r="K22" i="22"/>
  <c r="C22" i="22"/>
  <c r="K21" i="22"/>
  <c r="H21" i="22"/>
  <c r="C21" i="22"/>
  <c r="M20" i="22"/>
  <c r="K20" i="22"/>
  <c r="L20" i="22" s="1"/>
  <c r="H20" i="22"/>
  <c r="D20" i="22"/>
  <c r="C20" i="22"/>
  <c r="M19" i="22"/>
  <c r="K19" i="22"/>
  <c r="L19" i="22" s="1"/>
  <c r="H19" i="22"/>
  <c r="D19" i="22"/>
  <c r="F19" i="22" s="1"/>
  <c r="C19" i="22"/>
  <c r="M18" i="22"/>
  <c r="K18" i="22"/>
  <c r="L18" i="22" s="1"/>
  <c r="H18" i="22"/>
  <c r="D18" i="22"/>
  <c r="C18" i="22"/>
  <c r="M17" i="22"/>
  <c r="K17" i="22"/>
  <c r="L17" i="22" s="1"/>
  <c r="H17" i="22"/>
  <c r="D17" i="22"/>
  <c r="C17" i="22"/>
  <c r="M16" i="22"/>
  <c r="K16" i="22"/>
  <c r="L16" i="22" s="1"/>
  <c r="D16" i="22"/>
  <c r="E16" i="22" s="1"/>
  <c r="C16" i="22"/>
  <c r="M15" i="22"/>
  <c r="K15" i="22"/>
  <c r="L15" i="22" s="1"/>
  <c r="H15" i="22"/>
  <c r="D15" i="22"/>
  <c r="C15" i="22"/>
  <c r="M14" i="22"/>
  <c r="K14" i="22"/>
  <c r="L14" i="22" s="1"/>
  <c r="D14" i="22"/>
  <c r="F14" i="22" s="1"/>
  <c r="C14" i="22"/>
  <c r="M13" i="22"/>
  <c r="K13" i="22"/>
  <c r="L13" i="22" s="1"/>
  <c r="H13" i="22"/>
  <c r="F13" i="22"/>
  <c r="E13" i="22"/>
  <c r="C13" i="22"/>
  <c r="M12" i="22"/>
  <c r="K12" i="22"/>
  <c r="L12" i="22" s="1"/>
  <c r="H12" i="22"/>
  <c r="F12" i="22"/>
  <c r="E12" i="22"/>
  <c r="C12" i="22"/>
  <c r="M11" i="22"/>
  <c r="K11" i="22"/>
  <c r="L11" i="22" s="1"/>
  <c r="F11" i="22"/>
  <c r="E11" i="22"/>
  <c r="C11" i="22"/>
  <c r="M10" i="22"/>
  <c r="K10" i="22"/>
  <c r="L10" i="22" s="1"/>
  <c r="H10" i="22"/>
  <c r="C10" i="22"/>
  <c r="M9" i="22"/>
  <c r="K9" i="22"/>
  <c r="L9" i="22" s="1"/>
  <c r="H9" i="22"/>
  <c r="E9" i="22"/>
  <c r="C9" i="22"/>
  <c r="M8" i="22"/>
  <c r="K8" i="22"/>
  <c r="L8" i="22" s="1"/>
  <c r="H8" i="22"/>
  <c r="F8" i="22"/>
  <c r="E8" i="22"/>
  <c r="C8" i="22"/>
  <c r="M7" i="22"/>
  <c r="K7" i="22"/>
  <c r="F7" i="22"/>
  <c r="C7" i="22"/>
  <c r="M6" i="22"/>
  <c r="K6" i="22"/>
  <c r="L6" i="22" s="1"/>
  <c r="H6" i="22"/>
  <c r="C6" i="22"/>
  <c r="M5" i="22"/>
  <c r="K5" i="22"/>
  <c r="L5" i="22" s="1"/>
  <c r="H5" i="22"/>
  <c r="C5" i="22"/>
  <c r="M4" i="22"/>
  <c r="K4" i="22"/>
  <c r="L4" i="22" s="1"/>
  <c r="H4" i="22"/>
  <c r="F4" i="22"/>
  <c r="E4" i="22"/>
  <c r="C4" i="22"/>
  <c r="B43" i="21"/>
  <c r="B38" i="21"/>
  <c r="D38" i="21" s="1"/>
  <c r="D37" i="21"/>
  <c r="B37" i="21"/>
  <c r="M35" i="21"/>
  <c r="L35" i="21"/>
  <c r="M34" i="21"/>
  <c r="L34" i="21"/>
  <c r="J33" i="21"/>
  <c r="I33" i="21"/>
  <c r="G33" i="21"/>
  <c r="M32" i="21"/>
  <c r="K32" i="21"/>
  <c r="L32" i="21" s="1"/>
  <c r="D32" i="21"/>
  <c r="O30" i="21"/>
  <c r="G30" i="21"/>
  <c r="M30" i="21" s="1"/>
  <c r="M33" i="21" s="1"/>
  <c r="C30" i="21"/>
  <c r="B30" i="21"/>
  <c r="B33" i="21" s="1"/>
  <c r="Q29" i="21"/>
  <c r="M29" i="21"/>
  <c r="K29" i="21"/>
  <c r="H29" i="21"/>
  <c r="F29" i="21"/>
  <c r="C29" i="21"/>
  <c r="Q28" i="21"/>
  <c r="M28" i="21"/>
  <c r="K28" i="21"/>
  <c r="C28" i="21"/>
  <c r="Q27" i="21"/>
  <c r="M27" i="21"/>
  <c r="K27" i="21"/>
  <c r="C27" i="21"/>
  <c r="Q26" i="21"/>
  <c r="M26" i="21"/>
  <c r="K26" i="21"/>
  <c r="C26" i="21"/>
  <c r="Q25" i="21"/>
  <c r="M25" i="21"/>
  <c r="K25" i="21"/>
  <c r="C25" i="21"/>
  <c r="Q24" i="21"/>
  <c r="K24" i="21"/>
  <c r="H24" i="21"/>
  <c r="C24" i="21"/>
  <c r="M23" i="21"/>
  <c r="K23" i="21"/>
  <c r="L23" i="21" s="1"/>
  <c r="H23" i="21"/>
  <c r="D23" i="21"/>
  <c r="Q23" i="21" s="1"/>
  <c r="C23" i="21"/>
  <c r="M22" i="21"/>
  <c r="K22" i="21"/>
  <c r="L22" i="21" s="1"/>
  <c r="H22" i="21"/>
  <c r="D22" i="21"/>
  <c r="E22" i="21" s="1"/>
  <c r="C22" i="21"/>
  <c r="M21" i="21"/>
  <c r="K21" i="21"/>
  <c r="H21" i="21"/>
  <c r="F21" i="21"/>
  <c r="E21" i="21"/>
  <c r="C21" i="21"/>
  <c r="M20" i="21"/>
  <c r="K20" i="21"/>
  <c r="L20" i="21" s="1"/>
  <c r="H20" i="21"/>
  <c r="D20" i="21"/>
  <c r="F20" i="21" s="1"/>
  <c r="C20" i="21"/>
  <c r="M19" i="21"/>
  <c r="K19" i="21"/>
  <c r="F19" i="21"/>
  <c r="E19" i="21"/>
  <c r="C19" i="21"/>
  <c r="M18" i="21"/>
  <c r="K18" i="21"/>
  <c r="L18" i="21" s="1"/>
  <c r="H18" i="21"/>
  <c r="D18" i="21"/>
  <c r="E18" i="21" s="1"/>
  <c r="C18" i="21"/>
  <c r="M17" i="21"/>
  <c r="K17" i="21"/>
  <c r="L17" i="21" s="1"/>
  <c r="H17" i="21"/>
  <c r="D17" i="21"/>
  <c r="F17" i="21" s="1"/>
  <c r="C17" i="21"/>
  <c r="M16" i="21"/>
  <c r="K16" i="21"/>
  <c r="L16" i="21" s="1"/>
  <c r="D16" i="21"/>
  <c r="F16" i="21" s="1"/>
  <c r="C16" i="21"/>
  <c r="M15" i="21"/>
  <c r="K15" i="21"/>
  <c r="L15" i="21" s="1"/>
  <c r="H15" i="21"/>
  <c r="D15" i="21"/>
  <c r="Q15" i="21" s="1"/>
  <c r="C15" i="21"/>
  <c r="M14" i="21"/>
  <c r="K14" i="21"/>
  <c r="L14" i="21" s="1"/>
  <c r="D14" i="21"/>
  <c r="F14" i="21" s="1"/>
  <c r="C14" i="21"/>
  <c r="M13" i="21"/>
  <c r="K13" i="21"/>
  <c r="L13" i="21" s="1"/>
  <c r="H13" i="21"/>
  <c r="D13" i="21"/>
  <c r="F13" i="21" s="1"/>
  <c r="C13" i="21"/>
  <c r="M12" i="21"/>
  <c r="K12" i="21"/>
  <c r="L12" i="21" s="1"/>
  <c r="H12" i="21"/>
  <c r="D12" i="21"/>
  <c r="F12" i="21" s="1"/>
  <c r="C12" i="21"/>
  <c r="M11" i="21"/>
  <c r="K11" i="21"/>
  <c r="L11" i="21" s="1"/>
  <c r="D11" i="21"/>
  <c r="Q11" i="21" s="1"/>
  <c r="C11" i="21"/>
  <c r="M10" i="21"/>
  <c r="K10" i="21"/>
  <c r="L10" i="21" s="1"/>
  <c r="H10" i="21"/>
  <c r="D10" i="21"/>
  <c r="Q10" i="21" s="1"/>
  <c r="C10" i="21"/>
  <c r="M9" i="21"/>
  <c r="K9" i="21"/>
  <c r="L9" i="21" s="1"/>
  <c r="H9" i="21"/>
  <c r="D9" i="21"/>
  <c r="Q9" i="21" s="1"/>
  <c r="C9" i="21"/>
  <c r="Q8" i="21"/>
  <c r="M8" i="21"/>
  <c r="L8" i="21"/>
  <c r="K8" i="21"/>
  <c r="H8" i="21"/>
  <c r="F8" i="21"/>
  <c r="E8" i="21"/>
  <c r="D8" i="21"/>
  <c r="C8" i="21"/>
  <c r="M7" i="21"/>
  <c r="K7" i="21"/>
  <c r="L7" i="21" s="1"/>
  <c r="H7" i="21"/>
  <c r="D7" i="21"/>
  <c r="F7" i="21" s="1"/>
  <c r="C7" i="21"/>
  <c r="M6" i="21"/>
  <c r="K6" i="21"/>
  <c r="L6" i="21" s="1"/>
  <c r="H6" i="21"/>
  <c r="D6" i="21"/>
  <c r="Q6" i="21" s="1"/>
  <c r="C6" i="21"/>
  <c r="M5" i="21"/>
  <c r="K5" i="21"/>
  <c r="L5" i="21" s="1"/>
  <c r="H5" i="21"/>
  <c r="D5" i="21"/>
  <c r="Q5" i="21" s="1"/>
  <c r="C5" i="21"/>
  <c r="Q4" i="21"/>
  <c r="M4" i="21"/>
  <c r="K4" i="21"/>
  <c r="L4" i="21" s="1"/>
  <c r="H4" i="21"/>
  <c r="F4" i="21"/>
  <c r="E4" i="21"/>
  <c r="C4" i="21"/>
  <c r="Q20" i="21" l="1"/>
  <c r="F5" i="21"/>
  <c r="F9" i="21"/>
  <c r="E5" i="21"/>
  <c r="Q7" i="21"/>
  <c r="E9" i="21"/>
  <c r="E18" i="22"/>
  <c r="F16" i="22"/>
  <c r="F18" i="22"/>
  <c r="E14" i="22"/>
  <c r="E5" i="22"/>
  <c r="F5" i="22"/>
  <c r="F9" i="22"/>
  <c r="E10" i="22"/>
  <c r="E15" i="22"/>
  <c r="F17" i="22"/>
  <c r="E19" i="22"/>
  <c r="E20" i="22"/>
  <c r="K27" i="22"/>
  <c r="E6" i="22"/>
  <c r="F6" i="22"/>
  <c r="E7" i="22"/>
  <c r="F10" i="22"/>
  <c r="F15" i="22"/>
  <c r="F20" i="22"/>
  <c r="U4" i="21"/>
  <c r="F6" i="21"/>
  <c r="F30" i="21" s="1"/>
  <c r="E7" i="21"/>
  <c r="F10" i="21"/>
  <c r="E11" i="21"/>
  <c r="E12" i="21"/>
  <c r="E13" i="21"/>
  <c r="E14" i="21"/>
  <c r="F15" i="21"/>
  <c r="E16" i="21"/>
  <c r="Q17" i="21"/>
  <c r="Q30" i="21" s="1"/>
  <c r="F18" i="21"/>
  <c r="E20" i="21"/>
  <c r="F22" i="21"/>
  <c r="F23" i="21"/>
  <c r="K30" i="21"/>
  <c r="E6" i="21"/>
  <c r="E10" i="21"/>
  <c r="E15" i="21"/>
  <c r="E23" i="21"/>
  <c r="F11" i="21"/>
  <c r="C32" i="20"/>
  <c r="B32" i="20"/>
  <c r="C31" i="20"/>
  <c r="B31" i="20"/>
  <c r="E30" i="21" l="1"/>
  <c r="E33" i="21" s="1"/>
  <c r="F27" i="22"/>
  <c r="L27" i="22"/>
  <c r="E27" i="22"/>
  <c r="F33" i="21"/>
  <c r="D30" i="21"/>
  <c r="D33" i="21" s="1"/>
  <c r="L30" i="21"/>
  <c r="L33" i="21" s="1"/>
  <c r="K33" i="21"/>
  <c r="T4" i="21"/>
  <c r="J22" i="19"/>
  <c r="D27" i="22" l="1"/>
  <c r="C33" i="20"/>
  <c r="B33" i="20"/>
  <c r="D31" i="20" l="1"/>
  <c r="D32" i="20"/>
  <c r="B35" i="20"/>
  <c r="C35" i="20" s="1"/>
  <c r="C22" i="19"/>
  <c r="L26" i="19" l="1"/>
  <c r="J26" i="19"/>
  <c r="C26" i="19"/>
  <c r="L25" i="19"/>
  <c r="J25" i="19"/>
  <c r="C25" i="19"/>
  <c r="L24" i="19"/>
  <c r="J24" i="19"/>
  <c r="C24" i="19"/>
  <c r="L23" i="19"/>
  <c r="J23" i="19"/>
  <c r="C23" i="19"/>
  <c r="C5" i="19"/>
  <c r="C6" i="19"/>
  <c r="C7" i="19"/>
  <c r="C8" i="19"/>
  <c r="C9" i="19"/>
  <c r="C10" i="19"/>
  <c r="C11" i="19"/>
  <c r="C12" i="19"/>
  <c r="C13" i="19"/>
  <c r="C14" i="19"/>
  <c r="C15" i="19"/>
  <c r="C16" i="19"/>
  <c r="C17" i="19"/>
  <c r="C18" i="19"/>
  <c r="C19" i="19"/>
  <c r="C20" i="19"/>
  <c r="C21" i="19"/>
  <c r="C27" i="19"/>
  <c r="C4" i="19"/>
  <c r="D11" i="19" l="1"/>
  <c r="D18" i="19" l="1"/>
  <c r="D20" i="19"/>
  <c r="D21" i="19"/>
  <c r="D5" i="19"/>
  <c r="D6" i="19"/>
  <c r="D7" i="19"/>
  <c r="D8" i="19"/>
  <c r="D9" i="19"/>
  <c r="D10" i="19"/>
  <c r="D12" i="19"/>
  <c r="D13" i="19"/>
  <c r="D14" i="19"/>
  <c r="D15" i="19"/>
  <c r="D16" i="19"/>
  <c r="D17" i="19"/>
  <c r="L27" i="19"/>
  <c r="L21" i="19"/>
  <c r="L20" i="19"/>
  <c r="L19" i="19"/>
  <c r="L18" i="19"/>
  <c r="L17" i="19"/>
  <c r="L16" i="19"/>
  <c r="L15" i="19"/>
  <c r="L14" i="19"/>
  <c r="L13" i="19"/>
  <c r="L12" i="19"/>
  <c r="L11" i="19"/>
  <c r="L10" i="19"/>
  <c r="L9" i="19"/>
  <c r="L8" i="19"/>
  <c r="L7" i="19"/>
  <c r="L6" i="19"/>
  <c r="L5" i="19"/>
  <c r="L4" i="19"/>
  <c r="J5" i="19" l="1"/>
  <c r="K5" i="19" s="1"/>
  <c r="J6" i="19"/>
  <c r="K6" i="19" s="1"/>
  <c r="J7" i="19"/>
  <c r="K7" i="19" s="1"/>
  <c r="J8" i="19"/>
  <c r="K8" i="19" s="1"/>
  <c r="J9" i="19"/>
  <c r="K9" i="19" s="1"/>
  <c r="J10" i="19"/>
  <c r="K10" i="19" s="1"/>
  <c r="J11" i="19"/>
  <c r="K11" i="19" s="1"/>
  <c r="J12" i="19"/>
  <c r="K12" i="19" s="1"/>
  <c r="J13" i="19"/>
  <c r="K13" i="19" s="1"/>
  <c r="J14" i="19"/>
  <c r="K14" i="19" s="1"/>
  <c r="J15" i="19"/>
  <c r="K15" i="19" s="1"/>
  <c r="J16" i="19"/>
  <c r="K16" i="19" s="1"/>
  <c r="J17" i="19"/>
  <c r="K17" i="19" s="1"/>
  <c r="J18" i="19"/>
  <c r="K18" i="19" s="1"/>
  <c r="J19" i="19"/>
  <c r="J20" i="19"/>
  <c r="K20" i="19" s="1"/>
  <c r="J21" i="19"/>
  <c r="K21" i="19" s="1"/>
  <c r="J27" i="19"/>
  <c r="J4" i="19"/>
  <c r="K4" i="19" s="1"/>
  <c r="F17" i="19"/>
  <c r="F27" i="19"/>
  <c r="F15" i="19"/>
  <c r="F14" i="19"/>
  <c r="F13" i="19"/>
  <c r="F10" i="19"/>
  <c r="F18" i="19"/>
  <c r="F21" i="19"/>
  <c r="F16" i="19"/>
  <c r="F4" i="19"/>
  <c r="F5" i="19"/>
  <c r="F19" i="19"/>
  <c r="F9" i="19"/>
  <c r="F8" i="19"/>
  <c r="F6" i="19"/>
  <c r="F7" i="19"/>
  <c r="F11" i="19"/>
  <c r="F20" i="19"/>
  <c r="F12" i="19"/>
  <c r="B28" i="19"/>
  <c r="C28" i="19" l="1"/>
  <c r="J28" i="19"/>
  <c r="F28" i="19"/>
  <c r="D28" i="19" l="1"/>
  <c r="E20" i="19"/>
  <c r="E11" i="19"/>
  <c r="E7" i="19"/>
  <c r="E6" i="19"/>
  <c r="E8" i="19"/>
  <c r="E9" i="19"/>
  <c r="E19" i="19"/>
  <c r="E5" i="19"/>
  <c r="E4" i="19"/>
  <c r="E16" i="19"/>
  <c r="E21" i="19"/>
  <c r="E18" i="19"/>
  <c r="E10" i="19"/>
  <c r="E13" i="19"/>
  <c r="E14" i="19"/>
  <c r="E15" i="19"/>
  <c r="G28" i="19" l="1"/>
  <c r="E12" i="19"/>
  <c r="E28" i="19" s="1"/>
  <c r="E24" i="18"/>
  <c r="D24" i="18"/>
  <c r="F24" i="18"/>
  <c r="H24" i="18" s="1"/>
  <c r="I26" i="18"/>
  <c r="B26" i="18"/>
  <c r="N22" i="18" s="1"/>
  <c r="K25" i="18"/>
  <c r="J25" i="18"/>
  <c r="G25" i="18"/>
  <c r="F25" i="18"/>
  <c r="P25" i="18" s="1"/>
  <c r="E25" i="18"/>
  <c r="K24" i="18"/>
  <c r="J24" i="18"/>
  <c r="K23" i="18"/>
  <c r="J23" i="18"/>
  <c r="G23" i="18"/>
  <c r="F23" i="18"/>
  <c r="P23" i="18" s="1"/>
  <c r="E23" i="18"/>
  <c r="D23" i="18" s="1"/>
  <c r="K22" i="18"/>
  <c r="J22" i="18"/>
  <c r="G22" i="18"/>
  <c r="F22" i="18"/>
  <c r="P22" i="18" s="1"/>
  <c r="E22" i="18"/>
  <c r="D22" i="18" s="1"/>
  <c r="K21" i="18"/>
  <c r="J21" i="18"/>
  <c r="G21" i="18"/>
  <c r="F21" i="18"/>
  <c r="M21" i="18" s="1"/>
  <c r="E21" i="18"/>
  <c r="D21" i="18" s="1"/>
  <c r="K20" i="18"/>
  <c r="J20" i="18"/>
  <c r="G20" i="18"/>
  <c r="F20" i="18"/>
  <c r="P20" i="18" s="1"/>
  <c r="E20" i="18"/>
  <c r="D20" i="18" s="1"/>
  <c r="K19" i="18"/>
  <c r="J19" i="18"/>
  <c r="G19" i="18"/>
  <c r="F19" i="18"/>
  <c r="P19" i="18" s="1"/>
  <c r="E19" i="18"/>
  <c r="D19" i="18" s="1"/>
  <c r="K18" i="18"/>
  <c r="J18" i="18"/>
  <c r="F18" i="18"/>
  <c r="O18" i="18" s="1"/>
  <c r="E18" i="18"/>
  <c r="D18" i="18" s="1"/>
  <c r="K17" i="18"/>
  <c r="J17" i="18"/>
  <c r="G17" i="18"/>
  <c r="F17" i="18"/>
  <c r="M17" i="18" s="1"/>
  <c r="E17" i="18"/>
  <c r="D17" i="18" s="1"/>
  <c r="K16" i="18"/>
  <c r="J16" i="18"/>
  <c r="G16" i="18"/>
  <c r="F16" i="18"/>
  <c r="P16" i="18" s="1"/>
  <c r="E16" i="18"/>
  <c r="D16" i="18" s="1"/>
  <c r="P15" i="18"/>
  <c r="O15" i="18"/>
  <c r="M15" i="18"/>
  <c r="K15" i="18"/>
  <c r="J15" i="18"/>
  <c r="H15" i="18"/>
  <c r="G15" i="18"/>
  <c r="E15" i="18"/>
  <c r="D15" i="18" s="1"/>
  <c r="K14" i="18"/>
  <c r="J14" i="18"/>
  <c r="G14" i="18"/>
  <c r="F14" i="18"/>
  <c r="M14" i="18" s="1"/>
  <c r="E14" i="18"/>
  <c r="D14" i="18"/>
  <c r="K13" i="18"/>
  <c r="J13" i="18"/>
  <c r="G13" i="18"/>
  <c r="F13" i="18"/>
  <c r="P13" i="18" s="1"/>
  <c r="E13" i="18"/>
  <c r="D13" i="18" s="1"/>
  <c r="K12" i="18"/>
  <c r="J12" i="18"/>
  <c r="G12" i="18"/>
  <c r="F12" i="18"/>
  <c r="P12" i="18" s="1"/>
  <c r="E12" i="18"/>
  <c r="D12" i="18" s="1"/>
  <c r="K11" i="18"/>
  <c r="J11" i="18"/>
  <c r="G11" i="18"/>
  <c r="F11" i="18"/>
  <c r="P11" i="18" s="1"/>
  <c r="E11" i="18"/>
  <c r="D11" i="18" s="1"/>
  <c r="K10" i="18"/>
  <c r="J10" i="18"/>
  <c r="G10" i="18"/>
  <c r="F10" i="18"/>
  <c r="M10" i="18" s="1"/>
  <c r="E10" i="18"/>
  <c r="D10" i="18"/>
  <c r="K9" i="18"/>
  <c r="J9" i="18"/>
  <c r="G9" i="18"/>
  <c r="F9" i="18"/>
  <c r="P9" i="18" s="1"/>
  <c r="E9" i="18"/>
  <c r="D9" i="18" s="1"/>
  <c r="K8" i="18"/>
  <c r="J8" i="18"/>
  <c r="G8" i="18"/>
  <c r="F8" i="18"/>
  <c r="P8" i="18" s="1"/>
  <c r="E8" i="18"/>
  <c r="D8" i="18" s="1"/>
  <c r="K7" i="18"/>
  <c r="J7" i="18"/>
  <c r="G7" i="18"/>
  <c r="F7" i="18"/>
  <c r="P7" i="18" s="1"/>
  <c r="E7" i="18"/>
  <c r="D7" i="18" s="1"/>
  <c r="P5" i="18"/>
  <c r="O5" i="18"/>
  <c r="K5" i="18"/>
  <c r="G5" i="18"/>
  <c r="K4" i="18"/>
  <c r="J4" i="18"/>
  <c r="G4" i="18"/>
  <c r="F4" i="18"/>
  <c r="P4" i="18" s="1"/>
  <c r="E4" i="18"/>
  <c r="L2" i="18"/>
  <c r="H10" i="18" l="1"/>
  <c r="O20" i="18"/>
  <c r="K28" i="19"/>
  <c r="L28" i="19"/>
  <c r="M20" i="18"/>
  <c r="H18" i="18"/>
  <c r="O16" i="18"/>
  <c r="H14" i="18"/>
  <c r="O9" i="18"/>
  <c r="O24" i="18"/>
  <c r="O22" i="18"/>
  <c r="H22" i="18"/>
  <c r="M22" i="18"/>
  <c r="H21" i="18"/>
  <c r="H17" i="18"/>
  <c r="M16" i="18"/>
  <c r="M13" i="18"/>
  <c r="O13" i="18"/>
  <c r="M11" i="18"/>
  <c r="H11" i="18"/>
  <c r="O11" i="18"/>
  <c r="M9" i="18"/>
  <c r="M7" i="18"/>
  <c r="E26" i="18"/>
  <c r="H7" i="18"/>
  <c r="O7" i="18"/>
  <c r="M4" i="18"/>
  <c r="H4" i="18"/>
  <c r="O4" i="18"/>
  <c r="N8" i="18"/>
  <c r="N15" i="18"/>
  <c r="N21" i="18"/>
  <c r="N12" i="18"/>
  <c r="N14" i="18"/>
  <c r="N17" i="18"/>
  <c r="N19" i="18"/>
  <c r="G26" i="18"/>
  <c r="N5" i="18"/>
  <c r="N10" i="18"/>
  <c r="J26" i="18"/>
  <c r="K31" i="18" s="1"/>
  <c r="J31" i="18" s="1"/>
  <c r="J32" i="18" s="1"/>
  <c r="K26" i="18"/>
  <c r="I27" i="18"/>
  <c r="M2" i="18"/>
  <c r="N2" i="18" s="1"/>
  <c r="M8" i="18"/>
  <c r="H9" i="18"/>
  <c r="N9" i="18"/>
  <c r="O10" i="18"/>
  <c r="M12" i="18"/>
  <c r="H13" i="18"/>
  <c r="N13" i="18"/>
  <c r="O14" i="18"/>
  <c r="H16" i="18"/>
  <c r="N16" i="18"/>
  <c r="O17" i="18"/>
  <c r="M19" i="18"/>
  <c r="H20" i="18"/>
  <c r="N20" i="18"/>
  <c r="O21" i="18"/>
  <c r="M23" i="18"/>
  <c r="M25" i="18"/>
  <c r="B27" i="18"/>
  <c r="F27" i="18" s="1"/>
  <c r="H8" i="18"/>
  <c r="P10" i="18"/>
  <c r="H12" i="18"/>
  <c r="P14" i="18"/>
  <c r="P17" i="18"/>
  <c r="H19" i="18"/>
  <c r="P21" i="18"/>
  <c r="H23" i="18"/>
  <c r="N23" i="18"/>
  <c r="H25" i="18"/>
  <c r="O25" i="18"/>
  <c r="D4" i="18"/>
  <c r="D26" i="18" s="1"/>
  <c r="N4" i="18"/>
  <c r="N7" i="18"/>
  <c r="O8" i="18"/>
  <c r="N11" i="18"/>
  <c r="O12" i="18"/>
  <c r="O19" i="18"/>
  <c r="O23" i="18"/>
  <c r="I26" i="17"/>
  <c r="J24" i="17"/>
  <c r="K24" i="17"/>
  <c r="P26" i="18" l="1"/>
  <c r="P28" i="18" s="1"/>
  <c r="C26" i="18"/>
  <c r="O26" i="18"/>
  <c r="M26" i="18"/>
  <c r="H26" i="18"/>
  <c r="H27" i="18" s="1"/>
  <c r="N26" i="18"/>
  <c r="J30" i="18"/>
  <c r="K30" i="18" s="1"/>
  <c r="L30" i="18" s="1"/>
  <c r="I28" i="18"/>
  <c r="J28" i="18" s="1"/>
  <c r="I27" i="17"/>
  <c r="B26" i="17"/>
  <c r="N23" i="17" s="1"/>
  <c r="P25" i="17"/>
  <c r="O25" i="17"/>
  <c r="K25" i="17"/>
  <c r="J25" i="17"/>
  <c r="H25" i="17"/>
  <c r="G25" i="17"/>
  <c r="F25" i="17"/>
  <c r="M25" i="17" s="1"/>
  <c r="E25" i="17"/>
  <c r="K23" i="17"/>
  <c r="J23" i="17"/>
  <c r="G23" i="17"/>
  <c r="F23" i="17"/>
  <c r="H23" i="17" s="1"/>
  <c r="E23" i="17"/>
  <c r="D23" i="17" s="1"/>
  <c r="K22" i="17"/>
  <c r="J22" i="17"/>
  <c r="G22" i="17"/>
  <c r="F22" i="17"/>
  <c r="M22" i="17" s="1"/>
  <c r="E22" i="17"/>
  <c r="D22" i="17" s="1"/>
  <c r="K21" i="17"/>
  <c r="J21" i="17"/>
  <c r="G21" i="17"/>
  <c r="F21" i="17"/>
  <c r="P21" i="17" s="1"/>
  <c r="E21" i="17"/>
  <c r="D21" i="17" s="1"/>
  <c r="K20" i="17"/>
  <c r="J20" i="17"/>
  <c r="G20" i="17"/>
  <c r="F20" i="17"/>
  <c r="O20" i="17" s="1"/>
  <c r="E20" i="17"/>
  <c r="D20" i="17" s="1"/>
  <c r="K19" i="17"/>
  <c r="J19" i="17"/>
  <c r="G19" i="17"/>
  <c r="F19" i="17"/>
  <c r="H19" i="17" s="1"/>
  <c r="E19" i="17"/>
  <c r="D19" i="17" s="1"/>
  <c r="K18" i="17"/>
  <c r="J18" i="17"/>
  <c r="F18" i="17"/>
  <c r="H18" i="17" s="1"/>
  <c r="E18" i="17"/>
  <c r="D18" i="17" s="1"/>
  <c r="K17" i="17"/>
  <c r="J17" i="17"/>
  <c r="G17" i="17"/>
  <c r="F17" i="17"/>
  <c r="P17" i="17" s="1"/>
  <c r="E17" i="17"/>
  <c r="D17" i="17" s="1"/>
  <c r="K16" i="17"/>
  <c r="J16" i="17"/>
  <c r="G16" i="17"/>
  <c r="F16" i="17"/>
  <c r="O16" i="17" s="1"/>
  <c r="E16" i="17"/>
  <c r="D16" i="17"/>
  <c r="P15" i="17"/>
  <c r="O15" i="17"/>
  <c r="M15" i="17"/>
  <c r="K15" i="17"/>
  <c r="J15" i="17"/>
  <c r="H15" i="17"/>
  <c r="G15" i="17"/>
  <c r="E15" i="17"/>
  <c r="D15" i="17" s="1"/>
  <c r="K14" i="17"/>
  <c r="J14" i="17"/>
  <c r="H14" i="17"/>
  <c r="G14" i="17"/>
  <c r="F14" i="17"/>
  <c r="P14" i="17" s="1"/>
  <c r="E14" i="17"/>
  <c r="D14" i="17"/>
  <c r="K13" i="17"/>
  <c r="J13" i="17"/>
  <c r="G13" i="17"/>
  <c r="F13" i="17"/>
  <c r="O13" i="17" s="1"/>
  <c r="E13" i="17"/>
  <c r="D13" i="17" s="1"/>
  <c r="K12" i="17"/>
  <c r="J12" i="17"/>
  <c r="G12" i="17"/>
  <c r="F12" i="17"/>
  <c r="H12" i="17" s="1"/>
  <c r="E12" i="17"/>
  <c r="D12" i="17" s="1"/>
  <c r="K11" i="17"/>
  <c r="J11" i="17"/>
  <c r="G11" i="17"/>
  <c r="F11" i="17"/>
  <c r="M11" i="17" s="1"/>
  <c r="E11" i="17"/>
  <c r="D11" i="17"/>
  <c r="K10" i="17"/>
  <c r="J10" i="17"/>
  <c r="G10" i="17"/>
  <c r="F10" i="17"/>
  <c r="P10" i="17" s="1"/>
  <c r="E10" i="17"/>
  <c r="D10" i="17" s="1"/>
  <c r="K9" i="17"/>
  <c r="J9" i="17"/>
  <c r="G9" i="17"/>
  <c r="F9" i="17"/>
  <c r="O9" i="17" s="1"/>
  <c r="E9" i="17"/>
  <c r="D9" i="17" s="1"/>
  <c r="K8" i="17"/>
  <c r="J8" i="17"/>
  <c r="G8" i="17"/>
  <c r="F8" i="17"/>
  <c r="H8" i="17" s="1"/>
  <c r="E8" i="17"/>
  <c r="D8" i="17" s="1"/>
  <c r="K7" i="17"/>
  <c r="J7" i="17"/>
  <c r="G7" i="17"/>
  <c r="F7" i="17"/>
  <c r="M7" i="17" s="1"/>
  <c r="E7" i="17"/>
  <c r="D7" i="17" s="1"/>
  <c r="P5" i="17"/>
  <c r="O5" i="17"/>
  <c r="K5" i="17"/>
  <c r="G5" i="17"/>
  <c r="K4" i="17"/>
  <c r="J4" i="17"/>
  <c r="G4" i="17"/>
  <c r="F4" i="17"/>
  <c r="M4" i="17" s="1"/>
  <c r="E4" i="17"/>
  <c r="D4" i="17" s="1"/>
  <c r="L2" i="17"/>
  <c r="H17" i="17" l="1"/>
  <c r="O10" i="17"/>
  <c r="M14" i="17"/>
  <c r="H10" i="17"/>
  <c r="O14" i="17"/>
  <c r="O19" i="17"/>
  <c r="O17" i="17"/>
  <c r="P27" i="18"/>
  <c r="M27" i="18"/>
  <c r="O27" i="18"/>
  <c r="O11" i="17"/>
  <c r="O23" i="17"/>
  <c r="O12" i="17"/>
  <c r="O22" i="17"/>
  <c r="M17" i="17"/>
  <c r="H11" i="17"/>
  <c r="O7" i="17"/>
  <c r="H7" i="17"/>
  <c r="M10" i="17"/>
  <c r="O4" i="17"/>
  <c r="H4" i="17"/>
  <c r="O8" i="17"/>
  <c r="H22" i="17"/>
  <c r="H21" i="17"/>
  <c r="O21" i="17"/>
  <c r="M21" i="17"/>
  <c r="N10" i="17"/>
  <c r="D26" i="17"/>
  <c r="E26" i="17"/>
  <c r="G26" i="17"/>
  <c r="N7" i="17"/>
  <c r="N15" i="17"/>
  <c r="N8" i="17"/>
  <c r="N9" i="17"/>
  <c r="N12" i="17"/>
  <c r="N13" i="17"/>
  <c r="N22" i="17"/>
  <c r="N16" i="17"/>
  <c r="N4" i="17"/>
  <c r="N5" i="17"/>
  <c r="N17" i="17"/>
  <c r="N19" i="17"/>
  <c r="N20" i="17"/>
  <c r="B27" i="17"/>
  <c r="F27" i="17" s="1"/>
  <c r="N11" i="17"/>
  <c r="N14" i="17"/>
  <c r="N21" i="17"/>
  <c r="J30" i="17"/>
  <c r="K30" i="17" s="1"/>
  <c r="L30" i="17" s="1"/>
  <c r="P9" i="17"/>
  <c r="P13" i="17"/>
  <c r="P16" i="17"/>
  <c r="P20" i="17"/>
  <c r="P8" i="17"/>
  <c r="M9" i="17"/>
  <c r="P12" i="17"/>
  <c r="M13" i="17"/>
  <c r="M16" i="17"/>
  <c r="P19" i="17"/>
  <c r="M20" i="17"/>
  <c r="P23" i="17"/>
  <c r="M2" i="17"/>
  <c r="N2" i="17" s="1"/>
  <c r="P4" i="17"/>
  <c r="P7" i="17"/>
  <c r="M8" i="17"/>
  <c r="H9" i="17"/>
  <c r="P11" i="17"/>
  <c r="M12" i="17"/>
  <c r="H13" i="17"/>
  <c r="H16" i="17"/>
  <c r="O18" i="17"/>
  <c r="M19" i="17"/>
  <c r="H20" i="17"/>
  <c r="P22" i="17"/>
  <c r="M23" i="17"/>
  <c r="J26" i="17"/>
  <c r="K31" i="17" s="1"/>
  <c r="J31" i="17" s="1"/>
  <c r="J32" i="17" s="1"/>
  <c r="K26" i="17"/>
  <c r="E18" i="16"/>
  <c r="D18" i="16"/>
  <c r="F18" i="16"/>
  <c r="H18" i="16" s="1"/>
  <c r="I28" i="17" l="1"/>
  <c r="J28" i="17" s="1"/>
  <c r="O18" i="16"/>
  <c r="O26" i="17"/>
  <c r="H26" i="17"/>
  <c r="H27" i="17" s="1"/>
  <c r="M26" i="17"/>
  <c r="C26" i="17"/>
  <c r="N26" i="17"/>
  <c r="P26" i="17"/>
  <c r="I25" i="16"/>
  <c r="I26" i="16" s="1"/>
  <c r="B25" i="16"/>
  <c r="N23" i="16" s="1"/>
  <c r="K24" i="16"/>
  <c r="J24" i="16"/>
  <c r="G24" i="16"/>
  <c r="F24" i="16"/>
  <c r="M24" i="16" s="1"/>
  <c r="E24" i="16"/>
  <c r="K23" i="16"/>
  <c r="J23" i="16"/>
  <c r="G23" i="16"/>
  <c r="F23" i="16"/>
  <c r="H23" i="16" s="1"/>
  <c r="E23" i="16"/>
  <c r="D23" i="16" s="1"/>
  <c r="K22" i="16"/>
  <c r="J22" i="16"/>
  <c r="G22" i="16"/>
  <c r="F22" i="16"/>
  <c r="M22" i="16" s="1"/>
  <c r="E22" i="16"/>
  <c r="D22" i="16" s="1"/>
  <c r="K21" i="16"/>
  <c r="J21" i="16"/>
  <c r="G21" i="16"/>
  <c r="F21" i="16"/>
  <c r="P21" i="16" s="1"/>
  <c r="E21" i="16"/>
  <c r="D21" i="16" s="1"/>
  <c r="K20" i="16"/>
  <c r="J20" i="16"/>
  <c r="G20" i="16"/>
  <c r="F20" i="16"/>
  <c r="O20" i="16" s="1"/>
  <c r="E20" i="16"/>
  <c r="D20" i="16" s="1"/>
  <c r="K19" i="16"/>
  <c r="J19" i="16"/>
  <c r="G19" i="16"/>
  <c r="F19" i="16"/>
  <c r="H19" i="16" s="1"/>
  <c r="E19" i="16"/>
  <c r="D19" i="16" s="1"/>
  <c r="K18" i="16"/>
  <c r="J18" i="16"/>
  <c r="K17" i="16"/>
  <c r="J17" i="16"/>
  <c r="G17" i="16"/>
  <c r="F17" i="16"/>
  <c r="O17" i="16" s="1"/>
  <c r="E17" i="16"/>
  <c r="D17" i="16" s="1"/>
  <c r="K16" i="16"/>
  <c r="J16" i="16"/>
  <c r="G16" i="16"/>
  <c r="F16" i="16"/>
  <c r="H16" i="16" s="1"/>
  <c r="E16" i="16"/>
  <c r="D16" i="16" s="1"/>
  <c r="P15" i="16"/>
  <c r="O15" i="16"/>
  <c r="M15" i="16"/>
  <c r="K15" i="16"/>
  <c r="J15" i="16"/>
  <c r="H15" i="16"/>
  <c r="G15" i="16"/>
  <c r="E15" i="16"/>
  <c r="D15" i="16" s="1"/>
  <c r="K14" i="16"/>
  <c r="J14" i="16"/>
  <c r="G14" i="16"/>
  <c r="F14" i="16"/>
  <c r="O14" i="16" s="1"/>
  <c r="E14" i="16"/>
  <c r="D14" i="16" s="1"/>
  <c r="K13" i="16"/>
  <c r="J13" i="16"/>
  <c r="G13" i="16"/>
  <c r="F13" i="16"/>
  <c r="H13" i="16" s="1"/>
  <c r="E13" i="16"/>
  <c r="D13" i="16" s="1"/>
  <c r="K12" i="16"/>
  <c r="J12" i="16"/>
  <c r="G12" i="16"/>
  <c r="F12" i="16"/>
  <c r="M12" i="16" s="1"/>
  <c r="E12" i="16"/>
  <c r="D12" i="16" s="1"/>
  <c r="K11" i="16"/>
  <c r="J11" i="16"/>
  <c r="G11" i="16"/>
  <c r="F11" i="16"/>
  <c r="P11" i="16" s="1"/>
  <c r="E11" i="16"/>
  <c r="D11" i="16" s="1"/>
  <c r="K10" i="16"/>
  <c r="J10" i="16"/>
  <c r="G10" i="16"/>
  <c r="F10" i="16"/>
  <c r="O10" i="16" s="1"/>
  <c r="E10" i="16"/>
  <c r="D10" i="16" s="1"/>
  <c r="K9" i="16"/>
  <c r="J9" i="16"/>
  <c r="G9" i="16"/>
  <c r="F9" i="16"/>
  <c r="H9" i="16" s="1"/>
  <c r="E9" i="16"/>
  <c r="D9" i="16" s="1"/>
  <c r="K8" i="16"/>
  <c r="J8" i="16"/>
  <c r="G8" i="16"/>
  <c r="F8" i="16"/>
  <c r="M8" i="16" s="1"/>
  <c r="E8" i="16"/>
  <c r="D8" i="16" s="1"/>
  <c r="O7" i="16"/>
  <c r="K7" i="16"/>
  <c r="J7" i="16"/>
  <c r="H7" i="16"/>
  <c r="G7" i="16"/>
  <c r="F7" i="16"/>
  <c r="P7" i="16" s="1"/>
  <c r="E7" i="16"/>
  <c r="D7" i="16" s="1"/>
  <c r="P5" i="16"/>
  <c r="O5" i="16"/>
  <c r="K5" i="16"/>
  <c r="G5" i="16"/>
  <c r="K4" i="16"/>
  <c r="J4" i="16"/>
  <c r="H4" i="16"/>
  <c r="G4" i="16"/>
  <c r="F4" i="16"/>
  <c r="P4" i="16" s="1"/>
  <c r="E4" i="16"/>
  <c r="D4" i="16" s="1"/>
  <c r="L2" i="16"/>
  <c r="O4" i="16" l="1"/>
  <c r="M7" i="16"/>
  <c r="M21" i="16"/>
  <c r="O24" i="16"/>
  <c r="H24" i="16"/>
  <c r="P24" i="16"/>
  <c r="M27" i="17"/>
  <c r="O27" i="17"/>
  <c r="P27" i="17"/>
  <c r="P28" i="17"/>
  <c r="H21" i="16"/>
  <c r="O21" i="16"/>
  <c r="M11" i="16"/>
  <c r="H11" i="16"/>
  <c r="O11" i="16"/>
  <c r="M4" i="16"/>
  <c r="N22" i="16"/>
  <c r="O16" i="16"/>
  <c r="E25" i="16"/>
  <c r="O8" i="16"/>
  <c r="O12" i="16"/>
  <c r="H8" i="16"/>
  <c r="H12" i="16"/>
  <c r="O19" i="16"/>
  <c r="H22" i="16"/>
  <c r="O22" i="16"/>
  <c r="O23" i="16"/>
  <c r="O9" i="16"/>
  <c r="O13" i="16"/>
  <c r="B26" i="16"/>
  <c r="F26" i="16" s="1"/>
  <c r="G25" i="16"/>
  <c r="N7" i="16"/>
  <c r="N9" i="16"/>
  <c r="N10" i="16"/>
  <c r="N4" i="16"/>
  <c r="N5" i="16"/>
  <c r="N8" i="16"/>
  <c r="N11" i="16"/>
  <c r="N13" i="16"/>
  <c r="N14" i="16"/>
  <c r="N15" i="16"/>
  <c r="N16" i="16"/>
  <c r="N17" i="16"/>
  <c r="N19" i="16"/>
  <c r="N20" i="16"/>
  <c r="N12" i="16"/>
  <c r="N21" i="16"/>
  <c r="D25" i="16"/>
  <c r="J29" i="16"/>
  <c r="K29" i="16" s="1"/>
  <c r="L29" i="16" s="1"/>
  <c r="P10" i="16"/>
  <c r="P14" i="16"/>
  <c r="P17" i="16"/>
  <c r="P20" i="16"/>
  <c r="P9" i="16"/>
  <c r="M10" i="16"/>
  <c r="P13" i="16"/>
  <c r="M14" i="16"/>
  <c r="P16" i="16"/>
  <c r="M17" i="16"/>
  <c r="P19" i="16"/>
  <c r="M20" i="16"/>
  <c r="P23" i="16"/>
  <c r="P8" i="16"/>
  <c r="M9" i="16"/>
  <c r="H10" i="16"/>
  <c r="P12" i="16"/>
  <c r="M13" i="16"/>
  <c r="H14" i="16"/>
  <c r="M16" i="16"/>
  <c r="H17" i="16"/>
  <c r="M19" i="16"/>
  <c r="H20" i="16"/>
  <c r="P22" i="16"/>
  <c r="M23" i="16"/>
  <c r="J25" i="16"/>
  <c r="K30" i="16" s="1"/>
  <c r="J30" i="16" s="1"/>
  <c r="J31" i="16" s="1"/>
  <c r="M2" i="16"/>
  <c r="N2" i="16" s="1"/>
  <c r="K25" i="16"/>
  <c r="J19" i="15"/>
  <c r="K19" i="15"/>
  <c r="I26" i="15"/>
  <c r="I27" i="15" s="1"/>
  <c r="B26" i="15"/>
  <c r="B27" i="15" s="1"/>
  <c r="F27" i="15" s="1"/>
  <c r="K25" i="15"/>
  <c r="J25" i="15"/>
  <c r="G25" i="15"/>
  <c r="F25" i="15"/>
  <c r="O25" i="15" s="1"/>
  <c r="E25" i="15"/>
  <c r="K24" i="15"/>
  <c r="J24" i="15"/>
  <c r="G24" i="15"/>
  <c r="F24" i="15"/>
  <c r="H24" i="15" s="1"/>
  <c r="E24" i="15"/>
  <c r="D24" i="15" s="1"/>
  <c r="K23" i="15"/>
  <c r="J23" i="15"/>
  <c r="G23" i="15"/>
  <c r="F23" i="15"/>
  <c r="M23" i="15" s="1"/>
  <c r="E23" i="15"/>
  <c r="D23" i="15"/>
  <c r="O22" i="15"/>
  <c r="M22" i="15"/>
  <c r="K22" i="15"/>
  <c r="J22" i="15"/>
  <c r="H22" i="15"/>
  <c r="G22" i="15"/>
  <c r="F22" i="15"/>
  <c r="P22" i="15" s="1"/>
  <c r="E22" i="15"/>
  <c r="D22" i="15" s="1"/>
  <c r="K21" i="15"/>
  <c r="J21" i="15"/>
  <c r="G21" i="15"/>
  <c r="F21" i="15"/>
  <c r="O21" i="15" s="1"/>
  <c r="E21" i="15"/>
  <c r="D21" i="15" s="1"/>
  <c r="K20" i="15"/>
  <c r="J20" i="15"/>
  <c r="G20" i="15"/>
  <c r="F20" i="15"/>
  <c r="H20" i="15" s="1"/>
  <c r="E20" i="15"/>
  <c r="D20" i="15" s="1"/>
  <c r="K18" i="15"/>
  <c r="J18" i="15"/>
  <c r="G18" i="15"/>
  <c r="F18" i="15"/>
  <c r="M18" i="15" s="1"/>
  <c r="E18" i="15"/>
  <c r="D18" i="15" s="1"/>
  <c r="M17" i="15"/>
  <c r="K17" i="15"/>
  <c r="J17" i="15"/>
  <c r="G17" i="15"/>
  <c r="F17" i="15"/>
  <c r="P17" i="15" s="1"/>
  <c r="E17" i="15"/>
  <c r="D17" i="15" s="1"/>
  <c r="P16" i="15"/>
  <c r="O16" i="15"/>
  <c r="M16" i="15"/>
  <c r="K16" i="15"/>
  <c r="J16" i="15"/>
  <c r="H16" i="15"/>
  <c r="G16" i="15"/>
  <c r="E16" i="15"/>
  <c r="D16" i="15" s="1"/>
  <c r="K15" i="15"/>
  <c r="J15" i="15"/>
  <c r="G15" i="15"/>
  <c r="F15" i="15"/>
  <c r="M15" i="15" s="1"/>
  <c r="E15" i="15"/>
  <c r="D15" i="15" s="1"/>
  <c r="K14" i="15"/>
  <c r="J14" i="15"/>
  <c r="H14" i="15"/>
  <c r="G14" i="15"/>
  <c r="F14" i="15"/>
  <c r="P14" i="15" s="1"/>
  <c r="E14" i="15"/>
  <c r="D14" i="15" s="1"/>
  <c r="K13" i="15"/>
  <c r="J13" i="15"/>
  <c r="G13" i="15"/>
  <c r="F13" i="15"/>
  <c r="O13" i="15" s="1"/>
  <c r="E13" i="15"/>
  <c r="D13" i="15" s="1"/>
  <c r="K11" i="15"/>
  <c r="J11" i="15"/>
  <c r="G11" i="15"/>
  <c r="F11" i="15"/>
  <c r="H11" i="15" s="1"/>
  <c r="E11" i="15"/>
  <c r="D11" i="15" s="1"/>
  <c r="K10" i="15"/>
  <c r="J10" i="15"/>
  <c r="G10" i="15"/>
  <c r="F10" i="15"/>
  <c r="M10" i="15" s="1"/>
  <c r="E10" i="15"/>
  <c r="D10" i="15"/>
  <c r="K9" i="15"/>
  <c r="J9" i="15"/>
  <c r="G9" i="15"/>
  <c r="F9" i="15"/>
  <c r="P9" i="15" s="1"/>
  <c r="E9" i="15"/>
  <c r="D9" i="15" s="1"/>
  <c r="K8" i="15"/>
  <c r="J8" i="15"/>
  <c r="G8" i="15"/>
  <c r="F8" i="15"/>
  <c r="O8" i="15" s="1"/>
  <c r="E8" i="15"/>
  <c r="D8" i="15" s="1"/>
  <c r="K7" i="15"/>
  <c r="J7" i="15"/>
  <c r="G7" i="15"/>
  <c r="F7" i="15"/>
  <c r="H7" i="15" s="1"/>
  <c r="E7" i="15"/>
  <c r="D7" i="15" s="1"/>
  <c r="P5" i="15"/>
  <c r="O5" i="15"/>
  <c r="K5" i="15"/>
  <c r="G5" i="15"/>
  <c r="K4" i="15"/>
  <c r="J4" i="15"/>
  <c r="G4" i="15"/>
  <c r="F4" i="15"/>
  <c r="H4" i="15" s="1"/>
  <c r="E4" i="15"/>
  <c r="D4" i="15" s="1"/>
  <c r="L2" i="15"/>
  <c r="M9" i="15" l="1"/>
  <c r="H10" i="15"/>
  <c r="O15" i="15"/>
  <c r="H17" i="15"/>
  <c r="O17" i="15"/>
  <c r="O14" i="15"/>
  <c r="H15" i="15"/>
  <c r="P25" i="15"/>
  <c r="O11" i="15"/>
  <c r="O18" i="15"/>
  <c r="O23" i="15"/>
  <c r="O7" i="15"/>
  <c r="H18" i="15"/>
  <c r="H23" i="15"/>
  <c r="M25" i="15"/>
  <c r="O4" i="15"/>
  <c r="O26" i="15" s="1"/>
  <c r="H9" i="15"/>
  <c r="O9" i="15"/>
  <c r="O10" i="15"/>
  <c r="M14" i="15"/>
  <c r="O20" i="15"/>
  <c r="O24" i="15"/>
  <c r="H25" i="15"/>
  <c r="O25" i="16"/>
  <c r="M25" i="16"/>
  <c r="C25" i="16"/>
  <c r="P25" i="16"/>
  <c r="P27" i="16" s="1"/>
  <c r="H25" i="16"/>
  <c r="H26" i="16" s="1"/>
  <c r="I27" i="16"/>
  <c r="J27" i="16" s="1"/>
  <c r="N25" i="16"/>
  <c r="N9" i="15"/>
  <c r="N11" i="15"/>
  <c r="N13" i="15"/>
  <c r="M2" i="15"/>
  <c r="N2" i="15" s="1"/>
  <c r="N10" i="15"/>
  <c r="N14" i="15"/>
  <c r="G26" i="15"/>
  <c r="N15" i="15"/>
  <c r="N16" i="15"/>
  <c r="N18" i="15"/>
  <c r="N22" i="15"/>
  <c r="N24" i="15"/>
  <c r="N17" i="15"/>
  <c r="N20" i="15"/>
  <c r="N21" i="15"/>
  <c r="N4" i="15"/>
  <c r="N5" i="15"/>
  <c r="N7" i="15"/>
  <c r="N8" i="15"/>
  <c r="N23" i="15"/>
  <c r="I28" i="15"/>
  <c r="J28" i="15" s="1"/>
  <c r="J30" i="15"/>
  <c r="K30" i="15" s="1"/>
  <c r="L30" i="15" s="1"/>
  <c r="D26" i="15"/>
  <c r="P8" i="15"/>
  <c r="P13" i="15"/>
  <c r="P21" i="15"/>
  <c r="P4" i="15"/>
  <c r="P7" i="15"/>
  <c r="M8" i="15"/>
  <c r="P11" i="15"/>
  <c r="M13" i="15"/>
  <c r="P20" i="15"/>
  <c r="M21" i="15"/>
  <c r="P24" i="15"/>
  <c r="M4" i="15"/>
  <c r="M7" i="15"/>
  <c r="H8" i="15"/>
  <c r="P10" i="15"/>
  <c r="M11" i="15"/>
  <c r="H13" i="15"/>
  <c r="P15" i="15"/>
  <c r="P18" i="15"/>
  <c r="M20" i="15"/>
  <c r="H21" i="15"/>
  <c r="P23" i="15"/>
  <c r="M24" i="15"/>
  <c r="E26" i="15"/>
  <c r="J26" i="15"/>
  <c r="K31" i="15" s="1"/>
  <c r="J31" i="15" s="1"/>
  <c r="J32" i="15" s="1"/>
  <c r="K26" i="15"/>
  <c r="P26" i="16" l="1"/>
  <c r="O26" i="16"/>
  <c r="M26" i="16"/>
  <c r="N26" i="15"/>
  <c r="H26" i="15"/>
  <c r="O27" i="15" s="1"/>
  <c r="C26" i="15"/>
  <c r="H27" i="15"/>
  <c r="M26" i="15"/>
  <c r="P26" i="15"/>
  <c r="M27" i="15" l="1"/>
  <c r="P27" i="15"/>
  <c r="P28" i="15"/>
  <c r="L2" i="14" l="1"/>
  <c r="G13" i="14" l="1"/>
  <c r="E13" i="14"/>
  <c r="D13" i="14"/>
  <c r="J13" i="14"/>
  <c r="K13" i="14"/>
  <c r="F13" i="14"/>
  <c r="M13" i="14" s="1"/>
  <c r="I24" i="14"/>
  <c r="B24" i="14"/>
  <c r="B25" i="14" s="1"/>
  <c r="F25" i="14" s="1"/>
  <c r="K23" i="14"/>
  <c r="J23" i="14"/>
  <c r="G23" i="14"/>
  <c r="F23" i="14"/>
  <c r="M23" i="14" s="1"/>
  <c r="E23" i="14"/>
  <c r="K22" i="14"/>
  <c r="J22" i="14"/>
  <c r="G22" i="14"/>
  <c r="F22" i="14"/>
  <c r="O22" i="14" s="1"/>
  <c r="E22" i="14"/>
  <c r="D22" i="14" s="1"/>
  <c r="K21" i="14"/>
  <c r="J21" i="14"/>
  <c r="G21" i="14"/>
  <c r="F21" i="14"/>
  <c r="M21" i="14" s="1"/>
  <c r="E21" i="14"/>
  <c r="D21" i="14" s="1"/>
  <c r="K20" i="14"/>
  <c r="J20" i="14"/>
  <c r="G20" i="14"/>
  <c r="F20" i="14"/>
  <c r="O20" i="14" s="1"/>
  <c r="E20" i="14"/>
  <c r="D20" i="14" s="1"/>
  <c r="O19" i="14"/>
  <c r="K19" i="14"/>
  <c r="J19" i="14"/>
  <c r="H19" i="14"/>
  <c r="G19" i="14"/>
  <c r="F19" i="14"/>
  <c r="P19" i="14" s="1"/>
  <c r="E19" i="14"/>
  <c r="D19" i="14"/>
  <c r="K18" i="14"/>
  <c r="J18" i="14"/>
  <c r="G18" i="14"/>
  <c r="F18" i="14"/>
  <c r="O18" i="14" s="1"/>
  <c r="E18" i="14"/>
  <c r="D18" i="14" s="1"/>
  <c r="K16" i="14"/>
  <c r="J16" i="14"/>
  <c r="H16" i="14"/>
  <c r="G16" i="14"/>
  <c r="F16" i="14"/>
  <c r="P16" i="14" s="1"/>
  <c r="E16" i="14"/>
  <c r="D16" i="14"/>
  <c r="K15" i="14"/>
  <c r="J15" i="14"/>
  <c r="G15" i="14"/>
  <c r="F15" i="14"/>
  <c r="P15" i="14" s="1"/>
  <c r="E15" i="14"/>
  <c r="D15" i="14" s="1"/>
  <c r="P14" i="14"/>
  <c r="O14" i="14"/>
  <c r="M14" i="14"/>
  <c r="K14" i="14"/>
  <c r="J14" i="14"/>
  <c r="H14" i="14"/>
  <c r="G14" i="14"/>
  <c r="E14" i="14"/>
  <c r="D14" i="14" s="1"/>
  <c r="K12" i="14"/>
  <c r="J12" i="14"/>
  <c r="G12" i="14"/>
  <c r="F12" i="14"/>
  <c r="O12" i="14" s="1"/>
  <c r="E12" i="14"/>
  <c r="D12" i="14" s="1"/>
  <c r="K11" i="14"/>
  <c r="J11" i="14"/>
  <c r="G11" i="14"/>
  <c r="F11" i="14"/>
  <c r="M11" i="14" s="1"/>
  <c r="E11" i="14"/>
  <c r="D11" i="14"/>
  <c r="K10" i="14"/>
  <c r="J10" i="14"/>
  <c r="G10" i="14"/>
  <c r="F10" i="14"/>
  <c r="O10" i="14" s="1"/>
  <c r="E10" i="14"/>
  <c r="D10" i="14" s="1"/>
  <c r="K9" i="14"/>
  <c r="J9" i="14"/>
  <c r="G9" i="14"/>
  <c r="F9" i="14"/>
  <c r="P9" i="14" s="1"/>
  <c r="E9" i="14"/>
  <c r="D9" i="14" s="1"/>
  <c r="K8" i="14"/>
  <c r="J8" i="14"/>
  <c r="G8" i="14"/>
  <c r="F8" i="14"/>
  <c r="O8" i="14" s="1"/>
  <c r="E8" i="14"/>
  <c r="D8" i="14" s="1"/>
  <c r="K7" i="14"/>
  <c r="J7" i="14"/>
  <c r="G7" i="14"/>
  <c r="F7" i="14"/>
  <c r="P7" i="14" s="1"/>
  <c r="E7" i="14"/>
  <c r="D7" i="14" s="1"/>
  <c r="K6" i="14"/>
  <c r="J6" i="14"/>
  <c r="G6" i="14"/>
  <c r="F6" i="14"/>
  <c r="O6" i="14" s="1"/>
  <c r="E6" i="14"/>
  <c r="D6" i="14" s="1"/>
  <c r="P5" i="14"/>
  <c r="O5" i="14"/>
  <c r="K5" i="14"/>
  <c r="G5" i="14"/>
  <c r="K4" i="14"/>
  <c r="J4" i="14"/>
  <c r="G4" i="14"/>
  <c r="F4" i="14"/>
  <c r="O4" i="14" s="1"/>
  <c r="E4" i="14"/>
  <c r="D4" i="14" s="1"/>
  <c r="I23" i="13"/>
  <c r="B23" i="13"/>
  <c r="B24" i="13" s="1"/>
  <c r="F24" i="13" s="1"/>
  <c r="K22" i="13"/>
  <c r="J22" i="13"/>
  <c r="G22" i="13"/>
  <c r="F22" i="13"/>
  <c r="M22" i="13" s="1"/>
  <c r="E22" i="13"/>
  <c r="K21" i="13"/>
  <c r="J21" i="13"/>
  <c r="G21" i="13"/>
  <c r="F21" i="13"/>
  <c r="O21" i="13" s="1"/>
  <c r="E21" i="13"/>
  <c r="D21" i="13" s="1"/>
  <c r="K20" i="13"/>
  <c r="J20" i="13"/>
  <c r="G20" i="13"/>
  <c r="F20" i="13"/>
  <c r="P20" i="13" s="1"/>
  <c r="E20" i="13"/>
  <c r="D20" i="13" s="1"/>
  <c r="K19" i="13"/>
  <c r="J19" i="13"/>
  <c r="G19" i="13"/>
  <c r="F19" i="13"/>
  <c r="O19" i="13" s="1"/>
  <c r="E19" i="13"/>
  <c r="D19" i="13" s="1"/>
  <c r="K18" i="13"/>
  <c r="J18" i="13"/>
  <c r="G18" i="13"/>
  <c r="F18" i="13"/>
  <c r="P18" i="13" s="1"/>
  <c r="E18" i="13"/>
  <c r="D18" i="13" s="1"/>
  <c r="K17" i="13"/>
  <c r="J17" i="13"/>
  <c r="G17" i="13"/>
  <c r="F17" i="13"/>
  <c r="O17" i="13" s="1"/>
  <c r="E17" i="13"/>
  <c r="D17" i="13" s="1"/>
  <c r="K16" i="13"/>
  <c r="J16" i="13"/>
  <c r="G16" i="13"/>
  <c r="F16" i="13"/>
  <c r="P16" i="13" s="1"/>
  <c r="E16" i="13"/>
  <c r="D16" i="13" s="1"/>
  <c r="P15" i="13"/>
  <c r="O15" i="13"/>
  <c r="M15" i="13"/>
  <c r="K15" i="13"/>
  <c r="J15" i="13"/>
  <c r="H15" i="13"/>
  <c r="G15" i="13"/>
  <c r="E15" i="13"/>
  <c r="D15" i="13" s="1"/>
  <c r="K14" i="13"/>
  <c r="J14" i="13"/>
  <c r="G14" i="13"/>
  <c r="F14" i="13"/>
  <c r="P14" i="13" s="1"/>
  <c r="E14" i="13"/>
  <c r="D14" i="13" s="1"/>
  <c r="P13" i="13"/>
  <c r="O13" i="13"/>
  <c r="M13" i="13"/>
  <c r="K13" i="13"/>
  <c r="J13" i="13"/>
  <c r="H13" i="13"/>
  <c r="G13" i="13"/>
  <c r="E13" i="13"/>
  <c r="D13" i="13" s="1"/>
  <c r="K12" i="13"/>
  <c r="J12" i="13"/>
  <c r="G12" i="13"/>
  <c r="F12" i="13"/>
  <c r="O12" i="13" s="1"/>
  <c r="E12" i="13"/>
  <c r="D12" i="13" s="1"/>
  <c r="K11" i="13"/>
  <c r="J11" i="13"/>
  <c r="G11" i="13"/>
  <c r="F11" i="13"/>
  <c r="P11" i="13" s="1"/>
  <c r="E11" i="13"/>
  <c r="D11" i="13" s="1"/>
  <c r="K10" i="13"/>
  <c r="J10" i="13"/>
  <c r="G10" i="13"/>
  <c r="F10" i="13"/>
  <c r="O10" i="13" s="1"/>
  <c r="E10" i="13"/>
  <c r="D10" i="13" s="1"/>
  <c r="K9" i="13"/>
  <c r="J9" i="13"/>
  <c r="G9" i="13"/>
  <c r="F9" i="13"/>
  <c r="P9" i="13" s="1"/>
  <c r="E9" i="13"/>
  <c r="D9" i="13" s="1"/>
  <c r="K8" i="13"/>
  <c r="J8" i="13"/>
  <c r="G8" i="13"/>
  <c r="F8" i="13"/>
  <c r="O8" i="13" s="1"/>
  <c r="E8" i="13"/>
  <c r="D8" i="13" s="1"/>
  <c r="K7" i="13"/>
  <c r="J7" i="13"/>
  <c r="G7" i="13"/>
  <c r="F7" i="13"/>
  <c r="P7" i="13" s="1"/>
  <c r="E7" i="13"/>
  <c r="D7" i="13" s="1"/>
  <c r="K6" i="13"/>
  <c r="J6" i="13"/>
  <c r="G6" i="13"/>
  <c r="F6" i="13"/>
  <c r="O6" i="13" s="1"/>
  <c r="E6" i="13"/>
  <c r="D6" i="13" s="1"/>
  <c r="P5" i="13"/>
  <c r="O5" i="13"/>
  <c r="K5" i="13"/>
  <c r="G5" i="13"/>
  <c r="K4" i="13"/>
  <c r="J4" i="13"/>
  <c r="G4" i="13"/>
  <c r="F4" i="13"/>
  <c r="P4" i="13" s="1"/>
  <c r="E4" i="13"/>
  <c r="D4" i="13" s="1"/>
  <c r="L2" i="13"/>
  <c r="M2" i="13" l="1"/>
  <c r="O22" i="13"/>
  <c r="O13" i="14"/>
  <c r="H13" i="14"/>
  <c r="N5" i="14"/>
  <c r="G23" i="13"/>
  <c r="P8" i="13"/>
  <c r="P10" i="13"/>
  <c r="M11" i="13"/>
  <c r="P12" i="13"/>
  <c r="M16" i="13"/>
  <c r="P17" i="13"/>
  <c r="M18" i="13"/>
  <c r="P19" i="13"/>
  <c r="M20" i="13"/>
  <c r="P21" i="13"/>
  <c r="H22" i="13"/>
  <c r="P22" i="13"/>
  <c r="P4" i="14"/>
  <c r="P21" i="14"/>
  <c r="O23" i="14"/>
  <c r="D23" i="13"/>
  <c r="P6" i="13"/>
  <c r="M7" i="13"/>
  <c r="M9" i="13"/>
  <c r="H4" i="13"/>
  <c r="O4" i="13"/>
  <c r="H7" i="13"/>
  <c r="O7" i="13"/>
  <c r="H9" i="13"/>
  <c r="O9" i="13"/>
  <c r="H11" i="13"/>
  <c r="O11" i="13"/>
  <c r="H16" i="13"/>
  <c r="O16" i="13"/>
  <c r="H18" i="13"/>
  <c r="O18" i="13"/>
  <c r="H20" i="13"/>
  <c r="O20" i="13"/>
  <c r="H21" i="14"/>
  <c r="H23" i="14"/>
  <c r="P23" i="14"/>
  <c r="P13" i="14"/>
  <c r="M4" i="13"/>
  <c r="N2" i="13"/>
  <c r="M19" i="14"/>
  <c r="M4" i="14"/>
  <c r="H4" i="14"/>
  <c r="O21" i="14"/>
  <c r="N4" i="14"/>
  <c r="N11" i="14"/>
  <c r="N15" i="14"/>
  <c r="N20" i="14"/>
  <c r="N8" i="14"/>
  <c r="N12" i="14"/>
  <c r="N16" i="14"/>
  <c r="N21" i="14"/>
  <c r="N7" i="14"/>
  <c r="N9" i="14"/>
  <c r="N13" i="14"/>
  <c r="N18" i="14"/>
  <c r="N22" i="14"/>
  <c r="O16" i="14"/>
  <c r="N6" i="14"/>
  <c r="N10" i="14"/>
  <c r="N14" i="14"/>
  <c r="N19" i="14"/>
  <c r="P12" i="14"/>
  <c r="H11" i="14"/>
  <c r="O11" i="14"/>
  <c r="P11" i="14"/>
  <c r="P10" i="14"/>
  <c r="M9" i="14"/>
  <c r="H9" i="14"/>
  <c r="O9" i="14"/>
  <c r="P8" i="14"/>
  <c r="M7" i="14"/>
  <c r="H7" i="14"/>
  <c r="O7" i="14"/>
  <c r="P6" i="14"/>
  <c r="P22" i="14"/>
  <c r="P20" i="14"/>
  <c r="P18" i="14"/>
  <c r="M16" i="14"/>
  <c r="D24" i="14"/>
  <c r="M2" i="14"/>
  <c r="N2" i="14" s="1"/>
  <c r="G24" i="14"/>
  <c r="M15" i="14"/>
  <c r="E24" i="14"/>
  <c r="J24" i="14"/>
  <c r="K29" i="14" s="1"/>
  <c r="J29" i="14" s="1"/>
  <c r="J30" i="14" s="1"/>
  <c r="I25" i="14"/>
  <c r="M6" i="14"/>
  <c r="M8" i="14"/>
  <c r="M10" i="14"/>
  <c r="M12" i="14"/>
  <c r="H15" i="14"/>
  <c r="O15" i="14"/>
  <c r="M18" i="14"/>
  <c r="M20" i="14"/>
  <c r="M22" i="14"/>
  <c r="K24" i="14"/>
  <c r="H6" i="14"/>
  <c r="H8" i="14"/>
  <c r="H10" i="14"/>
  <c r="H12" i="14"/>
  <c r="H18" i="14"/>
  <c r="H20" i="14"/>
  <c r="H22" i="14"/>
  <c r="M14" i="13"/>
  <c r="E23" i="13"/>
  <c r="C23" i="13" s="1"/>
  <c r="J23" i="13"/>
  <c r="K28" i="13" s="1"/>
  <c r="J28" i="13" s="1"/>
  <c r="J29" i="13" s="1"/>
  <c r="I24" i="13"/>
  <c r="M6" i="13"/>
  <c r="M8" i="13"/>
  <c r="M10" i="13"/>
  <c r="M12" i="13"/>
  <c r="H14" i="13"/>
  <c r="O14" i="13"/>
  <c r="M17" i="13"/>
  <c r="M19" i="13"/>
  <c r="M21" i="13"/>
  <c r="K23" i="13"/>
  <c r="H6" i="13"/>
  <c r="H8" i="13"/>
  <c r="H10" i="13"/>
  <c r="H12" i="13"/>
  <c r="H17" i="13"/>
  <c r="H19" i="13"/>
  <c r="H21" i="13"/>
  <c r="I23" i="12"/>
  <c r="B23" i="12"/>
  <c r="B24" i="12" s="1"/>
  <c r="F24" i="12" s="1"/>
  <c r="K22" i="12"/>
  <c r="J22" i="12"/>
  <c r="G22" i="12"/>
  <c r="F22" i="12"/>
  <c r="M22" i="12" s="1"/>
  <c r="E22" i="12"/>
  <c r="K21" i="12"/>
  <c r="J21" i="12"/>
  <c r="G21" i="12"/>
  <c r="F21" i="12"/>
  <c r="O21" i="12" s="1"/>
  <c r="E21" i="12"/>
  <c r="D21" i="12" s="1"/>
  <c r="P20" i="12"/>
  <c r="O20" i="12"/>
  <c r="K20" i="12"/>
  <c r="J20" i="12"/>
  <c r="H20" i="12"/>
  <c r="G20" i="12"/>
  <c r="F20" i="12"/>
  <c r="M20" i="12" s="1"/>
  <c r="E20" i="12"/>
  <c r="D20" i="12"/>
  <c r="K19" i="12"/>
  <c r="J19" i="12"/>
  <c r="G19" i="12"/>
  <c r="F19" i="12"/>
  <c r="O19" i="12" s="1"/>
  <c r="E19" i="12"/>
  <c r="D19" i="12" s="1"/>
  <c r="K18" i="12"/>
  <c r="J18" i="12"/>
  <c r="G18" i="12"/>
  <c r="F18" i="12"/>
  <c r="M18" i="12" s="1"/>
  <c r="E18" i="12"/>
  <c r="D18" i="12" s="1"/>
  <c r="K17" i="12"/>
  <c r="J17" i="12"/>
  <c r="G17" i="12"/>
  <c r="F17" i="12"/>
  <c r="O17" i="12" s="1"/>
  <c r="E17" i="12"/>
  <c r="D17" i="12" s="1"/>
  <c r="P16" i="12"/>
  <c r="O16" i="12"/>
  <c r="K16" i="12"/>
  <c r="J16" i="12"/>
  <c r="H16" i="12"/>
  <c r="G16" i="12"/>
  <c r="F16" i="12"/>
  <c r="M16" i="12" s="1"/>
  <c r="E16" i="12"/>
  <c r="D16" i="12"/>
  <c r="P15" i="12"/>
  <c r="O15" i="12"/>
  <c r="M15" i="12"/>
  <c r="K15" i="12"/>
  <c r="J15" i="12"/>
  <c r="H15" i="12"/>
  <c r="G15" i="12"/>
  <c r="E15" i="12"/>
  <c r="K14" i="12"/>
  <c r="J14" i="12"/>
  <c r="G14" i="12"/>
  <c r="F14" i="12"/>
  <c r="P14" i="12" s="1"/>
  <c r="E14" i="12"/>
  <c r="D14" i="12" s="1"/>
  <c r="P13" i="12"/>
  <c r="O13" i="12"/>
  <c r="M13" i="12"/>
  <c r="K13" i="12"/>
  <c r="J13" i="12"/>
  <c r="H13" i="12"/>
  <c r="G13" i="12"/>
  <c r="E13" i="12"/>
  <c r="D13" i="12" s="1"/>
  <c r="O23" i="13" l="1"/>
  <c r="H23" i="13"/>
  <c r="H24" i="13" s="1"/>
  <c r="O18" i="12"/>
  <c r="M23" i="13"/>
  <c r="M24" i="13" s="1"/>
  <c r="P23" i="13"/>
  <c r="P25" i="13" s="1"/>
  <c r="H18" i="12"/>
  <c r="P18" i="12"/>
  <c r="P24" i="14"/>
  <c r="P26" i="14" s="1"/>
  <c r="N24" i="14"/>
  <c r="O24" i="14"/>
  <c r="M24" i="14"/>
  <c r="C24" i="14"/>
  <c r="H24" i="14"/>
  <c r="H25" i="14" s="1"/>
  <c r="I26" i="14"/>
  <c r="J26" i="14" s="1"/>
  <c r="J28" i="14"/>
  <c r="K28" i="14" s="1"/>
  <c r="L28" i="14" s="1"/>
  <c r="O24" i="13"/>
  <c r="P24" i="13"/>
  <c r="I25" i="13"/>
  <c r="J25" i="13" s="1"/>
  <c r="J27" i="13"/>
  <c r="K27" i="13" s="1"/>
  <c r="L27" i="13" s="1"/>
  <c r="K23" i="12"/>
  <c r="O22" i="12"/>
  <c r="D15" i="12"/>
  <c r="P17" i="12"/>
  <c r="P19" i="12"/>
  <c r="P21" i="12"/>
  <c r="H22" i="12"/>
  <c r="P22" i="12"/>
  <c r="M14" i="12"/>
  <c r="J23" i="12"/>
  <c r="K28" i="12" s="1"/>
  <c r="J28" i="12" s="1"/>
  <c r="J29" i="12" s="1"/>
  <c r="I24" i="12"/>
  <c r="H14" i="12"/>
  <c r="O14" i="12"/>
  <c r="M17" i="12"/>
  <c r="M19" i="12"/>
  <c r="M21" i="12"/>
  <c r="H17" i="12"/>
  <c r="H19" i="12"/>
  <c r="H21" i="12"/>
  <c r="P25" i="14" l="1"/>
  <c r="M25" i="14"/>
  <c r="O25" i="14"/>
  <c r="I25" i="12"/>
  <c r="J25" i="12" s="1"/>
  <c r="J27" i="12"/>
  <c r="K27" i="12" s="1"/>
  <c r="L27" i="12" s="1"/>
  <c r="K12" i="12" l="1"/>
  <c r="J12" i="12"/>
  <c r="G12" i="12"/>
  <c r="F12" i="12"/>
  <c r="M12" i="12" s="1"/>
  <c r="E12" i="12"/>
  <c r="D12" i="12" s="1"/>
  <c r="K11" i="12"/>
  <c r="J11" i="12"/>
  <c r="G11" i="12"/>
  <c r="F11" i="12"/>
  <c r="P11" i="12" s="1"/>
  <c r="E11" i="12"/>
  <c r="D11" i="12" s="1"/>
  <c r="K10" i="12"/>
  <c r="J10" i="12"/>
  <c r="G10" i="12"/>
  <c r="F10" i="12"/>
  <c r="M10" i="12" s="1"/>
  <c r="E10" i="12"/>
  <c r="D10" i="12" s="1"/>
  <c r="K9" i="12"/>
  <c r="J9" i="12"/>
  <c r="G9" i="12"/>
  <c r="F9" i="12"/>
  <c r="P9" i="12" s="1"/>
  <c r="E9" i="12"/>
  <c r="D9" i="12" s="1"/>
  <c r="K8" i="12"/>
  <c r="J8" i="12"/>
  <c r="G8" i="12"/>
  <c r="F8" i="12"/>
  <c r="M8" i="12" s="1"/>
  <c r="E8" i="12"/>
  <c r="D8" i="12" s="1"/>
  <c r="K7" i="12"/>
  <c r="J7" i="12"/>
  <c r="G7" i="12"/>
  <c r="F7" i="12"/>
  <c r="P7" i="12" s="1"/>
  <c r="E7" i="12"/>
  <c r="D7" i="12"/>
  <c r="K6" i="12"/>
  <c r="J6" i="12"/>
  <c r="G6" i="12"/>
  <c r="F6" i="12"/>
  <c r="M6" i="12" s="1"/>
  <c r="E6" i="12"/>
  <c r="D6" i="12" s="1"/>
  <c r="P5" i="12"/>
  <c r="O5" i="12"/>
  <c r="K5" i="12"/>
  <c r="G5" i="12"/>
  <c r="K4" i="12"/>
  <c r="J4" i="12"/>
  <c r="G4" i="12"/>
  <c r="F4" i="12"/>
  <c r="P4" i="12" s="1"/>
  <c r="E4" i="12"/>
  <c r="D4" i="12"/>
  <c r="L2" i="12"/>
  <c r="G23" i="12" l="1"/>
  <c r="D23" i="12"/>
  <c r="E23" i="12"/>
  <c r="O10" i="12"/>
  <c r="H10" i="12"/>
  <c r="P10" i="12"/>
  <c r="H6" i="12"/>
  <c r="O12" i="12"/>
  <c r="H12" i="12"/>
  <c r="P12" i="12"/>
  <c r="O8" i="12"/>
  <c r="H8" i="12"/>
  <c r="P8" i="12"/>
  <c r="O6" i="12"/>
  <c r="P6" i="12"/>
  <c r="M2" i="12"/>
  <c r="N2" i="12" s="1"/>
  <c r="M4" i="12"/>
  <c r="M7" i="12"/>
  <c r="M9" i="12"/>
  <c r="M11" i="12"/>
  <c r="H4" i="12"/>
  <c r="O4" i="12"/>
  <c r="H7" i="12"/>
  <c r="O7" i="12"/>
  <c r="H9" i="12"/>
  <c r="O9" i="12"/>
  <c r="H11" i="12"/>
  <c r="O11" i="12"/>
  <c r="I23" i="11"/>
  <c r="M23" i="12" l="1"/>
  <c r="P23" i="12"/>
  <c r="P25" i="12" s="1"/>
  <c r="H23" i="12"/>
  <c r="H24" i="12" s="1"/>
  <c r="O23" i="12"/>
  <c r="O24" i="12" s="1"/>
  <c r="C23" i="12"/>
  <c r="B23" i="11"/>
  <c r="B24" i="11" s="1"/>
  <c r="F24" i="11" s="1"/>
  <c r="K22" i="11"/>
  <c r="J22" i="11"/>
  <c r="G22" i="11"/>
  <c r="F22" i="11"/>
  <c r="M22" i="11" s="1"/>
  <c r="E22" i="11"/>
  <c r="K21" i="11"/>
  <c r="J21" i="11"/>
  <c r="G21" i="11"/>
  <c r="F21" i="11"/>
  <c r="M21" i="11" s="1"/>
  <c r="E21" i="11"/>
  <c r="D21" i="11" s="1"/>
  <c r="K20" i="11"/>
  <c r="J20" i="11"/>
  <c r="G20" i="11"/>
  <c r="F20" i="11"/>
  <c r="P20" i="11" s="1"/>
  <c r="E20" i="11"/>
  <c r="D20" i="11" s="1"/>
  <c r="K19" i="11"/>
  <c r="J19" i="11"/>
  <c r="G19" i="11"/>
  <c r="F19" i="11"/>
  <c r="M19" i="11" s="1"/>
  <c r="E19" i="11"/>
  <c r="D19" i="11"/>
  <c r="K18" i="11"/>
  <c r="J18" i="11"/>
  <c r="G18" i="11"/>
  <c r="F18" i="11"/>
  <c r="P18" i="11" s="1"/>
  <c r="E18" i="11"/>
  <c r="D18" i="11"/>
  <c r="K17" i="11"/>
  <c r="J17" i="11"/>
  <c r="G17" i="11"/>
  <c r="F17" i="11"/>
  <c r="M17" i="11" s="1"/>
  <c r="E17" i="11"/>
  <c r="D17" i="11" s="1"/>
  <c r="K16" i="11"/>
  <c r="J16" i="11"/>
  <c r="G16" i="11"/>
  <c r="F16" i="11"/>
  <c r="P16" i="11" s="1"/>
  <c r="E16" i="11"/>
  <c r="D16" i="11" s="1"/>
  <c r="P15" i="11"/>
  <c r="O15" i="11"/>
  <c r="M15" i="11"/>
  <c r="K15" i="11"/>
  <c r="J15" i="11"/>
  <c r="H15" i="11"/>
  <c r="G15" i="11"/>
  <c r="E15" i="11"/>
  <c r="D15" i="11" s="1"/>
  <c r="K14" i="11"/>
  <c r="J14" i="11"/>
  <c r="G14" i="11"/>
  <c r="F14" i="11"/>
  <c r="O14" i="11" s="1"/>
  <c r="E14" i="11"/>
  <c r="D14" i="11" s="1"/>
  <c r="P13" i="11"/>
  <c r="O13" i="11"/>
  <c r="M13" i="11"/>
  <c r="K13" i="11"/>
  <c r="J13" i="11"/>
  <c r="H13" i="11"/>
  <c r="G13" i="11"/>
  <c r="E13" i="11"/>
  <c r="D13" i="11"/>
  <c r="P12" i="11"/>
  <c r="K12" i="11"/>
  <c r="J12" i="11"/>
  <c r="H12" i="11"/>
  <c r="G12" i="11"/>
  <c r="F12" i="11"/>
  <c r="M12" i="11" s="1"/>
  <c r="E12" i="11"/>
  <c r="D12" i="11" s="1"/>
  <c r="K11" i="11"/>
  <c r="J11" i="11"/>
  <c r="G11" i="11"/>
  <c r="F11" i="11"/>
  <c r="P11" i="11" s="1"/>
  <c r="E11" i="11"/>
  <c r="D11" i="11" s="1"/>
  <c r="K10" i="11"/>
  <c r="J10" i="11"/>
  <c r="H10" i="11"/>
  <c r="G10" i="11"/>
  <c r="F10" i="11"/>
  <c r="M10" i="11" s="1"/>
  <c r="E10" i="11"/>
  <c r="D10" i="11"/>
  <c r="K9" i="11"/>
  <c r="J9" i="11"/>
  <c r="G9" i="11"/>
  <c r="F9" i="11"/>
  <c r="P9" i="11" s="1"/>
  <c r="E9" i="11"/>
  <c r="D9" i="11"/>
  <c r="P8" i="11"/>
  <c r="O8" i="11"/>
  <c r="K8" i="11"/>
  <c r="J8" i="11"/>
  <c r="H8" i="11"/>
  <c r="G8" i="11"/>
  <c r="F8" i="11"/>
  <c r="M8" i="11" s="1"/>
  <c r="E8" i="11"/>
  <c r="D8" i="11"/>
  <c r="K7" i="11"/>
  <c r="J7" i="11"/>
  <c r="G7" i="11"/>
  <c r="F7" i="11"/>
  <c r="P7" i="11" s="1"/>
  <c r="E7" i="11"/>
  <c r="D7" i="11" s="1"/>
  <c r="K6" i="11"/>
  <c r="J6" i="11"/>
  <c r="G6" i="11"/>
  <c r="F6" i="11"/>
  <c r="M6" i="11" s="1"/>
  <c r="E6" i="11"/>
  <c r="D6" i="11" s="1"/>
  <c r="P5" i="11"/>
  <c r="O5" i="11"/>
  <c r="K5" i="11"/>
  <c r="G5" i="11"/>
  <c r="K4" i="11"/>
  <c r="J4" i="11"/>
  <c r="G4" i="11"/>
  <c r="F4" i="11"/>
  <c r="P4" i="11" s="1"/>
  <c r="E4" i="11"/>
  <c r="D4" i="11"/>
  <c r="L2" i="11"/>
  <c r="O22" i="11" l="1"/>
  <c r="P21" i="11"/>
  <c r="H22" i="11"/>
  <c r="P10" i="11"/>
  <c r="O12" i="11"/>
  <c r="H21" i="11"/>
  <c r="P14" i="11"/>
  <c r="O19" i="11"/>
  <c r="P22" i="11"/>
  <c r="O17" i="11"/>
  <c r="H19" i="11"/>
  <c r="P19" i="11"/>
  <c r="O6" i="11"/>
  <c r="H6" i="11"/>
  <c r="P6" i="11"/>
  <c r="P23" i="11" s="1"/>
  <c r="O10" i="11"/>
  <c r="H17" i="11"/>
  <c r="P17" i="11"/>
  <c r="O21" i="11"/>
  <c r="P24" i="12"/>
  <c r="M24" i="12"/>
  <c r="E23" i="11"/>
  <c r="G23" i="11"/>
  <c r="M2" i="11"/>
  <c r="N2" i="11" s="1"/>
  <c r="K23" i="11"/>
  <c r="D23" i="11"/>
  <c r="M4" i="11"/>
  <c r="M7" i="11"/>
  <c r="M9" i="11"/>
  <c r="M11" i="11"/>
  <c r="M16" i="11"/>
  <c r="M18" i="11"/>
  <c r="M20" i="11"/>
  <c r="H4" i="11"/>
  <c r="O4" i="11"/>
  <c r="H7" i="11"/>
  <c r="O7" i="11"/>
  <c r="H9" i="11"/>
  <c r="O9" i="11"/>
  <c r="H11" i="11"/>
  <c r="O11" i="11"/>
  <c r="M14" i="11"/>
  <c r="H16" i="11"/>
  <c r="O16" i="11"/>
  <c r="H18" i="11"/>
  <c r="O18" i="11"/>
  <c r="H20" i="11"/>
  <c r="O20" i="11"/>
  <c r="J23" i="11"/>
  <c r="K28" i="11" s="1"/>
  <c r="J28" i="11" s="1"/>
  <c r="J29" i="11" s="1"/>
  <c r="I24" i="11"/>
  <c r="H14" i="11"/>
  <c r="C23" i="11" l="1"/>
  <c r="I25" i="11"/>
  <c r="J25" i="11" s="1"/>
  <c r="J27" i="11"/>
  <c r="K27" i="11" s="1"/>
  <c r="L27" i="11" s="1"/>
  <c r="H23" i="11"/>
  <c r="H24" i="11" s="1"/>
  <c r="O23" i="11"/>
  <c r="P24" i="11" s="1"/>
  <c r="M23" i="11"/>
  <c r="P25" i="11"/>
  <c r="O24" i="11" l="1"/>
  <c r="M24" i="11"/>
  <c r="L2" i="10" l="1"/>
  <c r="I23" i="10" l="1"/>
  <c r="B23" i="10"/>
  <c r="B24" i="10" s="1"/>
  <c r="F24" i="10" s="1"/>
  <c r="P22" i="10"/>
  <c r="O22" i="10"/>
  <c r="K22" i="10"/>
  <c r="J22" i="10"/>
  <c r="H22" i="10"/>
  <c r="G22" i="10"/>
  <c r="F22" i="10"/>
  <c r="M22" i="10" s="1"/>
  <c r="E22" i="10"/>
  <c r="K21" i="10"/>
  <c r="J21" i="10"/>
  <c r="G21" i="10"/>
  <c r="F21" i="10"/>
  <c r="O21" i="10" s="1"/>
  <c r="E21" i="10"/>
  <c r="D21" i="10" s="1"/>
  <c r="K20" i="10"/>
  <c r="J20" i="10"/>
  <c r="G20" i="10"/>
  <c r="F20" i="10"/>
  <c r="O20" i="10" s="1"/>
  <c r="E20" i="10"/>
  <c r="D20" i="10" s="1"/>
  <c r="K19" i="10"/>
  <c r="J19" i="10"/>
  <c r="G19" i="10"/>
  <c r="F19" i="10"/>
  <c r="O19" i="10" s="1"/>
  <c r="E19" i="10"/>
  <c r="D19" i="10" s="1"/>
  <c r="K18" i="10"/>
  <c r="J18" i="10"/>
  <c r="G18" i="10"/>
  <c r="F18" i="10"/>
  <c r="P18" i="10" s="1"/>
  <c r="E18" i="10"/>
  <c r="D18" i="10" s="1"/>
  <c r="K17" i="10"/>
  <c r="J17" i="10"/>
  <c r="G17" i="10"/>
  <c r="F17" i="10"/>
  <c r="O17" i="10" s="1"/>
  <c r="E17" i="10"/>
  <c r="D17" i="10" s="1"/>
  <c r="P16" i="10"/>
  <c r="K16" i="10"/>
  <c r="J16" i="10"/>
  <c r="H16" i="10"/>
  <c r="G16" i="10"/>
  <c r="F16" i="10"/>
  <c r="O16" i="10" s="1"/>
  <c r="E16" i="10"/>
  <c r="D16" i="10"/>
  <c r="P15" i="10"/>
  <c r="O15" i="10"/>
  <c r="M15" i="10"/>
  <c r="K15" i="10"/>
  <c r="J15" i="10"/>
  <c r="H15" i="10"/>
  <c r="G15" i="10"/>
  <c r="E15" i="10"/>
  <c r="D15" i="10" s="1"/>
  <c r="K14" i="10"/>
  <c r="J14" i="10"/>
  <c r="G14" i="10"/>
  <c r="F14" i="10"/>
  <c r="P14" i="10" s="1"/>
  <c r="E14" i="10"/>
  <c r="D14" i="10" s="1"/>
  <c r="P13" i="10"/>
  <c r="O13" i="10"/>
  <c r="M13" i="10"/>
  <c r="K13" i="10"/>
  <c r="J13" i="10"/>
  <c r="H13" i="10"/>
  <c r="G13" i="10"/>
  <c r="E13" i="10"/>
  <c r="D13" i="10" s="1"/>
  <c r="K12" i="10"/>
  <c r="J12" i="10"/>
  <c r="G12" i="10"/>
  <c r="F12" i="10"/>
  <c r="O12" i="10" s="1"/>
  <c r="E12" i="10"/>
  <c r="D12" i="10" s="1"/>
  <c r="K11" i="10"/>
  <c r="J11" i="10"/>
  <c r="G11" i="10"/>
  <c r="F11" i="10"/>
  <c r="M11" i="10" s="1"/>
  <c r="E11" i="10"/>
  <c r="D11" i="10"/>
  <c r="K10" i="10"/>
  <c r="J10" i="10"/>
  <c r="G10" i="10"/>
  <c r="F10" i="10"/>
  <c r="O10" i="10" s="1"/>
  <c r="E10" i="10"/>
  <c r="D10" i="10" s="1"/>
  <c r="K9" i="10"/>
  <c r="J9" i="10"/>
  <c r="G9" i="10"/>
  <c r="F9" i="10"/>
  <c r="P9" i="10" s="1"/>
  <c r="E9" i="10"/>
  <c r="D9" i="10" s="1"/>
  <c r="K8" i="10"/>
  <c r="J8" i="10"/>
  <c r="G8" i="10"/>
  <c r="F8" i="10"/>
  <c r="O8" i="10" s="1"/>
  <c r="E8" i="10"/>
  <c r="D8" i="10" s="1"/>
  <c r="K7" i="10"/>
  <c r="J7" i="10"/>
  <c r="G7" i="10"/>
  <c r="F7" i="10"/>
  <c r="O7" i="10" s="1"/>
  <c r="E7" i="10"/>
  <c r="D7" i="10" s="1"/>
  <c r="K6" i="10"/>
  <c r="J6" i="10"/>
  <c r="G6" i="10"/>
  <c r="F6" i="10"/>
  <c r="O6" i="10" s="1"/>
  <c r="E6" i="10"/>
  <c r="D6" i="10" s="1"/>
  <c r="P5" i="10"/>
  <c r="O5" i="10"/>
  <c r="K5" i="10"/>
  <c r="G5" i="10"/>
  <c r="K4" i="10"/>
  <c r="J4" i="10"/>
  <c r="G4" i="10"/>
  <c r="F4" i="10"/>
  <c r="P4" i="10" s="1"/>
  <c r="E4" i="10"/>
  <c r="D4" i="10" s="1"/>
  <c r="H11" i="10" l="1"/>
  <c r="M16" i="10"/>
  <c r="P12" i="10"/>
  <c r="P20" i="10"/>
  <c r="O18" i="10"/>
  <c r="H18" i="10"/>
  <c r="O11" i="10"/>
  <c r="M9" i="10"/>
  <c r="H9" i="10"/>
  <c r="O9" i="10"/>
  <c r="P7" i="10"/>
  <c r="P21" i="10"/>
  <c r="M20" i="10"/>
  <c r="H20" i="10"/>
  <c r="P19" i="10"/>
  <c r="M18" i="10"/>
  <c r="P17" i="10"/>
  <c r="P11" i="10"/>
  <c r="P10" i="10"/>
  <c r="P8" i="10"/>
  <c r="M7" i="10"/>
  <c r="H7" i="10"/>
  <c r="P6" i="10"/>
  <c r="M4" i="10"/>
  <c r="H4" i="10"/>
  <c r="O4" i="10"/>
  <c r="D23" i="10"/>
  <c r="G23" i="10"/>
  <c r="M2" i="10"/>
  <c r="N2" i="10" s="1"/>
  <c r="M14" i="10"/>
  <c r="E23" i="10"/>
  <c r="J23" i="10"/>
  <c r="K28" i="10" s="1"/>
  <c r="J28" i="10" s="1"/>
  <c r="J29" i="10" s="1"/>
  <c r="I24" i="10"/>
  <c r="M6" i="10"/>
  <c r="M8" i="10"/>
  <c r="M10" i="10"/>
  <c r="M12" i="10"/>
  <c r="H14" i="10"/>
  <c r="O14" i="10"/>
  <c r="M17" i="10"/>
  <c r="M19" i="10"/>
  <c r="M21" i="10"/>
  <c r="K23" i="10"/>
  <c r="H6" i="10"/>
  <c r="H8" i="10"/>
  <c r="H10" i="10"/>
  <c r="H12" i="10"/>
  <c r="H17" i="10"/>
  <c r="H19" i="10"/>
  <c r="H21" i="10"/>
  <c r="L2" i="9"/>
  <c r="P23" i="10" l="1"/>
  <c r="P25" i="10" s="1"/>
  <c r="O23" i="10"/>
  <c r="C23" i="10"/>
  <c r="M23" i="10"/>
  <c r="H23" i="10"/>
  <c r="H24" i="10" s="1"/>
  <c r="I25" i="10"/>
  <c r="J25" i="10" s="1"/>
  <c r="J27" i="10"/>
  <c r="K27" i="10" s="1"/>
  <c r="L27" i="10" s="1"/>
  <c r="M2" i="8"/>
  <c r="P24" i="10" l="1"/>
  <c r="O24" i="10"/>
  <c r="M24" i="10"/>
  <c r="L21" i="8"/>
  <c r="L20" i="8"/>
  <c r="L19" i="8"/>
  <c r="L18" i="8"/>
  <c r="L17" i="8"/>
  <c r="L16" i="8"/>
  <c r="L14" i="8"/>
  <c r="L13" i="8"/>
  <c r="L12" i="8"/>
  <c r="L10" i="8"/>
  <c r="L9" i="8"/>
  <c r="L8" i="8"/>
  <c r="L7" i="8"/>
  <c r="L6" i="8"/>
  <c r="L5" i="8"/>
  <c r="L4" i="8"/>
  <c r="L23" i="8" l="1"/>
  <c r="I23" i="9" l="1"/>
  <c r="I24" i="9" s="1"/>
  <c r="B23" i="9"/>
  <c r="B24" i="9" s="1"/>
  <c r="F24" i="9" s="1"/>
  <c r="K22" i="9"/>
  <c r="J22" i="9"/>
  <c r="G22" i="9"/>
  <c r="F22" i="9"/>
  <c r="M22" i="9" s="1"/>
  <c r="E22" i="9"/>
  <c r="K21" i="9"/>
  <c r="J21" i="9"/>
  <c r="G21" i="9"/>
  <c r="F21" i="9"/>
  <c r="M21" i="9" s="1"/>
  <c r="E21" i="9"/>
  <c r="D21" i="9" s="1"/>
  <c r="K20" i="9"/>
  <c r="J20" i="9"/>
  <c r="G20" i="9"/>
  <c r="F20" i="9"/>
  <c r="P20" i="9" s="1"/>
  <c r="E20" i="9"/>
  <c r="D20" i="9" s="1"/>
  <c r="K19" i="9"/>
  <c r="J19" i="9"/>
  <c r="G19" i="9"/>
  <c r="F19" i="9"/>
  <c r="M19" i="9" s="1"/>
  <c r="E19" i="9"/>
  <c r="D19" i="9" s="1"/>
  <c r="K18" i="9"/>
  <c r="J18" i="9"/>
  <c r="G18" i="9"/>
  <c r="F18" i="9"/>
  <c r="P18" i="9" s="1"/>
  <c r="E18" i="9"/>
  <c r="D18" i="9" s="1"/>
  <c r="K17" i="9"/>
  <c r="J17" i="9"/>
  <c r="G17" i="9"/>
  <c r="F17" i="9"/>
  <c r="M17" i="9" s="1"/>
  <c r="E17" i="9"/>
  <c r="D17" i="9" s="1"/>
  <c r="K16" i="9"/>
  <c r="J16" i="9"/>
  <c r="G16" i="9"/>
  <c r="F16" i="9"/>
  <c r="P16" i="9" s="1"/>
  <c r="E16" i="9"/>
  <c r="D16" i="9" s="1"/>
  <c r="P15" i="9"/>
  <c r="O15" i="9"/>
  <c r="M15" i="9"/>
  <c r="K15" i="9"/>
  <c r="J15" i="9"/>
  <c r="H15" i="9"/>
  <c r="G15" i="9"/>
  <c r="E15" i="9"/>
  <c r="D15" i="9" s="1"/>
  <c r="K14" i="9"/>
  <c r="J14" i="9"/>
  <c r="G14" i="9"/>
  <c r="F14" i="9"/>
  <c r="O14" i="9" s="1"/>
  <c r="E14" i="9"/>
  <c r="D14" i="9" s="1"/>
  <c r="P13" i="9"/>
  <c r="O13" i="9"/>
  <c r="M13" i="9"/>
  <c r="K13" i="9"/>
  <c r="J13" i="9"/>
  <c r="H13" i="9"/>
  <c r="G13" i="9"/>
  <c r="E13" i="9"/>
  <c r="D13" i="9" s="1"/>
  <c r="K12" i="9"/>
  <c r="J12" i="9"/>
  <c r="G12" i="9"/>
  <c r="F12" i="9"/>
  <c r="M12" i="9" s="1"/>
  <c r="E12" i="9"/>
  <c r="D12" i="9"/>
  <c r="K11" i="9"/>
  <c r="J11" i="9"/>
  <c r="G11" i="9"/>
  <c r="F11" i="9"/>
  <c r="P11" i="9" s="1"/>
  <c r="E11" i="9"/>
  <c r="D11" i="9" s="1"/>
  <c r="K10" i="9"/>
  <c r="J10" i="9"/>
  <c r="G10" i="9"/>
  <c r="F10" i="9"/>
  <c r="M10" i="9" s="1"/>
  <c r="E10" i="9"/>
  <c r="D10" i="9" s="1"/>
  <c r="K9" i="9"/>
  <c r="J9" i="9"/>
  <c r="G9" i="9"/>
  <c r="F9" i="9"/>
  <c r="P9" i="9" s="1"/>
  <c r="E9" i="9"/>
  <c r="D9" i="9"/>
  <c r="K8" i="9"/>
  <c r="J8" i="9"/>
  <c r="G8" i="9"/>
  <c r="F8" i="9"/>
  <c r="M8" i="9" s="1"/>
  <c r="E8" i="9"/>
  <c r="D8" i="9" s="1"/>
  <c r="K7" i="9"/>
  <c r="J7" i="9"/>
  <c r="G7" i="9"/>
  <c r="F7" i="9"/>
  <c r="P7" i="9" s="1"/>
  <c r="E7" i="9"/>
  <c r="D7" i="9" s="1"/>
  <c r="K6" i="9"/>
  <c r="J6" i="9"/>
  <c r="G6" i="9"/>
  <c r="F6" i="9"/>
  <c r="M6" i="9" s="1"/>
  <c r="E6" i="9"/>
  <c r="D6" i="9"/>
  <c r="P5" i="9"/>
  <c r="O5" i="9"/>
  <c r="K5" i="9"/>
  <c r="G5" i="9"/>
  <c r="K4" i="9"/>
  <c r="J4" i="9"/>
  <c r="G4" i="9"/>
  <c r="F4" i="9"/>
  <c r="P4" i="9" s="1"/>
  <c r="E4" i="9"/>
  <c r="D4" i="9" s="1"/>
  <c r="O22" i="9" l="1"/>
  <c r="O19" i="9"/>
  <c r="P21" i="9"/>
  <c r="H22" i="9"/>
  <c r="P17" i="9"/>
  <c r="H21" i="9"/>
  <c r="O6" i="9"/>
  <c r="O12" i="9"/>
  <c r="P22" i="9"/>
  <c r="P6" i="9"/>
  <c r="H12" i="9"/>
  <c r="P12" i="9"/>
  <c r="H6" i="9"/>
  <c r="H17" i="9"/>
  <c r="H19" i="9"/>
  <c r="P19" i="9"/>
  <c r="O21" i="9"/>
  <c r="O17" i="9"/>
  <c r="P14" i="9"/>
  <c r="O8" i="9"/>
  <c r="H8" i="9"/>
  <c r="P8" i="9"/>
  <c r="O10" i="9"/>
  <c r="P10" i="9"/>
  <c r="H10" i="9"/>
  <c r="D23" i="9"/>
  <c r="E23" i="9"/>
  <c r="M2" i="9"/>
  <c r="N2" i="9" s="1"/>
  <c r="G23" i="9"/>
  <c r="K23" i="9"/>
  <c r="M4" i="9"/>
  <c r="M7" i="9"/>
  <c r="M9" i="9"/>
  <c r="M11" i="9"/>
  <c r="M16" i="9"/>
  <c r="M18" i="9"/>
  <c r="M20" i="9"/>
  <c r="H4" i="9"/>
  <c r="O4" i="9"/>
  <c r="H7" i="9"/>
  <c r="O7" i="9"/>
  <c r="H9" i="9"/>
  <c r="O9" i="9"/>
  <c r="H11" i="9"/>
  <c r="O11" i="9"/>
  <c r="M14" i="9"/>
  <c r="H16" i="9"/>
  <c r="O16" i="9"/>
  <c r="H18" i="9"/>
  <c r="O18" i="9"/>
  <c r="H20" i="9"/>
  <c r="O20" i="9"/>
  <c r="J23" i="9"/>
  <c r="K28" i="9" s="1"/>
  <c r="J28" i="9" s="1"/>
  <c r="H14" i="9"/>
  <c r="K5" i="8"/>
  <c r="P23" i="9" l="1"/>
  <c r="P25" i="9" s="1"/>
  <c r="C23" i="9"/>
  <c r="I25" i="9"/>
  <c r="J25" i="9" s="1"/>
  <c r="J27" i="9"/>
  <c r="K27" i="9" s="1"/>
  <c r="L27" i="9" s="1"/>
  <c r="H23" i="9"/>
  <c r="H24" i="9" s="1"/>
  <c r="O23" i="9"/>
  <c r="M23" i="9"/>
  <c r="G21" i="8"/>
  <c r="G20" i="8"/>
  <c r="G19" i="8"/>
  <c r="G18" i="8"/>
  <c r="G17" i="8"/>
  <c r="G16" i="8"/>
  <c r="G14" i="8"/>
  <c r="G13" i="8"/>
  <c r="G12" i="8"/>
  <c r="G10" i="8"/>
  <c r="G9" i="8"/>
  <c r="G8" i="8"/>
  <c r="G5" i="8"/>
  <c r="G6" i="8"/>
  <c r="G7" i="8"/>
  <c r="G11" i="8"/>
  <c r="G15" i="8"/>
  <c r="G4" i="8"/>
  <c r="M24" i="9" l="1"/>
  <c r="O24" i="9"/>
  <c r="P24" i="9"/>
  <c r="Q5" i="8"/>
  <c r="P5" i="8"/>
  <c r="I23" i="8" l="1"/>
  <c r="I24" i="8" s="1"/>
  <c r="B23" i="8"/>
  <c r="B24" i="8" s="1"/>
  <c r="K22" i="8"/>
  <c r="J22" i="8"/>
  <c r="G22" i="8"/>
  <c r="G23" i="8" s="1"/>
  <c r="F22" i="8"/>
  <c r="Q22" i="8" s="1"/>
  <c r="E22" i="8"/>
  <c r="K21" i="8"/>
  <c r="J21" i="8"/>
  <c r="F21" i="8"/>
  <c r="N21" i="8" s="1"/>
  <c r="E21" i="8"/>
  <c r="D21" i="8" s="1"/>
  <c r="K20" i="8"/>
  <c r="J20" i="8"/>
  <c r="F20" i="8"/>
  <c r="P20" i="8" s="1"/>
  <c r="E20" i="8"/>
  <c r="D20" i="8" s="1"/>
  <c r="K19" i="8"/>
  <c r="J19" i="8"/>
  <c r="F19" i="8"/>
  <c r="Q19" i="8" s="1"/>
  <c r="E19" i="8"/>
  <c r="D19" i="8" s="1"/>
  <c r="K18" i="8"/>
  <c r="J18" i="8"/>
  <c r="F18" i="8"/>
  <c r="P18" i="8" s="1"/>
  <c r="E18" i="8"/>
  <c r="D18" i="8" s="1"/>
  <c r="K17" i="8"/>
  <c r="J17" i="8"/>
  <c r="F17" i="8"/>
  <c r="N17" i="8" s="1"/>
  <c r="E17" i="8"/>
  <c r="D17" i="8"/>
  <c r="K16" i="8"/>
  <c r="J16" i="8"/>
  <c r="F16" i="8"/>
  <c r="P16" i="8" s="1"/>
  <c r="E16" i="8"/>
  <c r="D16" i="8" s="1"/>
  <c r="Q15" i="8"/>
  <c r="P15" i="8"/>
  <c r="N15" i="8"/>
  <c r="K15" i="8"/>
  <c r="J15" i="8"/>
  <c r="H15" i="8"/>
  <c r="E15" i="8"/>
  <c r="D15" i="8"/>
  <c r="K14" i="8"/>
  <c r="J14" i="8"/>
  <c r="F14" i="8"/>
  <c r="N14" i="8" s="1"/>
  <c r="E14" i="8"/>
  <c r="D14" i="8" s="1"/>
  <c r="Q13" i="8"/>
  <c r="P13" i="8"/>
  <c r="N13" i="8"/>
  <c r="K13" i="8"/>
  <c r="J13" i="8"/>
  <c r="H13" i="8"/>
  <c r="E13" i="8"/>
  <c r="D13" i="8" s="1"/>
  <c r="K12" i="8"/>
  <c r="J12" i="8"/>
  <c r="F12" i="8"/>
  <c r="N12" i="8" s="1"/>
  <c r="E12" i="8"/>
  <c r="D12" i="8" s="1"/>
  <c r="Q11" i="8"/>
  <c r="K11" i="8"/>
  <c r="J11" i="8"/>
  <c r="F11" i="8"/>
  <c r="P11" i="8" s="1"/>
  <c r="E11" i="8"/>
  <c r="D11" i="8" s="1"/>
  <c r="K10" i="8"/>
  <c r="J10" i="8"/>
  <c r="F10" i="8"/>
  <c r="P10" i="8" s="1"/>
  <c r="E10" i="8"/>
  <c r="D10" i="8" s="1"/>
  <c r="K9" i="8"/>
  <c r="J9" i="8"/>
  <c r="F9" i="8"/>
  <c r="P9" i="8" s="1"/>
  <c r="E9" i="8"/>
  <c r="D9" i="8" s="1"/>
  <c r="K8" i="8"/>
  <c r="J8" i="8"/>
  <c r="F8" i="8"/>
  <c r="Q8" i="8" s="1"/>
  <c r="E8" i="8"/>
  <c r="D8" i="8" s="1"/>
  <c r="K7" i="8"/>
  <c r="J7" i="8"/>
  <c r="F7" i="8"/>
  <c r="P7" i="8" s="1"/>
  <c r="E7" i="8"/>
  <c r="D7" i="8" s="1"/>
  <c r="Q6" i="8"/>
  <c r="K6" i="8"/>
  <c r="J6" i="8"/>
  <c r="F6" i="8"/>
  <c r="P6" i="8" s="1"/>
  <c r="E6" i="8"/>
  <c r="D6" i="8" s="1"/>
  <c r="K4" i="8"/>
  <c r="J4" i="8"/>
  <c r="F4" i="8"/>
  <c r="P4" i="8" s="1"/>
  <c r="E4" i="8"/>
  <c r="Q21" i="8" l="1"/>
  <c r="Q9" i="8"/>
  <c r="H21" i="8"/>
  <c r="Q17" i="8"/>
  <c r="P12" i="8"/>
  <c r="Q10" i="8"/>
  <c r="H12" i="8"/>
  <c r="Q12" i="8"/>
  <c r="H17" i="8"/>
  <c r="P21" i="8"/>
  <c r="Q20" i="8"/>
  <c r="P17" i="8"/>
  <c r="Q4" i="8"/>
  <c r="N19" i="8"/>
  <c r="H19" i="8"/>
  <c r="P19" i="8"/>
  <c r="Q18" i="8"/>
  <c r="Q16" i="8"/>
  <c r="P14" i="8"/>
  <c r="H14" i="8"/>
  <c r="Q14" i="8"/>
  <c r="N10" i="8"/>
  <c r="H10" i="8"/>
  <c r="N8" i="8"/>
  <c r="H8" i="8"/>
  <c r="P8" i="8"/>
  <c r="Q7" i="8"/>
  <c r="N6" i="8"/>
  <c r="H6" i="8"/>
  <c r="N2" i="8"/>
  <c r="O2" i="8" s="1"/>
  <c r="E23" i="8"/>
  <c r="J27" i="8"/>
  <c r="K27" i="8" s="1"/>
  <c r="M27" i="8" s="1"/>
  <c r="K23" i="8"/>
  <c r="F24" i="8"/>
  <c r="N22" i="8"/>
  <c r="N4" i="8"/>
  <c r="N7" i="8"/>
  <c r="N9" i="8"/>
  <c r="N11" i="8"/>
  <c r="N16" i="8"/>
  <c r="N18" i="8"/>
  <c r="N20" i="8"/>
  <c r="H22" i="8"/>
  <c r="P22" i="8"/>
  <c r="D4" i="8"/>
  <c r="D23" i="8" s="1"/>
  <c r="H4" i="8"/>
  <c r="H7" i="8"/>
  <c r="H9" i="8"/>
  <c r="H11" i="8"/>
  <c r="H16" i="8"/>
  <c r="H18" i="8"/>
  <c r="H20" i="8"/>
  <c r="J23" i="8"/>
  <c r="K28" i="8" s="1"/>
  <c r="J28" i="8" s="1"/>
  <c r="P23" i="8" l="1"/>
  <c r="Q23" i="8"/>
  <c r="Q25" i="8" s="1"/>
  <c r="C23" i="8"/>
  <c r="H23" i="8"/>
  <c r="H24" i="8" s="1"/>
  <c r="I25" i="8"/>
  <c r="J25" i="8" s="1"/>
  <c r="N23" i="8"/>
  <c r="N24" i="8" l="1"/>
  <c r="Q24" i="8"/>
  <c r="P24" i="8"/>
  <c r="L2" i="7" l="1"/>
  <c r="K15" i="7" l="1"/>
  <c r="L2" i="5" l="1"/>
  <c r="I23" i="5"/>
  <c r="I24" i="5" s="1"/>
  <c r="I23" i="7" l="1"/>
  <c r="I24" i="7" s="1"/>
  <c r="B23" i="7"/>
  <c r="B24" i="7" s="1"/>
  <c r="K22" i="7"/>
  <c r="J22" i="7"/>
  <c r="G22" i="7"/>
  <c r="F22" i="7"/>
  <c r="O22" i="7" s="1"/>
  <c r="E22" i="7"/>
  <c r="K21" i="7"/>
  <c r="J21" i="7"/>
  <c r="G21" i="7"/>
  <c r="F21" i="7"/>
  <c r="P21" i="7" s="1"/>
  <c r="E21" i="7"/>
  <c r="D21" i="7" s="1"/>
  <c r="K20" i="7"/>
  <c r="J20" i="7"/>
  <c r="G20" i="7"/>
  <c r="F20" i="7"/>
  <c r="M20" i="7" s="1"/>
  <c r="E20" i="7"/>
  <c r="D20" i="7" s="1"/>
  <c r="K19" i="7"/>
  <c r="J19" i="7"/>
  <c r="G19" i="7"/>
  <c r="F19" i="7"/>
  <c r="P19" i="7" s="1"/>
  <c r="E19" i="7"/>
  <c r="D19" i="7" s="1"/>
  <c r="K18" i="7"/>
  <c r="J18" i="7"/>
  <c r="G18" i="7"/>
  <c r="F18" i="7"/>
  <c r="M18" i="7" s="1"/>
  <c r="E18" i="7"/>
  <c r="D18" i="7" s="1"/>
  <c r="K17" i="7"/>
  <c r="J17" i="7"/>
  <c r="G17" i="7"/>
  <c r="F17" i="7"/>
  <c r="P17" i="7" s="1"/>
  <c r="E17" i="7"/>
  <c r="D17" i="7" s="1"/>
  <c r="K16" i="7"/>
  <c r="J16" i="7"/>
  <c r="G16" i="7"/>
  <c r="F16" i="7"/>
  <c r="M16" i="7" s="1"/>
  <c r="E16" i="7"/>
  <c r="D16" i="7" s="1"/>
  <c r="P15" i="7"/>
  <c r="O15" i="7"/>
  <c r="M15" i="7"/>
  <c r="J15" i="7"/>
  <c r="H15" i="7"/>
  <c r="G15" i="7"/>
  <c r="E15" i="7"/>
  <c r="D15" i="7" s="1"/>
  <c r="K14" i="7"/>
  <c r="J14" i="7"/>
  <c r="G14" i="7"/>
  <c r="F14" i="7"/>
  <c r="P14" i="7" s="1"/>
  <c r="E14" i="7"/>
  <c r="D14" i="7" s="1"/>
  <c r="P13" i="7"/>
  <c r="O13" i="7"/>
  <c r="M13" i="7"/>
  <c r="K13" i="7"/>
  <c r="J13" i="7"/>
  <c r="H13" i="7"/>
  <c r="G13" i="7"/>
  <c r="E13" i="7"/>
  <c r="D13" i="7" s="1"/>
  <c r="K12" i="7"/>
  <c r="J12" i="7"/>
  <c r="G12" i="7"/>
  <c r="F12" i="7"/>
  <c r="O12" i="7" s="1"/>
  <c r="E12" i="7"/>
  <c r="D12" i="7" s="1"/>
  <c r="K11" i="7"/>
  <c r="J11" i="7"/>
  <c r="G11" i="7"/>
  <c r="F11" i="7"/>
  <c r="P11" i="7" s="1"/>
  <c r="E11" i="7"/>
  <c r="D11" i="7" s="1"/>
  <c r="K10" i="7"/>
  <c r="J10" i="7"/>
  <c r="G10" i="7"/>
  <c r="F10" i="7"/>
  <c r="O10" i="7" s="1"/>
  <c r="E10" i="7"/>
  <c r="D10" i="7" s="1"/>
  <c r="K9" i="7"/>
  <c r="J9" i="7"/>
  <c r="G9" i="7"/>
  <c r="F9" i="7"/>
  <c r="O9" i="7" s="1"/>
  <c r="E9" i="7"/>
  <c r="D9" i="7" s="1"/>
  <c r="K8" i="7"/>
  <c r="J8" i="7"/>
  <c r="G8" i="7"/>
  <c r="F8" i="7"/>
  <c r="O8" i="7" s="1"/>
  <c r="E8" i="7"/>
  <c r="D8" i="7" s="1"/>
  <c r="K7" i="7"/>
  <c r="J7" i="7"/>
  <c r="G7" i="7"/>
  <c r="F7" i="7"/>
  <c r="O7" i="7" s="1"/>
  <c r="E7" i="7"/>
  <c r="D7" i="7" s="1"/>
  <c r="K6" i="7"/>
  <c r="J6" i="7"/>
  <c r="G6" i="7"/>
  <c r="F6" i="7"/>
  <c r="O6" i="7" s="1"/>
  <c r="E6" i="7"/>
  <c r="D6" i="7" s="1"/>
  <c r="K4" i="7"/>
  <c r="J4" i="7"/>
  <c r="G4" i="7"/>
  <c r="F4" i="7"/>
  <c r="O4" i="7" s="1"/>
  <c r="E4" i="7"/>
  <c r="D4" i="7" s="1"/>
  <c r="P22" i="7" l="1"/>
  <c r="O20" i="7"/>
  <c r="H20" i="7"/>
  <c r="P20" i="7"/>
  <c r="P16" i="7"/>
  <c r="H16" i="7"/>
  <c r="O16" i="7"/>
  <c r="J27" i="7"/>
  <c r="K27" i="7" s="1"/>
  <c r="L27" i="7" s="1"/>
  <c r="M7" i="7"/>
  <c r="P8" i="7"/>
  <c r="M9" i="7"/>
  <c r="P4" i="7"/>
  <c r="P7" i="7"/>
  <c r="P9" i="7"/>
  <c r="H18" i="7"/>
  <c r="P18" i="7"/>
  <c r="M4" i="7"/>
  <c r="P6" i="7"/>
  <c r="H4" i="7"/>
  <c r="H7" i="7"/>
  <c r="H9" i="7"/>
  <c r="O18" i="7"/>
  <c r="P10" i="7"/>
  <c r="M11" i="7"/>
  <c r="P12" i="7"/>
  <c r="H11" i="7"/>
  <c r="O11" i="7"/>
  <c r="M2" i="7"/>
  <c r="N2" i="7" s="1"/>
  <c r="J23" i="7"/>
  <c r="K28" i="7" s="1"/>
  <c r="J28" i="7" s="1"/>
  <c r="D23" i="7"/>
  <c r="E23" i="7"/>
  <c r="M14" i="7"/>
  <c r="M17" i="7"/>
  <c r="M19" i="7"/>
  <c r="M21" i="7"/>
  <c r="G23" i="7"/>
  <c r="K23" i="7"/>
  <c r="F24" i="7"/>
  <c r="M6" i="7"/>
  <c r="M8" i="7"/>
  <c r="M10" i="7"/>
  <c r="M12" i="7"/>
  <c r="H14" i="7"/>
  <c r="O14" i="7"/>
  <c r="H17" i="7"/>
  <c r="O17" i="7"/>
  <c r="H19" i="7"/>
  <c r="O19" i="7"/>
  <c r="H21" i="7"/>
  <c r="O21" i="7"/>
  <c r="M22" i="7"/>
  <c r="H6" i="7"/>
  <c r="H8" i="7"/>
  <c r="H10" i="7"/>
  <c r="H12" i="7"/>
  <c r="H22" i="7"/>
  <c r="K2" i="4"/>
  <c r="H24" i="4"/>
  <c r="P23" i="7" l="1"/>
  <c r="P25" i="7" s="1"/>
  <c r="H23" i="7"/>
  <c r="H24" i="7" s="1"/>
  <c r="O23" i="7"/>
  <c r="M23" i="7"/>
  <c r="I25" i="7"/>
  <c r="J25" i="7" s="1"/>
  <c r="C23" i="7"/>
  <c r="B23" i="5"/>
  <c r="B24" i="5" s="1"/>
  <c r="F24" i="5" s="1"/>
  <c r="K22" i="5"/>
  <c r="J22" i="5"/>
  <c r="G22" i="5"/>
  <c r="F22" i="5"/>
  <c r="P22" i="5" s="1"/>
  <c r="E22" i="5"/>
  <c r="K21" i="5"/>
  <c r="J21" i="5"/>
  <c r="G21" i="5"/>
  <c r="F21" i="5"/>
  <c r="M21" i="5" s="1"/>
  <c r="E21" i="5"/>
  <c r="D21" i="5" s="1"/>
  <c r="K20" i="5"/>
  <c r="J20" i="5"/>
  <c r="G20" i="5"/>
  <c r="F20" i="5"/>
  <c r="O20" i="5" s="1"/>
  <c r="E20" i="5"/>
  <c r="D20" i="5" s="1"/>
  <c r="K19" i="5"/>
  <c r="J19" i="5"/>
  <c r="G19" i="5"/>
  <c r="F19" i="5"/>
  <c r="P19" i="5" s="1"/>
  <c r="E19" i="5"/>
  <c r="D19" i="5" s="1"/>
  <c r="K18" i="5"/>
  <c r="J18" i="5"/>
  <c r="G18" i="5"/>
  <c r="F18" i="5"/>
  <c r="M18" i="5" s="1"/>
  <c r="E18" i="5"/>
  <c r="D18" i="5" s="1"/>
  <c r="K17" i="5"/>
  <c r="J17" i="5"/>
  <c r="G17" i="5"/>
  <c r="F17" i="5"/>
  <c r="M17" i="5" s="1"/>
  <c r="E17" i="5"/>
  <c r="D17" i="5" s="1"/>
  <c r="K16" i="5"/>
  <c r="J16" i="5"/>
  <c r="G16" i="5"/>
  <c r="F16" i="5"/>
  <c r="O16" i="5" s="1"/>
  <c r="E16" i="5"/>
  <c r="D16" i="5" s="1"/>
  <c r="P15" i="5"/>
  <c r="O15" i="5"/>
  <c r="M15" i="5"/>
  <c r="J15" i="5"/>
  <c r="H15" i="5"/>
  <c r="G15" i="5"/>
  <c r="E15" i="5"/>
  <c r="D15" i="5" s="1"/>
  <c r="K14" i="5"/>
  <c r="J14" i="5"/>
  <c r="G14" i="5"/>
  <c r="F14" i="5"/>
  <c r="O14" i="5" s="1"/>
  <c r="E14" i="5"/>
  <c r="D14" i="5" s="1"/>
  <c r="P13" i="5"/>
  <c r="O13" i="5"/>
  <c r="M13" i="5"/>
  <c r="K13" i="5"/>
  <c r="J13" i="5"/>
  <c r="H13" i="5"/>
  <c r="G13" i="5"/>
  <c r="E13" i="5"/>
  <c r="D13" i="5" s="1"/>
  <c r="K12" i="5"/>
  <c r="J12" i="5"/>
  <c r="G12" i="5"/>
  <c r="F12" i="5"/>
  <c r="P12" i="5" s="1"/>
  <c r="E12" i="5"/>
  <c r="D12" i="5" s="1"/>
  <c r="K11" i="5"/>
  <c r="J11" i="5"/>
  <c r="G11" i="5"/>
  <c r="F11" i="5"/>
  <c r="M11" i="5" s="1"/>
  <c r="E11" i="5"/>
  <c r="D11" i="5" s="1"/>
  <c r="K10" i="5"/>
  <c r="J10" i="5"/>
  <c r="H10" i="5"/>
  <c r="G10" i="5"/>
  <c r="F10" i="5"/>
  <c r="M10" i="5" s="1"/>
  <c r="E10" i="5"/>
  <c r="D10" i="5" s="1"/>
  <c r="K9" i="5"/>
  <c r="J9" i="5"/>
  <c r="G9" i="5"/>
  <c r="F9" i="5"/>
  <c r="O9" i="5" s="1"/>
  <c r="E9" i="5"/>
  <c r="D9" i="5" s="1"/>
  <c r="K8" i="5"/>
  <c r="J8" i="5"/>
  <c r="G8" i="5"/>
  <c r="F8" i="5"/>
  <c r="P8" i="5" s="1"/>
  <c r="E8" i="5"/>
  <c r="D8" i="5" s="1"/>
  <c r="K7" i="5"/>
  <c r="J7" i="5"/>
  <c r="G7" i="5"/>
  <c r="F7" i="5"/>
  <c r="P7" i="5" s="1"/>
  <c r="E7" i="5"/>
  <c r="D7" i="5" s="1"/>
  <c r="K6" i="5"/>
  <c r="J6" i="5"/>
  <c r="G6" i="5"/>
  <c r="F6" i="5"/>
  <c r="M6" i="5" s="1"/>
  <c r="E6" i="5"/>
  <c r="D6" i="5" s="1"/>
  <c r="K4" i="5"/>
  <c r="J4" i="5"/>
  <c r="G4" i="5"/>
  <c r="F4" i="5"/>
  <c r="O4" i="5" s="1"/>
  <c r="E4" i="5"/>
  <c r="D4" i="5" s="1"/>
  <c r="P24" i="7" l="1"/>
  <c r="M24" i="7"/>
  <c r="O24" i="7"/>
  <c r="M7" i="5"/>
  <c r="H7" i="5"/>
  <c r="O7" i="5"/>
  <c r="J27" i="5"/>
  <c r="K27" i="5" s="1"/>
  <c r="L27" i="5" s="1"/>
  <c r="D23" i="5"/>
  <c r="O18" i="5"/>
  <c r="P10" i="5"/>
  <c r="H11" i="5"/>
  <c r="P11" i="5"/>
  <c r="O11" i="5"/>
  <c r="H18" i="5"/>
  <c r="P18" i="5"/>
  <c r="P21" i="5"/>
  <c r="O10" i="5"/>
  <c r="H21" i="5"/>
  <c r="O21" i="5"/>
  <c r="P20" i="5"/>
  <c r="O17" i="5"/>
  <c r="H17" i="5"/>
  <c r="P17" i="5"/>
  <c r="P9" i="5"/>
  <c r="O6" i="5"/>
  <c r="H6" i="5"/>
  <c r="P6" i="5"/>
  <c r="P4" i="5"/>
  <c r="P16" i="5"/>
  <c r="P14" i="5"/>
  <c r="E23" i="5"/>
  <c r="K23" i="5"/>
  <c r="M8" i="5"/>
  <c r="M12" i="5"/>
  <c r="M19" i="5"/>
  <c r="M22" i="5"/>
  <c r="M4" i="5"/>
  <c r="H8" i="5"/>
  <c r="O8" i="5"/>
  <c r="M9" i="5"/>
  <c r="H12" i="5"/>
  <c r="O12" i="5"/>
  <c r="M14" i="5"/>
  <c r="M16" i="5"/>
  <c r="H19" i="5"/>
  <c r="O19" i="5"/>
  <c r="M20" i="5"/>
  <c r="H22" i="5"/>
  <c r="O22" i="5"/>
  <c r="J23" i="5"/>
  <c r="K28" i="5" s="1"/>
  <c r="J28" i="5" s="1"/>
  <c r="M2" i="5"/>
  <c r="N2" i="5" s="1"/>
  <c r="H4" i="5"/>
  <c r="H9" i="5"/>
  <c r="H14" i="5"/>
  <c r="H16" i="5"/>
  <c r="H20" i="5"/>
  <c r="G23" i="5"/>
  <c r="I25" i="5" l="1"/>
  <c r="J25" i="5" s="1"/>
  <c r="C23" i="5"/>
  <c r="O23" i="5"/>
  <c r="P23" i="5"/>
  <c r="P25" i="5" s="1"/>
  <c r="H23" i="5"/>
  <c r="H24" i="5" s="1"/>
  <c r="M23" i="5"/>
  <c r="P24" i="5" l="1"/>
  <c r="M24" i="5"/>
  <c r="O24" i="5"/>
  <c r="K2" i="3" l="1"/>
  <c r="J21" i="4"/>
  <c r="J21" i="3" l="1"/>
  <c r="H23" i="3" l="1"/>
  <c r="L12" i="3" l="1"/>
  <c r="L14" i="3"/>
  <c r="J20" i="3"/>
  <c r="J19" i="3"/>
  <c r="J18" i="3"/>
  <c r="J17" i="3"/>
  <c r="J16" i="3"/>
  <c r="J15" i="3"/>
  <c r="J13" i="3"/>
  <c r="J12" i="3"/>
  <c r="J11" i="3"/>
  <c r="J10" i="3"/>
  <c r="J9" i="3"/>
  <c r="J8" i="3"/>
  <c r="J7" i="3"/>
  <c r="J6" i="3"/>
  <c r="J5" i="3"/>
  <c r="J22" i="3"/>
  <c r="J4" i="3"/>
  <c r="B23" i="4"/>
  <c r="B24" i="4" s="1"/>
  <c r="J22" i="4" l="1"/>
  <c r="I22" i="4"/>
  <c r="F22" i="4"/>
  <c r="E22" i="4"/>
  <c r="L22" i="4" s="1"/>
  <c r="D22" i="4"/>
  <c r="I21" i="4"/>
  <c r="F21" i="4"/>
  <c r="E21" i="4"/>
  <c r="N21" i="4" s="1"/>
  <c r="D21" i="4"/>
  <c r="J20" i="4"/>
  <c r="I20" i="4"/>
  <c r="F20" i="4"/>
  <c r="E20" i="4"/>
  <c r="N20" i="4" s="1"/>
  <c r="D20" i="4"/>
  <c r="J19" i="4"/>
  <c r="I19" i="4"/>
  <c r="F19" i="4"/>
  <c r="E19" i="4"/>
  <c r="O19" i="4" s="1"/>
  <c r="D19" i="4"/>
  <c r="J18" i="4"/>
  <c r="I18" i="4"/>
  <c r="F18" i="4"/>
  <c r="E18" i="4"/>
  <c r="O18" i="4" s="1"/>
  <c r="D18" i="4"/>
  <c r="J17" i="4"/>
  <c r="I17" i="4"/>
  <c r="F17" i="4"/>
  <c r="E17" i="4"/>
  <c r="L17" i="4" s="1"/>
  <c r="D17" i="4"/>
  <c r="J16" i="4"/>
  <c r="I16" i="4"/>
  <c r="F16" i="4"/>
  <c r="E16" i="4"/>
  <c r="N16" i="4" s="1"/>
  <c r="D16" i="4"/>
  <c r="J15" i="4"/>
  <c r="I15" i="4"/>
  <c r="F15" i="4"/>
  <c r="E15" i="4"/>
  <c r="O15" i="4" s="1"/>
  <c r="D15" i="4"/>
  <c r="O14" i="4"/>
  <c r="N14" i="4"/>
  <c r="L14" i="4"/>
  <c r="I14" i="4"/>
  <c r="G14" i="4"/>
  <c r="F14" i="4"/>
  <c r="D14" i="4"/>
  <c r="J13" i="4"/>
  <c r="I13" i="4"/>
  <c r="F13" i="4"/>
  <c r="E13" i="4"/>
  <c r="O13" i="4" s="1"/>
  <c r="D13" i="4"/>
  <c r="O12" i="4"/>
  <c r="N12" i="4"/>
  <c r="L12" i="4"/>
  <c r="J12" i="4"/>
  <c r="I12" i="4"/>
  <c r="G12" i="4"/>
  <c r="F12" i="4"/>
  <c r="D12" i="4"/>
  <c r="J11" i="4"/>
  <c r="I11" i="4"/>
  <c r="F11" i="4"/>
  <c r="E11" i="4"/>
  <c r="O11" i="4" s="1"/>
  <c r="D11" i="4"/>
  <c r="J10" i="4"/>
  <c r="I10" i="4"/>
  <c r="F10" i="4"/>
  <c r="E10" i="4"/>
  <c r="L10" i="4" s="1"/>
  <c r="D10" i="4"/>
  <c r="J9" i="4"/>
  <c r="I9" i="4"/>
  <c r="F9" i="4"/>
  <c r="E9" i="4"/>
  <c r="N9" i="4" s="1"/>
  <c r="D9" i="4"/>
  <c r="J8" i="4"/>
  <c r="I8" i="4"/>
  <c r="F8" i="4"/>
  <c r="E8" i="4"/>
  <c r="O8" i="4" s="1"/>
  <c r="D8" i="4"/>
  <c r="J7" i="4"/>
  <c r="I7" i="4"/>
  <c r="F7" i="4"/>
  <c r="E7" i="4"/>
  <c r="O7" i="4" s="1"/>
  <c r="D7" i="4"/>
  <c r="J6" i="4"/>
  <c r="I6" i="4"/>
  <c r="F6" i="4"/>
  <c r="E6" i="4"/>
  <c r="L6" i="4" s="1"/>
  <c r="D6" i="4"/>
  <c r="J5" i="4"/>
  <c r="I5" i="4"/>
  <c r="F5" i="4"/>
  <c r="E5" i="4"/>
  <c r="N5" i="4" s="1"/>
  <c r="D5" i="4"/>
  <c r="J4" i="4"/>
  <c r="I4" i="4"/>
  <c r="F4" i="4"/>
  <c r="E4" i="4"/>
  <c r="O4" i="4" s="1"/>
  <c r="D4" i="4"/>
  <c r="D23" i="4" l="1"/>
  <c r="L2" i="4"/>
  <c r="O22" i="4"/>
  <c r="G22" i="4"/>
  <c r="E24" i="4"/>
  <c r="L7" i="4"/>
  <c r="L11" i="4"/>
  <c r="G6" i="4"/>
  <c r="G10" i="4"/>
  <c r="O16" i="4"/>
  <c r="G17" i="4"/>
  <c r="O17" i="4"/>
  <c r="G18" i="4"/>
  <c r="N18" i="4"/>
  <c r="O20" i="4"/>
  <c r="G21" i="4"/>
  <c r="F23" i="4"/>
  <c r="O21" i="4"/>
  <c r="N6" i="4"/>
  <c r="N10" i="4"/>
  <c r="N17" i="4"/>
  <c r="L18" i="4"/>
  <c r="O5" i="4"/>
  <c r="O6" i="4"/>
  <c r="G7" i="4"/>
  <c r="N7" i="4"/>
  <c r="O9" i="4"/>
  <c r="O10" i="4"/>
  <c r="G11" i="4"/>
  <c r="N11" i="4"/>
  <c r="N22" i="4"/>
  <c r="J23" i="4"/>
  <c r="I23" i="4"/>
  <c r="L4" i="4"/>
  <c r="L8" i="4"/>
  <c r="L13" i="4"/>
  <c r="L15" i="4"/>
  <c r="L19" i="4"/>
  <c r="G4" i="4"/>
  <c r="N4" i="4"/>
  <c r="L5" i="4"/>
  <c r="G8" i="4"/>
  <c r="N8" i="4"/>
  <c r="L9" i="4"/>
  <c r="G13" i="4"/>
  <c r="N13" i="4"/>
  <c r="G15" i="4"/>
  <c r="N15" i="4"/>
  <c r="L16" i="4"/>
  <c r="G19" i="4"/>
  <c r="N19" i="4"/>
  <c r="L20" i="4"/>
  <c r="L21" i="4"/>
  <c r="G5" i="4"/>
  <c r="G9" i="4"/>
  <c r="G16" i="4"/>
  <c r="G20" i="4"/>
  <c r="O23" i="4" l="1"/>
  <c r="N23" i="4"/>
  <c r="G23" i="4"/>
  <c r="G24" i="4" s="1"/>
  <c r="L23" i="4"/>
  <c r="K2" i="1"/>
  <c r="L24" i="4" l="1"/>
  <c r="N24" i="4"/>
  <c r="O24" i="4"/>
  <c r="B23" i="3"/>
  <c r="I22" i="3"/>
  <c r="F22" i="3"/>
  <c r="E22" i="3"/>
  <c r="L22" i="3" s="1"/>
  <c r="D22" i="3"/>
  <c r="I21" i="3"/>
  <c r="F21" i="3"/>
  <c r="E21" i="3"/>
  <c r="G21" i="3" s="1"/>
  <c r="D21" i="3"/>
  <c r="I20" i="3"/>
  <c r="F20" i="3"/>
  <c r="E20" i="3"/>
  <c r="D20" i="3"/>
  <c r="I19" i="3"/>
  <c r="F19" i="3"/>
  <c r="E19" i="3"/>
  <c r="D19" i="3"/>
  <c r="I18" i="3"/>
  <c r="F18" i="3"/>
  <c r="E18" i="3"/>
  <c r="L18" i="3" s="1"/>
  <c r="D18" i="3"/>
  <c r="I17" i="3"/>
  <c r="F17" i="3"/>
  <c r="E17" i="3"/>
  <c r="L17" i="3" s="1"/>
  <c r="D17" i="3"/>
  <c r="I16" i="3"/>
  <c r="F16" i="3"/>
  <c r="E16" i="3"/>
  <c r="D16" i="3"/>
  <c r="I15" i="3"/>
  <c r="F15" i="3"/>
  <c r="E15" i="3"/>
  <c r="D15" i="3"/>
  <c r="O14" i="3"/>
  <c r="N14" i="3"/>
  <c r="I14" i="3"/>
  <c r="G14" i="3"/>
  <c r="F14" i="3"/>
  <c r="D14" i="3"/>
  <c r="I13" i="3"/>
  <c r="F13" i="3"/>
  <c r="E13" i="3"/>
  <c r="D13" i="3"/>
  <c r="O12" i="3"/>
  <c r="N12" i="3"/>
  <c r="I12" i="3"/>
  <c r="G12" i="3"/>
  <c r="F12" i="3"/>
  <c r="D12" i="3"/>
  <c r="I11" i="3"/>
  <c r="F11" i="3"/>
  <c r="E11" i="3"/>
  <c r="L11" i="3" s="1"/>
  <c r="D11" i="3"/>
  <c r="I10" i="3"/>
  <c r="F10" i="3"/>
  <c r="E10" i="3"/>
  <c r="L10" i="3" s="1"/>
  <c r="D10" i="3"/>
  <c r="I9" i="3"/>
  <c r="F9" i="3"/>
  <c r="E9" i="3"/>
  <c r="D9" i="3"/>
  <c r="I8" i="3"/>
  <c r="F8" i="3"/>
  <c r="E8" i="3"/>
  <c r="D8" i="3"/>
  <c r="I7" i="3"/>
  <c r="F7" i="3"/>
  <c r="E7" i="3"/>
  <c r="L7" i="3" s="1"/>
  <c r="D7" i="3"/>
  <c r="I6" i="3"/>
  <c r="F6" i="3"/>
  <c r="E6" i="3"/>
  <c r="L6" i="3" s="1"/>
  <c r="D6" i="3"/>
  <c r="I5" i="3"/>
  <c r="F5" i="3"/>
  <c r="E5" i="3"/>
  <c r="D5" i="3"/>
  <c r="I4" i="3"/>
  <c r="F4" i="3"/>
  <c r="E4" i="3"/>
  <c r="D4" i="3"/>
  <c r="G6" i="3" l="1"/>
  <c r="N20" i="3"/>
  <c r="L20" i="3"/>
  <c r="O8" i="3"/>
  <c r="L8" i="3"/>
  <c r="N9" i="3"/>
  <c r="L9" i="3"/>
  <c r="O13" i="3"/>
  <c r="L13" i="3"/>
  <c r="O15" i="3"/>
  <c r="L15" i="3"/>
  <c r="N16" i="3"/>
  <c r="L16" i="3"/>
  <c r="O19" i="3"/>
  <c r="L19" i="3"/>
  <c r="N21" i="3"/>
  <c r="L21" i="3"/>
  <c r="O4" i="3"/>
  <c r="L4" i="3"/>
  <c r="N5" i="3"/>
  <c r="L5" i="3"/>
  <c r="F23" i="3"/>
  <c r="J23" i="3"/>
  <c r="I23" i="3"/>
  <c r="N11" i="3"/>
  <c r="G11" i="3"/>
  <c r="O11" i="3"/>
  <c r="O7" i="3"/>
  <c r="G7" i="3"/>
  <c r="O6" i="3"/>
  <c r="O10" i="3"/>
  <c r="N18" i="3"/>
  <c r="G10" i="3"/>
  <c r="O17" i="3"/>
  <c r="G18" i="3"/>
  <c r="O18" i="3"/>
  <c r="N7" i="3"/>
  <c r="G17" i="3"/>
  <c r="O5" i="3"/>
  <c r="O9" i="3"/>
  <c r="O16" i="3"/>
  <c r="O20" i="3"/>
  <c r="N22" i="3"/>
  <c r="O21" i="3"/>
  <c r="G22" i="3"/>
  <c r="O22" i="3"/>
  <c r="N6" i="3"/>
  <c r="N10" i="3"/>
  <c r="N17" i="3"/>
  <c r="D23" i="3"/>
  <c r="C23" i="3" s="1"/>
  <c r="B24" i="3"/>
  <c r="E24" i="3" s="1"/>
  <c r="L2" i="3"/>
  <c r="G4" i="3"/>
  <c r="N4" i="3"/>
  <c r="G8" i="3"/>
  <c r="N8" i="3"/>
  <c r="G13" i="3"/>
  <c r="N13" i="3"/>
  <c r="G15" i="3"/>
  <c r="N15" i="3"/>
  <c r="G19" i="3"/>
  <c r="N19" i="3"/>
  <c r="G5" i="3"/>
  <c r="G9" i="3"/>
  <c r="G16" i="3"/>
  <c r="G20" i="3"/>
  <c r="O23" i="3" l="1"/>
  <c r="N23" i="3"/>
  <c r="G23" i="3"/>
  <c r="L23" i="3"/>
  <c r="D5" i="1"/>
  <c r="D6" i="1"/>
  <c r="D7" i="1"/>
  <c r="D8" i="1"/>
  <c r="D9" i="1"/>
  <c r="D10" i="1"/>
  <c r="D11" i="1"/>
  <c r="D12" i="1"/>
  <c r="D13" i="1"/>
  <c r="D14" i="1"/>
  <c r="D15" i="1"/>
  <c r="D16" i="1"/>
  <c r="D17" i="1"/>
  <c r="D18" i="1"/>
  <c r="D19" i="1"/>
  <c r="D20" i="1"/>
  <c r="D21" i="1"/>
  <c r="D22" i="1"/>
  <c r="D23" i="1"/>
  <c r="D4" i="1"/>
  <c r="L24" i="3" l="1"/>
  <c r="N24" i="3"/>
  <c r="O24" i="3"/>
  <c r="D24" i="1"/>
  <c r="J22" i="1"/>
  <c r="I22" i="1"/>
  <c r="F22" i="1"/>
  <c r="E21" i="1"/>
  <c r="E22" i="1"/>
  <c r="L22" i="1" s="1"/>
  <c r="O22" i="1" l="1"/>
  <c r="N22" i="1"/>
  <c r="N12" i="1"/>
  <c r="N14" i="1"/>
  <c r="N21" i="1"/>
  <c r="O12" i="1"/>
  <c r="O14" i="1"/>
  <c r="O21" i="1"/>
  <c r="G12" i="1" l="1"/>
  <c r="G14" i="1"/>
  <c r="G21" i="1"/>
  <c r="L12" i="1"/>
  <c r="L14" i="1"/>
  <c r="L21" i="1"/>
  <c r="E5" i="1" l="1"/>
  <c r="E6" i="1"/>
  <c r="E7" i="1"/>
  <c r="E9" i="1"/>
  <c r="E8" i="1"/>
  <c r="E10" i="1"/>
  <c r="E11" i="1"/>
  <c r="E13" i="1"/>
  <c r="E15" i="1"/>
  <c r="E17" i="1"/>
  <c r="E18" i="1"/>
  <c r="E19" i="1"/>
  <c r="E20" i="1"/>
  <c r="E16" i="1"/>
  <c r="E23" i="1"/>
  <c r="E4" i="1"/>
  <c r="N16" i="1" l="1"/>
  <c r="O16" i="1"/>
  <c r="N4" i="1"/>
  <c r="O4" i="1"/>
  <c r="O15" i="1"/>
  <c r="N15" i="1"/>
  <c r="O5" i="1"/>
  <c r="N5" i="1"/>
  <c r="O19" i="1"/>
  <c r="N19" i="1"/>
  <c r="N23" i="1"/>
  <c r="O23" i="1"/>
  <c r="O18" i="1"/>
  <c r="N18" i="1"/>
  <c r="O11" i="1"/>
  <c r="N11" i="1"/>
  <c r="O7" i="1"/>
  <c r="N7" i="1"/>
  <c r="O17" i="1"/>
  <c r="N17" i="1"/>
  <c r="N10" i="1"/>
  <c r="O10" i="1"/>
  <c r="O6" i="1"/>
  <c r="N6" i="1"/>
  <c r="N20" i="1"/>
  <c r="O20" i="1"/>
  <c r="O8" i="1"/>
  <c r="N8" i="1"/>
  <c r="N13" i="1"/>
  <c r="O13" i="1"/>
  <c r="N9" i="1"/>
  <c r="O9" i="1"/>
  <c r="L4" i="1"/>
  <c r="G4" i="1"/>
  <c r="G13" i="1"/>
  <c r="L13" i="1"/>
  <c r="L23" i="1"/>
  <c r="G23" i="1"/>
  <c r="L18" i="1"/>
  <c r="G18" i="1"/>
  <c r="L11" i="1"/>
  <c r="G11" i="1"/>
  <c r="L7" i="1"/>
  <c r="G7" i="1"/>
  <c r="G16" i="1"/>
  <c r="L16" i="1"/>
  <c r="G17" i="1"/>
  <c r="L17" i="1"/>
  <c r="L10" i="1"/>
  <c r="G10" i="1"/>
  <c r="L6" i="1"/>
  <c r="G6" i="1"/>
  <c r="L19" i="1"/>
  <c r="G19" i="1"/>
  <c r="G9" i="1"/>
  <c r="L9" i="1"/>
  <c r="L20" i="1"/>
  <c r="G20" i="1"/>
  <c r="L15" i="1"/>
  <c r="G15" i="1"/>
  <c r="L8" i="1"/>
  <c r="G8" i="1"/>
  <c r="L5" i="1"/>
  <c r="G5" i="1"/>
  <c r="F5" i="1"/>
  <c r="F6" i="1"/>
  <c r="F7" i="1"/>
  <c r="F9" i="1"/>
  <c r="F8" i="1"/>
  <c r="F10" i="1"/>
  <c r="F11" i="1"/>
  <c r="F13" i="1"/>
  <c r="F12" i="1"/>
  <c r="F14" i="1"/>
  <c r="F15" i="1"/>
  <c r="F17" i="1"/>
  <c r="F18" i="1"/>
  <c r="F19" i="1"/>
  <c r="F20" i="1"/>
  <c r="F16" i="1"/>
  <c r="F21" i="1"/>
  <c r="F23" i="1"/>
  <c r="F4" i="1"/>
  <c r="N24" i="1" l="1"/>
  <c r="O24" i="1"/>
  <c r="G24" i="1"/>
  <c r="L24" i="1"/>
  <c r="I5" i="1"/>
  <c r="I6" i="1"/>
  <c r="I7" i="1"/>
  <c r="I9" i="1"/>
  <c r="I8" i="1"/>
  <c r="I10" i="1"/>
  <c r="I11" i="1"/>
  <c r="I13" i="1"/>
  <c r="I12" i="1"/>
  <c r="I14" i="1"/>
  <c r="I15" i="1"/>
  <c r="I17" i="1"/>
  <c r="I18" i="1"/>
  <c r="I19" i="1"/>
  <c r="I20" i="1"/>
  <c r="I16" i="1"/>
  <c r="I21" i="1"/>
  <c r="I23" i="1"/>
  <c r="I4" i="1"/>
  <c r="J5" i="1"/>
  <c r="J6" i="1"/>
  <c r="J7" i="1"/>
  <c r="J9" i="1"/>
  <c r="J8" i="1"/>
  <c r="J10" i="1"/>
  <c r="J11" i="1"/>
  <c r="J13" i="1"/>
  <c r="J12" i="1"/>
  <c r="J15" i="1"/>
  <c r="J17" i="1"/>
  <c r="J18" i="1"/>
  <c r="J19" i="1"/>
  <c r="J20" i="1"/>
  <c r="J16" i="1"/>
  <c r="J23" i="1"/>
  <c r="J4" i="1"/>
  <c r="O25" i="1" l="1"/>
  <c r="N25" i="1"/>
  <c r="L25" i="1"/>
  <c r="H24" i="1"/>
  <c r="P25" i="1" s="1"/>
  <c r="B24" i="1"/>
  <c r="C24" i="1" s="1"/>
  <c r="K28" i="1" l="1"/>
  <c r="K29" i="1" s="1"/>
  <c r="F24" i="1"/>
  <c r="B25" i="1"/>
  <c r="J24" i="1"/>
  <c r="L2" i="1"/>
  <c r="I24" i="1"/>
  <c r="E25" i="1" l="1"/>
  <c r="C23" i="4"/>
</calcChain>
</file>

<file path=xl/sharedStrings.xml><?xml version="1.0" encoding="utf-8"?>
<sst xmlns="http://schemas.openxmlformats.org/spreadsheetml/2006/main" count="1279" uniqueCount="255">
  <si>
    <t>ATCO</t>
  </si>
  <si>
    <t>Bigfoot Grinder</t>
  </si>
  <si>
    <t>Boise Arden</t>
  </si>
  <si>
    <t>Boise Upper and Lower</t>
  </si>
  <si>
    <t>Columbia Cdr, Arden</t>
  </si>
  <si>
    <t>Columbia Cdr, KF</t>
  </si>
  <si>
    <t>IEP</t>
  </si>
  <si>
    <t>IFG</t>
  </si>
  <si>
    <t>Interfor - Grand Forks</t>
  </si>
  <si>
    <t>Interfor - Castlegar</t>
  </si>
  <si>
    <t>JH Huscroft</t>
  </si>
  <si>
    <t>Kalesnikoff hog</t>
  </si>
  <si>
    <t>Porcupine hog</t>
  </si>
  <si>
    <t>Vaagen/Colville</t>
  </si>
  <si>
    <t>Vaagen/Midway</t>
  </si>
  <si>
    <t>Vaagen/Usk</t>
  </si>
  <si>
    <t>Ponderay Newsprint</t>
  </si>
  <si>
    <t>BC Eco Chip/Midway</t>
  </si>
  <si>
    <t>October Fuel Flow Forecast</t>
  </si>
  <si>
    <t>GT</t>
  </si>
  <si>
    <t>Variance</t>
  </si>
  <si>
    <t>% Delivered</t>
  </si>
  <si>
    <t>Delivery Days</t>
  </si>
  <si>
    <t>Volume to date</t>
  </si>
  <si>
    <t>Cannon Hill</t>
  </si>
  <si>
    <t>$/BDT</t>
  </si>
  <si>
    <t>Total projected buy</t>
  </si>
  <si>
    <t>Daily goal</t>
  </si>
  <si>
    <t>% Dry</t>
  </si>
  <si>
    <t>BDT</t>
  </si>
  <si>
    <t>% MC</t>
  </si>
  <si>
    <t>Columbia Cedar - blending Arden shavings with sawmill hog initiative</t>
  </si>
  <si>
    <t>Developing lower cost inwoods grinding opportunities with Cannon Hill</t>
  </si>
  <si>
    <t>Bigfoot looking at new grinder to stabilize efficiency, reliability</t>
  </si>
  <si>
    <t xml:space="preserve">Develop BTU benchmarks with key fuel suppliers </t>
  </si>
  <si>
    <t>Notes 10/13</t>
  </si>
  <si>
    <t xml:space="preserve">Tolko - Merrit's 50 MW Generation Station coming on line in Spring of 2017 </t>
  </si>
  <si>
    <t>Challenges:  SLA expiry and its effect on Canadian production/fuel supply.  **Need to offset SLA lumber curtails?</t>
  </si>
  <si>
    <t>**In discussions with Interfor Castlegar to dry hog fuel to meet quality standards at KFGS.  They are motivated to eliminate on site burning-thermal oil -kilns and go to gas!</t>
  </si>
  <si>
    <t>KFGS</t>
  </si>
  <si>
    <t>Reduced Vaagen-Midway from $5/BDT bin to $3 beginning Sept 1</t>
  </si>
  <si>
    <t>21 delivery days, GT/day:</t>
  </si>
  <si>
    <t>lds/day</t>
  </si>
  <si>
    <t>Actual $/BDT</t>
  </si>
  <si>
    <t>Current</t>
  </si>
  <si>
    <t>Columbia River navigation</t>
  </si>
  <si>
    <t>IEP looking at gas dryer to bring byproduct fuels to acceptable MC  deinking Sludge not deemed usable per current Air Operating Permit</t>
  </si>
  <si>
    <t>Actual as of 10-24(GT)</t>
  </si>
  <si>
    <t>actual 10-28</t>
  </si>
  <si>
    <t>21 days</t>
  </si>
  <si>
    <t>November Fuel Flow Forecast</t>
  </si>
  <si>
    <t xml:space="preserve">Porcupine </t>
  </si>
  <si>
    <r>
      <t xml:space="preserve">Columbia Cedar - blending Arden shavings with sawmill hog initiative.  </t>
    </r>
    <r>
      <rPr>
        <b/>
        <sz val="11"/>
        <color theme="1"/>
        <rFont val="Tw Cen MT"/>
        <family val="2"/>
        <scheme val="minor"/>
      </rPr>
      <t>Continue to monitor</t>
    </r>
  </si>
  <si>
    <t>target $/GT:</t>
  </si>
  <si>
    <t>Kalesnikoff:  Short term log supply concerns until freeze.  34K tons YTD.  Same volume for next year, with higher DF percentage</t>
  </si>
  <si>
    <t>Vaagen Midway:  2 8 hr shifts.  6-7 bark hog, plus 3-4 sawdust mixed in daily.  Will explore a direct delivery price in a the event of hauling snags by DCT.</t>
  </si>
  <si>
    <t>Notes 11/21</t>
  </si>
  <si>
    <t>IFP Grand Forks to go from two 9 hr shifts to two 8 hr shifts beginning January 1.  c-gar to stay the same</t>
  </si>
  <si>
    <r>
      <t xml:space="preserve">Tolko - Merrit's 50 MW Generation Station coming on line in Spring of 2017. </t>
    </r>
    <r>
      <rPr>
        <sz val="11"/>
        <color theme="4" tint="-0.249977111117893"/>
        <rFont val="Tw Cen MT"/>
        <family val="2"/>
        <scheme val="minor"/>
      </rPr>
      <t xml:space="preserve"> Should begin running with Natural Gas in Feb/Mar, begin taking hog in May/June.  Possible buy out by BC Hydro!?!?</t>
    </r>
  </si>
  <si>
    <t>Challenges:        SLA expiry and its effect on Canadian production/fuel supply.  **Need to offset potential SLA lumber curtails?  Short term slwo down will coincide vicely with upcoming shutdown. (??)</t>
  </si>
  <si>
    <r>
      <t xml:space="preserve">Update progress of PNC's new stationary chipper: </t>
    </r>
    <r>
      <rPr>
        <b/>
        <sz val="11"/>
        <color theme="1"/>
        <rFont val="Tw Cen MT"/>
        <family val="2"/>
        <scheme val="minor"/>
      </rPr>
      <t>take delivery 11/18 should be up and running early December.  A. more power consumption for local utility</t>
    </r>
  </si>
  <si>
    <t>BC Eco Chip:  Haul to begin this week to 4 loads per day.  More as metrics allow.  Brad hit me up for an increase but Chuck Wright says the agreed  so…  300 loads of Hog Chuck figures, looks like less.</t>
  </si>
  <si>
    <t>**11-16 Meeting with Franco and Jim S with Interfor Castlegar to dry hog fuel to meet quality standards at KFGS.  They would like ot sell us 20,000 BDTs per year.  They are looking into a press roll system.</t>
  </si>
  <si>
    <t>actual 11-22</t>
  </si>
  <si>
    <t>December Fuel Flow Forecast</t>
  </si>
  <si>
    <t>ESTIMATE</t>
  </si>
  <si>
    <t>Actual as of 11-18(GT)</t>
  </si>
  <si>
    <t>actual 11-30</t>
  </si>
  <si>
    <t>Boise Lower</t>
  </si>
  <si>
    <t>Begin new contract discussions.</t>
  </si>
  <si>
    <t>Clearwater paper to begin taking 2-4 loads of sawdust per day mid December</t>
  </si>
  <si>
    <t>First quarterly Wood Fuel meeting with KFGS and Power Supply this week</t>
  </si>
  <si>
    <t>With colder weather, mills that burn hog are burning much higher percentages to keep up with increased demand from dry kilns and plant heat.</t>
  </si>
  <si>
    <t>Christmas mill schedules:  Most mills are minimizing downtime to take advantage of strong lumber markets.  Buyers are strong in advance of SLA tariff/quota uncertainty.  Builder confidence highest since 2005!!!</t>
  </si>
  <si>
    <t>Notes 12/15</t>
  </si>
  <si>
    <t>BC Eco Chip:  Slow start - We will see approximately 130 loads (4,300 GT) this month  with 6-7 loads per day possibly surging to 20+ loads per day towards the end of the month.</t>
  </si>
  <si>
    <r>
      <t xml:space="preserve">Update progress of PNC's new stationary chipper: </t>
    </r>
    <r>
      <rPr>
        <b/>
        <sz val="11"/>
        <color theme="1"/>
        <rFont val="Tw Cen MT"/>
        <family val="2"/>
        <scheme val="minor"/>
      </rPr>
      <t>take delivery 11/18 should be up and running early December. -- more power consumption for local utility</t>
    </r>
  </si>
  <si>
    <t>IFG Laclede looking for $11 to $12/BDT to help with Bigfoot's back-haul cost of $9.75 per Green Ton ($19.50/BDT).  This would represent about a $0.30 cent/BDT increase to overall fuel pricing</t>
  </si>
  <si>
    <t>Katerra CLT is working with Russ Vaagen</t>
  </si>
  <si>
    <t>Actual as of 12-31(GT)</t>
  </si>
  <si>
    <t>22 delivery days, GT/day:</t>
  </si>
  <si>
    <t>Daily Volume Variance:</t>
  </si>
  <si>
    <t>days left</t>
  </si>
  <si>
    <t>projected delivered volume at current daily GT delivery rate</t>
  </si>
  <si>
    <t>/BDT</t>
  </si>
  <si>
    <t>/GT</t>
  </si>
  <si>
    <t>Actual GT/Day</t>
  </si>
  <si>
    <t>Goal</t>
  </si>
  <si>
    <t>January 2017 Fuel Flow Forecast</t>
  </si>
  <si>
    <t>NOTES</t>
  </si>
  <si>
    <t>Bigfoot: increased haul rate by $0.50/GT to facilitate onsite loader ot better control timely loading and pile management</t>
  </si>
  <si>
    <t xml:space="preserve">               decreased Arden haul by $1.75/GT due to higher load standards</t>
  </si>
  <si>
    <t>needed to hit forecast:</t>
  </si>
  <si>
    <t>Vaagen Midway new long term contract adjusted back up to $5/BDT and included a FOB if needed to better control inventory with add'l trucking capacity</t>
  </si>
  <si>
    <t>Act as of 1-31(GT)</t>
  </si>
  <si>
    <t>actual 1-31</t>
  </si>
  <si>
    <t>First half of February saw heavy snows and ice prompting at least one no haul day from BC and genrally slow deliveries.  Hog is backing up at many sawmills</t>
  </si>
  <si>
    <t>Panhandle Post and Pole ready to load out some "test" hog on Bigfoot contract.</t>
  </si>
  <si>
    <t>actual 2-15</t>
  </si>
  <si>
    <t>Working on a possible new supplier- Potlatch St maries backhaul</t>
  </si>
  <si>
    <t>Trucking has been a struggle this month.  Bigfoot - PNC; DCT - Midway and Porcupine</t>
  </si>
  <si>
    <t>actual</t>
  </si>
  <si>
    <t>Deliveries as of</t>
  </si>
  <si>
    <t>With lumber prices hitting highs not seen since 2013, mills are in major production mode.  Any potential tariffs (30%) are being passed onto end users in anticipation of retroactive taxation on Canadian imports from Feb 1st on.</t>
  </si>
  <si>
    <t>23 delivery days, GT/day:</t>
  </si>
  <si>
    <t>Improved hauling/highway conditions have led to an increase in haul volumes.  Mills with stockpiles have seen major increases in deliveries.  MC% is way up due to snowy winter</t>
  </si>
  <si>
    <t>days remaining</t>
  </si>
  <si>
    <t>April 2017 Fuel Flow Forecast</t>
  </si>
  <si>
    <t>March 2017 Fuel Flow Forecast</t>
  </si>
  <si>
    <t>20 delivery days, GT/day:</t>
  </si>
  <si>
    <t>GT/Day</t>
  </si>
  <si>
    <t>Days:</t>
  </si>
  <si>
    <t>Delivery days</t>
  </si>
  <si>
    <t>With the loss of 395 MP250 to Laurier, DCT Chambers will transfer trucks away from Midway and put on Grand Forks in an effort to keep up with mill production.  Haul cost and time will double at $15.97/GT ($32 at 50%)</t>
  </si>
  <si>
    <t xml:space="preserve"> Current pile volumes:  Midway 60+, Grand Forks 225+</t>
  </si>
  <si>
    <t>actual 4-18</t>
  </si>
  <si>
    <t>actual 4-30</t>
  </si>
  <si>
    <t>ld/day</t>
  </si>
  <si>
    <t>Midway was out of logs but is now back on line with log inventory and easing back into 2 shifts.  Talk about pulling some DF/L bark for Kelowna landscape market</t>
  </si>
  <si>
    <t>Grand Forks is out of logs the week of May 15th and is reclaiming hog this week</t>
  </si>
  <si>
    <t>Castlegar is able to keep sawing although log inventory is tight</t>
  </si>
  <si>
    <t>Kalesnikoff is back up and running logs</t>
  </si>
  <si>
    <t>Porcupine is touch and go on log inventory</t>
  </si>
  <si>
    <t>ATCO is also touch and go on log inventory</t>
  </si>
  <si>
    <t>Vaagen Colville ran out of logs week of May 15 and will be down two weeks</t>
  </si>
  <si>
    <t>May is still a very wet month but promises to warm up late month</t>
  </si>
  <si>
    <t>Boise mills are tight on logs</t>
  </si>
  <si>
    <t>Log inventories beginning to stabilize across supply base</t>
  </si>
  <si>
    <t>395 back to normal as of June 7th.  Midway and Grand Forks rates all back to normal.</t>
  </si>
  <si>
    <t>IFG Laclede begin delivering again as of June 12</t>
  </si>
  <si>
    <t>Negotiating 100 loads of incremetal hog from IFG-Chilco.  $30/BDT</t>
  </si>
  <si>
    <t>Plant to fire back up June 15 as scheduled.  Projected Beginning inventory:  190,000 GT.  Ellingson to fly drone</t>
  </si>
  <si>
    <t>Current MC% of received fuel for June: 48% and dropping</t>
  </si>
  <si>
    <t>DCT is campaigning for fixed cost increses to their current matrix</t>
  </si>
  <si>
    <t>IFG-Laclede&amp;Chilco</t>
  </si>
  <si>
    <t>BC Eco-Midway to begin grinding this week</t>
  </si>
  <si>
    <t>Boise Lower and Upper</t>
  </si>
  <si>
    <t>actual 7-17</t>
  </si>
  <si>
    <t>Log inventories barely stabilized after long "mud" season now facing fire restrictions</t>
  </si>
  <si>
    <t>IFG-Laclede</t>
  </si>
  <si>
    <t>IFG-Chilco</t>
  </si>
  <si>
    <t>VCT coming on to haul hog from PNC and IFG Chilco</t>
  </si>
  <si>
    <t>Working on getting new suplier contract with Panhandle Post and Pole</t>
  </si>
  <si>
    <t>Grand Forks is out of logs due to fire.  Most BC mills are in risk of reduced log flow.</t>
  </si>
  <si>
    <t>Panhandle Forest</t>
  </si>
  <si>
    <t>September 2017 Fuel Flow Forecast</t>
  </si>
  <si>
    <t>Log inventories are severly impacted in BC by all logging curtailed by the Ministry</t>
  </si>
  <si>
    <t>WA and ID logging restrictions may occur this month</t>
  </si>
  <si>
    <t>Bell Pole</t>
  </si>
  <si>
    <t>Eggers</t>
  </si>
  <si>
    <t>Logging restrictions in BC have been lifted with Fall mositure and cooler temps</t>
  </si>
  <si>
    <t>Columbia River navigation currently coming in under Bigfoots grinding contract at $4/GT</t>
  </si>
  <si>
    <t>Adding Bowman Trucking to our stable of truckers via IEP</t>
  </si>
  <si>
    <t>Most BC mills are back up running normal shifting but with little build for Spring breakup</t>
  </si>
  <si>
    <t>October 9 is Thanksgiving in Canada</t>
  </si>
  <si>
    <t>Evaluating a few new suppliers : Western Wood, Gold Island., Clifford Reed (Specialty Beam)</t>
  </si>
  <si>
    <t>Brad Markin, Sutco remains in ICU moved to Kelowna, BC hospital</t>
  </si>
  <si>
    <t>actual 10-31</t>
  </si>
  <si>
    <t>Western Wood</t>
  </si>
  <si>
    <t>actual 12-13</t>
  </si>
  <si>
    <t>$/GT</t>
  </si>
  <si>
    <t>$/MWh</t>
  </si>
  <si>
    <t>MWhs</t>
  </si>
  <si>
    <t>Total fuel buy</t>
  </si>
  <si>
    <t>Canadian</t>
  </si>
  <si>
    <t>US</t>
  </si>
  <si>
    <t>2016 actual</t>
  </si>
  <si>
    <t>Contracted Vol</t>
  </si>
  <si>
    <t>Unit</t>
  </si>
  <si>
    <t>Expiry</t>
  </si>
  <si>
    <t>converted to GT</t>
  </si>
  <si>
    <t>Supply Under Contract</t>
  </si>
  <si>
    <t>Export Permit Expiry</t>
  </si>
  <si>
    <t>2017 total actual</t>
  </si>
  <si>
    <t>2017 Jan-Jun</t>
  </si>
  <si>
    <t xml:space="preserve">2018 Variance </t>
  </si>
  <si>
    <t>% of Annual</t>
  </si>
  <si>
    <t>Notes</t>
  </si>
  <si>
    <t>2017 GT's Burned</t>
  </si>
  <si>
    <t>2018 GT's Burned YTD (6 mos)</t>
  </si>
  <si>
    <t>Buy</t>
  </si>
  <si>
    <t>GT/Month</t>
  </si>
  <si>
    <t>2018 Projected Burn</t>
  </si>
  <si>
    <t>Difference</t>
  </si>
  <si>
    <t>Beginning Inventory July1, 2018</t>
  </si>
  <si>
    <t>Projected ending Inventory Dec 31</t>
  </si>
  <si>
    <t>Projected Delivery July-Dec 2018</t>
  </si>
  <si>
    <t>Jan - Jun 2018 actual deliveries</t>
  </si>
  <si>
    <t>Projected next180 days X 1850 GT =</t>
  </si>
  <si>
    <t>Projected 2018 Burn</t>
  </si>
  <si>
    <t>Projected 2018 Total Deliveries</t>
  </si>
  <si>
    <t>Jan-Dec 2019 Fuel Flow Results</t>
  </si>
  <si>
    <t>Mercer-Celgar</t>
  </si>
  <si>
    <t>Canfor Wynn</t>
  </si>
  <si>
    <t>Gold Island</t>
  </si>
  <si>
    <t>Legacy</t>
  </si>
  <si>
    <t>PIPPCO</t>
  </si>
  <si>
    <t>6 mo export permit</t>
  </si>
  <si>
    <t>expired</t>
  </si>
  <si>
    <t>Bigfoot Grinder (In woods)</t>
  </si>
  <si>
    <t>2020 Notes</t>
  </si>
  <si>
    <t>Strong supplier of quality bark hog but we have lost any short fiber mix in to Lavington Pellet</t>
  </si>
  <si>
    <t>Lost this supplier to Merritt Energy</t>
  </si>
  <si>
    <t>We get all this hog Cedar bark and shavings, sawdust</t>
  </si>
  <si>
    <t>Had trucking problems with DCT - damaged trailers.  Had to change to Sutco, more expensive</t>
  </si>
  <si>
    <t>Off market</t>
  </si>
  <si>
    <t>Small sporadic supplier cedar hog</t>
  </si>
  <si>
    <t>Too wet and expensive cedar hog.  Off market</t>
  </si>
  <si>
    <t>Cedar pole peelings not very desirable</t>
  </si>
  <si>
    <t>By product of whole log chipping operation</t>
  </si>
  <si>
    <t>Cedar shavings</t>
  </si>
  <si>
    <t>Largest local  US supplying mill.  Always looking for better market, beauty bark</t>
  </si>
  <si>
    <t>$/ton:</t>
  </si>
  <si>
    <t>Satellite mill to Colville</t>
  </si>
  <si>
    <t>Good fuel very close to plant</t>
  </si>
  <si>
    <t>Ponderosa Pine bark</t>
  </si>
  <si>
    <t xml:space="preserve">Our primary in woods grinding operation </t>
  </si>
  <si>
    <t>off market</t>
  </si>
  <si>
    <t>cedar shavings</t>
  </si>
  <si>
    <t>sporadic</t>
  </si>
  <si>
    <t>excellent brk hog but sporadic</t>
  </si>
  <si>
    <t>very wet fines</t>
  </si>
  <si>
    <t>Very wet hog, we get what they don’t burn.  Possible switch to gas.  100% of procution, may be a better average MC%</t>
  </si>
  <si>
    <t>Legacy Lumber</t>
  </si>
  <si>
    <t>DF shavings, lost to Woodgrain - Elgin</t>
  </si>
  <si>
    <t>NIPP</t>
  </si>
  <si>
    <t>North Idaho Post and Pole, LPP bark, peelings</t>
  </si>
  <si>
    <t>In woods/land clearing quality finally came around.  No recycle</t>
  </si>
  <si>
    <t>$/MWH</t>
  </si>
  <si>
    <t>Canadian Production</t>
  </si>
  <si>
    <t>US Production</t>
  </si>
  <si>
    <t>Large puilp mill in S. Kootenays.   Changing of the guard with Chuck retiring in October</t>
  </si>
  <si>
    <t>We lost 20% to Tolko-Pinnacle Lavington Pellet Plant.  Will lose another 20% to Merritt in July.  Export Permit Blocking</t>
  </si>
  <si>
    <t>Jan-Dec 2020 Fuel Flow Results</t>
  </si>
  <si>
    <t>Legacy/MISC</t>
  </si>
  <si>
    <t>Canadian (BC)</t>
  </si>
  <si>
    <t>GT Actual</t>
  </si>
  <si>
    <t>Sutco</t>
  </si>
  <si>
    <t>Jan-Dec 2022 Fuel Flow Results</t>
  </si>
  <si>
    <t>GT Projected</t>
  </si>
  <si>
    <t>GT Actual 2022</t>
  </si>
  <si>
    <t>Jan-Dec 2023 Fuel Flow Results</t>
  </si>
  <si>
    <t>GT Actual 2023</t>
  </si>
  <si>
    <t>ATCO Park Siding chips</t>
  </si>
  <si>
    <t>Boise Arden chips</t>
  </si>
  <si>
    <t>Boise  Lower chips</t>
  </si>
  <si>
    <t>Boise Upper chips</t>
  </si>
  <si>
    <t>19.96/GT</t>
  </si>
  <si>
    <t>Eller In-woods</t>
  </si>
  <si>
    <t>Big Sky</t>
  </si>
  <si>
    <t>Stimson</t>
  </si>
  <si>
    <t>Interfor - CLR</t>
  </si>
  <si>
    <t>Idaho Forest Group</t>
  </si>
  <si>
    <t>NCW Chip</t>
  </si>
  <si>
    <t>Jan-Dec 2024 Fuel Flow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</si>
</sst>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_(* #,##0_);_(* \(#,##0\);_(* &quot;-&quot;??_);_(@_)"/>
    <numFmt numFmtId="166" formatCode="0.000%"/>
    <numFmt numFmtId="167" formatCode="0.0000"/>
    <numFmt numFmtId="168" formatCode="&quot;$&quot;#,##0"/>
    <numFmt numFmtId="169" formatCode="0.0%"/>
  </numFmts>
  <fonts count="10" x14ac:knownFonts="1">
    <font>
      <sz val="11"/>
      <color theme="1"/>
      <name val="Tw Cen MT"/>
      <family val="2"/>
      <scheme val="minor"/>
    </font>
    <font>
      <sz val="11"/>
      <color theme="1"/>
      <name val="Tw Cen MT"/>
      <family val="2"/>
      <scheme val="minor"/>
    </font>
    <font>
      <b/>
      <sz val="11"/>
      <color theme="1"/>
      <name val="Tw Cen MT"/>
      <family val="2"/>
      <scheme val="minor"/>
    </font>
    <font>
      <i/>
      <sz val="11"/>
      <color theme="1"/>
      <name val="Tw Cen MT"/>
      <family val="2"/>
      <scheme val="minor"/>
    </font>
    <font>
      <b/>
      <i/>
      <sz val="11"/>
      <color theme="1"/>
      <name val="Tw Cen MT"/>
      <family val="2"/>
      <scheme val="minor"/>
    </font>
    <font>
      <sz val="11"/>
      <color theme="4" tint="-0.249977111117893"/>
      <name val="Tw Cen MT"/>
      <family val="2"/>
      <scheme val="minor"/>
    </font>
    <font>
      <sz val="12"/>
      <color theme="1"/>
      <name val="Tw Cen MT"/>
      <family val="2"/>
      <scheme val="minor"/>
    </font>
    <font>
      <sz val="11"/>
      <name val="Tw Cen MT"/>
      <family val="2"/>
      <scheme val="minor"/>
    </font>
    <font>
      <sz val="28"/>
      <color theme="1"/>
      <name val="Tw Cen MT"/>
      <family val="2"/>
      <scheme val="minor"/>
    </font>
    <font>
      <b/>
      <sz val="12"/>
      <color theme="1"/>
      <name val="Tw Cen MT"/>
      <family val="2"/>
      <scheme val="minor"/>
    </font>
  </fonts>
  <fills count="13">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14">
    <xf numFmtId="0" fontId="0" fillId="0" borderId="0" xfId="0"/>
    <xf numFmtId="9" fontId="0" fillId="0" borderId="0" xfId="1" applyFont="1"/>
    <xf numFmtId="0" fontId="2" fillId="2" borderId="0" xfId="0" applyFont="1" applyFill="1"/>
    <xf numFmtId="0" fontId="3" fillId="0" borderId="1" xfId="0" applyFont="1" applyBorder="1"/>
    <xf numFmtId="0" fontId="4" fillId="2" borderId="1" xfId="0" applyFont="1" applyFill="1" applyBorder="1"/>
    <xf numFmtId="0" fontId="0" fillId="0" borderId="1" xfId="0" applyBorder="1"/>
    <xf numFmtId="9" fontId="0" fillId="0" borderId="1" xfId="1" applyFont="1" applyBorder="1"/>
    <xf numFmtId="0" fontId="0" fillId="0" borderId="2" xfId="0" applyBorder="1"/>
    <xf numFmtId="164" fontId="0" fillId="0" borderId="0" xfId="0" applyNumberFormat="1"/>
    <xf numFmtId="164" fontId="0" fillId="0" borderId="0" xfId="1" applyNumberFormat="1" applyFont="1"/>
    <xf numFmtId="164" fontId="0" fillId="0" borderId="1" xfId="1" applyNumberFormat="1" applyFont="1" applyBorder="1"/>
    <xf numFmtId="0" fontId="2" fillId="0" borderId="4" xfId="0" applyFont="1" applyBorder="1"/>
    <xf numFmtId="0" fontId="0" fillId="0" borderId="4" xfId="0" applyBorder="1"/>
    <xf numFmtId="0" fontId="2" fillId="2" borderId="4" xfId="0" applyFont="1" applyFill="1" applyBorder="1"/>
    <xf numFmtId="164" fontId="0" fillId="0" borderId="1" xfId="0" applyNumberFormat="1" applyBorder="1"/>
    <xf numFmtId="1" fontId="0" fillId="0" borderId="0" xfId="0" applyNumberFormat="1" applyAlignment="1">
      <alignment horizontal="center"/>
    </xf>
    <xf numFmtId="1" fontId="0" fillId="0" borderId="1" xfId="0" applyNumberFormat="1" applyBorder="1" applyAlignment="1">
      <alignment horizontal="center"/>
    </xf>
    <xf numFmtId="9" fontId="0" fillId="0" borderId="0" xfId="0" applyNumberFormat="1"/>
    <xf numFmtId="9" fontId="0" fillId="0" borderId="3" xfId="1" applyFont="1" applyBorder="1" applyAlignment="1">
      <alignment horizontal="center"/>
    </xf>
    <xf numFmtId="0" fontId="2" fillId="0" borderId="0" xfId="0" applyFont="1"/>
    <xf numFmtId="1" fontId="0" fillId="0" borderId="0" xfId="0" applyNumberFormat="1"/>
    <xf numFmtId="0" fontId="0" fillId="3" borderId="0" xfId="0" applyFill="1"/>
    <xf numFmtId="164" fontId="0" fillId="3" borderId="0" xfId="0" applyNumberFormat="1" applyFill="1"/>
    <xf numFmtId="2" fontId="0" fillId="3" borderId="0" xfId="0" applyNumberFormat="1" applyFill="1"/>
    <xf numFmtId="0" fontId="0" fillId="3" borderId="1" xfId="0" applyFill="1" applyBorder="1"/>
    <xf numFmtId="164" fontId="0" fillId="3" borderId="1" xfId="0" applyNumberFormat="1" applyFill="1" applyBorder="1"/>
    <xf numFmtId="9" fontId="0" fillId="3" borderId="0" xfId="1" applyFont="1" applyFill="1"/>
    <xf numFmtId="0" fontId="3" fillId="0" borderId="0" xfId="0" applyFont="1"/>
    <xf numFmtId="165" fontId="0" fillId="0" borderId="0" xfId="2" applyNumberFormat="1" applyFont="1"/>
    <xf numFmtId="165" fontId="3" fillId="0" borderId="1" xfId="2" applyNumberFormat="1" applyFont="1" applyBorder="1"/>
    <xf numFmtId="44" fontId="0" fillId="0" borderId="0" xfId="3" applyFont="1"/>
    <xf numFmtId="166" fontId="0" fillId="0" borderId="0" xfId="1" applyNumberFormat="1" applyFont="1"/>
    <xf numFmtId="165" fontId="2" fillId="2" borderId="0" xfId="2" applyNumberFormat="1" applyFont="1" applyFill="1"/>
    <xf numFmtId="165" fontId="0" fillId="0" borderId="0" xfId="2" applyNumberFormat="1" applyFont="1" applyAlignment="1">
      <alignment horizontal="center"/>
    </xf>
    <xf numFmtId="43" fontId="0" fillId="0" borderId="0" xfId="0" applyNumberFormat="1"/>
    <xf numFmtId="164" fontId="2" fillId="0" borderId="0" xfId="1" applyNumberFormat="1" applyFont="1"/>
    <xf numFmtId="0" fontId="2" fillId="3" borderId="0" xfId="0" applyFont="1" applyFill="1" applyAlignment="1">
      <alignment horizontal="center"/>
    </xf>
    <xf numFmtId="165" fontId="0" fillId="0" borderId="1" xfId="2" applyNumberFormat="1" applyFont="1" applyBorder="1"/>
    <xf numFmtId="0" fontId="2" fillId="2" borderId="1" xfId="0" applyFont="1" applyFill="1" applyBorder="1"/>
    <xf numFmtId="10" fontId="0" fillId="0" borderId="0" xfId="1" applyNumberFormat="1" applyFont="1"/>
    <xf numFmtId="0" fontId="0" fillId="0" borderId="0" xfId="0" applyAlignment="1">
      <alignment horizontal="right"/>
    </xf>
    <xf numFmtId="165" fontId="0" fillId="0" borderId="0" xfId="0" applyNumberFormat="1"/>
    <xf numFmtId="0" fontId="2" fillId="3" borderId="0" xfId="0" applyFont="1" applyFill="1"/>
    <xf numFmtId="0" fontId="2" fillId="3" borderId="1" xfId="0" applyFont="1" applyFill="1" applyBorder="1"/>
    <xf numFmtId="2" fontId="2" fillId="3" borderId="0" xfId="0" applyNumberFormat="1" applyFont="1" applyFill="1"/>
    <xf numFmtId="9" fontId="2" fillId="3" borderId="0" xfId="1" applyFont="1" applyFill="1"/>
    <xf numFmtId="14" fontId="0" fillId="0" borderId="0" xfId="0" applyNumberFormat="1"/>
    <xf numFmtId="164" fontId="0" fillId="4" borderId="5" xfId="0" applyNumberFormat="1" applyFill="1" applyBorder="1"/>
    <xf numFmtId="0" fontId="0" fillId="4" borderId="6" xfId="0" applyFill="1" applyBorder="1"/>
    <xf numFmtId="164" fontId="0" fillId="4" borderId="7" xfId="0" applyNumberFormat="1" applyFill="1" applyBorder="1"/>
    <xf numFmtId="0" fontId="0" fillId="4" borderId="8" xfId="0" applyFill="1" applyBorder="1"/>
    <xf numFmtId="0" fontId="2" fillId="3" borderId="4" xfId="0" applyFont="1" applyFill="1" applyBorder="1"/>
    <xf numFmtId="165" fontId="2" fillId="0" borderId="9" xfId="0" applyNumberFormat="1" applyFont="1" applyBorder="1"/>
    <xf numFmtId="0" fontId="2" fillId="0" borderId="10" xfId="0" applyFont="1" applyBorder="1"/>
    <xf numFmtId="0" fontId="2" fillId="0" borderId="11" xfId="0" applyFont="1" applyBorder="1"/>
    <xf numFmtId="0" fontId="2" fillId="0" borderId="0" xfId="0" applyFont="1" applyAlignment="1">
      <alignment horizontal="center"/>
    </xf>
    <xf numFmtId="165" fontId="2" fillId="0" borderId="9" xfId="2" applyNumberFormat="1" applyFont="1" applyBorder="1" applyAlignment="1"/>
    <xf numFmtId="0" fontId="2" fillId="5" borderId="2" xfId="0" applyFont="1" applyFill="1" applyBorder="1"/>
    <xf numFmtId="9" fontId="2" fillId="5" borderId="3" xfId="1" applyFont="1" applyFill="1" applyBorder="1" applyAlignment="1">
      <alignment horizontal="center"/>
    </xf>
    <xf numFmtId="9" fontId="0" fillId="0" borderId="0" xfId="1" applyFont="1" applyFill="1" applyBorder="1"/>
    <xf numFmtId="165" fontId="0" fillId="0" borderId="0" xfId="2" applyNumberFormat="1" applyFont="1" applyFill="1"/>
    <xf numFmtId="165" fontId="0" fillId="0" borderId="1" xfId="2" applyNumberFormat="1" applyFont="1" applyFill="1" applyBorder="1"/>
    <xf numFmtId="165" fontId="3" fillId="0" borderId="1" xfId="2" applyNumberFormat="1" applyFont="1" applyFill="1" applyBorder="1"/>
    <xf numFmtId="165" fontId="2" fillId="0" borderId="9" xfId="2" applyNumberFormat="1" applyFont="1" applyFill="1" applyBorder="1" applyAlignment="1"/>
    <xf numFmtId="16" fontId="2" fillId="2" borderId="4" xfId="0" applyNumberFormat="1" applyFont="1" applyFill="1" applyBorder="1"/>
    <xf numFmtId="164" fontId="1" fillId="0" borderId="0" xfId="1" applyNumberFormat="1" applyFont="1"/>
    <xf numFmtId="167" fontId="0" fillId="0" borderId="0" xfId="0" applyNumberFormat="1"/>
    <xf numFmtId="0" fontId="0" fillId="0" borderId="0" xfId="0" applyAlignment="1">
      <alignment horizontal="center"/>
    </xf>
    <xf numFmtId="1" fontId="0" fillId="0" borderId="0" xfId="1" applyNumberFormat="1" applyFont="1"/>
    <xf numFmtId="1" fontId="0" fillId="0" borderId="1" xfId="1" applyNumberFormat="1" applyFont="1" applyBorder="1"/>
    <xf numFmtId="0" fontId="2" fillId="2" borderId="12" xfId="0" applyFont="1" applyFill="1" applyBorder="1" applyAlignment="1">
      <alignment horizontal="center"/>
    </xf>
    <xf numFmtId="10" fontId="0" fillId="0" borderId="1" xfId="1" applyNumberFormat="1" applyFont="1" applyBorder="1"/>
    <xf numFmtId="165" fontId="0" fillId="0" borderId="0" xfId="2" applyNumberFormat="1" applyFont="1" applyFill="1" applyBorder="1"/>
    <xf numFmtId="10" fontId="0" fillId="0" borderId="0" xfId="1" applyNumberFormat="1" applyFont="1" applyBorder="1"/>
    <xf numFmtId="9" fontId="0" fillId="0" borderId="0" xfId="1" applyFont="1" applyBorder="1"/>
    <xf numFmtId="164" fontId="0" fillId="0" borderId="0" xfId="1" applyNumberFormat="1" applyFont="1" applyBorder="1"/>
    <xf numFmtId="9" fontId="2" fillId="0" borderId="0" xfId="1" applyFont="1" applyFill="1" applyBorder="1" applyAlignment="1">
      <alignment horizontal="center"/>
    </xf>
    <xf numFmtId="0" fontId="0" fillId="0" borderId="4" xfId="0" applyBorder="1" applyAlignment="1">
      <alignment horizontal="center"/>
    </xf>
    <xf numFmtId="164" fontId="0" fillId="0" borderId="0" xfId="1" applyNumberFormat="1" applyFont="1" applyBorder="1" applyAlignment="1">
      <alignment horizontal="center"/>
    </xf>
    <xf numFmtId="165" fontId="0" fillId="0" borderId="0" xfId="2" applyNumberFormat="1" applyFont="1" applyBorder="1" applyAlignment="1">
      <alignment horizontal="center"/>
    </xf>
    <xf numFmtId="165" fontId="0" fillId="0" borderId="0" xfId="2" applyNumberFormat="1" applyFont="1" applyFill="1" applyAlignment="1">
      <alignment horizontal="center"/>
    </xf>
    <xf numFmtId="10" fontId="0" fillId="0" borderId="0" xfId="1" applyNumberFormat="1" applyFont="1" applyAlignment="1">
      <alignment horizontal="center"/>
    </xf>
    <xf numFmtId="43" fontId="0" fillId="0" borderId="0" xfId="0" applyNumberFormat="1" applyAlignment="1">
      <alignment horizontal="center"/>
    </xf>
    <xf numFmtId="9" fontId="0" fillId="0" borderId="0" xfId="1" applyFont="1" applyAlignment="1">
      <alignment horizontal="center"/>
    </xf>
    <xf numFmtId="164" fontId="0" fillId="0" borderId="0" xfId="1" applyNumberFormat="1" applyFont="1" applyAlignment="1">
      <alignment horizontal="center"/>
    </xf>
    <xf numFmtId="164" fontId="0" fillId="0" borderId="0" xfId="0" applyNumberFormat="1" applyAlignment="1">
      <alignment horizontal="center"/>
    </xf>
    <xf numFmtId="164" fontId="1" fillId="0" borderId="0" xfId="1" applyNumberFormat="1" applyFont="1" applyAlignment="1">
      <alignment horizontal="center"/>
    </xf>
    <xf numFmtId="166" fontId="0" fillId="0" borderId="0" xfId="1" applyNumberFormat="1" applyFont="1" applyAlignment="1">
      <alignment horizontal="center"/>
    </xf>
    <xf numFmtId="165" fontId="0" fillId="0" borderId="0" xfId="2" applyNumberFormat="1" applyFont="1" applyBorder="1" applyAlignment="1"/>
    <xf numFmtId="165" fontId="0" fillId="3" borderId="0" xfId="2" applyNumberFormat="1" applyFont="1" applyFill="1" applyBorder="1" applyAlignment="1">
      <alignment horizontal="center"/>
    </xf>
    <xf numFmtId="10" fontId="1" fillId="3" borderId="0" xfId="1" applyNumberFormat="1" applyFont="1" applyFill="1" applyBorder="1" applyAlignment="1">
      <alignment horizontal="center"/>
    </xf>
    <xf numFmtId="0" fontId="0" fillId="3" borderId="0" xfId="0" applyFill="1" applyAlignment="1">
      <alignment horizontal="center"/>
    </xf>
    <xf numFmtId="43" fontId="0" fillId="3" borderId="0" xfId="0" applyNumberFormat="1" applyFill="1" applyAlignment="1">
      <alignment horizontal="center"/>
    </xf>
    <xf numFmtId="164" fontId="1" fillId="3" borderId="0" xfId="1" applyNumberFormat="1" applyFont="1" applyFill="1" applyBorder="1" applyAlignment="1">
      <alignment horizontal="center"/>
    </xf>
    <xf numFmtId="164" fontId="0" fillId="3" borderId="0" xfId="1" applyNumberFormat="1" applyFont="1" applyFill="1" applyBorder="1" applyAlignment="1">
      <alignment horizontal="center"/>
    </xf>
    <xf numFmtId="165" fontId="0" fillId="3" borderId="0" xfId="2" applyNumberFormat="1" applyFont="1" applyFill="1" applyBorder="1" applyAlignment="1"/>
    <xf numFmtId="164" fontId="0" fillId="3" borderId="0" xfId="0" applyNumberFormat="1" applyFill="1" applyAlignment="1">
      <alignment horizontal="center"/>
    </xf>
    <xf numFmtId="165" fontId="0" fillId="3" borderId="0" xfId="2" applyNumberFormat="1" applyFont="1" applyFill="1" applyAlignment="1">
      <alignment horizontal="center"/>
    </xf>
    <xf numFmtId="164" fontId="1" fillId="3" borderId="0" xfId="1" applyNumberFormat="1" applyFont="1" applyFill="1" applyAlignment="1">
      <alignment horizontal="center"/>
    </xf>
    <xf numFmtId="164" fontId="0" fillId="3" borderId="0" xfId="1" applyNumberFormat="1" applyFont="1" applyFill="1" applyAlignment="1">
      <alignment horizontal="center"/>
    </xf>
    <xf numFmtId="165" fontId="0" fillId="3" borderId="1" xfId="2" applyNumberFormat="1" applyFont="1" applyFill="1" applyBorder="1" applyAlignment="1">
      <alignment horizontal="center"/>
    </xf>
    <xf numFmtId="0" fontId="0" fillId="3" borderId="1" xfId="0" applyFill="1" applyBorder="1" applyAlignment="1">
      <alignment horizontal="center"/>
    </xf>
    <xf numFmtId="164" fontId="0" fillId="3" borderId="1" xfId="0" applyNumberFormat="1" applyFill="1" applyBorder="1" applyAlignment="1">
      <alignment horizontal="center"/>
    </xf>
    <xf numFmtId="164" fontId="0" fillId="3" borderId="1" xfId="1" applyNumberFormat="1" applyFont="1" applyFill="1" applyBorder="1" applyAlignment="1">
      <alignment horizontal="center"/>
    </xf>
    <xf numFmtId="0" fontId="6" fillId="3" borderId="0" xfId="0" applyFont="1" applyFill="1"/>
    <xf numFmtId="0" fontId="6" fillId="0" borderId="0" xfId="0" applyFont="1"/>
    <xf numFmtId="0" fontId="6" fillId="3" borderId="1" xfId="0" applyFont="1" applyFill="1" applyBorder="1"/>
    <xf numFmtId="168" fontId="0" fillId="0" borderId="0" xfId="0" applyNumberFormat="1" applyAlignment="1">
      <alignment horizontal="center"/>
    </xf>
    <xf numFmtId="0" fontId="0" fillId="0" borderId="13" xfId="0" applyBorder="1"/>
    <xf numFmtId="0" fontId="0" fillId="0" borderId="14" xfId="0" applyBorder="1"/>
    <xf numFmtId="0" fontId="0" fillId="0" borderId="15" xfId="0" applyBorder="1"/>
    <xf numFmtId="0" fontId="0" fillId="0" borderId="16" xfId="0" applyBorder="1"/>
    <xf numFmtId="3" fontId="0" fillId="3" borderId="13" xfId="0" applyNumberFormat="1" applyFill="1" applyBorder="1"/>
    <xf numFmtId="14" fontId="0" fillId="3" borderId="14" xfId="0" applyNumberFormat="1" applyFill="1" applyBorder="1"/>
    <xf numFmtId="3" fontId="0" fillId="0" borderId="13" xfId="0" applyNumberFormat="1" applyBorder="1"/>
    <xf numFmtId="14" fontId="0" fillId="0" borderId="14" xfId="0" applyNumberFormat="1" applyBorder="1"/>
    <xf numFmtId="165" fontId="0" fillId="3" borderId="13" xfId="2" applyNumberFormat="1" applyFont="1" applyFill="1" applyBorder="1"/>
    <xf numFmtId="0" fontId="0" fillId="3" borderId="13" xfId="0" applyFill="1" applyBorder="1"/>
    <xf numFmtId="165" fontId="0" fillId="0" borderId="13" xfId="2" applyNumberFormat="1" applyFont="1" applyBorder="1"/>
    <xf numFmtId="165" fontId="0" fillId="3" borderId="7" xfId="2" applyNumberFormat="1" applyFont="1" applyFill="1" applyBorder="1"/>
    <xf numFmtId="14" fontId="0" fillId="3" borderId="8" xfId="0" applyNumberFormat="1" applyFill="1" applyBorder="1"/>
    <xf numFmtId="3" fontId="0" fillId="0" borderId="7" xfId="0" applyNumberFormat="1" applyBorder="1"/>
    <xf numFmtId="0" fontId="0" fillId="0" borderId="8" xfId="0" applyBorder="1"/>
    <xf numFmtId="165" fontId="0" fillId="6" borderId="0" xfId="2" applyNumberFormat="1" applyFont="1" applyFill="1" applyBorder="1"/>
    <xf numFmtId="165" fontId="0" fillId="6" borderId="1" xfId="2" applyNumberFormat="1" applyFont="1" applyFill="1" applyBorder="1"/>
    <xf numFmtId="14" fontId="2" fillId="3" borderId="0" xfId="0" applyNumberFormat="1" applyFont="1" applyFill="1"/>
    <xf numFmtId="14" fontId="2" fillId="0" borderId="0" xfId="0" applyNumberFormat="1" applyFont="1"/>
    <xf numFmtId="10" fontId="1" fillId="3" borderId="1" xfId="1" applyNumberFormat="1" applyFont="1" applyFill="1" applyBorder="1" applyAlignment="1">
      <alignment horizontal="center"/>
    </xf>
    <xf numFmtId="43" fontId="0" fillId="3" borderId="0" xfId="2" applyFont="1" applyFill="1" applyBorder="1" applyAlignment="1">
      <alignment horizontal="center"/>
    </xf>
    <xf numFmtId="0" fontId="2" fillId="0" borderId="4" xfId="0" applyFont="1" applyBorder="1" applyAlignment="1">
      <alignment horizontal="center"/>
    </xf>
    <xf numFmtId="9" fontId="2" fillId="3" borderId="0" xfId="1" applyFont="1" applyFill="1" applyBorder="1" applyAlignment="1">
      <alignment horizontal="center"/>
    </xf>
    <xf numFmtId="10" fontId="1" fillId="7" borderId="0" xfId="1" applyNumberFormat="1" applyFont="1" applyFill="1" applyBorder="1" applyAlignment="1">
      <alignment horizontal="center"/>
    </xf>
    <xf numFmtId="0" fontId="0" fillId="7" borderId="0" xfId="0" applyFill="1" applyAlignment="1">
      <alignment horizontal="center"/>
    </xf>
    <xf numFmtId="43" fontId="0" fillId="7" borderId="0" xfId="0" applyNumberFormat="1" applyFill="1" applyAlignment="1">
      <alignment horizontal="center"/>
    </xf>
    <xf numFmtId="165" fontId="0" fillId="0" borderId="0" xfId="2" applyNumberFormat="1" applyFont="1" applyFill="1" applyBorder="1" applyAlignment="1">
      <alignment horizontal="center"/>
    </xf>
    <xf numFmtId="10" fontId="1" fillId="0" borderId="0" xfId="1" applyNumberFormat="1" applyFont="1" applyFill="1" applyBorder="1" applyAlignment="1">
      <alignment horizontal="center"/>
    </xf>
    <xf numFmtId="164" fontId="0" fillId="0" borderId="0" xfId="1" applyNumberFormat="1" applyFont="1" applyFill="1" applyBorder="1" applyAlignment="1">
      <alignment horizontal="center"/>
    </xf>
    <xf numFmtId="164" fontId="0" fillId="0" borderId="0" xfId="1" applyNumberFormat="1" applyFont="1" applyFill="1" applyAlignment="1">
      <alignment horizontal="center"/>
    </xf>
    <xf numFmtId="165" fontId="0" fillId="0" borderId="0" xfId="2" applyNumberFormat="1" applyFont="1" applyFill="1" applyBorder="1" applyAlignment="1"/>
    <xf numFmtId="9" fontId="2" fillId="3" borderId="1" xfId="1" applyFont="1" applyFill="1" applyBorder="1" applyAlignment="1">
      <alignment horizontal="center"/>
    </xf>
    <xf numFmtId="0" fontId="0" fillId="2" borderId="0" xfId="0" applyFill="1" applyAlignment="1">
      <alignment horizontal="right"/>
    </xf>
    <xf numFmtId="165" fontId="0" fillId="2" borderId="0" xfId="2" applyNumberFormat="1" applyFont="1" applyFill="1"/>
    <xf numFmtId="0" fontId="8" fillId="0" borderId="0" xfId="0" applyFont="1"/>
    <xf numFmtId="0" fontId="0" fillId="0" borderId="0" xfId="0" applyAlignment="1">
      <alignment horizontal="right" vertical="center"/>
    </xf>
    <xf numFmtId="165" fontId="0" fillId="0" borderId="0" xfId="2" applyNumberFormat="1" applyFont="1" applyAlignment="1">
      <alignment vertical="center"/>
    </xf>
    <xf numFmtId="165" fontId="0" fillId="8" borderId="0" xfId="2" applyNumberFormat="1" applyFont="1" applyFill="1" applyBorder="1"/>
    <xf numFmtId="0" fontId="0" fillId="9" borderId="17" xfId="0" applyFill="1" applyBorder="1" applyAlignment="1">
      <alignment horizontal="right"/>
    </xf>
    <xf numFmtId="165" fontId="0" fillId="9" borderId="17" xfId="2" applyNumberFormat="1" applyFont="1" applyFill="1" applyBorder="1" applyAlignment="1">
      <alignment horizontal="center"/>
    </xf>
    <xf numFmtId="10" fontId="0" fillId="9" borderId="17" xfId="1" applyNumberFormat="1" applyFont="1" applyFill="1" applyBorder="1" applyAlignment="1">
      <alignment horizontal="center"/>
    </xf>
    <xf numFmtId="166" fontId="0" fillId="9" borderId="17" xfId="1" applyNumberFormat="1" applyFont="1" applyFill="1" applyBorder="1" applyAlignment="1">
      <alignment horizontal="center"/>
    </xf>
    <xf numFmtId="164" fontId="0" fillId="9" borderId="17" xfId="1" applyNumberFormat="1" applyFont="1" applyFill="1" applyBorder="1" applyAlignment="1">
      <alignment horizontal="center"/>
    </xf>
    <xf numFmtId="168" fontId="0" fillId="9" borderId="17" xfId="0" applyNumberFormat="1" applyFill="1" applyBorder="1" applyAlignment="1">
      <alignment horizontal="center"/>
    </xf>
    <xf numFmtId="0" fontId="7" fillId="9" borderId="0" xfId="0" applyFont="1" applyFill="1"/>
    <xf numFmtId="3" fontId="0" fillId="9" borderId="0" xfId="0" applyNumberFormat="1" applyFill="1"/>
    <xf numFmtId="0" fontId="0" fillId="9" borderId="0" xfId="1" applyNumberFormat="1" applyFont="1" applyFill="1" applyAlignment="1">
      <alignment horizontal="right"/>
    </xf>
    <xf numFmtId="165" fontId="1" fillId="9" borderId="0" xfId="2" applyNumberFormat="1" applyFont="1" applyFill="1" applyBorder="1" applyAlignment="1"/>
    <xf numFmtId="10" fontId="0" fillId="9" borderId="0" xfId="1" applyNumberFormat="1" applyFont="1" applyFill="1" applyBorder="1"/>
    <xf numFmtId="0" fontId="0" fillId="9" borderId="0" xfId="0" applyFill="1"/>
    <xf numFmtId="165" fontId="0" fillId="9" borderId="0" xfId="2" applyNumberFormat="1" applyFont="1" applyFill="1" applyBorder="1" applyAlignment="1">
      <alignment horizontal="center"/>
    </xf>
    <xf numFmtId="164" fontId="0" fillId="9" borderId="0" xfId="1" applyNumberFormat="1" applyFont="1" applyFill="1" applyAlignment="1">
      <alignment horizontal="right"/>
    </xf>
    <xf numFmtId="165" fontId="0" fillId="9" borderId="0" xfId="2" applyNumberFormat="1" applyFont="1" applyFill="1"/>
    <xf numFmtId="164" fontId="0" fillId="9" borderId="0" xfId="3" applyNumberFormat="1" applyFont="1" applyFill="1" applyAlignment="1">
      <alignment horizontal="center"/>
    </xf>
    <xf numFmtId="168" fontId="0" fillId="9" borderId="0" xfId="0" applyNumberFormat="1" applyFill="1" applyAlignment="1">
      <alignment horizontal="center"/>
    </xf>
    <xf numFmtId="10" fontId="1" fillId="9" borderId="0" xfId="2" applyNumberFormat="1" applyFont="1" applyFill="1" applyBorder="1" applyAlignment="1"/>
    <xf numFmtId="164" fontId="1" fillId="9" borderId="0" xfId="2" applyNumberFormat="1" applyFont="1" applyFill="1" applyBorder="1" applyAlignment="1"/>
    <xf numFmtId="168" fontId="1" fillId="9" borderId="0" xfId="2" applyNumberFormat="1" applyFont="1" applyFill="1" applyBorder="1" applyAlignment="1">
      <alignment horizontal="center"/>
    </xf>
    <xf numFmtId="0" fontId="2" fillId="9" borderId="9" xfId="0" applyFont="1" applyFill="1" applyBorder="1"/>
    <xf numFmtId="10" fontId="0" fillId="9" borderId="0" xfId="1" applyNumberFormat="1" applyFont="1" applyFill="1"/>
    <xf numFmtId="165" fontId="0" fillId="9" borderId="0" xfId="2" applyNumberFormat="1" applyFont="1" applyFill="1" applyBorder="1"/>
    <xf numFmtId="164" fontId="0" fillId="9" borderId="0" xfId="1" applyNumberFormat="1" applyFont="1" applyFill="1"/>
    <xf numFmtId="2" fontId="0" fillId="9" borderId="0" xfId="0" applyNumberFormat="1" applyFill="1"/>
    <xf numFmtId="165" fontId="0" fillId="9" borderId="0" xfId="0" applyNumberFormat="1" applyFill="1"/>
    <xf numFmtId="0" fontId="0" fillId="9" borderId="0" xfId="0" applyFill="1" applyAlignment="1">
      <alignment horizontal="right"/>
    </xf>
    <xf numFmtId="165" fontId="0" fillId="9" borderId="0" xfId="0" applyNumberFormat="1" applyFill="1" applyAlignment="1">
      <alignment horizontal="center"/>
    </xf>
    <xf numFmtId="9" fontId="0" fillId="9" borderId="0" xfId="1" applyFont="1" applyFill="1"/>
    <xf numFmtId="0" fontId="3" fillId="9" borderId="0" xfId="0" applyFont="1" applyFill="1"/>
    <xf numFmtId="0" fontId="0" fillId="9" borderId="0" xfId="0" applyFill="1" applyAlignment="1">
      <alignment horizontal="right" vertical="center"/>
    </xf>
    <xf numFmtId="165" fontId="0" fillId="9" borderId="0" xfId="2" applyNumberFormat="1" applyFont="1" applyFill="1" applyAlignment="1">
      <alignment vertical="center"/>
    </xf>
    <xf numFmtId="0" fontId="8" fillId="9" borderId="0" xfId="0" applyFont="1" applyFill="1"/>
    <xf numFmtId="0" fontId="6" fillId="7" borderId="0" xfId="0" applyFont="1" applyFill="1"/>
    <xf numFmtId="165" fontId="0" fillId="7" borderId="0" xfId="2" applyNumberFormat="1" applyFont="1" applyFill="1" applyAlignment="1">
      <alignment horizontal="center"/>
    </xf>
    <xf numFmtId="0" fontId="0" fillId="7" borderId="0" xfId="0" applyFill="1"/>
    <xf numFmtId="165" fontId="0" fillId="7" borderId="0" xfId="2" applyNumberFormat="1" applyFont="1" applyFill="1" applyBorder="1" applyAlignment="1">
      <alignment horizontal="center"/>
    </xf>
    <xf numFmtId="0" fontId="6" fillId="7" borderId="1" xfId="0" applyFont="1" applyFill="1" applyBorder="1"/>
    <xf numFmtId="165" fontId="0" fillId="7" borderId="1" xfId="2" applyNumberFormat="1" applyFont="1" applyFill="1" applyBorder="1" applyAlignment="1">
      <alignment horizontal="center"/>
    </xf>
    <xf numFmtId="0" fontId="2" fillId="0" borderId="1" xfId="0" applyFont="1" applyBorder="1"/>
    <xf numFmtId="0" fontId="0" fillId="0" borderId="1" xfId="0" applyBorder="1" applyAlignment="1">
      <alignment horizontal="center"/>
    </xf>
    <xf numFmtId="0" fontId="0" fillId="7" borderId="1" xfId="0" applyFill="1" applyBorder="1"/>
    <xf numFmtId="0" fontId="0" fillId="2" borderId="0" xfId="0" applyFill="1"/>
    <xf numFmtId="165" fontId="0" fillId="2" borderId="0" xfId="0" applyNumberFormat="1" applyFill="1"/>
    <xf numFmtId="9" fontId="1" fillId="2" borderId="0" xfId="1" applyFont="1" applyFill="1"/>
    <xf numFmtId="165" fontId="1" fillId="2" borderId="0" xfId="2" applyNumberFormat="1" applyFont="1" applyFill="1" applyAlignment="1">
      <alignment horizontal="center"/>
    </xf>
    <xf numFmtId="44" fontId="1" fillId="2" borderId="0" xfId="3" applyFont="1" applyFill="1"/>
    <xf numFmtId="43" fontId="0" fillId="2" borderId="0" xfId="0" applyNumberFormat="1" applyFill="1"/>
    <xf numFmtId="165" fontId="0" fillId="2" borderId="17" xfId="0" applyNumberFormat="1" applyFill="1" applyBorder="1"/>
    <xf numFmtId="9" fontId="1" fillId="2" borderId="17" xfId="1" applyFont="1" applyFill="1" applyBorder="1"/>
    <xf numFmtId="0" fontId="9" fillId="3" borderId="0" xfId="0" applyFont="1" applyFill="1"/>
    <xf numFmtId="165" fontId="2" fillId="3" borderId="0" xfId="2" applyNumberFormat="1" applyFont="1" applyFill="1" applyBorder="1" applyAlignment="1">
      <alignment horizontal="center"/>
    </xf>
    <xf numFmtId="43" fontId="2" fillId="3" borderId="0" xfId="2" applyFont="1" applyFill="1" applyBorder="1" applyAlignment="1">
      <alignment horizontal="center"/>
    </xf>
    <xf numFmtId="10" fontId="2" fillId="3" borderId="0" xfId="1" applyNumberFormat="1" applyFont="1" applyFill="1" applyBorder="1" applyAlignment="1">
      <alignment horizontal="center"/>
    </xf>
    <xf numFmtId="43" fontId="2" fillId="3" borderId="0" xfId="0" applyNumberFormat="1" applyFont="1" applyFill="1" applyAlignment="1">
      <alignment horizontal="center"/>
    </xf>
    <xf numFmtId="164" fontId="2" fillId="3" borderId="0" xfId="1" applyNumberFormat="1" applyFont="1" applyFill="1" applyBorder="1" applyAlignment="1">
      <alignment horizontal="center"/>
    </xf>
    <xf numFmtId="165" fontId="2" fillId="3" borderId="0" xfId="2" applyNumberFormat="1" applyFont="1" applyFill="1" applyBorder="1" applyAlignment="1"/>
    <xf numFmtId="164" fontId="2" fillId="3" borderId="0" xfId="0" applyNumberFormat="1" applyFont="1" applyFill="1" applyAlignment="1">
      <alignment horizontal="center"/>
    </xf>
    <xf numFmtId="0" fontId="9" fillId="0" borderId="0" xfId="0" applyFont="1"/>
    <xf numFmtId="165" fontId="2" fillId="0" borderId="0" xfId="2" applyNumberFormat="1" applyFont="1" applyFill="1" applyAlignment="1">
      <alignment horizontal="center"/>
    </xf>
    <xf numFmtId="10" fontId="2" fillId="0" borderId="0" xfId="1" applyNumberFormat="1" applyFont="1" applyFill="1" applyBorder="1" applyAlignment="1">
      <alignment horizontal="center"/>
    </xf>
    <xf numFmtId="43" fontId="2" fillId="0" borderId="0" xfId="0" applyNumberFormat="1" applyFont="1" applyAlignment="1">
      <alignment horizontal="center"/>
    </xf>
    <xf numFmtId="165" fontId="2" fillId="0" borderId="0" xfId="2" applyNumberFormat="1" applyFont="1" applyAlignment="1">
      <alignment horizontal="center"/>
    </xf>
    <xf numFmtId="164" fontId="2" fillId="0" borderId="0" xfId="1" applyNumberFormat="1" applyFont="1" applyAlignment="1">
      <alignment horizontal="center"/>
    </xf>
    <xf numFmtId="165" fontId="2" fillId="0" borderId="0" xfId="2" applyNumberFormat="1" applyFont="1" applyBorder="1" applyAlignment="1"/>
    <xf numFmtId="164" fontId="2" fillId="0" borderId="0" xfId="1" applyNumberFormat="1" applyFont="1" applyBorder="1" applyAlignment="1">
      <alignment horizontal="center"/>
    </xf>
    <xf numFmtId="164" fontId="2" fillId="0" borderId="0" xfId="0" applyNumberFormat="1" applyFont="1" applyAlignment="1">
      <alignment horizontal="center"/>
    </xf>
    <xf numFmtId="165" fontId="2" fillId="3" borderId="0" xfId="2" applyNumberFormat="1" applyFont="1" applyFill="1" applyAlignment="1">
      <alignment horizontal="center"/>
    </xf>
    <xf numFmtId="164" fontId="2" fillId="3" borderId="0" xfId="1" applyNumberFormat="1" applyFont="1" applyFill="1" applyAlignment="1">
      <alignment horizontal="center"/>
    </xf>
    <xf numFmtId="165" fontId="2" fillId="0" borderId="0" xfId="2" applyNumberFormat="1" applyFont="1" applyBorder="1" applyAlignment="1">
      <alignment horizontal="center"/>
    </xf>
    <xf numFmtId="43" fontId="2" fillId="0" borderId="0" xfId="2" applyFont="1" applyFill="1" applyBorder="1" applyAlignment="1">
      <alignment horizontal="center"/>
    </xf>
    <xf numFmtId="43" fontId="0" fillId="0" borderId="0" xfId="2" applyFont="1" applyFill="1" applyBorder="1" applyAlignment="1">
      <alignment horizontal="center"/>
    </xf>
    <xf numFmtId="0" fontId="6" fillId="10" borderId="0" xfId="0" applyFont="1" applyFill="1"/>
    <xf numFmtId="165" fontId="0" fillId="10" borderId="0" xfId="2" applyNumberFormat="1" applyFont="1" applyFill="1" applyAlignment="1">
      <alignment horizontal="center"/>
    </xf>
    <xf numFmtId="43" fontId="0" fillId="10" borderId="0" xfId="2" applyFont="1" applyFill="1" applyBorder="1" applyAlignment="1">
      <alignment horizontal="center"/>
    </xf>
    <xf numFmtId="10" fontId="1" fillId="10" borderId="0" xfId="1" applyNumberFormat="1" applyFont="1" applyFill="1" applyBorder="1" applyAlignment="1">
      <alignment horizontal="center"/>
    </xf>
    <xf numFmtId="0" fontId="0" fillId="10" borderId="0" xfId="0" applyFill="1" applyAlignment="1">
      <alignment horizontal="center"/>
    </xf>
    <xf numFmtId="43" fontId="0" fillId="10" borderId="0" xfId="0" applyNumberFormat="1" applyFill="1" applyAlignment="1">
      <alignment horizontal="center"/>
    </xf>
    <xf numFmtId="164" fontId="0" fillId="10" borderId="0" xfId="1" applyNumberFormat="1" applyFont="1" applyFill="1" applyAlignment="1">
      <alignment horizontal="center"/>
    </xf>
    <xf numFmtId="165" fontId="0" fillId="10" borderId="0" xfId="2" applyNumberFormat="1" applyFont="1" applyFill="1" applyBorder="1" applyAlignment="1">
      <alignment horizontal="center"/>
    </xf>
    <xf numFmtId="164" fontId="0" fillId="10" borderId="0" xfId="1" applyNumberFormat="1" applyFont="1" applyFill="1" applyBorder="1" applyAlignment="1">
      <alignment horizontal="center"/>
    </xf>
    <xf numFmtId="164" fontId="0" fillId="10" borderId="0" xfId="0" applyNumberFormat="1" applyFill="1" applyAlignment="1">
      <alignment horizontal="center"/>
    </xf>
    <xf numFmtId="0" fontId="0" fillId="10" borderId="0" xfId="0" applyFill="1"/>
    <xf numFmtId="0" fontId="9" fillId="10" borderId="0" xfId="0" applyFont="1" applyFill="1"/>
    <xf numFmtId="165" fontId="2" fillId="10" borderId="0" xfId="2" applyNumberFormat="1" applyFont="1" applyFill="1" applyAlignment="1">
      <alignment horizontal="center"/>
    </xf>
    <xf numFmtId="43" fontId="2" fillId="10" borderId="0" xfId="2" applyFont="1" applyFill="1" applyBorder="1" applyAlignment="1">
      <alignment horizontal="center"/>
    </xf>
    <xf numFmtId="10" fontId="2" fillId="10" borderId="0" xfId="1" applyNumberFormat="1" applyFont="1" applyFill="1" applyBorder="1" applyAlignment="1">
      <alignment horizontal="center"/>
    </xf>
    <xf numFmtId="0" fontId="2" fillId="10" borderId="0" xfId="0" applyFont="1" applyFill="1" applyAlignment="1">
      <alignment horizontal="center"/>
    </xf>
    <xf numFmtId="43" fontId="2" fillId="10" borderId="0" xfId="0" applyNumberFormat="1" applyFont="1" applyFill="1" applyAlignment="1">
      <alignment horizontal="center"/>
    </xf>
    <xf numFmtId="164" fontId="2" fillId="10" borderId="0" xfId="1" applyNumberFormat="1" applyFont="1" applyFill="1" applyAlignment="1">
      <alignment horizontal="center"/>
    </xf>
    <xf numFmtId="165" fontId="2" fillId="10" borderId="0" xfId="2" applyNumberFormat="1" applyFont="1" applyFill="1" applyBorder="1" applyAlignment="1">
      <alignment horizontal="center"/>
    </xf>
    <xf numFmtId="164" fontId="2" fillId="10" borderId="0" xfId="1" applyNumberFormat="1" applyFont="1" applyFill="1" applyBorder="1" applyAlignment="1">
      <alignment horizontal="center"/>
    </xf>
    <xf numFmtId="164" fontId="2" fillId="10" borderId="0" xfId="0" applyNumberFormat="1" applyFont="1" applyFill="1" applyAlignment="1">
      <alignment horizontal="center"/>
    </xf>
    <xf numFmtId="0" fontId="2" fillId="10" borderId="0" xfId="0" applyFont="1" applyFill="1"/>
    <xf numFmtId="0" fontId="9" fillId="0" borderId="1" xfId="0" applyFont="1" applyBorder="1"/>
    <xf numFmtId="165" fontId="2" fillId="0" borderId="1" xfId="2" applyNumberFormat="1" applyFont="1" applyFill="1" applyBorder="1" applyAlignment="1">
      <alignment horizontal="center"/>
    </xf>
    <xf numFmtId="10" fontId="2" fillId="0" borderId="1" xfId="1" applyNumberFormat="1" applyFont="1" applyFill="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164" fontId="2" fillId="0" borderId="1" xfId="1" applyNumberFormat="1" applyFont="1" applyFill="1" applyBorder="1" applyAlignment="1">
      <alignment horizontal="center"/>
    </xf>
    <xf numFmtId="43" fontId="2" fillId="0" borderId="1" xfId="2" applyFont="1" applyFill="1" applyBorder="1" applyAlignment="1">
      <alignment horizontal="center"/>
    </xf>
    <xf numFmtId="0" fontId="2" fillId="0" borderId="0" xfId="0" applyFont="1" applyAlignment="1">
      <alignment horizontal="right"/>
    </xf>
    <xf numFmtId="165" fontId="2" fillId="0" borderId="0" xfId="0" applyNumberFormat="1" applyFont="1"/>
    <xf numFmtId="0" fontId="6" fillId="11" borderId="0" xfId="0" applyFont="1" applyFill="1"/>
    <xf numFmtId="165" fontId="0" fillId="11" borderId="0" xfId="2" applyNumberFormat="1" applyFont="1" applyFill="1" applyBorder="1" applyAlignment="1">
      <alignment horizontal="center"/>
    </xf>
    <xf numFmtId="43" fontId="0" fillId="11" borderId="0" xfId="2" applyFont="1" applyFill="1" applyBorder="1" applyAlignment="1">
      <alignment horizontal="center"/>
    </xf>
    <xf numFmtId="10" fontId="1" fillId="11" borderId="0" xfId="1" applyNumberFormat="1" applyFont="1" applyFill="1" applyBorder="1" applyAlignment="1">
      <alignment horizontal="center"/>
    </xf>
    <xf numFmtId="0" fontId="0" fillId="11" borderId="0" xfId="0" applyFill="1" applyAlignment="1">
      <alignment horizontal="center"/>
    </xf>
    <xf numFmtId="43" fontId="0" fillId="11" borderId="0" xfId="0" applyNumberFormat="1" applyFill="1" applyAlignment="1">
      <alignment horizontal="center"/>
    </xf>
    <xf numFmtId="165" fontId="0" fillId="11" borderId="0" xfId="2" applyNumberFormat="1" applyFont="1" applyFill="1" applyAlignment="1">
      <alignment horizontal="center"/>
    </xf>
    <xf numFmtId="164" fontId="0" fillId="11" borderId="0" xfId="1" applyNumberFormat="1" applyFont="1" applyFill="1" applyBorder="1" applyAlignment="1">
      <alignment horizontal="center"/>
    </xf>
    <xf numFmtId="164" fontId="0" fillId="11" borderId="0" xfId="0" applyNumberFormat="1" applyFill="1" applyAlignment="1">
      <alignment horizontal="center"/>
    </xf>
    <xf numFmtId="164" fontId="2" fillId="0" borderId="0" xfId="1" applyNumberFormat="1" applyFont="1" applyFill="1" applyAlignment="1">
      <alignment horizontal="center"/>
    </xf>
    <xf numFmtId="165" fontId="2" fillId="0" borderId="0" xfId="2" applyNumberFormat="1" applyFont="1" applyFill="1" applyBorder="1" applyAlignment="1">
      <alignment horizontal="center"/>
    </xf>
    <xf numFmtId="164" fontId="2" fillId="0" borderId="0" xfId="1" applyNumberFormat="1" applyFont="1" applyFill="1" applyBorder="1" applyAlignment="1">
      <alignment horizontal="center"/>
    </xf>
    <xf numFmtId="164" fontId="0" fillId="11" borderId="0" xfId="1" applyNumberFormat="1" applyFont="1" applyFill="1" applyAlignment="1">
      <alignment horizontal="center"/>
    </xf>
    <xf numFmtId="0" fontId="9" fillId="11" borderId="0" xfId="0" applyFont="1" applyFill="1"/>
    <xf numFmtId="165" fontId="2" fillId="11" borderId="0" xfId="2" applyNumberFormat="1" applyFont="1" applyFill="1" applyAlignment="1">
      <alignment horizontal="center"/>
    </xf>
    <xf numFmtId="43" fontId="2" fillId="11" borderId="0" xfId="2" applyFont="1" applyFill="1" applyBorder="1" applyAlignment="1">
      <alignment horizontal="center"/>
    </xf>
    <xf numFmtId="10" fontId="2" fillId="11" borderId="0" xfId="1" applyNumberFormat="1" applyFont="1" applyFill="1" applyBorder="1" applyAlignment="1">
      <alignment horizontal="center"/>
    </xf>
    <xf numFmtId="0" fontId="2" fillId="11" borderId="0" xfId="0" applyFont="1" applyFill="1" applyAlignment="1">
      <alignment horizontal="center"/>
    </xf>
    <xf numFmtId="43" fontId="2" fillId="11" borderId="0" xfId="0" applyNumberFormat="1" applyFont="1" applyFill="1" applyAlignment="1">
      <alignment horizontal="center"/>
    </xf>
    <xf numFmtId="164" fontId="2" fillId="11" borderId="0" xfId="0" applyNumberFormat="1" applyFont="1" applyFill="1" applyAlignment="1">
      <alignment horizontal="center"/>
    </xf>
    <xf numFmtId="164" fontId="2" fillId="11" borderId="0" xfId="1" applyNumberFormat="1" applyFont="1" applyFill="1" applyAlignment="1">
      <alignment horizontal="center"/>
    </xf>
    <xf numFmtId="165" fontId="2" fillId="11" borderId="0" xfId="2" applyNumberFormat="1" applyFont="1" applyFill="1" applyBorder="1" applyAlignment="1">
      <alignment horizontal="center"/>
    </xf>
    <xf numFmtId="164" fontId="2" fillId="11" borderId="0" xfId="1" applyNumberFormat="1" applyFont="1" applyFill="1" applyBorder="1" applyAlignment="1">
      <alignment horizontal="center"/>
    </xf>
    <xf numFmtId="0" fontId="9" fillId="11" borderId="1" xfId="0" applyFont="1" applyFill="1" applyBorder="1"/>
    <xf numFmtId="165" fontId="2" fillId="11" borderId="1" xfId="2" applyNumberFormat="1" applyFont="1" applyFill="1" applyBorder="1" applyAlignment="1">
      <alignment horizontal="center"/>
    </xf>
    <xf numFmtId="43" fontId="2" fillId="11" borderId="1" xfId="2" applyFont="1" applyFill="1" applyBorder="1" applyAlignment="1">
      <alignment horizontal="center"/>
    </xf>
    <xf numFmtId="10" fontId="2" fillId="11" borderId="1" xfId="1" applyNumberFormat="1" applyFont="1" applyFill="1" applyBorder="1" applyAlignment="1">
      <alignment horizontal="center"/>
    </xf>
    <xf numFmtId="0" fontId="2" fillId="11" borderId="1" xfId="0" applyFont="1" applyFill="1" applyBorder="1" applyAlignment="1">
      <alignment horizontal="center"/>
    </xf>
    <xf numFmtId="164" fontId="2" fillId="11" borderId="1" xfId="0" applyNumberFormat="1" applyFont="1" applyFill="1" applyBorder="1" applyAlignment="1">
      <alignment horizontal="center"/>
    </xf>
    <xf numFmtId="164" fontId="2" fillId="11" borderId="1" xfId="1" applyNumberFormat="1" applyFont="1" applyFill="1" applyBorder="1" applyAlignment="1">
      <alignment horizontal="center"/>
    </xf>
    <xf numFmtId="9" fontId="2" fillId="0" borderId="0" xfId="1" applyFont="1"/>
    <xf numFmtId="165" fontId="2" fillId="11" borderId="0" xfId="2" applyNumberFormat="1" applyFont="1" applyFill="1" applyBorder="1" applyAlignment="1"/>
    <xf numFmtId="164" fontId="1" fillId="11" borderId="0" xfId="1" applyNumberFormat="1" applyFont="1" applyFill="1" applyAlignment="1">
      <alignment horizontal="center"/>
    </xf>
    <xf numFmtId="165" fontId="0" fillId="11" borderId="0" xfId="2" applyNumberFormat="1" applyFont="1" applyFill="1" applyBorder="1" applyAlignment="1"/>
    <xf numFmtId="10" fontId="2" fillId="0" borderId="0" xfId="1" applyNumberFormat="1" applyFont="1" applyFill="1" applyBorder="1" applyAlignment="1">
      <alignment horizontal="left"/>
    </xf>
    <xf numFmtId="0" fontId="2" fillId="12" borderId="0" xfId="0" applyFont="1" applyFill="1" applyAlignment="1">
      <alignment horizontal="right"/>
    </xf>
    <xf numFmtId="165" fontId="2" fillId="12" borderId="0" xfId="0" applyNumberFormat="1" applyFont="1" applyFill="1"/>
    <xf numFmtId="0" fontId="0" fillId="12" borderId="0" xfId="0" applyFill="1"/>
    <xf numFmtId="9" fontId="2" fillId="12" borderId="0" xfId="1" applyFont="1" applyFill="1"/>
    <xf numFmtId="165" fontId="2" fillId="0" borderId="0" xfId="2" applyNumberFormat="1" applyFont="1" applyFill="1" applyBorder="1" applyAlignment="1"/>
    <xf numFmtId="164" fontId="1" fillId="0" borderId="0" xfId="1" applyNumberFormat="1" applyFont="1" applyFill="1" applyAlignment="1">
      <alignment horizontal="center"/>
    </xf>
    <xf numFmtId="0" fontId="6" fillId="0" borderId="1" xfId="0" applyFont="1" applyBorder="1"/>
    <xf numFmtId="165" fontId="0" fillId="0" borderId="1" xfId="2" applyNumberFormat="1" applyFont="1" applyFill="1" applyBorder="1" applyAlignment="1">
      <alignment horizontal="center"/>
    </xf>
    <xf numFmtId="43" fontId="0" fillId="0" borderId="1" xfId="2" applyFont="1" applyFill="1" applyBorder="1" applyAlignment="1">
      <alignment horizontal="center"/>
    </xf>
    <xf numFmtId="10" fontId="1" fillId="0" borderId="1" xfId="1" applyNumberFormat="1" applyFont="1" applyFill="1" applyBorder="1" applyAlignment="1">
      <alignment horizontal="center"/>
    </xf>
    <xf numFmtId="43" fontId="0" fillId="0" borderId="1" xfId="0" applyNumberFormat="1" applyBorder="1" applyAlignment="1">
      <alignment horizontal="center"/>
    </xf>
    <xf numFmtId="164" fontId="0" fillId="0" borderId="1" xfId="1" applyNumberFormat="1" applyFont="1" applyFill="1" applyBorder="1" applyAlignment="1">
      <alignment horizontal="center"/>
    </xf>
    <xf numFmtId="164" fontId="0" fillId="0" borderId="1" xfId="0" applyNumberFormat="1" applyBorder="1" applyAlignment="1">
      <alignment horizontal="center"/>
    </xf>
    <xf numFmtId="169" fontId="0" fillId="0" borderId="0" xfId="1" applyNumberFormat="1" applyFont="1"/>
    <xf numFmtId="3"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165" fontId="0" fillId="6" borderId="0" xfId="2" applyNumberFormat="1" applyFont="1" applyFill="1" applyBorder="1" applyAlignment="1">
      <alignment horizontal="center" vertical="center"/>
    </xf>
    <xf numFmtId="14" fontId="0" fillId="0" borderId="14" xfId="0" applyNumberFormat="1" applyBorder="1" applyAlignment="1">
      <alignment horizontal="center" vertical="center"/>
    </xf>
    <xf numFmtId="0" fontId="0" fillId="0" borderId="14" xfId="0" applyBorder="1" applyAlignment="1">
      <alignment horizontal="center" vertic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6" borderId="0" xfId="0" applyFill="1" applyAlignment="1">
      <alignment horizontal="center" vertical="center" wrapText="1"/>
    </xf>
    <xf numFmtId="0" fontId="0" fillId="6" borderId="4" xfId="0" applyFill="1" applyBorder="1" applyAlignment="1">
      <alignment horizontal="center" vertical="center" wrapText="1"/>
    </xf>
    <xf numFmtId="0" fontId="2" fillId="0" borderId="13" xfId="0" applyFont="1" applyBorder="1" applyAlignment="1">
      <alignment horizontal="center" wrapText="1"/>
    </xf>
    <xf numFmtId="0" fontId="2" fillId="0" borderId="15" xfId="0" applyFont="1" applyBorder="1" applyAlignment="1">
      <alignment horizontal="center" wrapText="1"/>
    </xf>
    <xf numFmtId="9" fontId="2" fillId="3" borderId="0" xfId="1" applyFont="1" applyFill="1" applyBorder="1" applyAlignment="1">
      <alignment horizontal="center" vertical="center"/>
    </xf>
    <xf numFmtId="0" fontId="0" fillId="0" borderId="17" xfId="0" applyBorder="1" applyAlignment="1">
      <alignment horizontal="center" vertical="center"/>
    </xf>
    <xf numFmtId="0" fontId="2" fillId="3" borderId="0" xfId="0" applyFont="1" applyFill="1" applyAlignment="1">
      <alignment horizontal="center"/>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29FC-7201-4145-BEEC-DA62E25804F6}">
  <sheetPr>
    <pageSetUpPr fitToPage="1"/>
  </sheetPr>
  <dimension ref="A1:V43"/>
  <sheetViews>
    <sheetView zoomScaleNormal="100" zoomScaleSheetLayoutView="100" workbookViewId="0">
      <selection activeCell="K4" sqref="K4"/>
    </sheetView>
  </sheetViews>
  <sheetFormatPr defaultColWidth="9" defaultRowHeight="14.25" x14ac:dyDescent="0.2"/>
  <cols>
    <col min="1" max="1" width="29.25" customWidth="1"/>
    <col min="2" max="3" width="11" customWidth="1"/>
    <col min="5" max="5" width="13" hidden="1" customWidth="1"/>
    <col min="6" max="6" width="15.625" hidden="1" customWidth="1"/>
    <col min="7" max="8" width="9.875" customWidth="1"/>
    <col min="10" max="10" width="8.75" hidden="1" customWidth="1"/>
    <col min="11" max="11" width="11" customWidth="1"/>
    <col min="13" max="13" width="13.875" customWidth="1"/>
    <col min="14" max="14" width="16.25" customWidth="1"/>
    <col min="15" max="15" width="13.375" customWidth="1"/>
    <col min="17" max="18" width="10.75" customWidth="1"/>
    <col min="19" max="19" width="12.125" customWidth="1"/>
    <col min="20" max="22" width="9" customWidth="1"/>
  </cols>
  <sheetData>
    <row r="1" spans="1:22" ht="15" thickBot="1" x14ac:dyDescent="0.25">
      <c r="I1" s="19"/>
      <c r="J1" s="19"/>
      <c r="K1" s="19"/>
      <c r="L1" s="19"/>
      <c r="M1" s="19"/>
      <c r="O1" s="304" t="s">
        <v>171</v>
      </c>
      <c r="P1" s="305"/>
      <c r="Q1" s="305"/>
      <c r="R1" s="306"/>
    </row>
    <row r="2" spans="1:22" ht="14.25" customHeight="1" x14ac:dyDescent="0.2">
      <c r="A2" s="19" t="s">
        <v>39</v>
      </c>
      <c r="I2" s="76"/>
      <c r="J2" s="76"/>
      <c r="K2" s="76"/>
      <c r="L2" s="76"/>
      <c r="M2" s="76"/>
      <c r="O2" s="108"/>
      <c r="Q2" s="307" t="s">
        <v>170</v>
      </c>
      <c r="R2" s="109"/>
      <c r="S2" s="309" t="s">
        <v>172</v>
      </c>
    </row>
    <row r="3" spans="1:22" ht="15" thickBot="1" x14ac:dyDescent="0.25">
      <c r="A3" s="11" t="s">
        <v>191</v>
      </c>
      <c r="B3" s="77" t="s">
        <v>19</v>
      </c>
      <c r="C3" s="77" t="s">
        <v>181</v>
      </c>
      <c r="D3" s="77" t="s">
        <v>30</v>
      </c>
      <c r="E3" s="77"/>
      <c r="F3" s="77"/>
      <c r="G3" s="77" t="s">
        <v>29</v>
      </c>
      <c r="H3" s="129" t="s">
        <v>176</v>
      </c>
      <c r="I3" s="77" t="s">
        <v>25</v>
      </c>
      <c r="J3" s="77" t="s">
        <v>160</v>
      </c>
      <c r="K3" s="77" t="s">
        <v>162</v>
      </c>
      <c r="L3" s="77" t="s">
        <v>161</v>
      </c>
      <c r="M3" s="77" t="s">
        <v>163</v>
      </c>
      <c r="N3" s="77" t="s">
        <v>177</v>
      </c>
      <c r="O3" s="110" t="s">
        <v>167</v>
      </c>
      <c r="P3" s="12" t="s">
        <v>168</v>
      </c>
      <c r="Q3" s="308"/>
      <c r="R3" s="111" t="s">
        <v>169</v>
      </c>
      <c r="S3" s="310"/>
      <c r="T3">
        <v>2021</v>
      </c>
      <c r="U3">
        <v>2022</v>
      </c>
    </row>
    <row r="4" spans="1:22" ht="16.5" thickTop="1" x14ac:dyDescent="0.25">
      <c r="A4" s="104" t="s">
        <v>8</v>
      </c>
      <c r="B4" s="89">
        <v>113496</v>
      </c>
      <c r="C4" s="128">
        <f>B4/12</f>
        <v>9458</v>
      </c>
      <c r="D4" s="90">
        <v>0.49940000000000001</v>
      </c>
      <c r="E4" s="91">
        <f t="shared" ref="E4:E16" si="0">D4*G4</f>
        <v>28373.411</v>
      </c>
      <c r="F4" s="92">
        <f t="shared" ref="F4:F29" si="1">B4*D4</f>
        <v>56679.902399999999</v>
      </c>
      <c r="G4" s="89">
        <v>56815</v>
      </c>
      <c r="H4" s="130">
        <f>(G4+G16)/O4</f>
        <v>1.25332</v>
      </c>
      <c r="I4" s="93">
        <v>19.809999999999999</v>
      </c>
      <c r="J4" s="94"/>
      <c r="K4" s="95">
        <f t="shared" ref="K4:K29" si="2">G4*1.272</f>
        <v>72268.680000000008</v>
      </c>
      <c r="L4" s="94">
        <f t="shared" ref="L4:L18" si="3">(G4*I4)/K4</f>
        <v>15.57389937106918</v>
      </c>
      <c r="M4" s="96">
        <f t="shared" ref="M4:M30" si="4">G4*I4</f>
        <v>1125505.1499999999</v>
      </c>
      <c r="N4" s="21"/>
      <c r="O4" s="112">
        <v>50000</v>
      </c>
      <c r="P4" s="21" t="s">
        <v>29</v>
      </c>
      <c r="Q4" s="123">
        <f t="shared" ref="Q4:Q11" si="5">O4/(1-D4)</f>
        <v>99880.143827407126</v>
      </c>
      <c r="R4" s="113">
        <v>44286</v>
      </c>
      <c r="S4" s="125">
        <v>44024</v>
      </c>
      <c r="T4" s="41">
        <f>Q4+Q5+Q6+Q7+Q9+Q12+Q15+Q17+Q26</f>
        <v>298659.19506402302</v>
      </c>
      <c r="U4" s="41">
        <f>Q7+Q15+Q26</f>
        <v>63940.301233831953</v>
      </c>
    </row>
    <row r="5" spans="1:22" ht="15.75" x14ac:dyDescent="0.25">
      <c r="A5" s="105" t="s">
        <v>11</v>
      </c>
      <c r="B5" s="80">
        <v>62329</v>
      </c>
      <c r="C5" s="128">
        <f t="shared" ref="C5:C29" si="6">B5/12</f>
        <v>5194.083333333333</v>
      </c>
      <c r="D5" s="135">
        <f t="shared" ref="D5:D23" si="7">1-(G5/B5)</f>
        <v>0.45336841598613808</v>
      </c>
      <c r="E5" s="67">
        <f t="shared" si="0"/>
        <v>15446.71530106371</v>
      </c>
      <c r="F5" s="82">
        <f t="shared" si="1"/>
        <v>28258</v>
      </c>
      <c r="G5" s="33">
        <v>34071</v>
      </c>
      <c r="H5" s="76">
        <f>G5/O5</f>
        <v>1.3628400000000001</v>
      </c>
      <c r="I5" s="84">
        <v>27.43</v>
      </c>
      <c r="J5" s="84"/>
      <c r="K5" s="88">
        <f t="shared" si="2"/>
        <v>43338.311999999998</v>
      </c>
      <c r="L5" s="78">
        <f t="shared" si="3"/>
        <v>21.564465408805034</v>
      </c>
      <c r="M5" s="85">
        <f t="shared" si="4"/>
        <v>934567.53</v>
      </c>
      <c r="O5" s="114">
        <v>25000</v>
      </c>
      <c r="P5" t="s">
        <v>29</v>
      </c>
      <c r="Q5" s="123">
        <f t="shared" si="5"/>
        <v>45734.642364474188</v>
      </c>
      <c r="R5" s="115">
        <v>44255</v>
      </c>
      <c r="S5" s="126">
        <v>44135</v>
      </c>
    </row>
    <row r="6" spans="1:22" ht="15.75" x14ac:dyDescent="0.25">
      <c r="A6" s="104" t="s">
        <v>13</v>
      </c>
      <c r="B6" s="97">
        <v>49183</v>
      </c>
      <c r="C6" s="128">
        <f t="shared" si="6"/>
        <v>4098.583333333333</v>
      </c>
      <c r="D6" s="131">
        <f t="shared" si="7"/>
        <v>0.43537401134538356</v>
      </c>
      <c r="E6" s="132">
        <f t="shared" si="0"/>
        <v>12090.336295061301</v>
      </c>
      <c r="F6" s="133">
        <f t="shared" si="1"/>
        <v>21413</v>
      </c>
      <c r="G6" s="97">
        <v>27770</v>
      </c>
      <c r="H6" s="130">
        <f>(G6+G11)/(O6+O11)</f>
        <v>1.1480645161290322</v>
      </c>
      <c r="I6" s="98">
        <v>21.64</v>
      </c>
      <c r="J6" s="99"/>
      <c r="K6" s="95">
        <f t="shared" si="2"/>
        <v>35323.440000000002</v>
      </c>
      <c r="L6" s="94">
        <f t="shared" si="3"/>
        <v>17.012578616352201</v>
      </c>
      <c r="M6" s="96">
        <f t="shared" si="4"/>
        <v>600942.80000000005</v>
      </c>
      <c r="N6" s="21"/>
      <c r="O6" s="112">
        <v>7200</v>
      </c>
      <c r="P6" s="21" t="s">
        <v>29</v>
      </c>
      <c r="Q6" s="145">
        <f t="shared" si="5"/>
        <v>12751.804105149442</v>
      </c>
      <c r="R6" s="115">
        <v>44255</v>
      </c>
      <c r="S6" s="19"/>
      <c r="T6" s="19"/>
      <c r="U6" s="19"/>
      <c r="V6" s="19"/>
    </row>
    <row r="7" spans="1:22" ht="15.75" x14ac:dyDescent="0.25">
      <c r="A7" s="105" t="s">
        <v>14</v>
      </c>
      <c r="B7" s="80">
        <v>23529</v>
      </c>
      <c r="C7" s="128">
        <f t="shared" si="6"/>
        <v>1960.75</v>
      </c>
      <c r="D7" s="135">
        <f t="shared" si="7"/>
        <v>0.4272174763058354</v>
      </c>
      <c r="E7" s="67">
        <f t="shared" si="0"/>
        <v>5757.6099281737434</v>
      </c>
      <c r="F7" s="82">
        <f t="shared" si="1"/>
        <v>10052.000000000002</v>
      </c>
      <c r="G7" s="80">
        <v>13477</v>
      </c>
      <c r="H7" s="76">
        <f>G7/O7</f>
        <v>0.53908</v>
      </c>
      <c r="I7" s="86">
        <v>28.22</v>
      </c>
      <c r="J7" s="84"/>
      <c r="K7" s="88">
        <f t="shared" si="2"/>
        <v>17142.743999999999</v>
      </c>
      <c r="L7" s="78">
        <f t="shared" si="3"/>
        <v>22.185534591194969</v>
      </c>
      <c r="M7" s="85">
        <f t="shared" si="4"/>
        <v>380320.94</v>
      </c>
      <c r="O7" s="114">
        <v>25000</v>
      </c>
      <c r="P7" t="s">
        <v>29</v>
      </c>
      <c r="Q7" s="123">
        <f t="shared" si="5"/>
        <v>43646.583067448249</v>
      </c>
      <c r="R7" s="115">
        <v>44620</v>
      </c>
      <c r="S7" s="126" t="s">
        <v>198</v>
      </c>
    </row>
    <row r="8" spans="1:22" ht="15.75" x14ac:dyDescent="0.25">
      <c r="A8" s="104" t="s">
        <v>51</v>
      </c>
      <c r="B8" s="97">
        <v>34032</v>
      </c>
      <c r="C8" s="128">
        <f t="shared" si="6"/>
        <v>2836</v>
      </c>
      <c r="D8" s="90">
        <f t="shared" si="7"/>
        <v>0.44813704748472027</v>
      </c>
      <c r="E8" s="91">
        <f t="shared" si="0"/>
        <v>8416.4618888105306</v>
      </c>
      <c r="F8" s="92">
        <f t="shared" si="1"/>
        <v>15251</v>
      </c>
      <c r="G8" s="97">
        <v>18781</v>
      </c>
      <c r="H8" s="130">
        <f>G8/O8</f>
        <v>0.85368181818181821</v>
      </c>
      <c r="I8" s="99">
        <v>27.14</v>
      </c>
      <c r="J8" s="99"/>
      <c r="K8" s="95">
        <f t="shared" si="2"/>
        <v>23889.432000000001</v>
      </c>
      <c r="L8" s="94">
        <f t="shared" si="3"/>
        <v>21.336477987421382</v>
      </c>
      <c r="M8" s="96">
        <f t="shared" si="4"/>
        <v>509716.34</v>
      </c>
      <c r="N8" s="21"/>
      <c r="O8" s="112">
        <v>22000</v>
      </c>
      <c r="P8" s="21" t="s">
        <v>29</v>
      </c>
      <c r="Q8" s="123">
        <f t="shared" si="5"/>
        <v>39864.96991640488</v>
      </c>
      <c r="R8" s="113">
        <v>44135</v>
      </c>
      <c r="S8" s="125">
        <v>44124</v>
      </c>
    </row>
    <row r="9" spans="1:22" ht="15.75" x14ac:dyDescent="0.25">
      <c r="A9" s="105" t="s">
        <v>16</v>
      </c>
      <c r="B9" s="80">
        <v>14729</v>
      </c>
      <c r="C9" s="128">
        <f t="shared" si="6"/>
        <v>1227.4166666666667</v>
      </c>
      <c r="D9" s="135">
        <f t="shared" si="7"/>
        <v>0.45841537103673025</v>
      </c>
      <c r="E9" s="67">
        <f t="shared" si="0"/>
        <v>3656.7794147599971</v>
      </c>
      <c r="F9" s="82">
        <f t="shared" si="1"/>
        <v>6752</v>
      </c>
      <c r="G9" s="80">
        <v>7977</v>
      </c>
      <c r="H9" s="76">
        <f>G9/O9</f>
        <v>0.79769999999999996</v>
      </c>
      <c r="I9" s="137">
        <v>21.43</v>
      </c>
      <c r="J9" s="137"/>
      <c r="K9" s="138">
        <f t="shared" si="2"/>
        <v>10146.744000000001</v>
      </c>
      <c r="L9" s="136">
        <f t="shared" si="3"/>
        <v>16.847484276729556</v>
      </c>
      <c r="M9" s="85">
        <f t="shared" si="4"/>
        <v>170947.11</v>
      </c>
      <c r="O9" s="114">
        <v>10000</v>
      </c>
      <c r="P9" t="s">
        <v>29</v>
      </c>
      <c r="Q9" s="123">
        <f t="shared" si="5"/>
        <v>18464.334963018679</v>
      </c>
      <c r="R9" s="115">
        <v>44469</v>
      </c>
    </row>
    <row r="10" spans="1:22" ht="15.75" x14ac:dyDescent="0.25">
      <c r="A10" s="104" t="s">
        <v>5</v>
      </c>
      <c r="B10" s="97">
        <v>23404</v>
      </c>
      <c r="C10" s="128">
        <f t="shared" si="6"/>
        <v>1950.3333333333333</v>
      </c>
      <c r="D10" s="90">
        <f t="shared" si="7"/>
        <v>0.29486412579046317</v>
      </c>
      <c r="E10" s="91">
        <f t="shared" si="0"/>
        <v>4866.142667920014</v>
      </c>
      <c r="F10" s="92">
        <f t="shared" si="1"/>
        <v>6901</v>
      </c>
      <c r="G10" s="97">
        <v>16503</v>
      </c>
      <c r="H10" s="130">
        <f>G10/O10</f>
        <v>8.2515000000000001</v>
      </c>
      <c r="I10" s="99">
        <v>12.67</v>
      </c>
      <c r="J10" s="99"/>
      <c r="K10" s="89">
        <f t="shared" si="2"/>
        <v>20991.815999999999</v>
      </c>
      <c r="L10" s="94">
        <f t="shared" si="3"/>
        <v>9.9606918238993725</v>
      </c>
      <c r="M10" s="96">
        <f t="shared" si="4"/>
        <v>209093.01</v>
      </c>
      <c r="N10" s="21"/>
      <c r="O10" s="116">
        <v>2000</v>
      </c>
      <c r="P10" s="21" t="s">
        <v>29</v>
      </c>
      <c r="Q10" s="123">
        <f t="shared" si="5"/>
        <v>2836.3327879779436</v>
      </c>
      <c r="R10" s="113">
        <v>44196</v>
      </c>
    </row>
    <row r="11" spans="1:22" ht="15.75" x14ac:dyDescent="0.25">
      <c r="A11" s="105" t="s">
        <v>15</v>
      </c>
      <c r="B11" s="134">
        <v>26242</v>
      </c>
      <c r="C11" s="128">
        <f t="shared" si="6"/>
        <v>2186.8333333333335</v>
      </c>
      <c r="D11" s="135">
        <f>1-(G11/B11)</f>
        <v>0.43075985062114164</v>
      </c>
      <c r="E11" s="67">
        <f t="shared" si="0"/>
        <v>6434.6906485786139</v>
      </c>
      <c r="F11" s="82">
        <f t="shared" si="1"/>
        <v>11303.999999999998</v>
      </c>
      <c r="G11" s="80">
        <v>14938</v>
      </c>
      <c r="H11" s="76">
        <v>0.67381720430107528</v>
      </c>
      <c r="I11" s="136">
        <v>27.5</v>
      </c>
      <c r="J11" s="136"/>
      <c r="K11" s="134">
        <f t="shared" si="2"/>
        <v>19001.135999999999</v>
      </c>
      <c r="L11" s="136">
        <f t="shared" si="3"/>
        <v>21.619496855345915</v>
      </c>
      <c r="M11" s="85">
        <f t="shared" si="4"/>
        <v>410795</v>
      </c>
      <c r="O11" s="114">
        <v>30000</v>
      </c>
      <c r="P11" t="s">
        <v>29</v>
      </c>
      <c r="Q11" s="145">
        <f t="shared" si="5"/>
        <v>52701.834248225998</v>
      </c>
      <c r="R11" s="115">
        <v>44196</v>
      </c>
      <c r="S11" s="19"/>
      <c r="T11" s="19"/>
      <c r="U11" s="19"/>
      <c r="V11" s="19"/>
    </row>
    <row r="12" spans="1:22" ht="15.75" x14ac:dyDescent="0.25">
      <c r="A12" s="104" t="s">
        <v>0</v>
      </c>
      <c r="B12" s="97">
        <v>25814</v>
      </c>
      <c r="C12" s="128">
        <f t="shared" si="6"/>
        <v>2151.1666666666665</v>
      </c>
      <c r="D12" s="90">
        <f t="shared" si="7"/>
        <v>0.48570543116138531</v>
      </c>
      <c r="E12" s="91">
        <f t="shared" si="0"/>
        <v>6448.2253040985515</v>
      </c>
      <c r="F12" s="92">
        <f t="shared" si="1"/>
        <v>12538</v>
      </c>
      <c r="G12" s="97">
        <v>13276</v>
      </c>
      <c r="H12" s="130">
        <f>G12/O12</f>
        <v>0.75862857142857143</v>
      </c>
      <c r="I12" s="96">
        <v>24.23</v>
      </c>
      <c r="J12" s="99"/>
      <c r="K12" s="89">
        <f t="shared" si="2"/>
        <v>16887.072</v>
      </c>
      <c r="L12" s="94">
        <f t="shared" si="3"/>
        <v>19.04874213836478</v>
      </c>
      <c r="M12" s="96">
        <f t="shared" si="4"/>
        <v>321677.48</v>
      </c>
      <c r="N12" s="21"/>
      <c r="O12" s="116">
        <v>17500</v>
      </c>
      <c r="P12" s="21" t="s">
        <v>29</v>
      </c>
      <c r="Q12" s="123">
        <v>33500</v>
      </c>
      <c r="R12" s="113">
        <v>44469</v>
      </c>
      <c r="S12" s="125"/>
    </row>
    <row r="13" spans="1:22" ht="15.75" x14ac:dyDescent="0.25">
      <c r="A13" s="105" t="s">
        <v>136</v>
      </c>
      <c r="B13" s="80">
        <v>23786</v>
      </c>
      <c r="C13" s="128">
        <f t="shared" si="6"/>
        <v>1982.1666666666667</v>
      </c>
      <c r="D13" s="135">
        <f t="shared" si="7"/>
        <v>0.40502816782981588</v>
      </c>
      <c r="E13" s="67">
        <f t="shared" si="0"/>
        <v>5731.9586311275543</v>
      </c>
      <c r="F13" s="82">
        <f t="shared" si="1"/>
        <v>9634</v>
      </c>
      <c r="G13" s="80">
        <v>14152</v>
      </c>
      <c r="H13" s="311">
        <f>(G13+G14)/O13</f>
        <v>1.03908</v>
      </c>
      <c r="I13" s="84">
        <v>21.56</v>
      </c>
      <c r="J13" s="84"/>
      <c r="K13" s="79">
        <f t="shared" si="2"/>
        <v>18001.344000000001</v>
      </c>
      <c r="L13" s="78">
        <f t="shared" si="3"/>
        <v>16.949685534591193</v>
      </c>
      <c r="M13" s="85">
        <f t="shared" si="4"/>
        <v>305117.12</v>
      </c>
      <c r="N13" s="300"/>
      <c r="O13" s="298">
        <v>25000</v>
      </c>
      <c r="P13" s="300" t="s">
        <v>29</v>
      </c>
      <c r="Q13" s="301">
        <v>50000</v>
      </c>
      <c r="R13" s="302">
        <v>44196</v>
      </c>
    </row>
    <row r="14" spans="1:22" ht="15.75" x14ac:dyDescent="0.25">
      <c r="A14" s="104" t="s">
        <v>2</v>
      </c>
      <c r="B14" s="97">
        <v>23609</v>
      </c>
      <c r="C14" s="128">
        <f t="shared" si="6"/>
        <v>1967.4166666666667</v>
      </c>
      <c r="D14" s="90">
        <f t="shared" si="7"/>
        <v>0.49913168706849087</v>
      </c>
      <c r="E14" s="91">
        <f t="shared" si="0"/>
        <v>5902.2321995849043</v>
      </c>
      <c r="F14" s="92">
        <f t="shared" si="1"/>
        <v>11784.000000000002</v>
      </c>
      <c r="G14" s="97">
        <v>11825</v>
      </c>
      <c r="H14" s="311"/>
      <c r="I14" s="99">
        <v>22.9</v>
      </c>
      <c r="J14" s="99"/>
      <c r="K14" s="89">
        <f t="shared" si="2"/>
        <v>15041.4</v>
      </c>
      <c r="L14" s="94">
        <f t="shared" si="3"/>
        <v>18.00314465408805</v>
      </c>
      <c r="M14" s="96">
        <f t="shared" si="4"/>
        <v>270792.5</v>
      </c>
      <c r="N14" s="312"/>
      <c r="O14" s="299"/>
      <c r="P14" s="300"/>
      <c r="Q14" s="301"/>
      <c r="R14" s="302"/>
    </row>
    <row r="15" spans="1:22" ht="15.75" x14ac:dyDescent="0.25">
      <c r="A15" s="105" t="s">
        <v>1</v>
      </c>
      <c r="B15" s="80">
        <v>25592</v>
      </c>
      <c r="C15" s="128">
        <f t="shared" si="6"/>
        <v>2132.6666666666665</v>
      </c>
      <c r="D15" s="135">
        <f t="shared" si="7"/>
        <v>0.2635198499531104</v>
      </c>
      <c r="E15" s="67">
        <f t="shared" si="0"/>
        <v>4966.8221319162249</v>
      </c>
      <c r="F15" s="82">
        <f t="shared" si="1"/>
        <v>6744.0000000000009</v>
      </c>
      <c r="G15" s="80">
        <v>18848</v>
      </c>
      <c r="H15" s="76">
        <f>G15/O15</f>
        <v>1.5706666666666667</v>
      </c>
      <c r="I15" s="84">
        <v>27.99</v>
      </c>
      <c r="J15" s="84"/>
      <c r="K15" s="79">
        <f t="shared" si="2"/>
        <v>23974.655999999999</v>
      </c>
      <c r="L15" s="78">
        <f t="shared" si="3"/>
        <v>22.004716981132077</v>
      </c>
      <c r="M15" s="85">
        <f t="shared" si="4"/>
        <v>527555.52</v>
      </c>
      <c r="O15" s="114">
        <v>12000</v>
      </c>
      <c r="P15" t="s">
        <v>29</v>
      </c>
      <c r="Q15" s="123">
        <f>O15/(1-D15)</f>
        <v>16293.718166383702</v>
      </c>
      <c r="R15" s="115">
        <v>44773</v>
      </c>
    </row>
    <row r="16" spans="1:22" ht="15.75" x14ac:dyDescent="0.25">
      <c r="A16" s="104" t="s">
        <v>9</v>
      </c>
      <c r="B16" s="97">
        <v>14291</v>
      </c>
      <c r="C16" s="128">
        <f t="shared" si="6"/>
        <v>1190.9166666666667</v>
      </c>
      <c r="D16" s="90">
        <f t="shared" si="7"/>
        <v>0.59058148485060524</v>
      </c>
      <c r="E16" s="91">
        <f t="shared" si="0"/>
        <v>3455.4922678608914</v>
      </c>
      <c r="F16" s="92">
        <f t="shared" si="1"/>
        <v>8440</v>
      </c>
      <c r="G16" s="97">
        <v>5851</v>
      </c>
      <c r="H16" s="130">
        <v>0.85267999999999999</v>
      </c>
      <c r="I16" s="98">
        <v>9.75</v>
      </c>
      <c r="J16" s="99"/>
      <c r="K16" s="89">
        <f t="shared" si="2"/>
        <v>7442.4719999999998</v>
      </c>
      <c r="L16" s="94">
        <f t="shared" si="3"/>
        <v>7.6650943396226419</v>
      </c>
      <c r="M16" s="96">
        <f t="shared" si="4"/>
        <v>57047.25</v>
      </c>
      <c r="N16" s="21"/>
      <c r="O16" s="112">
        <v>10000</v>
      </c>
      <c r="P16" s="21" t="s">
        <v>29</v>
      </c>
      <c r="Q16" s="123">
        <v>0</v>
      </c>
      <c r="R16" s="113">
        <v>44286</v>
      </c>
      <c r="S16" s="125">
        <v>44007</v>
      </c>
    </row>
    <row r="17" spans="1:19" ht="15.75" x14ac:dyDescent="0.25">
      <c r="A17" s="105" t="s">
        <v>192</v>
      </c>
      <c r="B17" s="80">
        <v>40608</v>
      </c>
      <c r="C17" s="128">
        <f t="shared" si="6"/>
        <v>3384</v>
      </c>
      <c r="D17" s="135">
        <f t="shared" si="7"/>
        <v>0.50795409771473599</v>
      </c>
      <c r="E17" s="67">
        <v>184.29849000000002</v>
      </c>
      <c r="F17" s="82">
        <f t="shared" si="1"/>
        <v>20627</v>
      </c>
      <c r="G17" s="80">
        <v>19981</v>
      </c>
      <c r="H17" s="76">
        <f>G17/O17</f>
        <v>1.6650833333333332</v>
      </c>
      <c r="I17" s="85">
        <v>6.85</v>
      </c>
      <c r="J17" s="84"/>
      <c r="K17" s="79">
        <f t="shared" si="2"/>
        <v>25415.832000000002</v>
      </c>
      <c r="L17" s="78">
        <f t="shared" si="3"/>
        <v>5.3852201257861632</v>
      </c>
      <c r="M17" s="85">
        <f t="shared" si="4"/>
        <v>136869.85</v>
      </c>
      <c r="O17" s="114">
        <v>12000</v>
      </c>
      <c r="P17" t="s">
        <v>29</v>
      </c>
      <c r="Q17" s="123">
        <f>O17/(1-D17)</f>
        <v>24387.968570141635</v>
      </c>
      <c r="R17" s="115">
        <v>44500</v>
      </c>
      <c r="S17" s="126"/>
    </row>
    <row r="18" spans="1:19" ht="15.75" x14ac:dyDescent="0.25">
      <c r="A18" s="104" t="s">
        <v>140</v>
      </c>
      <c r="B18" s="97">
        <v>0</v>
      </c>
      <c r="C18" s="128">
        <f t="shared" si="6"/>
        <v>0</v>
      </c>
      <c r="D18" s="90" t="e">
        <f t="shared" si="7"/>
        <v>#DIV/0!</v>
      </c>
      <c r="E18" s="91" t="e">
        <f t="shared" ref="E18:E23" si="8">D18*G18</f>
        <v>#DIV/0!</v>
      </c>
      <c r="F18" s="92" t="e">
        <f t="shared" si="1"/>
        <v>#DIV/0!</v>
      </c>
      <c r="G18" s="97">
        <v>1185</v>
      </c>
      <c r="H18" s="130">
        <f>G18/O18</f>
        <v>9.8750000000000004E-2</v>
      </c>
      <c r="I18" s="98">
        <v>34.61</v>
      </c>
      <c r="J18" s="99"/>
      <c r="K18" s="89">
        <f t="shared" si="2"/>
        <v>1507.32</v>
      </c>
      <c r="L18" s="94">
        <f t="shared" si="3"/>
        <v>27.209119496855347</v>
      </c>
      <c r="M18" s="96">
        <f t="shared" si="4"/>
        <v>41012.85</v>
      </c>
      <c r="N18" s="21"/>
      <c r="O18" s="298">
        <v>12000</v>
      </c>
      <c r="P18" s="300" t="s">
        <v>29</v>
      </c>
      <c r="Q18" s="301">
        <v>24000</v>
      </c>
      <c r="R18" s="302">
        <v>43982</v>
      </c>
    </row>
    <row r="19" spans="1:19" ht="15.75" x14ac:dyDescent="0.25">
      <c r="A19" s="105" t="s">
        <v>139</v>
      </c>
      <c r="B19" s="80">
        <v>0</v>
      </c>
      <c r="C19" s="128">
        <f t="shared" si="6"/>
        <v>0</v>
      </c>
      <c r="D19" s="135"/>
      <c r="E19" s="67">
        <f t="shared" si="8"/>
        <v>0</v>
      </c>
      <c r="F19" s="82">
        <f t="shared" si="1"/>
        <v>0</v>
      </c>
      <c r="G19" s="80">
        <v>0</v>
      </c>
      <c r="H19" s="76">
        <v>0</v>
      </c>
      <c r="I19" s="86">
        <v>0</v>
      </c>
      <c r="J19" s="84"/>
      <c r="K19" s="79">
        <f t="shared" si="2"/>
        <v>0</v>
      </c>
      <c r="L19" s="78">
        <v>0</v>
      </c>
      <c r="M19" s="85">
        <f t="shared" si="4"/>
        <v>0</v>
      </c>
      <c r="O19" s="299"/>
      <c r="P19" s="300"/>
      <c r="Q19" s="301"/>
      <c r="R19" s="303"/>
    </row>
    <row r="20" spans="1:19" ht="15.75" x14ac:dyDescent="0.25">
      <c r="A20" s="104" t="s">
        <v>4</v>
      </c>
      <c r="B20" s="97">
        <v>302</v>
      </c>
      <c r="C20" s="128">
        <f t="shared" si="6"/>
        <v>25.166666666666668</v>
      </c>
      <c r="D20" s="90">
        <f t="shared" si="7"/>
        <v>0.14900662251655628</v>
      </c>
      <c r="E20" s="91">
        <f t="shared" si="8"/>
        <v>38.294701986754966</v>
      </c>
      <c r="F20" s="92">
        <f t="shared" si="1"/>
        <v>44.999999999999993</v>
      </c>
      <c r="G20" s="97">
        <v>257</v>
      </c>
      <c r="H20" s="130">
        <f>G20/O20</f>
        <v>0.51400000000000001</v>
      </c>
      <c r="I20" s="99">
        <v>2.5499999999999998</v>
      </c>
      <c r="J20" s="99"/>
      <c r="K20" s="89">
        <f t="shared" si="2"/>
        <v>326.904</v>
      </c>
      <c r="L20" s="94">
        <f>(G20*I20)/K20</f>
        <v>2.0047169811320753</v>
      </c>
      <c r="M20" s="96">
        <f t="shared" si="4"/>
        <v>655.34999999999991</v>
      </c>
      <c r="N20" s="21"/>
      <c r="O20" s="117">
        <v>500</v>
      </c>
      <c r="P20" s="21" t="s">
        <v>29</v>
      </c>
      <c r="Q20" s="123">
        <f>O20/(1-D20)</f>
        <v>587.54863813229576</v>
      </c>
      <c r="R20" s="113">
        <v>44196</v>
      </c>
    </row>
    <row r="21" spans="1:19" ht="15.75" x14ac:dyDescent="0.25">
      <c r="A21" s="105" t="s">
        <v>144</v>
      </c>
      <c r="B21" s="80">
        <v>113</v>
      </c>
      <c r="C21" s="128">
        <f t="shared" si="6"/>
        <v>9.4166666666666661</v>
      </c>
      <c r="D21" s="135"/>
      <c r="E21" s="67">
        <f t="shared" si="8"/>
        <v>0</v>
      </c>
      <c r="F21" s="82">
        <f t="shared" si="1"/>
        <v>0</v>
      </c>
      <c r="G21" s="80">
        <v>48</v>
      </c>
      <c r="H21" s="76">
        <f>G21/O21</f>
        <v>9.5999999999999992E-3</v>
      </c>
      <c r="I21" s="84">
        <v>29.47</v>
      </c>
      <c r="J21" s="84"/>
      <c r="K21" s="79">
        <f t="shared" si="2"/>
        <v>61.055999999999997</v>
      </c>
      <c r="L21" s="78">
        <v>0</v>
      </c>
      <c r="M21" s="85">
        <f t="shared" si="4"/>
        <v>1414.56</v>
      </c>
      <c r="O21" s="118">
        <v>5000</v>
      </c>
      <c r="P21" t="s">
        <v>19</v>
      </c>
      <c r="Q21" s="123">
        <v>5000</v>
      </c>
      <c r="R21" s="115">
        <v>44196</v>
      </c>
    </row>
    <row r="22" spans="1:19" ht="15.75" x14ac:dyDescent="0.25">
      <c r="A22" s="104" t="s">
        <v>158</v>
      </c>
      <c r="B22" s="89">
        <v>1639</v>
      </c>
      <c r="C22" s="128">
        <f t="shared" si="6"/>
        <v>136.58333333333334</v>
      </c>
      <c r="D22" s="90">
        <f t="shared" si="7"/>
        <v>0.44051250762660155</v>
      </c>
      <c r="E22" s="91">
        <f t="shared" si="8"/>
        <v>403.94996949359364</v>
      </c>
      <c r="F22" s="92">
        <f t="shared" si="1"/>
        <v>721.99999999999989</v>
      </c>
      <c r="G22" s="89">
        <v>917</v>
      </c>
      <c r="H22" s="130">
        <f>G22/O22</f>
        <v>9.1700000000000004E-2</v>
      </c>
      <c r="I22" s="91">
        <v>16.77</v>
      </c>
      <c r="J22" s="94"/>
      <c r="K22" s="89">
        <f t="shared" si="2"/>
        <v>1166.424</v>
      </c>
      <c r="L22" s="94">
        <f>(G22*I22)/K22</f>
        <v>13.183962264150944</v>
      </c>
      <c r="M22" s="96">
        <f t="shared" si="4"/>
        <v>15378.09</v>
      </c>
      <c r="N22" s="21"/>
      <c r="O22" s="116">
        <v>10000</v>
      </c>
      <c r="P22" s="21" t="s">
        <v>19</v>
      </c>
      <c r="Q22" s="123">
        <v>10000</v>
      </c>
      <c r="R22" s="113">
        <v>44196</v>
      </c>
    </row>
    <row r="23" spans="1:19" ht="15.75" x14ac:dyDescent="0.25">
      <c r="A23" s="105" t="s">
        <v>6</v>
      </c>
      <c r="B23" s="80">
        <v>774</v>
      </c>
      <c r="C23" s="128">
        <f t="shared" si="6"/>
        <v>64.5</v>
      </c>
      <c r="D23" s="135">
        <f t="shared" si="7"/>
        <v>0.65762273901808788</v>
      </c>
      <c r="E23" s="67">
        <f t="shared" si="8"/>
        <v>174.27002583979328</v>
      </c>
      <c r="F23" s="82">
        <f t="shared" si="1"/>
        <v>509</v>
      </c>
      <c r="G23" s="80">
        <v>265</v>
      </c>
      <c r="H23" s="76">
        <f>G23/O23</f>
        <v>8.8333333333333333E-2</v>
      </c>
      <c r="I23" s="84">
        <v>4.6900000000000004</v>
      </c>
      <c r="J23" s="84"/>
      <c r="K23" s="79">
        <f t="shared" si="2"/>
        <v>337.08</v>
      </c>
      <c r="L23" s="78">
        <f>(G23*I23)/K23</f>
        <v>3.6871069182389942</v>
      </c>
      <c r="M23" s="85">
        <f t="shared" si="4"/>
        <v>1242.8500000000001</v>
      </c>
      <c r="O23" s="118">
        <v>3000</v>
      </c>
      <c r="P23" t="s">
        <v>29</v>
      </c>
      <c r="Q23" s="123">
        <f>O23/(1-D23)</f>
        <v>8762.2641509433961</v>
      </c>
      <c r="R23" s="115">
        <v>44196</v>
      </c>
    </row>
    <row r="24" spans="1:19" ht="15.75" x14ac:dyDescent="0.25">
      <c r="A24" s="105" t="s">
        <v>24</v>
      </c>
      <c r="B24" s="80">
        <v>479</v>
      </c>
      <c r="C24" s="128">
        <f t="shared" si="6"/>
        <v>39.916666666666664</v>
      </c>
      <c r="D24" s="135"/>
      <c r="E24" s="67"/>
      <c r="F24" s="82"/>
      <c r="G24" s="80">
        <v>273</v>
      </c>
      <c r="H24" s="76">
        <f>G24/O24</f>
        <v>0.10920000000000001</v>
      </c>
      <c r="I24" s="84"/>
      <c r="J24" s="84"/>
      <c r="K24" s="79">
        <f t="shared" si="2"/>
        <v>347.25600000000003</v>
      </c>
      <c r="L24" s="78"/>
      <c r="M24" s="85"/>
      <c r="O24" s="118">
        <v>2500</v>
      </c>
      <c r="Q24" s="123">
        <f t="shared" ref="Q24:Q29" si="9">O24*2</f>
        <v>5000</v>
      </c>
      <c r="R24" s="115">
        <v>44104</v>
      </c>
    </row>
    <row r="25" spans="1:19" ht="15.75" x14ac:dyDescent="0.25">
      <c r="A25" s="105" t="s">
        <v>193</v>
      </c>
      <c r="B25" s="80">
        <v>4626</v>
      </c>
      <c r="C25" s="128">
        <f t="shared" si="6"/>
        <v>385.5</v>
      </c>
      <c r="D25" s="135"/>
      <c r="E25" s="67"/>
      <c r="F25" s="82"/>
      <c r="G25" s="80">
        <v>2521</v>
      </c>
      <c r="H25" s="76"/>
      <c r="I25" s="84">
        <v>30.01</v>
      </c>
      <c r="J25" s="84"/>
      <c r="K25" s="79">
        <f t="shared" si="2"/>
        <v>3206.712</v>
      </c>
      <c r="L25" s="78"/>
      <c r="M25" s="85">
        <f t="shared" si="4"/>
        <v>75655.210000000006</v>
      </c>
      <c r="N25" t="s">
        <v>197</v>
      </c>
      <c r="O25" s="118">
        <v>5000</v>
      </c>
      <c r="P25" t="s">
        <v>29</v>
      </c>
      <c r="Q25" s="123">
        <f t="shared" si="9"/>
        <v>10000</v>
      </c>
      <c r="R25" s="115">
        <v>43889</v>
      </c>
    </row>
    <row r="26" spans="1:19" ht="15.75" x14ac:dyDescent="0.25">
      <c r="A26" s="105" t="s">
        <v>194</v>
      </c>
      <c r="B26" s="80">
        <v>1416</v>
      </c>
      <c r="C26" s="128">
        <f t="shared" si="6"/>
        <v>118</v>
      </c>
      <c r="D26" s="135"/>
      <c r="E26" s="67"/>
      <c r="F26" s="82"/>
      <c r="G26" s="80">
        <v>693</v>
      </c>
      <c r="H26" s="76"/>
      <c r="I26" s="84">
        <v>21.98</v>
      </c>
      <c r="J26" s="84"/>
      <c r="K26" s="79">
        <f t="shared" si="2"/>
        <v>881.49599999999998</v>
      </c>
      <c r="L26" s="78"/>
      <c r="M26" s="85">
        <f t="shared" si="4"/>
        <v>15232.14</v>
      </c>
      <c r="O26" s="118">
        <v>2000</v>
      </c>
      <c r="P26" t="s">
        <v>29</v>
      </c>
      <c r="Q26" s="123">
        <f t="shared" si="9"/>
        <v>4000</v>
      </c>
      <c r="R26" s="115">
        <v>45291</v>
      </c>
      <c r="S26" s="46">
        <v>44101</v>
      </c>
    </row>
    <row r="27" spans="1:19" ht="15.75" x14ac:dyDescent="0.25">
      <c r="A27" s="105" t="s">
        <v>195</v>
      </c>
      <c r="B27" s="80">
        <v>6853</v>
      </c>
      <c r="C27" s="128">
        <f t="shared" si="6"/>
        <v>571.08333333333337</v>
      </c>
      <c r="D27" s="135"/>
      <c r="E27" s="67"/>
      <c r="F27" s="82"/>
      <c r="G27" s="80">
        <v>5761</v>
      </c>
      <c r="H27" s="76"/>
      <c r="I27" s="84">
        <v>19.52</v>
      </c>
      <c r="J27" s="84"/>
      <c r="K27" s="79">
        <f t="shared" si="2"/>
        <v>7327.9920000000002</v>
      </c>
      <c r="L27" s="78"/>
      <c r="M27" s="85">
        <f t="shared" si="4"/>
        <v>112454.72</v>
      </c>
      <c r="O27" s="118">
        <v>2500</v>
      </c>
      <c r="P27" t="s">
        <v>29</v>
      </c>
      <c r="Q27" s="123">
        <f t="shared" si="9"/>
        <v>5000</v>
      </c>
      <c r="R27" s="115">
        <v>43920</v>
      </c>
    </row>
    <row r="28" spans="1:19" ht="15.75" x14ac:dyDescent="0.25">
      <c r="A28" s="105" t="s">
        <v>196</v>
      </c>
      <c r="B28" s="80">
        <v>4058</v>
      </c>
      <c r="C28" s="128">
        <f t="shared" si="6"/>
        <v>338.16666666666669</v>
      </c>
      <c r="D28" s="135"/>
      <c r="E28" s="67"/>
      <c r="F28" s="82"/>
      <c r="G28" s="80">
        <v>1617</v>
      </c>
      <c r="H28" s="76"/>
      <c r="I28" s="84">
        <v>27.99</v>
      </c>
      <c r="J28" s="84"/>
      <c r="K28" s="79">
        <f t="shared" si="2"/>
        <v>2056.8240000000001</v>
      </c>
      <c r="L28" s="78"/>
      <c r="M28" s="85">
        <f t="shared" si="4"/>
        <v>45259.829999999994</v>
      </c>
      <c r="O28" s="118">
        <v>2500</v>
      </c>
      <c r="P28" t="s">
        <v>29</v>
      </c>
      <c r="Q28" s="123">
        <f t="shared" si="9"/>
        <v>5000</v>
      </c>
      <c r="R28" s="115">
        <v>43889</v>
      </c>
      <c r="S28" s="46">
        <v>43812</v>
      </c>
    </row>
    <row r="29" spans="1:19" ht="16.5" thickBot="1" x14ac:dyDescent="0.3">
      <c r="A29" s="106" t="s">
        <v>148</v>
      </c>
      <c r="B29" s="100">
        <v>1328</v>
      </c>
      <c r="C29" s="128">
        <f t="shared" si="6"/>
        <v>110.66666666666667</v>
      </c>
      <c r="D29" s="127"/>
      <c r="E29" s="101"/>
      <c r="F29" s="92">
        <f t="shared" si="1"/>
        <v>0</v>
      </c>
      <c r="G29" s="100">
        <v>581</v>
      </c>
      <c r="H29" s="139">
        <f>G29/O29</f>
        <v>0.2324</v>
      </c>
      <c r="I29" s="102">
        <v>23.83</v>
      </c>
      <c r="J29" s="103"/>
      <c r="K29" s="100">
        <f t="shared" si="2"/>
        <v>739.03200000000004</v>
      </c>
      <c r="L29" s="103">
        <v>0</v>
      </c>
      <c r="M29" s="102">
        <f t="shared" si="4"/>
        <v>13845.23</v>
      </c>
      <c r="N29" s="24"/>
      <c r="O29" s="119">
        <v>2500</v>
      </c>
      <c r="P29" s="24" t="s">
        <v>29</v>
      </c>
      <c r="Q29" s="123">
        <f t="shared" si="9"/>
        <v>5000</v>
      </c>
      <c r="R29" s="120">
        <v>44196</v>
      </c>
      <c r="S29" s="125">
        <v>44514</v>
      </c>
    </row>
    <row r="30" spans="1:19" ht="15" thickBot="1" x14ac:dyDescent="0.25">
      <c r="B30" s="80">
        <f>SUM(B4:B29)</f>
        <v>522232</v>
      </c>
      <c r="C30" s="80">
        <f>B30/6</f>
        <v>87038.666666666672</v>
      </c>
      <c r="D30" s="81" t="e">
        <f>F30/B30</f>
        <v>#DIV/0!</v>
      </c>
      <c r="E30" s="87" t="e">
        <f>SUM(E4:E29)</f>
        <v>#DIV/0!</v>
      </c>
      <c r="F30" s="87" t="e">
        <f>SUM(F4:F29)</f>
        <v>#DIV/0!</v>
      </c>
      <c r="G30" s="33">
        <f>SUM(G4:G29)</f>
        <v>288383</v>
      </c>
      <c r="H30" s="83"/>
      <c r="I30" s="84">
        <v>22.19</v>
      </c>
      <c r="J30" s="84"/>
      <c r="K30" s="33">
        <f>SUM(K4:K29)</f>
        <v>366823.17600000004</v>
      </c>
      <c r="L30" s="78">
        <f>(G30*I30)/K30</f>
        <v>17.44496855345912</v>
      </c>
      <c r="M30" s="107">
        <f t="shared" si="4"/>
        <v>6399218.7700000005</v>
      </c>
      <c r="O30" s="121">
        <f>SUM(O4:O29)</f>
        <v>295200</v>
      </c>
      <c r="P30" s="5"/>
      <c r="Q30" s="124">
        <f>SUM(Q4:Q29)</f>
        <v>522412.14480570756</v>
      </c>
      <c r="R30" s="122"/>
    </row>
    <row r="31" spans="1:19" x14ac:dyDescent="0.2">
      <c r="A31" s="146" t="s">
        <v>180</v>
      </c>
      <c r="B31" s="147"/>
      <c r="C31" s="147"/>
      <c r="D31" s="148"/>
      <c r="E31" s="149"/>
      <c r="F31" s="149"/>
      <c r="G31" s="147"/>
      <c r="H31" s="147"/>
      <c r="I31" s="150"/>
      <c r="J31" s="150"/>
      <c r="K31" s="147"/>
      <c r="L31" s="150"/>
      <c r="M31" s="151"/>
      <c r="N31" s="152" t="s">
        <v>186</v>
      </c>
      <c r="O31" s="153"/>
      <c r="Q31" s="123"/>
    </row>
    <row r="32" spans="1:19" ht="15" thickBot="1" x14ac:dyDescent="0.25">
      <c r="A32" s="154" t="s">
        <v>174</v>
      </c>
      <c r="B32" s="155">
        <v>292304</v>
      </c>
      <c r="C32" s="155"/>
      <c r="D32" s="156">
        <f>1-(G32/B32)</f>
        <v>0.51729706059444958</v>
      </c>
      <c r="E32" s="157"/>
      <c r="F32" s="157"/>
      <c r="G32" s="158">
        <v>141096</v>
      </c>
      <c r="H32" s="158"/>
      <c r="I32" s="159">
        <v>22.78</v>
      </c>
      <c r="J32" s="157"/>
      <c r="K32" s="160">
        <f>G32*1.272</f>
        <v>179474.11199999999</v>
      </c>
      <c r="L32" s="161">
        <f>(G32*I32)/K32</f>
        <v>17.908805031446544</v>
      </c>
      <c r="M32" s="162">
        <f>G32*I32</f>
        <v>3214166.8800000004</v>
      </c>
      <c r="N32" s="157" t="s">
        <v>187</v>
      </c>
      <c r="O32" s="157"/>
    </row>
    <row r="33" spans="1:15" ht="15" thickBot="1" x14ac:dyDescent="0.25">
      <c r="A33" s="154" t="s">
        <v>175</v>
      </c>
      <c r="B33" s="155">
        <f>B30-B32</f>
        <v>229928</v>
      </c>
      <c r="C33" s="155"/>
      <c r="D33" s="163" t="e">
        <f t="shared" ref="D33:M33" si="10">D30-D32</f>
        <v>#DIV/0!</v>
      </c>
      <c r="E33" s="155" t="e">
        <f t="shared" si="10"/>
        <v>#DIV/0!</v>
      </c>
      <c r="F33" s="155" t="e">
        <f t="shared" si="10"/>
        <v>#DIV/0!</v>
      </c>
      <c r="G33" s="155">
        <f t="shared" si="10"/>
        <v>147287</v>
      </c>
      <c r="H33" s="155"/>
      <c r="I33" s="164">
        <f t="shared" si="10"/>
        <v>-0.58999999999999986</v>
      </c>
      <c r="J33" s="155">
        <f t="shared" si="10"/>
        <v>0</v>
      </c>
      <c r="K33" s="155">
        <f t="shared" si="10"/>
        <v>187349.06400000004</v>
      </c>
      <c r="L33" s="164">
        <f t="shared" si="10"/>
        <v>-0.46383647798742444</v>
      </c>
      <c r="M33" s="165">
        <f t="shared" si="10"/>
        <v>3185051.89</v>
      </c>
      <c r="N33" s="166" t="s">
        <v>190</v>
      </c>
      <c r="O33" s="157"/>
    </row>
    <row r="34" spans="1:15" ht="15" thickBot="1" x14ac:dyDescent="0.25">
      <c r="A34" s="154" t="s">
        <v>173</v>
      </c>
      <c r="B34" s="160">
        <v>508425</v>
      </c>
      <c r="C34" s="160"/>
      <c r="D34" s="167">
        <v>0.48170000000000002</v>
      </c>
      <c r="E34" s="157"/>
      <c r="F34" s="157"/>
      <c r="G34" s="168">
        <v>248985</v>
      </c>
      <c r="H34" s="168"/>
      <c r="I34" s="169">
        <v>22.19</v>
      </c>
      <c r="J34" s="157"/>
      <c r="K34" s="160">
        <v>313075</v>
      </c>
      <c r="L34" s="161">
        <f>(G34*I34)/K34</f>
        <v>17.64745556176635</v>
      </c>
      <c r="M34" s="162">
        <f>G34*I34</f>
        <v>5524977.1500000004</v>
      </c>
      <c r="N34" s="166" t="s">
        <v>189</v>
      </c>
      <c r="O34" s="157"/>
    </row>
    <row r="35" spans="1:15" x14ac:dyDescent="0.2">
      <c r="A35" s="154" t="s">
        <v>166</v>
      </c>
      <c r="B35" s="160">
        <v>547412</v>
      </c>
      <c r="C35" s="160"/>
      <c r="D35" s="167">
        <v>0.51029999999999998</v>
      </c>
      <c r="E35" s="157"/>
      <c r="F35" s="157"/>
      <c r="G35" s="160">
        <v>283710</v>
      </c>
      <c r="H35" s="160"/>
      <c r="I35" s="169">
        <v>21.64</v>
      </c>
      <c r="J35" s="157"/>
      <c r="K35" s="160">
        <v>367048</v>
      </c>
      <c r="L35" s="161">
        <f>(G35*I35)/K35</f>
        <v>16.726652644885682</v>
      </c>
      <c r="M35" s="162">
        <f>G35*I35</f>
        <v>6139484.4000000004</v>
      </c>
      <c r="N35" s="157" t="s">
        <v>183</v>
      </c>
      <c r="O35" s="157"/>
    </row>
    <row r="36" spans="1:15" ht="15" thickBot="1" x14ac:dyDescent="0.25">
      <c r="A36" s="157"/>
      <c r="B36" s="157"/>
      <c r="C36" s="157"/>
      <c r="D36" s="157"/>
      <c r="E36" s="157"/>
      <c r="F36" s="157"/>
      <c r="G36" s="157"/>
      <c r="H36" s="157"/>
      <c r="I36" s="170"/>
      <c r="J36" s="171"/>
      <c r="K36" s="171"/>
      <c r="L36" s="171"/>
      <c r="M36" s="157"/>
      <c r="N36" s="157" t="s">
        <v>184</v>
      </c>
      <c r="O36" s="157"/>
    </row>
    <row r="37" spans="1:15" ht="15" thickBot="1" x14ac:dyDescent="0.25">
      <c r="A37" s="172" t="s">
        <v>164</v>
      </c>
      <c r="B37" s="173">
        <f>B4+B5+B7+B8+B12+B16+B17+B29</f>
        <v>315427</v>
      </c>
      <c r="C37" s="173"/>
      <c r="D37" s="174">
        <f>B37/B30</f>
        <v>0.60399784004044177</v>
      </c>
      <c r="E37" s="157"/>
      <c r="F37" s="157"/>
      <c r="G37" s="157"/>
      <c r="H37" s="157"/>
      <c r="I37" s="157"/>
      <c r="J37" s="157"/>
      <c r="K37" s="157"/>
      <c r="L37" s="157"/>
      <c r="M37" s="157"/>
      <c r="N37" s="166" t="s">
        <v>185</v>
      </c>
      <c r="O37" s="157"/>
    </row>
    <row r="38" spans="1:15" x14ac:dyDescent="0.2">
      <c r="A38" s="172" t="s">
        <v>165</v>
      </c>
      <c r="B38" s="171">
        <f>B30-B37</f>
        <v>206805</v>
      </c>
      <c r="C38" s="171"/>
      <c r="D38" s="174">
        <f>B38/B30</f>
        <v>0.39600215995955823</v>
      </c>
      <c r="E38" s="157"/>
      <c r="F38" s="157"/>
      <c r="G38" s="157"/>
      <c r="H38" s="157"/>
      <c r="I38" s="157"/>
      <c r="J38" s="157"/>
      <c r="K38" s="157"/>
      <c r="L38" s="157"/>
      <c r="M38" s="157"/>
      <c r="N38" s="157"/>
      <c r="O38" s="157"/>
    </row>
    <row r="39" spans="1:15" x14ac:dyDescent="0.2">
      <c r="A39" s="157"/>
      <c r="B39" s="157"/>
      <c r="C39" s="157"/>
      <c r="D39" s="157"/>
      <c r="E39" s="157"/>
      <c r="F39" s="157"/>
      <c r="G39" s="157"/>
      <c r="H39" s="157"/>
      <c r="I39" s="157"/>
      <c r="J39" s="157"/>
      <c r="K39" s="157"/>
      <c r="L39" s="175"/>
      <c r="M39" s="157"/>
      <c r="N39" s="157"/>
      <c r="O39" s="157"/>
    </row>
    <row r="40" spans="1:15" ht="13.9" customHeight="1" x14ac:dyDescent="0.5">
      <c r="A40" s="176" t="s">
        <v>178</v>
      </c>
      <c r="B40" s="177">
        <v>508425</v>
      </c>
      <c r="C40" s="160"/>
      <c r="D40" s="157"/>
      <c r="E40" s="157"/>
      <c r="F40" s="157"/>
      <c r="G40" s="157"/>
      <c r="H40" s="157"/>
      <c r="I40" s="157"/>
      <c r="J40" s="157"/>
      <c r="K40" s="157"/>
      <c r="L40" s="178"/>
      <c r="M40" s="178"/>
      <c r="N40" s="178"/>
      <c r="O40" s="157"/>
    </row>
    <row r="41" spans="1:15" ht="13.9" customHeight="1" x14ac:dyDescent="0.5">
      <c r="A41" s="143" t="s">
        <v>179</v>
      </c>
      <c r="B41" s="144">
        <v>229859</v>
      </c>
      <c r="C41" s="28"/>
      <c r="L41" s="142"/>
      <c r="M41" s="142"/>
      <c r="N41" s="142"/>
    </row>
    <row r="42" spans="1:15" x14ac:dyDescent="0.2">
      <c r="A42" s="140" t="s">
        <v>188</v>
      </c>
      <c r="B42" s="141">
        <v>324000</v>
      </c>
      <c r="C42" s="28"/>
    </row>
    <row r="43" spans="1:15" x14ac:dyDescent="0.2">
      <c r="A43" s="40" t="s">
        <v>182</v>
      </c>
      <c r="B43" s="41">
        <f>B41+B42</f>
        <v>553859</v>
      </c>
    </row>
  </sheetData>
  <mergeCells count="13">
    <mergeCell ref="S2:S3"/>
    <mergeCell ref="H13:H14"/>
    <mergeCell ref="N13:N14"/>
    <mergeCell ref="O13:O14"/>
    <mergeCell ref="P13:P14"/>
    <mergeCell ref="Q13:Q14"/>
    <mergeCell ref="R13:R14"/>
    <mergeCell ref="O18:O19"/>
    <mergeCell ref="P18:P19"/>
    <mergeCell ref="Q18:Q19"/>
    <mergeCell ref="R18:R19"/>
    <mergeCell ref="O1:R1"/>
    <mergeCell ref="Q2:Q3"/>
  </mergeCells>
  <pageMargins left="0.7" right="0.7" top="0.75" bottom="0.75" header="0.3" footer="0.3"/>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7"/>
  <sheetViews>
    <sheetView zoomScaleNormal="100" zoomScaleSheetLayoutView="100" workbookViewId="0">
      <selection activeCell="S6" sqref="S6"/>
    </sheetView>
  </sheetViews>
  <sheetFormatPr defaultRowHeight="14.25" x14ac:dyDescent="0.2"/>
  <cols>
    <col min="1" max="1" width="26.625" customWidth="1"/>
    <col min="4" max="4" width="13" hidden="1" customWidth="1"/>
    <col min="7" max="7" width="9.5" customWidth="1"/>
    <col min="9" max="9" width="13.625" customWidth="1"/>
    <col min="10" max="10" width="9.625" customWidth="1"/>
    <col min="13" max="13" width="13.875" customWidth="1"/>
    <col min="16" max="16" width="11.75" customWidth="1"/>
  </cols>
  <sheetData>
    <row r="1" spans="1:16" x14ac:dyDescent="0.2">
      <c r="B1" t="s">
        <v>112</v>
      </c>
      <c r="C1">
        <v>23</v>
      </c>
      <c r="L1" s="57" t="s">
        <v>22</v>
      </c>
      <c r="M1" s="57" t="s">
        <v>23</v>
      </c>
    </row>
    <row r="2" spans="1:16" ht="15" thickBot="1" x14ac:dyDescent="0.25">
      <c r="A2" s="19" t="s">
        <v>39</v>
      </c>
      <c r="B2" t="s">
        <v>65</v>
      </c>
      <c r="C2" t="s">
        <v>116</v>
      </c>
      <c r="I2" s="2" t="s">
        <v>102</v>
      </c>
      <c r="L2" s="58">
        <f>(C1-H27)/22</f>
        <v>1.0454545454545454</v>
      </c>
      <c r="M2" s="58">
        <f>I23/B23</f>
        <v>1.2438139534883721</v>
      </c>
      <c r="N2" s="17">
        <f>M2-L2</f>
        <v>0.19835940803382668</v>
      </c>
      <c r="O2" s="36" t="s">
        <v>44</v>
      </c>
      <c r="P2" s="36"/>
    </row>
    <row r="3" spans="1:16" ht="15" thickBot="1" x14ac:dyDescent="0.25">
      <c r="A3" s="11" t="s">
        <v>107</v>
      </c>
      <c r="B3" s="12" t="s">
        <v>19</v>
      </c>
      <c r="C3" s="12" t="s">
        <v>30</v>
      </c>
      <c r="D3" s="12"/>
      <c r="E3" s="12" t="s">
        <v>29</v>
      </c>
      <c r="F3" s="12" t="s">
        <v>28</v>
      </c>
      <c r="G3" s="12" t="s">
        <v>27</v>
      </c>
      <c r="H3" s="12" t="s">
        <v>29</v>
      </c>
      <c r="I3" s="64"/>
      <c r="J3" s="12" t="s">
        <v>20</v>
      </c>
      <c r="K3" s="12" t="s">
        <v>21</v>
      </c>
      <c r="L3" s="12" t="s">
        <v>25</v>
      </c>
      <c r="M3" s="12" t="s">
        <v>26</v>
      </c>
      <c r="N3" s="12"/>
      <c r="O3" s="51" t="s">
        <v>28</v>
      </c>
      <c r="P3" s="51" t="s">
        <v>43</v>
      </c>
    </row>
    <row r="4" spans="1:16" ht="15" thickTop="1" x14ac:dyDescent="0.2">
      <c r="A4" t="s">
        <v>0</v>
      </c>
      <c r="B4" s="60">
        <v>1500</v>
      </c>
      <c r="C4" s="39">
        <v>0.52739999999999998</v>
      </c>
      <c r="D4">
        <f>C4*E4</f>
        <v>417.22613999999999</v>
      </c>
      <c r="E4">
        <f t="shared" ref="E4:E22" si="0">B4*C4</f>
        <v>791.1</v>
      </c>
      <c r="F4">
        <f>1-C4</f>
        <v>0.47260000000000002</v>
      </c>
      <c r="G4" s="15">
        <f>B4/C1</f>
        <v>65.217391304347828</v>
      </c>
      <c r="H4" s="15">
        <f t="shared" ref="H4:H22" si="1">B4*F4</f>
        <v>708.9</v>
      </c>
      <c r="I4" s="2">
        <v>2496</v>
      </c>
      <c r="J4">
        <f t="shared" ref="J4:J23" si="2">I4-B4</f>
        <v>996</v>
      </c>
      <c r="K4" s="1">
        <f t="shared" ref="K4:K21" si="3">I4/B4</f>
        <v>1.6639999999999999</v>
      </c>
      <c r="L4" s="8">
        <v>23.67</v>
      </c>
      <c r="M4" s="8">
        <f t="shared" ref="M4:M22" si="4">(B4*F4)*L4</f>
        <v>16779.663</v>
      </c>
      <c r="O4" s="42">
        <f>I4*F4</f>
        <v>1179.6096</v>
      </c>
      <c r="P4" s="22">
        <f>(I4*F4)*L4</f>
        <v>27921.359232000003</v>
      </c>
    </row>
    <row r="5" spans="1:16" x14ac:dyDescent="0.2">
      <c r="A5" t="s">
        <v>17</v>
      </c>
      <c r="B5" s="60">
        <v>0</v>
      </c>
      <c r="C5" s="39"/>
      <c r="D5">
        <v>184.29849000000002</v>
      </c>
      <c r="E5">
        <v>429.3</v>
      </c>
      <c r="F5">
        <v>0.57069999999999999</v>
      </c>
      <c r="G5" s="15">
        <f>B5/C1</f>
        <v>0</v>
      </c>
      <c r="H5" s="15">
        <v>570.69999999999993</v>
      </c>
      <c r="I5" s="2"/>
      <c r="J5">
        <v>-334</v>
      </c>
      <c r="K5" s="1" t="e">
        <f t="shared" si="3"/>
        <v>#DIV/0!</v>
      </c>
      <c r="L5" s="8">
        <v>18.98</v>
      </c>
      <c r="M5" s="8">
        <v>10843.3</v>
      </c>
      <c r="O5" s="42">
        <f>I5*F5</f>
        <v>0</v>
      </c>
      <c r="P5" s="22">
        <f>(I5*F5)*L5</f>
        <v>0</v>
      </c>
    </row>
    <row r="6" spans="1:16" x14ac:dyDescent="0.2">
      <c r="A6" t="s">
        <v>1</v>
      </c>
      <c r="B6" s="60">
        <v>3500</v>
      </c>
      <c r="C6" s="39">
        <v>0.40550000000000003</v>
      </c>
      <c r="D6">
        <f t="shared" ref="D6:D21" si="5">C6*E6</f>
        <v>575.50587500000006</v>
      </c>
      <c r="E6">
        <f t="shared" si="0"/>
        <v>1419.25</v>
      </c>
      <c r="F6">
        <f t="shared" ref="F6:F22" si="6">1-C6</f>
        <v>0.59450000000000003</v>
      </c>
      <c r="G6" s="15">
        <f>B6/C1</f>
        <v>152.17391304347825</v>
      </c>
      <c r="H6" s="15">
        <f t="shared" si="1"/>
        <v>2080.75</v>
      </c>
      <c r="I6" s="2">
        <v>3321</v>
      </c>
      <c r="J6">
        <f t="shared" si="2"/>
        <v>-179</v>
      </c>
      <c r="K6" s="1">
        <f t="shared" si="3"/>
        <v>0.94885714285714284</v>
      </c>
      <c r="L6" s="9">
        <v>28</v>
      </c>
      <c r="M6" s="8">
        <f t="shared" si="4"/>
        <v>58261</v>
      </c>
      <c r="O6" s="42">
        <f t="shared" ref="O6:O22" si="7">I6*F6</f>
        <v>1974.3345000000002</v>
      </c>
      <c r="P6" s="22">
        <f t="shared" ref="P6:P22" si="8">(I6*F6)*L6</f>
        <v>55281.366000000002</v>
      </c>
    </row>
    <row r="7" spans="1:16" x14ac:dyDescent="0.2">
      <c r="A7" t="s">
        <v>2</v>
      </c>
      <c r="B7" s="60">
        <v>1600</v>
      </c>
      <c r="C7" s="39">
        <v>0.52649999999999997</v>
      </c>
      <c r="D7">
        <f t="shared" si="5"/>
        <v>443.52359999999999</v>
      </c>
      <c r="E7">
        <f t="shared" si="0"/>
        <v>842.4</v>
      </c>
      <c r="F7">
        <f t="shared" si="6"/>
        <v>0.47350000000000003</v>
      </c>
      <c r="G7" s="15">
        <f>B7/C1</f>
        <v>69.565217391304344</v>
      </c>
      <c r="H7" s="15">
        <f t="shared" si="1"/>
        <v>757.6</v>
      </c>
      <c r="I7" s="2">
        <v>1417</v>
      </c>
      <c r="J7">
        <f t="shared" si="2"/>
        <v>-183</v>
      </c>
      <c r="K7" s="1">
        <f t="shared" si="3"/>
        <v>0.885625</v>
      </c>
      <c r="L7" s="9">
        <v>23.46</v>
      </c>
      <c r="M7" s="8">
        <f t="shared" si="4"/>
        <v>17773.296000000002</v>
      </c>
      <c r="O7" s="42">
        <f t="shared" si="7"/>
        <v>670.94950000000006</v>
      </c>
      <c r="P7" s="22">
        <f t="shared" si="8"/>
        <v>15740.475270000003</v>
      </c>
    </row>
    <row r="8" spans="1:16" x14ac:dyDescent="0.2">
      <c r="A8" t="s">
        <v>68</v>
      </c>
      <c r="B8" s="60">
        <v>2500</v>
      </c>
      <c r="C8" s="39">
        <v>0.41909999999999997</v>
      </c>
      <c r="D8">
        <f t="shared" si="5"/>
        <v>439.11202499999996</v>
      </c>
      <c r="E8">
        <f t="shared" si="0"/>
        <v>1047.75</v>
      </c>
      <c r="F8">
        <f t="shared" si="6"/>
        <v>0.58089999999999997</v>
      </c>
      <c r="G8" s="15">
        <f>B8/C1</f>
        <v>108.69565217391305</v>
      </c>
      <c r="H8" s="15">
        <f t="shared" si="1"/>
        <v>1452.25</v>
      </c>
      <c r="I8" s="2">
        <v>1723</v>
      </c>
      <c r="J8">
        <f t="shared" si="2"/>
        <v>-777</v>
      </c>
      <c r="K8" s="1">
        <f t="shared" si="3"/>
        <v>0.68920000000000003</v>
      </c>
      <c r="L8" s="9">
        <v>23.09</v>
      </c>
      <c r="M8" s="8">
        <f t="shared" si="4"/>
        <v>33532.452499999999</v>
      </c>
      <c r="O8" s="42">
        <f t="shared" si="7"/>
        <v>1000.8906999999999</v>
      </c>
      <c r="P8" s="22">
        <f t="shared" si="8"/>
        <v>23110.566262999997</v>
      </c>
    </row>
    <row r="9" spans="1:16" x14ac:dyDescent="0.2">
      <c r="A9" t="s">
        <v>5</v>
      </c>
      <c r="B9" s="60">
        <v>2400</v>
      </c>
      <c r="C9" s="39">
        <v>0.50600000000000001</v>
      </c>
      <c r="D9">
        <f t="shared" si="5"/>
        <v>614.4864</v>
      </c>
      <c r="E9">
        <f t="shared" si="0"/>
        <v>1214.4000000000001</v>
      </c>
      <c r="F9">
        <f>1-C9</f>
        <v>0.49399999999999999</v>
      </c>
      <c r="G9" s="15">
        <f>B9/C1</f>
        <v>104.34782608695652</v>
      </c>
      <c r="H9" s="15">
        <f t="shared" si="1"/>
        <v>1185.5999999999999</v>
      </c>
      <c r="I9" s="2">
        <v>2849</v>
      </c>
      <c r="J9">
        <f t="shared" si="2"/>
        <v>449</v>
      </c>
      <c r="K9" s="1">
        <f t="shared" si="3"/>
        <v>1.1870833333333333</v>
      </c>
      <c r="L9" s="9">
        <v>11.99</v>
      </c>
      <c r="M9" s="8">
        <f t="shared" si="4"/>
        <v>14215.343999999999</v>
      </c>
      <c r="O9" s="42">
        <f>I9*F9</f>
        <v>1407.4059999999999</v>
      </c>
      <c r="P9" s="22">
        <f>(I9*F9)*L9</f>
        <v>16874.79794</v>
      </c>
    </row>
    <row r="10" spans="1:16" x14ac:dyDescent="0.2">
      <c r="A10" t="s">
        <v>4</v>
      </c>
      <c r="B10" s="60">
        <v>100</v>
      </c>
      <c r="C10" s="39">
        <v>0.1193</v>
      </c>
      <c r="D10">
        <f t="shared" si="5"/>
        <v>1.423249</v>
      </c>
      <c r="E10">
        <f t="shared" si="0"/>
        <v>11.93</v>
      </c>
      <c r="F10">
        <f t="shared" si="6"/>
        <v>0.88070000000000004</v>
      </c>
      <c r="G10" s="15">
        <f>B10/C1</f>
        <v>4.3478260869565215</v>
      </c>
      <c r="H10" s="15">
        <f t="shared" si="1"/>
        <v>88.070000000000007</v>
      </c>
      <c r="I10" s="2">
        <v>126</v>
      </c>
      <c r="J10">
        <f t="shared" si="2"/>
        <v>26</v>
      </c>
      <c r="K10" s="1">
        <f t="shared" si="3"/>
        <v>1.26</v>
      </c>
      <c r="L10" s="9">
        <v>0</v>
      </c>
      <c r="M10" s="8">
        <f t="shared" si="4"/>
        <v>0</v>
      </c>
      <c r="O10" s="42">
        <f t="shared" si="7"/>
        <v>110.96820000000001</v>
      </c>
      <c r="P10" s="22">
        <f t="shared" si="8"/>
        <v>0</v>
      </c>
    </row>
    <row r="11" spans="1:16" x14ac:dyDescent="0.2">
      <c r="A11" t="s">
        <v>6</v>
      </c>
      <c r="B11" s="60">
        <v>100</v>
      </c>
      <c r="C11" s="39">
        <v>0.73009999999999997</v>
      </c>
      <c r="D11">
        <f t="shared" si="5"/>
        <v>53.304600999999991</v>
      </c>
      <c r="E11">
        <f t="shared" si="0"/>
        <v>73.009999999999991</v>
      </c>
      <c r="F11">
        <f t="shared" si="6"/>
        <v>0.26990000000000003</v>
      </c>
      <c r="G11" s="15">
        <f>B11/C8</f>
        <v>238.60653781913626</v>
      </c>
      <c r="H11" s="15">
        <f t="shared" si="1"/>
        <v>26.990000000000002</v>
      </c>
      <c r="I11" s="2">
        <v>161</v>
      </c>
      <c r="J11">
        <f t="shared" si="2"/>
        <v>61</v>
      </c>
      <c r="K11" s="1">
        <f t="shared" si="3"/>
        <v>1.61</v>
      </c>
      <c r="L11" s="9">
        <v>0</v>
      </c>
      <c r="M11" s="8">
        <f t="shared" si="4"/>
        <v>0</v>
      </c>
      <c r="O11" s="42">
        <f t="shared" si="7"/>
        <v>43.453900000000004</v>
      </c>
      <c r="P11" s="22">
        <f t="shared" si="8"/>
        <v>0</v>
      </c>
    </row>
    <row r="12" spans="1:16" x14ac:dyDescent="0.2">
      <c r="A12" t="s">
        <v>7</v>
      </c>
      <c r="B12" s="60">
        <v>100</v>
      </c>
      <c r="C12" s="39">
        <v>0.64129999999999998</v>
      </c>
      <c r="D12">
        <f t="shared" si="5"/>
        <v>41.126568999999996</v>
      </c>
      <c r="E12">
        <f t="shared" si="0"/>
        <v>64.13</v>
      </c>
      <c r="F12">
        <f t="shared" si="6"/>
        <v>0.35870000000000002</v>
      </c>
      <c r="G12" s="15">
        <f>B12/C1</f>
        <v>4.3478260869565215</v>
      </c>
      <c r="H12" s="15">
        <f t="shared" si="1"/>
        <v>35.870000000000005</v>
      </c>
      <c r="I12" s="2"/>
      <c r="J12">
        <f t="shared" si="2"/>
        <v>-100</v>
      </c>
      <c r="K12" s="1">
        <f t="shared" si="3"/>
        <v>0</v>
      </c>
      <c r="L12" s="65">
        <v>12</v>
      </c>
      <c r="M12" s="8">
        <f t="shared" si="4"/>
        <v>430.44000000000005</v>
      </c>
      <c r="O12" s="42">
        <f t="shared" si="7"/>
        <v>0</v>
      </c>
      <c r="P12" s="22">
        <f t="shared" si="8"/>
        <v>0</v>
      </c>
    </row>
    <row r="13" spans="1:16" x14ac:dyDescent="0.2">
      <c r="A13" t="s">
        <v>9</v>
      </c>
      <c r="B13" s="60">
        <v>1200</v>
      </c>
      <c r="C13" s="39">
        <v>0.62519999999999998</v>
      </c>
      <c r="D13">
        <f t="shared" si="5"/>
        <v>469.050048</v>
      </c>
      <c r="E13">
        <f t="shared" si="0"/>
        <v>750.24</v>
      </c>
      <c r="F13">
        <v>0.53</v>
      </c>
      <c r="G13" s="15">
        <f>B13/C1</f>
        <v>52.173913043478258</v>
      </c>
      <c r="H13" s="15">
        <f t="shared" si="1"/>
        <v>636</v>
      </c>
      <c r="I13" s="2">
        <v>6539</v>
      </c>
      <c r="J13">
        <f t="shared" si="2"/>
        <v>5339</v>
      </c>
      <c r="K13" s="1">
        <f t="shared" si="3"/>
        <v>5.4491666666666667</v>
      </c>
      <c r="L13" s="9">
        <v>0</v>
      </c>
      <c r="M13" s="8">
        <f t="shared" si="4"/>
        <v>0</v>
      </c>
      <c r="O13" s="42">
        <f>I13*F13</f>
        <v>3465.67</v>
      </c>
      <c r="P13" s="22">
        <f>(I13*F13)*L13</f>
        <v>0</v>
      </c>
    </row>
    <row r="14" spans="1:16" x14ac:dyDescent="0.2">
      <c r="A14" t="s">
        <v>8</v>
      </c>
      <c r="B14" s="60">
        <v>12000</v>
      </c>
      <c r="C14" s="39">
        <v>0.52359999999999995</v>
      </c>
      <c r="D14">
        <f t="shared" si="5"/>
        <v>3289.8835199999994</v>
      </c>
      <c r="E14">
        <f t="shared" si="0"/>
        <v>6283.2</v>
      </c>
      <c r="F14">
        <f t="shared" si="6"/>
        <v>0.47640000000000005</v>
      </c>
      <c r="G14" s="15">
        <f>B14/C1</f>
        <v>521.73913043478262</v>
      </c>
      <c r="H14" s="15">
        <f t="shared" si="1"/>
        <v>5716.8</v>
      </c>
      <c r="I14" s="2">
        <v>11676</v>
      </c>
      <c r="J14">
        <f t="shared" si="2"/>
        <v>-324</v>
      </c>
      <c r="K14" s="1">
        <f t="shared" si="3"/>
        <v>0.97299999999999998</v>
      </c>
      <c r="L14" s="35">
        <v>23.25</v>
      </c>
      <c r="M14" s="8">
        <f t="shared" si="4"/>
        <v>132915.6</v>
      </c>
      <c r="O14" s="42">
        <f t="shared" si="7"/>
        <v>5562.4464000000007</v>
      </c>
      <c r="P14" s="22">
        <f t="shared" si="8"/>
        <v>129326.87880000002</v>
      </c>
    </row>
    <row r="15" spans="1:16" hidden="1" x14ac:dyDescent="0.2">
      <c r="A15" t="s">
        <v>10</v>
      </c>
      <c r="B15" s="60"/>
      <c r="C15" s="39"/>
      <c r="D15">
        <f t="shared" si="5"/>
        <v>0</v>
      </c>
      <c r="E15">
        <f t="shared" si="0"/>
        <v>0</v>
      </c>
      <c r="G15" s="15">
        <f>B15/C12</f>
        <v>0</v>
      </c>
      <c r="H15" s="15">
        <f t="shared" si="1"/>
        <v>0</v>
      </c>
      <c r="I15" s="2"/>
      <c r="J15">
        <f t="shared" si="2"/>
        <v>0</v>
      </c>
      <c r="K15" s="1" t="e">
        <f t="shared" si="3"/>
        <v>#DIV/0!</v>
      </c>
      <c r="L15" s="9"/>
      <c r="M15" s="8">
        <f t="shared" si="4"/>
        <v>0</v>
      </c>
      <c r="O15" s="42">
        <f t="shared" si="7"/>
        <v>0</v>
      </c>
      <c r="P15" s="22">
        <f t="shared" si="8"/>
        <v>0</v>
      </c>
    </row>
    <row r="16" spans="1:16" x14ac:dyDescent="0.2">
      <c r="A16" t="s">
        <v>11</v>
      </c>
      <c r="B16" s="60">
        <v>5000</v>
      </c>
      <c r="C16" s="39">
        <v>0.54979999999999996</v>
      </c>
      <c r="D16">
        <f t="shared" si="5"/>
        <v>1511.4001999999998</v>
      </c>
      <c r="E16">
        <f t="shared" si="0"/>
        <v>2749</v>
      </c>
      <c r="F16">
        <f t="shared" si="6"/>
        <v>0.45020000000000004</v>
      </c>
      <c r="G16" s="15">
        <f>B16/C1</f>
        <v>217.39130434782609</v>
      </c>
      <c r="H16" s="15">
        <f t="shared" si="1"/>
        <v>2251</v>
      </c>
      <c r="I16" s="2">
        <v>6489</v>
      </c>
      <c r="J16">
        <f t="shared" si="2"/>
        <v>1489</v>
      </c>
      <c r="K16" s="1">
        <f t="shared" si="3"/>
        <v>1.2978000000000001</v>
      </c>
      <c r="L16" s="9">
        <v>27.41</v>
      </c>
      <c r="M16" s="8">
        <f t="shared" si="4"/>
        <v>61699.91</v>
      </c>
      <c r="O16" s="42">
        <f t="shared" si="7"/>
        <v>2921.3478000000005</v>
      </c>
      <c r="P16" s="22">
        <f t="shared" si="8"/>
        <v>80074.14319800002</v>
      </c>
    </row>
    <row r="17" spans="1:18" x14ac:dyDescent="0.2">
      <c r="A17" t="s">
        <v>16</v>
      </c>
      <c r="B17" s="60">
        <v>4000</v>
      </c>
      <c r="C17" s="39">
        <v>0.51670000000000005</v>
      </c>
      <c r="D17">
        <f t="shared" si="5"/>
        <v>1067.9155600000001</v>
      </c>
      <c r="E17">
        <f t="shared" si="0"/>
        <v>2066.8000000000002</v>
      </c>
      <c r="F17">
        <f>1-C17</f>
        <v>0.48329999999999995</v>
      </c>
      <c r="G17" s="15">
        <f>B17/C1</f>
        <v>173.91304347826087</v>
      </c>
      <c r="H17" s="15">
        <f t="shared" si="1"/>
        <v>1933.1999999999998</v>
      </c>
      <c r="I17" s="2">
        <v>4190</v>
      </c>
      <c r="J17">
        <f t="shared" si="2"/>
        <v>190</v>
      </c>
      <c r="K17" s="1">
        <f t="shared" si="3"/>
        <v>1.0475000000000001</v>
      </c>
      <c r="L17" s="9">
        <v>20.6</v>
      </c>
      <c r="M17" s="8">
        <f t="shared" si="4"/>
        <v>39823.919999999998</v>
      </c>
      <c r="O17" s="42">
        <f t="shared" si="7"/>
        <v>2025.0269999999998</v>
      </c>
      <c r="P17" s="22">
        <f t="shared" si="8"/>
        <v>41715.556199999999</v>
      </c>
    </row>
    <row r="18" spans="1:18" x14ac:dyDescent="0.2">
      <c r="A18" t="s">
        <v>51</v>
      </c>
      <c r="B18" s="60">
        <v>1800</v>
      </c>
      <c r="C18" s="39">
        <v>0.33939999999999998</v>
      </c>
      <c r="D18">
        <f t="shared" si="5"/>
        <v>207.34624799999997</v>
      </c>
      <c r="E18">
        <f t="shared" si="0"/>
        <v>610.91999999999996</v>
      </c>
      <c r="F18">
        <f t="shared" si="6"/>
        <v>0.66060000000000008</v>
      </c>
      <c r="G18" s="15">
        <f>B18/C1</f>
        <v>78.260869565217391</v>
      </c>
      <c r="H18" s="15">
        <f t="shared" si="1"/>
        <v>1189.0800000000002</v>
      </c>
      <c r="I18" s="2">
        <v>2741</v>
      </c>
      <c r="J18">
        <f t="shared" si="2"/>
        <v>941</v>
      </c>
      <c r="K18" s="1">
        <f t="shared" si="3"/>
        <v>1.5227777777777778</v>
      </c>
      <c r="L18" s="9">
        <v>25</v>
      </c>
      <c r="M18" s="8">
        <f t="shared" si="4"/>
        <v>29727.000000000004</v>
      </c>
      <c r="O18" s="42">
        <f t="shared" si="7"/>
        <v>1810.7046000000003</v>
      </c>
      <c r="P18" s="22">
        <f t="shared" si="8"/>
        <v>45267.615000000005</v>
      </c>
    </row>
    <row r="19" spans="1:18" x14ac:dyDescent="0.2">
      <c r="A19" t="s">
        <v>13</v>
      </c>
      <c r="B19" s="60">
        <v>2000</v>
      </c>
      <c r="C19" s="39">
        <v>0.51470000000000005</v>
      </c>
      <c r="D19">
        <f t="shared" si="5"/>
        <v>529.83218000000011</v>
      </c>
      <c r="E19">
        <f t="shared" si="0"/>
        <v>1029.4000000000001</v>
      </c>
      <c r="F19">
        <f t="shared" si="6"/>
        <v>0.48529999999999995</v>
      </c>
      <c r="G19" s="15">
        <f>B19/C1</f>
        <v>86.956521739130437</v>
      </c>
      <c r="H19" s="15">
        <f t="shared" si="1"/>
        <v>970.59999999999991</v>
      </c>
      <c r="I19" s="2">
        <v>3143</v>
      </c>
      <c r="J19">
        <f t="shared" si="2"/>
        <v>1143</v>
      </c>
      <c r="K19" s="1">
        <f t="shared" si="3"/>
        <v>1.5714999999999999</v>
      </c>
      <c r="L19" s="35">
        <v>22</v>
      </c>
      <c r="M19" s="8">
        <f t="shared" si="4"/>
        <v>21353.199999999997</v>
      </c>
      <c r="O19" s="42">
        <f t="shared" si="7"/>
        <v>1525.2978999999998</v>
      </c>
      <c r="P19" s="22">
        <f t="shared" si="8"/>
        <v>33556.553799999994</v>
      </c>
    </row>
    <row r="20" spans="1:18" x14ac:dyDescent="0.2">
      <c r="A20" t="s">
        <v>14</v>
      </c>
      <c r="B20" s="60">
        <v>3000</v>
      </c>
      <c r="C20" s="39">
        <v>0.55649999999999999</v>
      </c>
      <c r="D20">
        <f t="shared" si="5"/>
        <v>929.07674999999995</v>
      </c>
      <c r="E20">
        <f t="shared" si="0"/>
        <v>1669.5</v>
      </c>
      <c r="F20">
        <f t="shared" si="6"/>
        <v>0.44350000000000001</v>
      </c>
      <c r="G20" s="15">
        <f>B20/C1</f>
        <v>130.43478260869566</v>
      </c>
      <c r="H20" s="15">
        <f t="shared" si="1"/>
        <v>1330.5</v>
      </c>
      <c r="I20" s="2">
        <v>4224</v>
      </c>
      <c r="J20">
        <f t="shared" si="2"/>
        <v>1224</v>
      </c>
      <c r="K20" s="1">
        <f t="shared" si="3"/>
        <v>1.4079999999999999</v>
      </c>
      <c r="L20" s="65">
        <v>28.78</v>
      </c>
      <c r="M20" s="8">
        <f t="shared" si="4"/>
        <v>38291.79</v>
      </c>
      <c r="O20" s="42">
        <f t="shared" si="7"/>
        <v>1873.3440000000001</v>
      </c>
      <c r="P20" s="22">
        <f t="shared" si="8"/>
        <v>53914.840320000003</v>
      </c>
    </row>
    <row r="21" spans="1:18" ht="15" thickBot="1" x14ac:dyDescent="0.25">
      <c r="A21" s="5" t="s">
        <v>15</v>
      </c>
      <c r="B21" s="61">
        <v>2200</v>
      </c>
      <c r="C21" s="71">
        <v>0.47139999999999999</v>
      </c>
      <c r="D21" s="5">
        <f t="shared" si="5"/>
        <v>488.87951199999998</v>
      </c>
      <c r="E21" s="5">
        <f t="shared" si="0"/>
        <v>1037.08</v>
      </c>
      <c r="F21" s="5">
        <f t="shared" si="6"/>
        <v>0.52859999999999996</v>
      </c>
      <c r="G21" s="16">
        <f>B21/C1</f>
        <v>95.652173913043484</v>
      </c>
      <c r="H21" s="16">
        <f t="shared" si="1"/>
        <v>1162.9199999999998</v>
      </c>
      <c r="I21" s="38">
        <v>2389</v>
      </c>
      <c r="J21" s="5">
        <f t="shared" si="2"/>
        <v>189</v>
      </c>
      <c r="K21" s="6">
        <f t="shared" si="3"/>
        <v>1.0859090909090909</v>
      </c>
      <c r="L21" s="10">
        <v>23.24</v>
      </c>
      <c r="M21" s="14">
        <f t="shared" si="4"/>
        <v>27026.260799999996</v>
      </c>
      <c r="N21" s="5"/>
      <c r="O21" s="43">
        <f t="shared" si="7"/>
        <v>1262.8253999999999</v>
      </c>
      <c r="P21" s="25">
        <f t="shared" si="8"/>
        <v>29348.062295999996</v>
      </c>
    </row>
    <row r="22" spans="1:18" ht="15" hidden="1" thickBot="1" x14ac:dyDescent="0.25">
      <c r="A22" s="3" t="s">
        <v>24</v>
      </c>
      <c r="B22" s="62"/>
      <c r="C22" s="5">
        <v>0.2555</v>
      </c>
      <c r="E22">
        <f t="shared" si="0"/>
        <v>0</v>
      </c>
      <c r="F22" s="5">
        <f t="shared" si="6"/>
        <v>0.74449999999999994</v>
      </c>
      <c r="G22" s="16">
        <f>B22/21</f>
        <v>0</v>
      </c>
      <c r="H22" s="16">
        <f t="shared" si="1"/>
        <v>0</v>
      </c>
      <c r="I22" s="4"/>
      <c r="J22" s="5">
        <f t="shared" si="2"/>
        <v>0</v>
      </c>
      <c r="K22" s="6" t="e">
        <f>I22/B22</f>
        <v>#DIV/0!</v>
      </c>
      <c r="L22" s="10">
        <v>25</v>
      </c>
      <c r="M22" s="14">
        <f t="shared" si="4"/>
        <v>0</v>
      </c>
      <c r="O22" s="43">
        <f t="shared" si="7"/>
        <v>0</v>
      </c>
      <c r="P22" s="25">
        <f t="shared" si="8"/>
        <v>0</v>
      </c>
    </row>
    <row r="23" spans="1:18" ht="15" thickBot="1" x14ac:dyDescent="0.25">
      <c r="B23" s="60">
        <f>SUM(B4:B22)</f>
        <v>43000</v>
      </c>
      <c r="C23" s="39">
        <f>D23/E23</f>
        <v>0.50990003657861371</v>
      </c>
      <c r="D23" s="31">
        <f>SUM(D4:D21)</f>
        <v>11263.390966999998</v>
      </c>
      <c r="E23" s="28">
        <f>SUM(E4:E22)</f>
        <v>22089.410000000003</v>
      </c>
      <c r="G23" s="33">
        <f>SUM(G4:G22)</f>
        <v>2103.823929123484</v>
      </c>
      <c r="H23" s="33">
        <f>SUM(H4:H22)</f>
        <v>22096.829999999998</v>
      </c>
      <c r="I23" s="32">
        <f>SUM(I$4:I$21)</f>
        <v>53484</v>
      </c>
      <c r="J23" s="28">
        <f t="shared" si="2"/>
        <v>10484</v>
      </c>
      <c r="K23" s="1">
        <f>I23/B23</f>
        <v>1.2438139534883721</v>
      </c>
      <c r="L23" s="9"/>
      <c r="M23" s="8">
        <f>SUM(M4:M22)</f>
        <v>502673.17630000005</v>
      </c>
      <c r="N23" s="8"/>
      <c r="O23" s="44">
        <f>SUM(O4:O22)</f>
        <v>26834.275500000003</v>
      </c>
      <c r="P23" s="22">
        <f>SUM(P4:P22)</f>
        <v>552132.21431900002</v>
      </c>
      <c r="Q23" s="17"/>
    </row>
    <row r="24" spans="1:18" ht="15" thickBot="1" x14ac:dyDescent="0.25">
      <c r="A24" t="s">
        <v>109</v>
      </c>
      <c r="B24" s="63">
        <f>B23/23</f>
        <v>1869.5652173913043</v>
      </c>
      <c r="C24" s="54" t="s">
        <v>87</v>
      </c>
      <c r="F24" s="20">
        <f>B24/31</f>
        <v>60.308555399719495</v>
      </c>
      <c r="G24" s="15"/>
      <c r="H24" s="34">
        <f>H23/22</f>
        <v>1004.4013636363635</v>
      </c>
      <c r="I24" s="52">
        <f>I23/(C1-H27)</f>
        <v>2325.391304347826</v>
      </c>
      <c r="J24" s="53" t="s">
        <v>86</v>
      </c>
      <c r="K24" s="54"/>
      <c r="M24" s="8">
        <f>M23/H23</f>
        <v>22.748655635220079</v>
      </c>
      <c r="N24" s="8" t="s">
        <v>29</v>
      </c>
      <c r="O24" s="45">
        <f>O23/H23</f>
        <v>1.2143948023313753</v>
      </c>
      <c r="P24" s="47">
        <f>P23/O23</f>
        <v>20.575633365581268</v>
      </c>
      <c r="Q24" s="48" t="s">
        <v>84</v>
      </c>
    </row>
    <row r="25" spans="1:18" ht="15" thickBot="1" x14ac:dyDescent="0.25">
      <c r="B25" s="55"/>
      <c r="H25" s="40" t="s">
        <v>81</v>
      </c>
      <c r="I25" s="41">
        <f>I24-B24</f>
        <v>455.82608695652175</v>
      </c>
      <c r="J25" s="59">
        <f>I25/B24</f>
        <v>0.24381395348837212</v>
      </c>
      <c r="P25" s="49">
        <f>P23/I23</f>
        <v>10.323315651765014</v>
      </c>
      <c r="Q25" s="50" t="s">
        <v>85</v>
      </c>
      <c r="R25">
        <v>11.57</v>
      </c>
    </row>
    <row r="26" spans="1:18" ht="15" thickBot="1" x14ac:dyDescent="0.25"/>
    <row r="27" spans="1:18" ht="15" thickBot="1" x14ac:dyDescent="0.25">
      <c r="G27" s="46"/>
      <c r="H27" s="70">
        <v>0</v>
      </c>
      <c r="I27" t="s">
        <v>106</v>
      </c>
      <c r="J27" s="41">
        <f>I24</f>
        <v>2325.391304347826</v>
      </c>
      <c r="K27">
        <f>H27*J27</f>
        <v>0</v>
      </c>
      <c r="L27" s="41">
        <f>K27+I23</f>
        <v>53484</v>
      </c>
      <c r="M27" t="s">
        <v>83</v>
      </c>
    </row>
    <row r="28" spans="1:18" x14ac:dyDescent="0.2">
      <c r="A28" t="s">
        <v>89</v>
      </c>
      <c r="I28" t="s">
        <v>92</v>
      </c>
      <c r="J28" s="34" t="e">
        <f>K28/H27</f>
        <v>#DIV/0!</v>
      </c>
      <c r="K28" s="41">
        <f>J23</f>
        <v>10484</v>
      </c>
    </row>
    <row r="29" spans="1:18" x14ac:dyDescent="0.2">
      <c r="A29" t="s">
        <v>125</v>
      </c>
      <c r="J29" s="34" t="e">
        <f>J28/32</f>
        <v>#DIV/0!</v>
      </c>
      <c r="K29" t="s">
        <v>117</v>
      </c>
    </row>
    <row r="30" spans="1:18" x14ac:dyDescent="0.2">
      <c r="A30" t="s">
        <v>118</v>
      </c>
    </row>
    <row r="31" spans="1:18" x14ac:dyDescent="0.2">
      <c r="A31" t="s">
        <v>119</v>
      </c>
    </row>
    <row r="32" spans="1:18" x14ac:dyDescent="0.2">
      <c r="A32" t="s">
        <v>120</v>
      </c>
    </row>
    <row r="33" spans="1:1" x14ac:dyDescent="0.2">
      <c r="A33" t="s">
        <v>121</v>
      </c>
    </row>
    <row r="34" spans="1:1" x14ac:dyDescent="0.2">
      <c r="A34" t="s">
        <v>122</v>
      </c>
    </row>
    <row r="35" spans="1:1" x14ac:dyDescent="0.2">
      <c r="A35" t="s">
        <v>123</v>
      </c>
    </row>
    <row r="36" spans="1:1" x14ac:dyDescent="0.2">
      <c r="A36" t="s">
        <v>124</v>
      </c>
    </row>
    <row r="37" spans="1:1" x14ac:dyDescent="0.2">
      <c r="A37" t="s">
        <v>126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6"/>
  <sheetViews>
    <sheetView topLeftCell="A10" zoomScaleNormal="100" zoomScaleSheetLayoutView="100" workbookViewId="0">
      <selection activeCell="E27" sqref="E27"/>
    </sheetView>
  </sheetViews>
  <sheetFormatPr defaultRowHeight="14.25" x14ac:dyDescent="0.2"/>
  <cols>
    <col min="1" max="1" width="26.625" customWidth="1"/>
    <col min="4" max="4" width="13" hidden="1" customWidth="1"/>
    <col min="7" max="7" width="9.5" customWidth="1"/>
    <col min="9" max="9" width="13.625" customWidth="1"/>
    <col min="10" max="10" width="9.625" customWidth="1"/>
    <col min="13" max="13" width="13.875" customWidth="1"/>
    <col min="16" max="16" width="11.75" customWidth="1"/>
  </cols>
  <sheetData>
    <row r="1" spans="1:16" x14ac:dyDescent="0.2">
      <c r="B1" t="s">
        <v>112</v>
      </c>
      <c r="C1">
        <v>22</v>
      </c>
      <c r="L1" s="57" t="s">
        <v>22</v>
      </c>
      <c r="M1" s="57" t="s">
        <v>23</v>
      </c>
    </row>
    <row r="2" spans="1:16" ht="15" thickBot="1" x14ac:dyDescent="0.25">
      <c r="A2" s="19" t="s">
        <v>39</v>
      </c>
      <c r="B2" t="s">
        <v>65</v>
      </c>
      <c r="C2" t="s">
        <v>116</v>
      </c>
      <c r="I2" s="2" t="s">
        <v>102</v>
      </c>
      <c r="L2" s="58">
        <f>(C1-H27)/22</f>
        <v>1</v>
      </c>
      <c r="M2" s="58">
        <f>I23/B23</f>
        <v>1.2374772727272727</v>
      </c>
      <c r="N2" s="17">
        <f>M2-L2</f>
        <v>0.2374772727272727</v>
      </c>
      <c r="O2" s="36" t="s">
        <v>44</v>
      </c>
      <c r="P2" s="36"/>
    </row>
    <row r="3" spans="1:16" ht="15" thickBot="1" x14ac:dyDescent="0.25">
      <c r="A3" s="11" t="s">
        <v>107</v>
      </c>
      <c r="B3" s="12" t="s">
        <v>19</v>
      </c>
      <c r="C3" s="12" t="s">
        <v>30</v>
      </c>
      <c r="D3" s="12"/>
      <c r="E3" s="12" t="s">
        <v>29</v>
      </c>
      <c r="F3" s="12" t="s">
        <v>28</v>
      </c>
      <c r="G3" s="12" t="s">
        <v>27</v>
      </c>
      <c r="H3" s="12" t="s">
        <v>29</v>
      </c>
      <c r="I3" s="64"/>
      <c r="J3" s="12" t="s">
        <v>20</v>
      </c>
      <c r="K3" s="12" t="s">
        <v>21</v>
      </c>
      <c r="L3" s="12" t="s">
        <v>25</v>
      </c>
      <c r="M3" s="12" t="s">
        <v>26</v>
      </c>
      <c r="N3" s="12"/>
      <c r="O3" s="51" t="s">
        <v>28</v>
      </c>
      <c r="P3" s="51" t="s">
        <v>43</v>
      </c>
    </row>
    <row r="4" spans="1:16" ht="15" thickTop="1" x14ac:dyDescent="0.2">
      <c r="A4" t="s">
        <v>0</v>
      </c>
      <c r="B4" s="60">
        <v>1500</v>
      </c>
      <c r="C4" s="39">
        <v>0.52739999999999998</v>
      </c>
      <c r="D4">
        <f>C4*E4</f>
        <v>417.22613999999999</v>
      </c>
      <c r="E4">
        <f t="shared" ref="E4:E22" si="0">B4*C4</f>
        <v>791.1</v>
      </c>
      <c r="F4">
        <f>1-C4</f>
        <v>0.47260000000000002</v>
      </c>
      <c r="G4" s="15">
        <f>B4/C1</f>
        <v>68.181818181818187</v>
      </c>
      <c r="H4" s="15">
        <f t="shared" ref="H4:H22" si="1">B4*F4</f>
        <v>708.9</v>
      </c>
      <c r="I4" s="2">
        <v>1730</v>
      </c>
      <c r="J4">
        <f t="shared" ref="J4:J23" si="2">I4-B4</f>
        <v>230</v>
      </c>
      <c r="K4" s="1">
        <f t="shared" ref="K4:K21" si="3">I4/B4</f>
        <v>1.1533333333333333</v>
      </c>
      <c r="L4" s="8">
        <v>23.67</v>
      </c>
      <c r="M4" s="8">
        <f t="shared" ref="M4:M22" si="4">(B4*F4)*L4</f>
        <v>16779.663</v>
      </c>
      <c r="O4" s="42">
        <f>I4*F4</f>
        <v>817.59800000000007</v>
      </c>
      <c r="P4" s="22">
        <f>(I4*F4)*L4</f>
        <v>19352.544660000003</v>
      </c>
    </row>
    <row r="5" spans="1:16" x14ac:dyDescent="0.2">
      <c r="A5" t="s">
        <v>17</v>
      </c>
      <c r="B5" s="60">
        <v>500</v>
      </c>
      <c r="C5" s="39"/>
      <c r="D5">
        <v>184.29849000000002</v>
      </c>
      <c r="E5">
        <v>429.3</v>
      </c>
      <c r="F5">
        <v>0.57069999999999999</v>
      </c>
      <c r="G5" s="15">
        <f>B5/C1</f>
        <v>22.727272727272727</v>
      </c>
      <c r="H5" s="15">
        <v>570.69999999999993</v>
      </c>
      <c r="I5" s="2"/>
      <c r="J5">
        <v>-334</v>
      </c>
      <c r="K5" s="1">
        <f t="shared" si="3"/>
        <v>0</v>
      </c>
      <c r="L5" s="8">
        <v>18.98</v>
      </c>
      <c r="M5" s="8">
        <v>10843.3</v>
      </c>
      <c r="O5" s="42">
        <f>I5*F5</f>
        <v>0</v>
      </c>
      <c r="P5" s="22">
        <f>(I5*F5)*L5</f>
        <v>0</v>
      </c>
    </row>
    <row r="6" spans="1:16" x14ac:dyDescent="0.2">
      <c r="A6" t="s">
        <v>1</v>
      </c>
      <c r="B6" s="60">
        <v>3500</v>
      </c>
      <c r="C6" s="39">
        <v>0.40550000000000003</v>
      </c>
      <c r="D6">
        <f t="shared" ref="D6:D21" si="5">C6*E6</f>
        <v>575.50587500000006</v>
      </c>
      <c r="E6">
        <f t="shared" si="0"/>
        <v>1419.25</v>
      </c>
      <c r="F6">
        <f t="shared" ref="F6:F22" si="6">1-C6</f>
        <v>0.59450000000000003</v>
      </c>
      <c r="G6" s="15">
        <f>B6/C1</f>
        <v>159.09090909090909</v>
      </c>
      <c r="H6" s="15">
        <f t="shared" si="1"/>
        <v>2080.75</v>
      </c>
      <c r="I6" s="2">
        <v>3519</v>
      </c>
      <c r="J6">
        <f t="shared" si="2"/>
        <v>19</v>
      </c>
      <c r="K6" s="1">
        <f t="shared" si="3"/>
        <v>1.0054285714285713</v>
      </c>
      <c r="L6" s="9">
        <v>28</v>
      </c>
      <c r="M6" s="8">
        <f t="shared" si="4"/>
        <v>58261</v>
      </c>
      <c r="O6" s="42">
        <f t="shared" ref="O6:O22" si="7">I6*F6</f>
        <v>2092.0455000000002</v>
      </c>
      <c r="P6" s="22">
        <f t="shared" ref="P6:P22" si="8">(I6*F6)*L6</f>
        <v>58577.274000000005</v>
      </c>
    </row>
    <row r="7" spans="1:16" x14ac:dyDescent="0.2">
      <c r="A7" t="s">
        <v>2</v>
      </c>
      <c r="B7" s="60">
        <v>1500</v>
      </c>
      <c r="C7" s="39">
        <v>0.52649999999999997</v>
      </c>
      <c r="D7">
        <f t="shared" si="5"/>
        <v>415.80337499999996</v>
      </c>
      <c r="E7">
        <f t="shared" si="0"/>
        <v>789.75</v>
      </c>
      <c r="F7">
        <f t="shared" si="6"/>
        <v>0.47350000000000003</v>
      </c>
      <c r="G7" s="15">
        <f>B7/C1</f>
        <v>68.181818181818187</v>
      </c>
      <c r="H7" s="15">
        <f t="shared" si="1"/>
        <v>710.25</v>
      </c>
      <c r="I7" s="2">
        <v>1632</v>
      </c>
      <c r="J7">
        <f t="shared" si="2"/>
        <v>132</v>
      </c>
      <c r="K7" s="1">
        <f t="shared" si="3"/>
        <v>1.0880000000000001</v>
      </c>
      <c r="L7" s="9">
        <v>23.46</v>
      </c>
      <c r="M7" s="8">
        <f t="shared" si="4"/>
        <v>16662.465</v>
      </c>
      <c r="O7" s="42">
        <f t="shared" si="7"/>
        <v>772.75200000000007</v>
      </c>
      <c r="P7" s="22">
        <f t="shared" si="8"/>
        <v>18128.761920000001</v>
      </c>
    </row>
    <row r="8" spans="1:16" x14ac:dyDescent="0.2">
      <c r="A8" t="s">
        <v>68</v>
      </c>
      <c r="B8" s="60">
        <v>2500</v>
      </c>
      <c r="C8" s="39">
        <v>0.41909999999999997</v>
      </c>
      <c r="D8">
        <f t="shared" si="5"/>
        <v>439.11202499999996</v>
      </c>
      <c r="E8">
        <f t="shared" si="0"/>
        <v>1047.75</v>
      </c>
      <c r="F8">
        <f t="shared" si="6"/>
        <v>0.58089999999999997</v>
      </c>
      <c r="G8" s="15">
        <f>B8/C1</f>
        <v>113.63636363636364</v>
      </c>
      <c r="H8" s="15">
        <f t="shared" si="1"/>
        <v>1452.25</v>
      </c>
      <c r="I8" s="2">
        <v>1658</v>
      </c>
      <c r="J8">
        <f t="shared" si="2"/>
        <v>-842</v>
      </c>
      <c r="K8" s="1">
        <f t="shared" si="3"/>
        <v>0.66320000000000001</v>
      </c>
      <c r="L8" s="9">
        <v>23.09</v>
      </c>
      <c r="M8" s="8">
        <f t="shared" si="4"/>
        <v>33532.452499999999</v>
      </c>
      <c r="O8" s="42">
        <f t="shared" si="7"/>
        <v>963.1321999999999</v>
      </c>
      <c r="P8" s="22">
        <f t="shared" si="8"/>
        <v>22238.722497999999</v>
      </c>
    </row>
    <row r="9" spans="1:16" x14ac:dyDescent="0.2">
      <c r="A9" t="s">
        <v>5</v>
      </c>
      <c r="B9" s="60">
        <v>2400</v>
      </c>
      <c r="C9" s="39">
        <v>0.50600000000000001</v>
      </c>
      <c r="D9">
        <f t="shared" si="5"/>
        <v>614.4864</v>
      </c>
      <c r="E9">
        <f t="shared" si="0"/>
        <v>1214.4000000000001</v>
      </c>
      <c r="F9">
        <f>1-C9</f>
        <v>0.49399999999999999</v>
      </c>
      <c r="G9" s="15">
        <f>B9/C1</f>
        <v>109.09090909090909</v>
      </c>
      <c r="H9" s="15">
        <f t="shared" si="1"/>
        <v>1185.5999999999999</v>
      </c>
      <c r="I9" s="2">
        <v>2972</v>
      </c>
      <c r="J9">
        <f t="shared" si="2"/>
        <v>572</v>
      </c>
      <c r="K9" s="1">
        <f t="shared" si="3"/>
        <v>1.2383333333333333</v>
      </c>
      <c r="L9" s="9">
        <v>11.99</v>
      </c>
      <c r="M9" s="8">
        <f t="shared" si="4"/>
        <v>14215.343999999999</v>
      </c>
      <c r="O9" s="42">
        <f>I9*F9</f>
        <v>1468.1679999999999</v>
      </c>
      <c r="P9" s="22">
        <f>(I9*F9)*L9</f>
        <v>17603.334319999998</v>
      </c>
    </row>
    <row r="10" spans="1:16" x14ac:dyDescent="0.2">
      <c r="A10" t="s">
        <v>4</v>
      </c>
      <c r="B10" s="60">
        <v>100</v>
      </c>
      <c r="C10" s="39">
        <v>0.1193</v>
      </c>
      <c r="D10">
        <f t="shared" si="5"/>
        <v>1.423249</v>
      </c>
      <c r="E10">
        <f t="shared" si="0"/>
        <v>11.93</v>
      </c>
      <c r="F10">
        <f t="shared" si="6"/>
        <v>0.88070000000000004</v>
      </c>
      <c r="G10" s="15">
        <f>B10/C1</f>
        <v>4.5454545454545459</v>
      </c>
      <c r="H10" s="15">
        <f t="shared" si="1"/>
        <v>88.070000000000007</v>
      </c>
      <c r="I10" s="2">
        <v>174</v>
      </c>
      <c r="J10">
        <f t="shared" si="2"/>
        <v>74</v>
      </c>
      <c r="K10" s="1">
        <f t="shared" si="3"/>
        <v>1.74</v>
      </c>
      <c r="L10" s="9">
        <v>0</v>
      </c>
      <c r="M10" s="8">
        <f t="shared" si="4"/>
        <v>0</v>
      </c>
      <c r="O10" s="42">
        <f t="shared" si="7"/>
        <v>153.24180000000001</v>
      </c>
      <c r="P10" s="22">
        <f t="shared" si="8"/>
        <v>0</v>
      </c>
    </row>
    <row r="11" spans="1:16" x14ac:dyDescent="0.2">
      <c r="A11" t="s">
        <v>6</v>
      </c>
      <c r="B11" s="60">
        <v>200</v>
      </c>
      <c r="C11" s="39">
        <v>0.73009999999999997</v>
      </c>
      <c r="D11">
        <f t="shared" si="5"/>
        <v>106.60920199999998</v>
      </c>
      <c r="E11">
        <f t="shared" si="0"/>
        <v>146.01999999999998</v>
      </c>
      <c r="F11">
        <f t="shared" si="6"/>
        <v>0.26990000000000003</v>
      </c>
      <c r="G11" s="15">
        <f>B11/C8</f>
        <v>477.21307563827253</v>
      </c>
      <c r="H11" s="15">
        <f t="shared" si="1"/>
        <v>53.980000000000004</v>
      </c>
      <c r="I11" s="2">
        <v>68</v>
      </c>
      <c r="J11">
        <f t="shared" si="2"/>
        <v>-132</v>
      </c>
      <c r="K11" s="1">
        <f t="shared" si="3"/>
        <v>0.34</v>
      </c>
      <c r="L11" s="9">
        <v>0</v>
      </c>
      <c r="M11" s="8">
        <f t="shared" si="4"/>
        <v>0</v>
      </c>
      <c r="O11" s="42">
        <f t="shared" si="7"/>
        <v>18.353200000000001</v>
      </c>
      <c r="P11" s="22">
        <f t="shared" si="8"/>
        <v>0</v>
      </c>
    </row>
    <row r="12" spans="1:16" x14ac:dyDescent="0.2">
      <c r="A12" t="s">
        <v>134</v>
      </c>
      <c r="B12" s="60">
        <v>100</v>
      </c>
      <c r="C12" s="39">
        <v>0.64129999999999998</v>
      </c>
      <c r="D12">
        <f t="shared" si="5"/>
        <v>41.126568999999996</v>
      </c>
      <c r="E12">
        <f t="shared" si="0"/>
        <v>64.13</v>
      </c>
      <c r="F12">
        <f t="shared" si="6"/>
        <v>0.35870000000000002</v>
      </c>
      <c r="G12" s="15">
        <f>B12/C1</f>
        <v>4.5454545454545459</v>
      </c>
      <c r="H12" s="15">
        <f t="shared" si="1"/>
        <v>35.870000000000005</v>
      </c>
      <c r="I12" s="2">
        <v>747</v>
      </c>
      <c r="J12">
        <f t="shared" si="2"/>
        <v>647</v>
      </c>
      <c r="K12" s="1">
        <f t="shared" si="3"/>
        <v>7.47</v>
      </c>
      <c r="L12" s="65">
        <v>12</v>
      </c>
      <c r="M12" s="8">
        <f t="shared" si="4"/>
        <v>430.44000000000005</v>
      </c>
      <c r="O12" s="42">
        <f t="shared" si="7"/>
        <v>267.94890000000004</v>
      </c>
      <c r="P12" s="22">
        <f t="shared" si="8"/>
        <v>3215.3868000000002</v>
      </c>
    </row>
    <row r="13" spans="1:16" x14ac:dyDescent="0.2">
      <c r="A13" t="s">
        <v>9</v>
      </c>
      <c r="B13" s="60">
        <v>3000</v>
      </c>
      <c r="C13" s="39">
        <v>0.62519999999999998</v>
      </c>
      <c r="D13">
        <f t="shared" si="5"/>
        <v>1172.6251199999999</v>
      </c>
      <c r="E13">
        <f t="shared" si="0"/>
        <v>1875.6</v>
      </c>
      <c r="F13">
        <v>0.53</v>
      </c>
      <c r="G13" s="15">
        <f>B13/C1</f>
        <v>136.36363636363637</v>
      </c>
      <c r="H13" s="15">
        <f t="shared" si="1"/>
        <v>1590</v>
      </c>
      <c r="I13" s="2">
        <v>5866</v>
      </c>
      <c r="J13">
        <f t="shared" si="2"/>
        <v>2866</v>
      </c>
      <c r="K13" s="1">
        <f t="shared" si="3"/>
        <v>1.9553333333333334</v>
      </c>
      <c r="L13" s="9">
        <v>0</v>
      </c>
      <c r="M13" s="8">
        <f t="shared" si="4"/>
        <v>0</v>
      </c>
      <c r="O13" s="42">
        <f>I13*F13</f>
        <v>3108.98</v>
      </c>
      <c r="P13" s="22">
        <f>(I13*F13)*L13</f>
        <v>0</v>
      </c>
    </row>
    <row r="14" spans="1:16" x14ac:dyDescent="0.2">
      <c r="A14" t="s">
        <v>8</v>
      </c>
      <c r="B14" s="60">
        <v>12000</v>
      </c>
      <c r="C14" s="39">
        <v>0.52359999999999995</v>
      </c>
      <c r="D14">
        <f t="shared" si="5"/>
        <v>3289.8835199999994</v>
      </c>
      <c r="E14">
        <f t="shared" si="0"/>
        <v>6283.2</v>
      </c>
      <c r="F14">
        <f t="shared" si="6"/>
        <v>0.47640000000000005</v>
      </c>
      <c r="G14" s="15">
        <f>B14/C1</f>
        <v>545.4545454545455</v>
      </c>
      <c r="H14" s="15">
        <f t="shared" si="1"/>
        <v>5716.8</v>
      </c>
      <c r="I14" s="2">
        <v>9849</v>
      </c>
      <c r="J14">
        <f t="shared" si="2"/>
        <v>-2151</v>
      </c>
      <c r="K14" s="1">
        <f t="shared" si="3"/>
        <v>0.82074999999999998</v>
      </c>
      <c r="L14" s="35">
        <v>23.25</v>
      </c>
      <c r="M14" s="8">
        <f t="shared" si="4"/>
        <v>132915.6</v>
      </c>
      <c r="O14" s="42">
        <f t="shared" si="7"/>
        <v>4692.0636000000004</v>
      </c>
      <c r="P14" s="22">
        <f t="shared" si="8"/>
        <v>109090.47870000001</v>
      </c>
    </row>
    <row r="15" spans="1:16" hidden="1" x14ac:dyDescent="0.2">
      <c r="A15" t="s">
        <v>10</v>
      </c>
      <c r="B15" s="60"/>
      <c r="C15" s="39"/>
      <c r="D15">
        <f t="shared" si="5"/>
        <v>0</v>
      </c>
      <c r="E15">
        <f t="shared" si="0"/>
        <v>0</v>
      </c>
      <c r="G15" s="15">
        <f>B15/C12</f>
        <v>0</v>
      </c>
      <c r="H15" s="15">
        <f t="shared" si="1"/>
        <v>0</v>
      </c>
      <c r="I15" s="2"/>
      <c r="J15">
        <f t="shared" si="2"/>
        <v>0</v>
      </c>
      <c r="K15" s="1" t="e">
        <f t="shared" si="3"/>
        <v>#DIV/0!</v>
      </c>
      <c r="L15" s="9"/>
      <c r="M15" s="8">
        <f t="shared" si="4"/>
        <v>0</v>
      </c>
      <c r="O15" s="42">
        <f t="shared" si="7"/>
        <v>0</v>
      </c>
      <c r="P15" s="22">
        <f t="shared" si="8"/>
        <v>0</v>
      </c>
    </row>
    <row r="16" spans="1:16" x14ac:dyDescent="0.2">
      <c r="A16" t="s">
        <v>11</v>
      </c>
      <c r="B16" s="60">
        <v>3200</v>
      </c>
      <c r="C16" s="39">
        <v>0.54979999999999996</v>
      </c>
      <c r="D16">
        <f t="shared" si="5"/>
        <v>967.29612799999984</v>
      </c>
      <c r="E16">
        <f t="shared" si="0"/>
        <v>1759.36</v>
      </c>
      <c r="F16">
        <f t="shared" si="6"/>
        <v>0.45020000000000004</v>
      </c>
      <c r="G16" s="15">
        <f>B16/C1</f>
        <v>145.45454545454547</v>
      </c>
      <c r="H16" s="15">
        <f t="shared" si="1"/>
        <v>1440.64</v>
      </c>
      <c r="I16" s="2">
        <v>6416</v>
      </c>
      <c r="J16">
        <f t="shared" si="2"/>
        <v>3216</v>
      </c>
      <c r="K16" s="1">
        <f t="shared" si="3"/>
        <v>2.0049999999999999</v>
      </c>
      <c r="L16" s="9">
        <v>27.41</v>
      </c>
      <c r="M16" s="8">
        <f t="shared" si="4"/>
        <v>39487.9424</v>
      </c>
      <c r="O16" s="42">
        <f t="shared" si="7"/>
        <v>2888.4832000000001</v>
      </c>
      <c r="P16" s="22">
        <f t="shared" si="8"/>
        <v>79173.324512000007</v>
      </c>
    </row>
    <row r="17" spans="1:18" x14ac:dyDescent="0.2">
      <c r="A17" t="s">
        <v>16</v>
      </c>
      <c r="B17" s="60">
        <v>2500</v>
      </c>
      <c r="C17" s="39">
        <v>0.51670000000000005</v>
      </c>
      <c r="D17">
        <f t="shared" si="5"/>
        <v>667.44722500000023</v>
      </c>
      <c r="E17">
        <f t="shared" si="0"/>
        <v>1291.7500000000002</v>
      </c>
      <c r="F17">
        <f>1-C17</f>
        <v>0.48329999999999995</v>
      </c>
      <c r="G17" s="15">
        <f>B17/C1</f>
        <v>113.63636363636364</v>
      </c>
      <c r="H17" s="15">
        <f t="shared" si="1"/>
        <v>1208.2499999999998</v>
      </c>
      <c r="I17" s="2">
        <v>3613</v>
      </c>
      <c r="J17">
        <f t="shared" si="2"/>
        <v>1113</v>
      </c>
      <c r="K17" s="1">
        <f t="shared" si="3"/>
        <v>1.4452</v>
      </c>
      <c r="L17" s="9">
        <v>20.6</v>
      </c>
      <c r="M17" s="8">
        <f t="shared" si="4"/>
        <v>24889.949999999997</v>
      </c>
      <c r="O17" s="42">
        <f t="shared" si="7"/>
        <v>1746.1628999999998</v>
      </c>
      <c r="P17" s="22">
        <f t="shared" si="8"/>
        <v>35970.955739999998</v>
      </c>
    </row>
    <row r="18" spans="1:18" x14ac:dyDescent="0.2">
      <c r="A18" t="s">
        <v>51</v>
      </c>
      <c r="B18" s="60">
        <v>2500</v>
      </c>
      <c r="C18" s="39">
        <v>0.33939999999999998</v>
      </c>
      <c r="D18">
        <f t="shared" si="5"/>
        <v>287.98089999999996</v>
      </c>
      <c r="E18">
        <f t="shared" si="0"/>
        <v>848.5</v>
      </c>
      <c r="F18">
        <f t="shared" si="6"/>
        <v>0.66060000000000008</v>
      </c>
      <c r="G18" s="15">
        <f>B18/C1</f>
        <v>113.63636363636364</v>
      </c>
      <c r="H18" s="15">
        <f t="shared" si="1"/>
        <v>1651.5000000000002</v>
      </c>
      <c r="I18" s="2">
        <v>3919</v>
      </c>
      <c r="J18">
        <f t="shared" si="2"/>
        <v>1419</v>
      </c>
      <c r="K18" s="1">
        <f t="shared" si="3"/>
        <v>1.5676000000000001</v>
      </c>
      <c r="L18" s="9">
        <v>25</v>
      </c>
      <c r="M18" s="8">
        <f t="shared" si="4"/>
        <v>41287.500000000007</v>
      </c>
      <c r="O18" s="42">
        <f t="shared" si="7"/>
        <v>2588.8914000000004</v>
      </c>
      <c r="P18" s="22">
        <f t="shared" si="8"/>
        <v>64722.285000000011</v>
      </c>
    </row>
    <row r="19" spans="1:18" x14ac:dyDescent="0.2">
      <c r="A19" t="s">
        <v>13</v>
      </c>
      <c r="B19" s="60">
        <v>3000</v>
      </c>
      <c r="C19" s="39">
        <v>0.51470000000000005</v>
      </c>
      <c r="D19">
        <f t="shared" si="5"/>
        <v>794.74827000000016</v>
      </c>
      <c r="E19">
        <f t="shared" si="0"/>
        <v>1544.1000000000001</v>
      </c>
      <c r="F19">
        <f t="shared" si="6"/>
        <v>0.48529999999999995</v>
      </c>
      <c r="G19" s="15">
        <f>B19/C1</f>
        <v>136.36363636363637</v>
      </c>
      <c r="H19" s="15">
        <f t="shared" si="1"/>
        <v>1455.8999999999999</v>
      </c>
      <c r="I19" s="2">
        <v>3921</v>
      </c>
      <c r="J19">
        <f t="shared" si="2"/>
        <v>921</v>
      </c>
      <c r="K19" s="1">
        <f t="shared" si="3"/>
        <v>1.3069999999999999</v>
      </c>
      <c r="L19" s="35">
        <v>22</v>
      </c>
      <c r="M19" s="8">
        <f t="shared" si="4"/>
        <v>32029.799999999996</v>
      </c>
      <c r="O19" s="42">
        <f t="shared" si="7"/>
        <v>1902.8612999999998</v>
      </c>
      <c r="P19" s="22">
        <f t="shared" si="8"/>
        <v>41862.948599999996</v>
      </c>
    </row>
    <row r="20" spans="1:18" x14ac:dyDescent="0.2">
      <c r="A20" t="s">
        <v>14</v>
      </c>
      <c r="B20" s="60">
        <v>3500</v>
      </c>
      <c r="C20" s="39">
        <v>0.55649999999999999</v>
      </c>
      <c r="D20">
        <f t="shared" si="5"/>
        <v>1083.922875</v>
      </c>
      <c r="E20">
        <f t="shared" si="0"/>
        <v>1947.75</v>
      </c>
      <c r="F20">
        <f t="shared" si="6"/>
        <v>0.44350000000000001</v>
      </c>
      <c r="G20" s="15">
        <f>B20/C1</f>
        <v>159.09090909090909</v>
      </c>
      <c r="H20" s="15">
        <f t="shared" si="1"/>
        <v>1552.25</v>
      </c>
      <c r="I20" s="2">
        <v>5752</v>
      </c>
      <c r="J20">
        <f t="shared" si="2"/>
        <v>2252</v>
      </c>
      <c r="K20" s="1">
        <f t="shared" si="3"/>
        <v>1.6434285714285715</v>
      </c>
      <c r="L20" s="65">
        <v>28.78</v>
      </c>
      <c r="M20" s="8">
        <f t="shared" si="4"/>
        <v>44673.755000000005</v>
      </c>
      <c r="O20" s="42">
        <f t="shared" si="7"/>
        <v>2551.0120000000002</v>
      </c>
      <c r="P20" s="22">
        <f t="shared" si="8"/>
        <v>73418.125360000005</v>
      </c>
    </row>
    <row r="21" spans="1:18" ht="15" thickBot="1" x14ac:dyDescent="0.25">
      <c r="A21" s="5" t="s">
        <v>15</v>
      </c>
      <c r="B21" s="61">
        <v>2000</v>
      </c>
      <c r="C21" s="71">
        <v>0.47139999999999999</v>
      </c>
      <c r="D21" s="5">
        <f t="shared" si="5"/>
        <v>444.43591999999995</v>
      </c>
      <c r="E21" s="5">
        <f t="shared" si="0"/>
        <v>942.8</v>
      </c>
      <c r="F21" s="5">
        <f t="shared" si="6"/>
        <v>0.52859999999999996</v>
      </c>
      <c r="G21" s="16">
        <f>B21/C1</f>
        <v>90.909090909090907</v>
      </c>
      <c r="H21" s="16">
        <f t="shared" si="1"/>
        <v>1057.1999999999998</v>
      </c>
      <c r="I21" s="38">
        <v>2613</v>
      </c>
      <c r="J21" s="5">
        <f t="shared" si="2"/>
        <v>613</v>
      </c>
      <c r="K21" s="6">
        <f t="shared" si="3"/>
        <v>1.3065</v>
      </c>
      <c r="L21" s="10">
        <v>23.24</v>
      </c>
      <c r="M21" s="14">
        <f t="shared" si="4"/>
        <v>24569.327999999994</v>
      </c>
      <c r="N21" s="5"/>
      <c r="O21" s="43">
        <f t="shared" si="7"/>
        <v>1381.2317999999998</v>
      </c>
      <c r="P21" s="25">
        <f t="shared" si="8"/>
        <v>32099.827031999994</v>
      </c>
    </row>
    <row r="22" spans="1:18" ht="15" hidden="1" thickBot="1" x14ac:dyDescent="0.25">
      <c r="A22" s="3" t="s">
        <v>24</v>
      </c>
      <c r="B22" s="62"/>
      <c r="C22" s="5">
        <v>0.2555</v>
      </c>
      <c r="E22">
        <f t="shared" si="0"/>
        <v>0</v>
      </c>
      <c r="F22" s="5">
        <f t="shared" si="6"/>
        <v>0.74449999999999994</v>
      </c>
      <c r="G22" s="16">
        <f>B22/21</f>
        <v>0</v>
      </c>
      <c r="H22" s="16">
        <f t="shared" si="1"/>
        <v>0</v>
      </c>
      <c r="I22" s="4"/>
      <c r="J22" s="5">
        <f t="shared" si="2"/>
        <v>0</v>
      </c>
      <c r="K22" s="6" t="e">
        <f>I22/B22</f>
        <v>#DIV/0!</v>
      </c>
      <c r="L22" s="10">
        <v>25</v>
      </c>
      <c r="M22" s="14">
        <f t="shared" si="4"/>
        <v>0</v>
      </c>
      <c r="O22" s="43">
        <f t="shared" si="7"/>
        <v>0</v>
      </c>
      <c r="P22" s="25">
        <f t="shared" si="8"/>
        <v>0</v>
      </c>
    </row>
    <row r="23" spans="1:18" ht="15" thickBot="1" x14ac:dyDescent="0.25">
      <c r="B23" s="60">
        <f>SUM(B4:B22)</f>
        <v>44000</v>
      </c>
      <c r="C23" s="39">
        <f>D23/E23</f>
        <v>0.51341502395043626</v>
      </c>
      <c r="D23" s="31">
        <f>SUM(D4:D21)</f>
        <v>11503.931283</v>
      </c>
      <c r="E23" s="28">
        <f>SUM(E4:E22)</f>
        <v>22406.69</v>
      </c>
      <c r="G23" s="33">
        <f>SUM(G4:G22)</f>
        <v>2468.1221665473636</v>
      </c>
      <c r="H23" s="33">
        <f>SUM(H4:H22)</f>
        <v>22558.91</v>
      </c>
      <c r="I23" s="32">
        <f>SUM(I$4:I$21)</f>
        <v>54449</v>
      </c>
      <c r="J23" s="28">
        <f t="shared" si="2"/>
        <v>10449</v>
      </c>
      <c r="K23" s="1">
        <f>I23/B23</f>
        <v>1.2374772727272727</v>
      </c>
      <c r="L23" s="9"/>
      <c r="M23" s="8">
        <f>SUM(M4:M22)</f>
        <v>490578.53990000003</v>
      </c>
      <c r="N23" s="8"/>
      <c r="O23" s="44">
        <f>SUM(O4:O22)</f>
        <v>27412.925799999997</v>
      </c>
      <c r="P23" s="22">
        <f>SUM(P4:P22)</f>
        <v>575453.96914200007</v>
      </c>
      <c r="Q23" s="17"/>
    </row>
    <row r="24" spans="1:18" ht="15" thickBot="1" x14ac:dyDescent="0.25">
      <c r="A24" t="s">
        <v>109</v>
      </c>
      <c r="B24" s="63">
        <f>B23/23</f>
        <v>1913.0434782608695</v>
      </c>
      <c r="C24" s="54" t="s">
        <v>87</v>
      </c>
      <c r="F24" s="20">
        <f>B24/31</f>
        <v>61.711079943899016</v>
      </c>
      <c r="G24" s="15"/>
      <c r="H24" s="34">
        <f>H23/22</f>
        <v>1025.405</v>
      </c>
      <c r="I24" s="52">
        <f>I23/(C1-H27)</f>
        <v>2474.9545454545455</v>
      </c>
      <c r="J24" s="53" t="s">
        <v>86</v>
      </c>
      <c r="K24" s="54"/>
      <c r="M24" s="8">
        <f>M23/H23</f>
        <v>21.746553352976719</v>
      </c>
      <c r="N24" s="8" t="s">
        <v>29</v>
      </c>
      <c r="O24" s="45">
        <f>O23/H23</f>
        <v>1.2151706709233734</v>
      </c>
      <c r="P24" s="47">
        <f>P23/O23</f>
        <v>20.992066784129992</v>
      </c>
      <c r="Q24" s="48" t="s">
        <v>84</v>
      </c>
    </row>
    <row r="25" spans="1:18" ht="15" thickBot="1" x14ac:dyDescent="0.25">
      <c r="B25" s="55"/>
      <c r="H25" s="40" t="s">
        <v>81</v>
      </c>
      <c r="I25" s="41">
        <f>I24-B24</f>
        <v>561.91106719367599</v>
      </c>
      <c r="J25" s="59">
        <f>I25/B24</f>
        <v>0.29372623966942157</v>
      </c>
      <c r="P25" s="49">
        <f>P23/I23</f>
        <v>10.568678380539589</v>
      </c>
      <c r="Q25" s="50" t="s">
        <v>85</v>
      </c>
      <c r="R25">
        <v>11.57</v>
      </c>
    </row>
    <row r="26" spans="1:18" ht="15" thickBot="1" x14ac:dyDescent="0.25"/>
    <row r="27" spans="1:18" ht="15" thickBot="1" x14ac:dyDescent="0.25">
      <c r="G27" s="46"/>
      <c r="H27" s="70">
        <v>0</v>
      </c>
      <c r="I27" t="s">
        <v>106</v>
      </c>
      <c r="J27" s="41">
        <f>I24</f>
        <v>2474.9545454545455</v>
      </c>
      <c r="K27">
        <f>H27*J27</f>
        <v>0</v>
      </c>
      <c r="L27" s="41">
        <f>K27+I23</f>
        <v>54449</v>
      </c>
      <c r="M27" t="s">
        <v>83</v>
      </c>
    </row>
    <row r="28" spans="1:18" x14ac:dyDescent="0.2">
      <c r="A28" t="s">
        <v>89</v>
      </c>
      <c r="I28" t="s">
        <v>92</v>
      </c>
      <c r="J28" s="34" t="e">
        <f>K28/H27</f>
        <v>#DIV/0!</v>
      </c>
      <c r="K28" s="41">
        <f>J23</f>
        <v>10449</v>
      </c>
    </row>
    <row r="29" spans="1:18" x14ac:dyDescent="0.2">
      <c r="A29" t="s">
        <v>127</v>
      </c>
      <c r="J29" s="34" t="e">
        <f>J28/32</f>
        <v>#DIV/0!</v>
      </c>
      <c r="K29" t="s">
        <v>117</v>
      </c>
    </row>
    <row r="30" spans="1:18" x14ac:dyDescent="0.2">
      <c r="A30" t="s">
        <v>128</v>
      </c>
    </row>
    <row r="31" spans="1:18" x14ac:dyDescent="0.2">
      <c r="A31" t="s">
        <v>135</v>
      </c>
    </row>
    <row r="32" spans="1:18" x14ac:dyDescent="0.2">
      <c r="A32" t="s">
        <v>129</v>
      </c>
    </row>
    <row r="33" spans="1:1" x14ac:dyDescent="0.2">
      <c r="A33" t="s">
        <v>130</v>
      </c>
    </row>
    <row r="34" spans="1:1" x14ac:dyDescent="0.2">
      <c r="A34" t="s">
        <v>131</v>
      </c>
    </row>
    <row r="35" spans="1:1" x14ac:dyDescent="0.2">
      <c r="A35" t="s">
        <v>132</v>
      </c>
    </row>
    <row r="36" spans="1:1" x14ac:dyDescent="0.2">
      <c r="A36" t="s">
        <v>133</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4" zoomScaleNormal="100" zoomScaleSheetLayoutView="100" workbookViewId="0">
      <selection activeCell="I26" sqref="I26"/>
    </sheetView>
  </sheetViews>
  <sheetFormatPr defaultRowHeight="14.25" x14ac:dyDescent="0.2"/>
  <cols>
    <col min="1" max="1" width="26.625" customWidth="1"/>
    <col min="4" max="4" width="13" hidden="1" customWidth="1"/>
    <col min="7" max="7" width="9.5" customWidth="1"/>
    <col min="9" max="9" width="13.625" customWidth="1"/>
    <col min="10" max="10" width="9.625" customWidth="1"/>
    <col min="13" max="13" width="13.875" customWidth="1"/>
    <col min="16" max="16" width="11.75" customWidth="1"/>
  </cols>
  <sheetData>
    <row r="1" spans="1:16" x14ac:dyDescent="0.2">
      <c r="B1" t="s">
        <v>112</v>
      </c>
      <c r="C1">
        <v>21</v>
      </c>
      <c r="L1" s="57" t="s">
        <v>22</v>
      </c>
      <c r="M1" s="57" t="s">
        <v>23</v>
      </c>
    </row>
    <row r="2" spans="1:16" ht="15" thickBot="1" x14ac:dyDescent="0.25">
      <c r="A2" s="19" t="s">
        <v>39</v>
      </c>
      <c r="B2" t="s">
        <v>65</v>
      </c>
      <c r="C2" t="s">
        <v>137</v>
      </c>
      <c r="I2" s="2" t="s">
        <v>102</v>
      </c>
      <c r="L2" s="58">
        <f>(C1-H27)/22</f>
        <v>0.90909090909090906</v>
      </c>
      <c r="M2" s="58">
        <f>I23/B23</f>
        <v>0.81333333333333335</v>
      </c>
      <c r="N2" s="17">
        <f>M2-L2</f>
        <v>-9.5757575757575708E-2</v>
      </c>
      <c r="O2" s="36" t="s">
        <v>44</v>
      </c>
      <c r="P2" s="36"/>
    </row>
    <row r="3" spans="1:16" ht="15" thickBot="1" x14ac:dyDescent="0.25">
      <c r="A3" s="11" t="s">
        <v>107</v>
      </c>
      <c r="B3" s="12" t="s">
        <v>19</v>
      </c>
      <c r="C3" s="12" t="s">
        <v>30</v>
      </c>
      <c r="D3" s="12"/>
      <c r="E3" s="12" t="s">
        <v>29</v>
      </c>
      <c r="F3" s="12" t="s">
        <v>28</v>
      </c>
      <c r="G3" s="12" t="s">
        <v>27</v>
      </c>
      <c r="H3" s="12" t="s">
        <v>29</v>
      </c>
      <c r="I3" s="64"/>
      <c r="J3" s="12" t="s">
        <v>20</v>
      </c>
      <c r="K3" s="12" t="s">
        <v>21</v>
      </c>
      <c r="L3" s="12" t="s">
        <v>25</v>
      </c>
      <c r="M3" s="12" t="s">
        <v>26</v>
      </c>
      <c r="N3" s="12"/>
      <c r="O3" s="51" t="s">
        <v>28</v>
      </c>
      <c r="P3" s="51" t="s">
        <v>43</v>
      </c>
    </row>
    <row r="4" spans="1:16" ht="15" thickTop="1" x14ac:dyDescent="0.2">
      <c r="A4" t="s">
        <v>0</v>
      </c>
      <c r="B4" s="60">
        <v>1500</v>
      </c>
      <c r="C4" s="39">
        <v>0.29239999999999999</v>
      </c>
      <c r="D4">
        <f>C4*E4</f>
        <v>128.24663999999999</v>
      </c>
      <c r="E4">
        <f t="shared" ref="E4:E22" si="0">B4*C4</f>
        <v>438.59999999999997</v>
      </c>
      <c r="F4">
        <f>1-C4</f>
        <v>0.70760000000000001</v>
      </c>
      <c r="G4" s="15">
        <f>B4/C1</f>
        <v>71.428571428571431</v>
      </c>
      <c r="H4" s="15">
        <f t="shared" ref="H4:H22" si="1">B4*F4</f>
        <v>1061.4000000000001</v>
      </c>
      <c r="I4" s="2">
        <v>1030</v>
      </c>
      <c r="J4">
        <f t="shared" ref="J4:J23" si="2">I4-B4</f>
        <v>-470</v>
      </c>
      <c r="K4" s="1">
        <f t="shared" ref="K4:K21" si="3">I4/B4</f>
        <v>0.68666666666666665</v>
      </c>
      <c r="L4" s="8">
        <v>23.67</v>
      </c>
      <c r="M4" s="8">
        <f t="shared" ref="M4:M22" si="4">(B4*F4)*L4</f>
        <v>25123.338000000003</v>
      </c>
      <c r="O4" s="42">
        <f>I4*F4</f>
        <v>728.82799999999997</v>
      </c>
      <c r="P4" s="22">
        <f>(I4*F4)*L4</f>
        <v>17251.358759999999</v>
      </c>
    </row>
    <row r="5" spans="1:16" x14ac:dyDescent="0.2">
      <c r="A5" t="s">
        <v>17</v>
      </c>
      <c r="B5" s="60">
        <v>3200</v>
      </c>
      <c r="C5" s="39"/>
      <c r="D5">
        <v>184.29849000000002</v>
      </c>
      <c r="E5">
        <v>429.3</v>
      </c>
      <c r="F5">
        <v>0.57069999999999999</v>
      </c>
      <c r="G5" s="15">
        <f>B5/C1</f>
        <v>152.38095238095238</v>
      </c>
      <c r="H5" s="15">
        <v>570.69999999999993</v>
      </c>
      <c r="I5" s="2">
        <v>822</v>
      </c>
      <c r="J5">
        <v>-334</v>
      </c>
      <c r="K5" s="1">
        <f t="shared" si="3"/>
        <v>0.25687500000000002</v>
      </c>
      <c r="L5" s="8">
        <v>18.98</v>
      </c>
      <c r="M5" s="8">
        <v>10843.3</v>
      </c>
      <c r="O5" s="42">
        <f>I5*F5</f>
        <v>469.11539999999997</v>
      </c>
      <c r="P5" s="22">
        <f>(I5*F5)*L5</f>
        <v>8903.8102920000001</v>
      </c>
    </row>
    <row r="6" spans="1:16" x14ac:dyDescent="0.2">
      <c r="A6" t="s">
        <v>1</v>
      </c>
      <c r="B6" s="60">
        <v>3500</v>
      </c>
      <c r="C6" s="39">
        <v>0.3337</v>
      </c>
      <c r="D6">
        <f t="shared" ref="D6:D21" si="5">C6*E6</f>
        <v>389.74491499999999</v>
      </c>
      <c r="E6">
        <f t="shared" si="0"/>
        <v>1167.95</v>
      </c>
      <c r="F6">
        <f t="shared" ref="F6:F22" si="6">1-C6</f>
        <v>0.6663</v>
      </c>
      <c r="G6" s="15">
        <f>B6/C1</f>
        <v>166.66666666666666</v>
      </c>
      <c r="H6" s="15">
        <f t="shared" si="1"/>
        <v>2332.0500000000002</v>
      </c>
      <c r="I6" s="2">
        <v>1309</v>
      </c>
      <c r="J6">
        <f t="shared" si="2"/>
        <v>-2191</v>
      </c>
      <c r="K6" s="1">
        <f t="shared" si="3"/>
        <v>0.374</v>
      </c>
      <c r="L6" s="9">
        <v>28</v>
      </c>
      <c r="M6" s="8">
        <f t="shared" si="4"/>
        <v>65297.400000000009</v>
      </c>
      <c r="O6" s="42">
        <f t="shared" ref="O6:O22" si="7">I6*F6</f>
        <v>872.18669999999997</v>
      </c>
      <c r="P6" s="22">
        <f t="shared" ref="P6:P22" si="8">(I6*F6)*L6</f>
        <v>24421.227599999998</v>
      </c>
    </row>
    <row r="7" spans="1:16" x14ac:dyDescent="0.2">
      <c r="A7" t="s">
        <v>2</v>
      </c>
      <c r="B7" s="60">
        <v>1500</v>
      </c>
      <c r="C7" s="39">
        <v>0.41920000000000002</v>
      </c>
      <c r="D7">
        <f t="shared" si="5"/>
        <v>263.59296000000006</v>
      </c>
      <c r="E7">
        <f t="shared" si="0"/>
        <v>628.80000000000007</v>
      </c>
      <c r="F7">
        <f t="shared" si="6"/>
        <v>0.58079999999999998</v>
      </c>
      <c r="G7" s="15">
        <f>B7/C1</f>
        <v>71.428571428571431</v>
      </c>
      <c r="H7" s="15">
        <f t="shared" si="1"/>
        <v>871.19999999999993</v>
      </c>
      <c r="I7" s="2">
        <v>1558</v>
      </c>
      <c r="J7">
        <f t="shared" si="2"/>
        <v>58</v>
      </c>
      <c r="K7" s="1">
        <f t="shared" si="3"/>
        <v>1.0386666666666666</v>
      </c>
      <c r="L7" s="9">
        <v>23.46</v>
      </c>
      <c r="M7" s="8">
        <f t="shared" si="4"/>
        <v>20438.351999999999</v>
      </c>
      <c r="O7" s="42">
        <f t="shared" si="7"/>
        <v>904.88639999999998</v>
      </c>
      <c r="P7" s="22">
        <f t="shared" si="8"/>
        <v>21228.634944000001</v>
      </c>
    </row>
    <row r="8" spans="1:16" x14ac:dyDescent="0.2">
      <c r="A8" t="s">
        <v>136</v>
      </c>
      <c r="B8" s="60">
        <v>1600</v>
      </c>
      <c r="C8" s="39">
        <v>0.33500000000000002</v>
      </c>
      <c r="D8">
        <f t="shared" si="5"/>
        <v>179.56</v>
      </c>
      <c r="E8">
        <f t="shared" si="0"/>
        <v>536</v>
      </c>
      <c r="F8">
        <f t="shared" si="6"/>
        <v>0.66500000000000004</v>
      </c>
      <c r="G8" s="15">
        <f>B8/C1</f>
        <v>76.19047619047619</v>
      </c>
      <c r="H8" s="15">
        <f t="shared" si="1"/>
        <v>1064</v>
      </c>
      <c r="I8" s="2">
        <v>1923</v>
      </c>
      <c r="J8">
        <f t="shared" si="2"/>
        <v>323</v>
      </c>
      <c r="K8" s="1">
        <f t="shared" si="3"/>
        <v>1.201875</v>
      </c>
      <c r="L8" s="9">
        <v>23.09</v>
      </c>
      <c r="M8" s="8">
        <f t="shared" si="4"/>
        <v>24567.759999999998</v>
      </c>
      <c r="O8" s="42">
        <f t="shared" si="7"/>
        <v>1278.7950000000001</v>
      </c>
      <c r="P8" s="22">
        <f t="shared" si="8"/>
        <v>29527.376550000001</v>
      </c>
    </row>
    <row r="9" spans="1:16" x14ac:dyDescent="0.2">
      <c r="A9" t="s">
        <v>5</v>
      </c>
      <c r="B9" s="60">
        <v>2400</v>
      </c>
      <c r="C9" s="39">
        <v>0.39200000000000002</v>
      </c>
      <c r="D9">
        <f t="shared" si="5"/>
        <v>368.79360000000003</v>
      </c>
      <c r="E9">
        <f t="shared" si="0"/>
        <v>940.80000000000007</v>
      </c>
      <c r="F9">
        <f>1-C9</f>
        <v>0.60799999999999998</v>
      </c>
      <c r="G9" s="15">
        <f>B9/C1</f>
        <v>114.28571428571429</v>
      </c>
      <c r="H9" s="15">
        <f t="shared" si="1"/>
        <v>1459.2</v>
      </c>
      <c r="I9" s="2">
        <v>2807</v>
      </c>
      <c r="J9">
        <f t="shared" si="2"/>
        <v>407</v>
      </c>
      <c r="K9" s="1">
        <f t="shared" si="3"/>
        <v>1.1695833333333334</v>
      </c>
      <c r="L9" s="9">
        <v>11.99</v>
      </c>
      <c r="M9" s="8">
        <f t="shared" si="4"/>
        <v>17495.808000000001</v>
      </c>
      <c r="O9" s="42">
        <f>I9*F9</f>
        <v>1706.6559999999999</v>
      </c>
      <c r="P9" s="22">
        <f>(I9*F9)*L9</f>
        <v>20462.80544</v>
      </c>
    </row>
    <row r="10" spans="1:16" x14ac:dyDescent="0.2">
      <c r="A10" t="s">
        <v>4</v>
      </c>
      <c r="B10" s="60">
        <v>100</v>
      </c>
      <c r="C10" s="39">
        <v>0.16370000000000001</v>
      </c>
      <c r="D10">
        <f t="shared" si="5"/>
        <v>2.6797690000000003</v>
      </c>
      <c r="E10">
        <f t="shared" si="0"/>
        <v>16.37</v>
      </c>
      <c r="F10">
        <f t="shared" si="6"/>
        <v>0.83630000000000004</v>
      </c>
      <c r="G10" s="15">
        <f>B10/C1</f>
        <v>4.7619047619047619</v>
      </c>
      <c r="H10" s="15">
        <f t="shared" si="1"/>
        <v>83.63000000000001</v>
      </c>
      <c r="I10" s="2">
        <v>152</v>
      </c>
      <c r="J10">
        <f t="shared" si="2"/>
        <v>52</v>
      </c>
      <c r="K10" s="1">
        <f t="shared" si="3"/>
        <v>1.52</v>
      </c>
      <c r="L10" s="9">
        <v>0</v>
      </c>
      <c r="M10" s="8">
        <f t="shared" si="4"/>
        <v>0</v>
      </c>
      <c r="O10" s="42">
        <f t="shared" si="7"/>
        <v>127.11760000000001</v>
      </c>
      <c r="P10" s="22">
        <f t="shared" si="8"/>
        <v>0</v>
      </c>
    </row>
    <row r="11" spans="1:16" x14ac:dyDescent="0.2">
      <c r="A11" t="s">
        <v>6</v>
      </c>
      <c r="B11" s="60">
        <v>100</v>
      </c>
      <c r="C11" s="39">
        <v>0.68400000000000005</v>
      </c>
      <c r="D11">
        <f t="shared" si="5"/>
        <v>46.785600000000009</v>
      </c>
      <c r="E11">
        <f t="shared" si="0"/>
        <v>68.400000000000006</v>
      </c>
      <c r="F11">
        <f t="shared" si="6"/>
        <v>0.31599999999999995</v>
      </c>
      <c r="G11" s="15">
        <f>B11/C8</f>
        <v>298.50746268656712</v>
      </c>
      <c r="H11" s="15">
        <f t="shared" si="1"/>
        <v>31.599999999999994</v>
      </c>
      <c r="I11" s="2">
        <v>164</v>
      </c>
      <c r="J11">
        <f t="shared" si="2"/>
        <v>64</v>
      </c>
      <c r="K11" s="1">
        <f t="shared" si="3"/>
        <v>1.64</v>
      </c>
      <c r="L11" s="9">
        <v>0</v>
      </c>
      <c r="M11" s="8">
        <f t="shared" si="4"/>
        <v>0</v>
      </c>
      <c r="O11" s="42">
        <f t="shared" si="7"/>
        <v>51.823999999999991</v>
      </c>
      <c r="P11" s="22">
        <f t="shared" si="8"/>
        <v>0</v>
      </c>
    </row>
    <row r="12" spans="1:16" x14ac:dyDescent="0.2">
      <c r="A12" t="s">
        <v>134</v>
      </c>
      <c r="B12" s="60">
        <v>800</v>
      </c>
      <c r="C12" s="39">
        <v>0.45</v>
      </c>
      <c r="D12">
        <f t="shared" si="5"/>
        <v>162</v>
      </c>
      <c r="E12">
        <f t="shared" si="0"/>
        <v>360</v>
      </c>
      <c r="F12">
        <f t="shared" si="6"/>
        <v>0.55000000000000004</v>
      </c>
      <c r="G12" s="15">
        <f>B12/C1</f>
        <v>38.095238095238095</v>
      </c>
      <c r="H12" s="15">
        <f t="shared" si="1"/>
        <v>440.00000000000006</v>
      </c>
      <c r="I12" s="2">
        <v>1501</v>
      </c>
      <c r="J12">
        <f t="shared" si="2"/>
        <v>701</v>
      </c>
      <c r="K12" s="1">
        <f t="shared" si="3"/>
        <v>1.87625</v>
      </c>
      <c r="L12" s="35">
        <v>25</v>
      </c>
      <c r="M12" s="8">
        <f t="shared" si="4"/>
        <v>11000.000000000002</v>
      </c>
      <c r="O12" s="42">
        <f t="shared" si="7"/>
        <v>825.55000000000007</v>
      </c>
      <c r="P12" s="22">
        <f t="shared" si="8"/>
        <v>20638.75</v>
      </c>
    </row>
    <row r="13" spans="1:16" x14ac:dyDescent="0.2">
      <c r="A13" t="s">
        <v>9</v>
      </c>
      <c r="B13" s="60">
        <v>3000</v>
      </c>
      <c r="C13" s="39">
        <v>0.43909999999999999</v>
      </c>
      <c r="D13">
        <f t="shared" si="5"/>
        <v>578.42642999999998</v>
      </c>
      <c r="E13">
        <f t="shared" si="0"/>
        <v>1317.3</v>
      </c>
      <c r="F13">
        <v>0.53</v>
      </c>
      <c r="G13" s="15">
        <f>B13/C1</f>
        <v>142.85714285714286</v>
      </c>
      <c r="H13" s="15">
        <f t="shared" si="1"/>
        <v>1590</v>
      </c>
      <c r="I13" s="2">
        <v>99</v>
      </c>
      <c r="J13">
        <f t="shared" si="2"/>
        <v>-2901</v>
      </c>
      <c r="K13" s="1">
        <f t="shared" si="3"/>
        <v>3.3000000000000002E-2</v>
      </c>
      <c r="L13" s="35">
        <v>12</v>
      </c>
      <c r="M13" s="8">
        <f t="shared" si="4"/>
        <v>19080</v>
      </c>
      <c r="O13" s="42">
        <f>I13*F13</f>
        <v>52.470000000000006</v>
      </c>
      <c r="P13" s="22">
        <f>(I13*F13)*L13</f>
        <v>629.6400000000001</v>
      </c>
    </row>
    <row r="14" spans="1:16" x14ac:dyDescent="0.2">
      <c r="A14" t="s">
        <v>8</v>
      </c>
      <c r="B14" s="60">
        <v>12000</v>
      </c>
      <c r="C14" s="39">
        <v>0.4173</v>
      </c>
      <c r="D14">
        <f t="shared" si="5"/>
        <v>2089.67148</v>
      </c>
      <c r="E14">
        <f t="shared" si="0"/>
        <v>5007.6000000000004</v>
      </c>
      <c r="F14">
        <f t="shared" si="6"/>
        <v>0.5827</v>
      </c>
      <c r="G14" s="15">
        <f>B14/C1</f>
        <v>571.42857142857144</v>
      </c>
      <c r="H14" s="15">
        <f t="shared" si="1"/>
        <v>6992.4</v>
      </c>
      <c r="I14" s="2">
        <v>8643</v>
      </c>
      <c r="J14">
        <f t="shared" si="2"/>
        <v>-3357</v>
      </c>
      <c r="K14" s="1">
        <f t="shared" si="3"/>
        <v>0.72024999999999995</v>
      </c>
      <c r="L14" s="65">
        <v>23.5</v>
      </c>
      <c r="M14" s="8">
        <f t="shared" si="4"/>
        <v>164321.4</v>
      </c>
      <c r="O14" s="42">
        <f t="shared" si="7"/>
        <v>5036.2761</v>
      </c>
      <c r="P14" s="22">
        <f t="shared" si="8"/>
        <v>118352.48835</v>
      </c>
    </row>
    <row r="15" spans="1:16" hidden="1" x14ac:dyDescent="0.2">
      <c r="A15" t="s">
        <v>10</v>
      </c>
      <c r="B15" s="60"/>
      <c r="C15" s="39"/>
      <c r="D15">
        <f t="shared" si="5"/>
        <v>0</v>
      </c>
      <c r="E15">
        <f t="shared" si="0"/>
        <v>0</v>
      </c>
      <c r="G15" s="15">
        <f>B15/C12</f>
        <v>0</v>
      </c>
      <c r="H15" s="15">
        <f t="shared" si="1"/>
        <v>0</v>
      </c>
      <c r="I15" s="2"/>
      <c r="J15">
        <f t="shared" si="2"/>
        <v>0</v>
      </c>
      <c r="K15" s="1" t="e">
        <f t="shared" si="3"/>
        <v>#DIV/0!</v>
      </c>
      <c r="L15" s="9"/>
      <c r="M15" s="8">
        <f t="shared" si="4"/>
        <v>0</v>
      </c>
      <c r="O15" s="42">
        <f t="shared" si="7"/>
        <v>0</v>
      </c>
      <c r="P15" s="22">
        <f t="shared" si="8"/>
        <v>0</v>
      </c>
    </row>
    <row r="16" spans="1:16" x14ac:dyDescent="0.2">
      <c r="A16" t="s">
        <v>11</v>
      </c>
      <c r="B16" s="60">
        <v>5000</v>
      </c>
      <c r="C16" s="39">
        <v>0.42420000000000002</v>
      </c>
      <c r="D16">
        <f t="shared" si="5"/>
        <v>899.72820000000002</v>
      </c>
      <c r="E16">
        <f t="shared" si="0"/>
        <v>2121</v>
      </c>
      <c r="F16">
        <f t="shared" si="6"/>
        <v>0.57579999999999998</v>
      </c>
      <c r="G16" s="15">
        <f>B16/C1</f>
        <v>238.0952380952381</v>
      </c>
      <c r="H16" s="15">
        <f t="shared" si="1"/>
        <v>2879</v>
      </c>
      <c r="I16" s="2">
        <v>4659</v>
      </c>
      <c r="J16">
        <f t="shared" si="2"/>
        <v>-341</v>
      </c>
      <c r="K16" s="1">
        <f t="shared" si="3"/>
        <v>0.93179999999999996</v>
      </c>
      <c r="L16" s="9">
        <v>27.41</v>
      </c>
      <c r="M16" s="8">
        <f t="shared" si="4"/>
        <v>78913.39</v>
      </c>
      <c r="O16" s="42">
        <f t="shared" si="7"/>
        <v>2682.6522</v>
      </c>
      <c r="P16" s="22">
        <f t="shared" si="8"/>
        <v>73531.496801999994</v>
      </c>
    </row>
    <row r="17" spans="1:18" x14ac:dyDescent="0.2">
      <c r="A17" t="s">
        <v>16</v>
      </c>
      <c r="B17" s="60">
        <v>2500</v>
      </c>
      <c r="C17" s="39">
        <v>0.34689999999999999</v>
      </c>
      <c r="D17">
        <f t="shared" si="5"/>
        <v>300.84902499999998</v>
      </c>
      <c r="E17">
        <f t="shared" si="0"/>
        <v>867.25</v>
      </c>
      <c r="F17">
        <f>1-C17</f>
        <v>0.65310000000000001</v>
      </c>
      <c r="G17" s="15">
        <f>B17/C1</f>
        <v>119.04761904761905</v>
      </c>
      <c r="H17" s="15">
        <f t="shared" si="1"/>
        <v>1632.75</v>
      </c>
      <c r="I17" s="2">
        <v>2632</v>
      </c>
      <c r="J17">
        <f t="shared" si="2"/>
        <v>132</v>
      </c>
      <c r="K17" s="1">
        <f t="shared" si="3"/>
        <v>1.0528</v>
      </c>
      <c r="L17" s="9">
        <v>20.6</v>
      </c>
      <c r="M17" s="8">
        <f t="shared" si="4"/>
        <v>33634.65</v>
      </c>
      <c r="O17" s="42">
        <f t="shared" si="7"/>
        <v>1718.9592</v>
      </c>
      <c r="P17" s="22">
        <f t="shared" si="8"/>
        <v>35410.559520000003</v>
      </c>
    </row>
    <row r="18" spans="1:18" x14ac:dyDescent="0.2">
      <c r="A18" t="s">
        <v>51</v>
      </c>
      <c r="B18" s="60">
        <v>3500</v>
      </c>
      <c r="C18" s="39">
        <v>0.30790000000000001</v>
      </c>
      <c r="D18">
        <f t="shared" si="5"/>
        <v>331.80843500000003</v>
      </c>
      <c r="E18">
        <f t="shared" si="0"/>
        <v>1077.6500000000001</v>
      </c>
      <c r="F18">
        <f t="shared" si="6"/>
        <v>0.69209999999999994</v>
      </c>
      <c r="G18" s="15">
        <f>B18/C1</f>
        <v>166.66666666666666</v>
      </c>
      <c r="H18" s="15">
        <f t="shared" si="1"/>
        <v>2422.35</v>
      </c>
      <c r="I18" s="2">
        <v>3297</v>
      </c>
      <c r="J18">
        <f t="shared" si="2"/>
        <v>-203</v>
      </c>
      <c r="K18" s="1">
        <f t="shared" si="3"/>
        <v>0.94199999999999995</v>
      </c>
      <c r="L18" s="9">
        <v>25</v>
      </c>
      <c r="M18" s="8">
        <f t="shared" si="4"/>
        <v>60558.75</v>
      </c>
      <c r="O18" s="42">
        <f t="shared" si="7"/>
        <v>2281.8536999999997</v>
      </c>
      <c r="P18" s="22">
        <f t="shared" si="8"/>
        <v>57046.342499999992</v>
      </c>
    </row>
    <row r="19" spans="1:18" x14ac:dyDescent="0.2">
      <c r="A19" t="s">
        <v>13</v>
      </c>
      <c r="B19" s="60">
        <v>3000</v>
      </c>
      <c r="C19" s="39">
        <v>0.25669999999999998</v>
      </c>
      <c r="D19">
        <f t="shared" si="5"/>
        <v>197.68466999999995</v>
      </c>
      <c r="E19">
        <f t="shared" si="0"/>
        <v>770.09999999999991</v>
      </c>
      <c r="F19">
        <f t="shared" si="6"/>
        <v>0.74330000000000007</v>
      </c>
      <c r="G19" s="15">
        <f>B19/C1</f>
        <v>142.85714285714286</v>
      </c>
      <c r="H19" s="15">
        <f t="shared" si="1"/>
        <v>2229.9</v>
      </c>
      <c r="I19" s="2">
        <v>4051</v>
      </c>
      <c r="J19">
        <f t="shared" si="2"/>
        <v>1051</v>
      </c>
      <c r="K19" s="1">
        <f t="shared" si="3"/>
        <v>1.3503333333333334</v>
      </c>
      <c r="L19" s="65">
        <v>22</v>
      </c>
      <c r="M19" s="8">
        <f t="shared" si="4"/>
        <v>49057.8</v>
      </c>
      <c r="O19" s="42">
        <f t="shared" si="7"/>
        <v>3011.1083000000003</v>
      </c>
      <c r="P19" s="22">
        <f t="shared" si="8"/>
        <v>66244.382600000012</v>
      </c>
    </row>
    <row r="20" spans="1:18" x14ac:dyDescent="0.2">
      <c r="A20" t="s">
        <v>14</v>
      </c>
      <c r="B20" s="60">
        <v>3500</v>
      </c>
      <c r="C20" s="39">
        <v>0.38940000000000002</v>
      </c>
      <c r="D20">
        <f t="shared" si="5"/>
        <v>530.7132600000001</v>
      </c>
      <c r="E20">
        <f t="shared" si="0"/>
        <v>1362.9</v>
      </c>
      <c r="F20">
        <f t="shared" si="6"/>
        <v>0.61060000000000003</v>
      </c>
      <c r="G20" s="15">
        <f>B20/C1</f>
        <v>166.66666666666666</v>
      </c>
      <c r="H20" s="15">
        <f t="shared" si="1"/>
        <v>2137.1</v>
      </c>
      <c r="I20" s="2">
        <v>3704</v>
      </c>
      <c r="J20">
        <f t="shared" si="2"/>
        <v>204</v>
      </c>
      <c r="K20" s="1">
        <f t="shared" si="3"/>
        <v>1.0582857142857143</v>
      </c>
      <c r="L20" s="65">
        <v>28.78</v>
      </c>
      <c r="M20" s="8">
        <f t="shared" si="4"/>
        <v>61505.737999999998</v>
      </c>
      <c r="O20" s="42">
        <f t="shared" si="7"/>
        <v>2261.6624000000002</v>
      </c>
      <c r="P20" s="22">
        <f t="shared" si="8"/>
        <v>65090.643872000008</v>
      </c>
    </row>
    <row r="21" spans="1:18" ht="15" thickBot="1" x14ac:dyDescent="0.25">
      <c r="A21" s="5" t="s">
        <v>15</v>
      </c>
      <c r="B21" s="61">
        <v>2000</v>
      </c>
      <c r="C21" s="71">
        <v>0.28189999999999998</v>
      </c>
      <c r="D21" s="5">
        <f t="shared" si="5"/>
        <v>158.93521999999999</v>
      </c>
      <c r="E21" s="5">
        <f t="shared" si="0"/>
        <v>563.79999999999995</v>
      </c>
      <c r="F21" s="5">
        <f t="shared" si="6"/>
        <v>0.71809999999999996</v>
      </c>
      <c r="G21" s="16">
        <f>B21/C1</f>
        <v>95.238095238095241</v>
      </c>
      <c r="H21" s="16">
        <f t="shared" si="1"/>
        <v>1436.1999999999998</v>
      </c>
      <c r="I21" s="38">
        <v>1665</v>
      </c>
      <c r="J21" s="5">
        <f t="shared" si="2"/>
        <v>-335</v>
      </c>
      <c r="K21" s="6">
        <f t="shared" si="3"/>
        <v>0.83250000000000002</v>
      </c>
      <c r="L21" s="10">
        <v>23.24</v>
      </c>
      <c r="M21" s="14">
        <f t="shared" si="4"/>
        <v>33377.287999999993</v>
      </c>
      <c r="N21" s="5"/>
      <c r="O21" s="43">
        <f t="shared" si="7"/>
        <v>1195.6364999999998</v>
      </c>
      <c r="P21" s="25">
        <f t="shared" si="8"/>
        <v>27786.592259999994</v>
      </c>
    </row>
    <row r="22" spans="1:18" ht="15" hidden="1" thickBot="1" x14ac:dyDescent="0.25">
      <c r="A22" s="3" t="s">
        <v>24</v>
      </c>
      <c r="B22" s="62"/>
      <c r="C22" s="5">
        <v>0.2555</v>
      </c>
      <c r="E22">
        <f t="shared" si="0"/>
        <v>0</v>
      </c>
      <c r="F22" s="5">
        <f t="shared" si="6"/>
        <v>0.74449999999999994</v>
      </c>
      <c r="G22" s="16">
        <f>B22/21</f>
        <v>0</v>
      </c>
      <c r="H22" s="16">
        <f t="shared" si="1"/>
        <v>0</v>
      </c>
      <c r="I22" s="4"/>
      <c r="J22" s="5">
        <f t="shared" si="2"/>
        <v>0</v>
      </c>
      <c r="K22" s="6" t="e">
        <f>I22/B22</f>
        <v>#DIV/0!</v>
      </c>
      <c r="L22" s="10">
        <v>25</v>
      </c>
      <c r="M22" s="14">
        <f t="shared" si="4"/>
        <v>0</v>
      </c>
      <c r="O22" s="43">
        <f t="shared" si="7"/>
        <v>0</v>
      </c>
      <c r="P22" s="25">
        <f t="shared" si="8"/>
        <v>0</v>
      </c>
    </row>
    <row r="23" spans="1:18" ht="15" thickBot="1" x14ac:dyDescent="0.25">
      <c r="B23" s="60">
        <f>SUM(B4:B22)</f>
        <v>49200</v>
      </c>
      <c r="C23" s="39">
        <f>D23/E23</f>
        <v>0.38551477235821113</v>
      </c>
      <c r="D23" s="31">
        <f>SUM(D4:D21)</f>
        <v>6813.5186939999994</v>
      </c>
      <c r="E23" s="28">
        <f>SUM(E4:E22)</f>
        <v>17673.82</v>
      </c>
      <c r="G23" s="33">
        <f>SUM(G4:G22)</f>
        <v>2636.6027007818052</v>
      </c>
      <c r="H23" s="33">
        <f>SUM(H4:H22)</f>
        <v>29233.48</v>
      </c>
      <c r="I23" s="32">
        <f>SUM(I$4:I$21)</f>
        <v>40016</v>
      </c>
      <c r="J23" s="28">
        <f t="shared" si="2"/>
        <v>-9184</v>
      </c>
      <c r="K23" s="1">
        <f>I23/B23</f>
        <v>0.81333333333333335</v>
      </c>
      <c r="L23" s="9"/>
      <c r="M23" s="8">
        <f>SUM(M4:M22)</f>
        <v>675214.97400000005</v>
      </c>
      <c r="N23" s="8"/>
      <c r="O23" s="44">
        <f>SUM(O4:O22)</f>
        <v>25205.577500000003</v>
      </c>
      <c r="P23" s="22">
        <f>SUM(P4:P22)</f>
        <v>586526.10948999994</v>
      </c>
      <c r="Q23" s="17"/>
    </row>
    <row r="24" spans="1:18" ht="15" thickBot="1" x14ac:dyDescent="0.25">
      <c r="A24" t="s">
        <v>41</v>
      </c>
      <c r="B24" s="63">
        <f>B23/23</f>
        <v>2139.1304347826085</v>
      </c>
      <c r="C24" s="54" t="s">
        <v>87</v>
      </c>
      <c r="F24" s="20">
        <f>B24/31</f>
        <v>69.004207573632527</v>
      </c>
      <c r="G24" s="15"/>
      <c r="H24" s="34">
        <f>H23/22</f>
        <v>1328.7945454545454</v>
      </c>
      <c r="I24" s="52">
        <f>I23/(C1-H27)</f>
        <v>2000.8</v>
      </c>
      <c r="J24" s="53" t="s">
        <v>86</v>
      </c>
      <c r="K24" s="54"/>
      <c r="M24" s="8">
        <f>M23/H23</f>
        <v>23.097317664540796</v>
      </c>
      <c r="N24" s="8" t="s">
        <v>29</v>
      </c>
      <c r="O24" s="45">
        <f>O23/H23</f>
        <v>0.86221611316887359</v>
      </c>
      <c r="P24" s="47">
        <f>P23/O23</f>
        <v>23.269695347785618</v>
      </c>
      <c r="Q24" s="48" t="s">
        <v>84</v>
      </c>
    </row>
    <row r="25" spans="1:18" ht="15" thickBot="1" x14ac:dyDescent="0.25">
      <c r="B25" s="55"/>
      <c r="H25" s="40" t="s">
        <v>81</v>
      </c>
      <c r="I25" s="41">
        <f>I24-B24</f>
        <v>-138.33043478260856</v>
      </c>
      <c r="J25" s="59">
        <f>I25/B24</f>
        <v>-6.4666666666666608E-2</v>
      </c>
      <c r="P25" s="49">
        <f>P23/I23</f>
        <v>14.65728982132147</v>
      </c>
      <c r="Q25" s="50" t="s">
        <v>85</v>
      </c>
      <c r="R25">
        <v>11.57</v>
      </c>
    </row>
    <row r="26" spans="1:18" ht="15" thickBot="1" x14ac:dyDescent="0.25"/>
    <row r="27" spans="1:18" ht="15" thickBot="1" x14ac:dyDescent="0.25">
      <c r="G27" s="46"/>
      <c r="H27" s="70">
        <v>1</v>
      </c>
      <c r="I27" t="s">
        <v>106</v>
      </c>
      <c r="J27" s="41">
        <f>I24</f>
        <v>2000.8</v>
      </c>
      <c r="K27">
        <f>H27*J27</f>
        <v>2000.8</v>
      </c>
      <c r="L27" s="41">
        <f>K27+I23</f>
        <v>42016.800000000003</v>
      </c>
      <c r="M27" t="s">
        <v>83</v>
      </c>
    </row>
    <row r="28" spans="1:18" x14ac:dyDescent="0.2">
      <c r="A28" t="s">
        <v>89</v>
      </c>
      <c r="I28" t="s">
        <v>92</v>
      </c>
      <c r="J28" s="34">
        <f>K28/H27</f>
        <v>-9184</v>
      </c>
      <c r="K28" s="41">
        <f>J23</f>
        <v>-9184</v>
      </c>
    </row>
    <row r="29" spans="1:18" x14ac:dyDescent="0.2">
      <c r="A29" t="s">
        <v>138</v>
      </c>
      <c r="J29" s="34">
        <f>J28/32</f>
        <v>-287</v>
      </c>
      <c r="K29" t="s">
        <v>117</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3"/>
  <sheetViews>
    <sheetView zoomScaleNormal="100" zoomScaleSheetLayoutView="100" workbookViewId="0">
      <selection activeCell="G28" sqref="G28"/>
    </sheetView>
  </sheetViews>
  <sheetFormatPr defaultRowHeight="14.25" x14ac:dyDescent="0.2"/>
  <cols>
    <col min="1" max="1" width="26.625" customWidth="1"/>
    <col min="4" max="4" width="13" hidden="1" customWidth="1"/>
    <col min="7" max="7" width="9.5" customWidth="1"/>
    <col min="9" max="9" width="13.625" customWidth="1"/>
    <col min="10" max="10" width="10.5" customWidth="1"/>
    <col min="11" max="11" width="10" customWidth="1"/>
    <col min="13" max="13" width="13.875" customWidth="1"/>
    <col min="16" max="16" width="11.75" customWidth="1"/>
  </cols>
  <sheetData>
    <row r="1" spans="1:16" x14ac:dyDescent="0.2">
      <c r="B1" t="s">
        <v>112</v>
      </c>
      <c r="C1">
        <v>23</v>
      </c>
      <c r="L1" s="57" t="s">
        <v>22</v>
      </c>
      <c r="M1" s="57" t="s">
        <v>23</v>
      </c>
    </row>
    <row r="2" spans="1:16" ht="15" thickBot="1" x14ac:dyDescent="0.25">
      <c r="A2" s="19" t="s">
        <v>39</v>
      </c>
      <c r="B2" t="s">
        <v>65</v>
      </c>
      <c r="C2" t="s">
        <v>137</v>
      </c>
      <c r="I2" s="2" t="s">
        <v>102</v>
      </c>
      <c r="L2" s="58">
        <f>(C1-H28)/C1</f>
        <v>1</v>
      </c>
      <c r="M2" s="58">
        <f>I24/B24</f>
        <v>1.0057670126874279</v>
      </c>
      <c r="N2" s="17">
        <f>M2-L2</f>
        <v>5.7670126874278527E-3</v>
      </c>
      <c r="O2" s="36" t="s">
        <v>44</v>
      </c>
      <c r="P2" s="36"/>
    </row>
    <row r="3" spans="1:16" ht="15" thickBot="1" x14ac:dyDescent="0.25">
      <c r="A3" s="11" t="s">
        <v>107</v>
      </c>
      <c r="B3" s="12" t="s">
        <v>19</v>
      </c>
      <c r="C3" s="12" t="s">
        <v>30</v>
      </c>
      <c r="D3" s="12"/>
      <c r="E3" s="12" t="s">
        <v>29</v>
      </c>
      <c r="F3" s="12" t="s">
        <v>28</v>
      </c>
      <c r="G3" s="12" t="s">
        <v>27</v>
      </c>
      <c r="H3" s="12" t="s">
        <v>29</v>
      </c>
      <c r="I3" s="64"/>
      <c r="J3" s="12" t="s">
        <v>20</v>
      </c>
      <c r="K3" s="12" t="s">
        <v>21</v>
      </c>
      <c r="L3" s="12" t="s">
        <v>25</v>
      </c>
      <c r="M3" s="12" t="s">
        <v>26</v>
      </c>
      <c r="N3" s="12"/>
      <c r="O3" s="51" t="s">
        <v>28</v>
      </c>
      <c r="P3" s="51" t="s">
        <v>43</v>
      </c>
    </row>
    <row r="4" spans="1:16" ht="15" thickTop="1" x14ac:dyDescent="0.2">
      <c r="A4" t="s">
        <v>0</v>
      </c>
      <c r="B4" s="60">
        <v>1200</v>
      </c>
      <c r="C4" s="39">
        <v>0.29239999999999999</v>
      </c>
      <c r="D4">
        <f>C4*E4</f>
        <v>102.597312</v>
      </c>
      <c r="E4">
        <f t="shared" ref="E4:E23" si="0">B4*C4</f>
        <v>350.88</v>
      </c>
      <c r="F4">
        <f>1-C4</f>
        <v>0.70760000000000001</v>
      </c>
      <c r="G4" s="15">
        <f>B4/C1</f>
        <v>52.173913043478258</v>
      </c>
      <c r="H4" s="15">
        <f t="shared" ref="H4:H23" si="1">B4*F4</f>
        <v>849.12</v>
      </c>
      <c r="I4" s="2">
        <v>594</v>
      </c>
      <c r="J4">
        <f t="shared" ref="J4:J24" si="2">I4-B4</f>
        <v>-606</v>
      </c>
      <c r="K4" s="1">
        <f t="shared" ref="K4:K22" si="3">I4/B4</f>
        <v>0.495</v>
      </c>
      <c r="L4" s="8">
        <v>23.67</v>
      </c>
      <c r="M4" s="8">
        <f t="shared" ref="M4:M23" si="4">(B4*F4)*L4</f>
        <v>20098.670400000003</v>
      </c>
      <c r="N4" s="1">
        <f>B4/B24</f>
        <v>2.768166089965398E-2</v>
      </c>
      <c r="O4" s="42">
        <f>I4*F4</f>
        <v>420.31439999999998</v>
      </c>
      <c r="P4" s="22">
        <f>(I4*F4)*L4</f>
        <v>9948.841848</v>
      </c>
    </row>
    <row r="5" spans="1:16" x14ac:dyDescent="0.2">
      <c r="A5" t="s">
        <v>17</v>
      </c>
      <c r="B5" s="60">
        <v>1400</v>
      </c>
      <c r="C5" s="39">
        <v>0.19919999999999999</v>
      </c>
      <c r="D5">
        <v>184.29849000000002</v>
      </c>
      <c r="E5">
        <v>429.3</v>
      </c>
      <c r="F5">
        <v>0.57069999999999999</v>
      </c>
      <c r="G5" s="15">
        <f>B5/C1</f>
        <v>60.869565217391305</v>
      </c>
      <c r="H5" s="15">
        <v>570.69999999999993</v>
      </c>
      <c r="I5" s="2">
        <v>1085</v>
      </c>
      <c r="J5">
        <v>-334</v>
      </c>
      <c r="K5" s="1">
        <f t="shared" si="3"/>
        <v>0.77500000000000002</v>
      </c>
      <c r="L5" s="8">
        <v>18.98</v>
      </c>
      <c r="M5" s="8">
        <v>10843.3</v>
      </c>
      <c r="N5" s="1">
        <f>B5/B24</f>
        <v>3.2295271049596307E-2</v>
      </c>
      <c r="O5" s="42">
        <f>I5*F5</f>
        <v>619.20949999999993</v>
      </c>
      <c r="P5" s="22">
        <f>(I5*F5)*L5</f>
        <v>11752.596309999999</v>
      </c>
    </row>
    <row r="6" spans="1:16" x14ac:dyDescent="0.2">
      <c r="A6" t="s">
        <v>1</v>
      </c>
      <c r="B6" s="60">
        <v>3000</v>
      </c>
      <c r="C6" s="39">
        <v>0.34560000000000002</v>
      </c>
      <c r="D6">
        <f t="shared" ref="D6:D22" si="5">C6*E6</f>
        <v>358.31808000000001</v>
      </c>
      <c r="E6">
        <f t="shared" si="0"/>
        <v>1036.8</v>
      </c>
      <c r="F6">
        <f t="shared" ref="F6:F23" si="6">1-C6</f>
        <v>0.65439999999999998</v>
      </c>
      <c r="G6" s="15">
        <f>B6/C1</f>
        <v>130.43478260869566</v>
      </c>
      <c r="H6" s="15">
        <f t="shared" si="1"/>
        <v>1963.2</v>
      </c>
      <c r="I6" s="2">
        <v>3424</v>
      </c>
      <c r="J6">
        <f t="shared" si="2"/>
        <v>424</v>
      </c>
      <c r="K6" s="1">
        <f t="shared" si="3"/>
        <v>1.1413333333333333</v>
      </c>
      <c r="L6" s="9">
        <v>28</v>
      </c>
      <c r="M6" s="8">
        <f t="shared" si="4"/>
        <v>54969.599999999999</v>
      </c>
      <c r="N6" s="1">
        <f>B6/B24</f>
        <v>6.9204152249134954E-2</v>
      </c>
      <c r="O6" s="42">
        <f t="shared" ref="O6:O23" si="7">I6*F6</f>
        <v>2240.6655999999998</v>
      </c>
      <c r="P6" s="22">
        <f t="shared" ref="P6:P23" si="8">(I6*F6)*L6</f>
        <v>62738.636799999993</v>
      </c>
    </row>
    <row r="7" spans="1:16" x14ac:dyDescent="0.2">
      <c r="A7" t="s">
        <v>2</v>
      </c>
      <c r="B7" s="60">
        <v>1500</v>
      </c>
      <c r="C7" s="39">
        <v>0.41089999999999999</v>
      </c>
      <c r="D7">
        <f t="shared" si="5"/>
        <v>253.25821500000001</v>
      </c>
      <c r="E7">
        <f t="shared" si="0"/>
        <v>616.35</v>
      </c>
      <c r="F7">
        <f t="shared" si="6"/>
        <v>0.58909999999999996</v>
      </c>
      <c r="G7" s="15">
        <f>B7/C1</f>
        <v>65.217391304347828</v>
      </c>
      <c r="H7" s="15">
        <f t="shared" si="1"/>
        <v>883.65</v>
      </c>
      <c r="I7" s="2">
        <v>2087</v>
      </c>
      <c r="J7">
        <f t="shared" si="2"/>
        <v>587</v>
      </c>
      <c r="K7" s="1">
        <f t="shared" si="3"/>
        <v>1.3913333333333333</v>
      </c>
      <c r="L7" s="9">
        <v>23.46</v>
      </c>
      <c r="M7" s="8">
        <f t="shared" si="4"/>
        <v>20730.429</v>
      </c>
      <c r="N7" s="1">
        <f>B7/B24</f>
        <v>3.4602076124567477E-2</v>
      </c>
      <c r="O7" s="42">
        <f t="shared" si="7"/>
        <v>1229.4516999999998</v>
      </c>
      <c r="P7" s="22">
        <f t="shared" si="8"/>
        <v>28842.936881999998</v>
      </c>
    </row>
    <row r="8" spans="1:16" x14ac:dyDescent="0.2">
      <c r="A8" t="s">
        <v>136</v>
      </c>
      <c r="B8" s="60">
        <v>1600</v>
      </c>
      <c r="C8" s="39">
        <v>0.39269999999999999</v>
      </c>
      <c r="D8">
        <f t="shared" si="5"/>
        <v>246.74126399999997</v>
      </c>
      <c r="E8">
        <f t="shared" si="0"/>
        <v>628.31999999999994</v>
      </c>
      <c r="F8">
        <f t="shared" si="6"/>
        <v>0.60729999999999995</v>
      </c>
      <c r="G8" s="15">
        <f>B8/C1</f>
        <v>69.565217391304344</v>
      </c>
      <c r="H8" s="15">
        <f t="shared" si="1"/>
        <v>971.68</v>
      </c>
      <c r="I8" s="2">
        <v>1688</v>
      </c>
      <c r="J8">
        <f t="shared" si="2"/>
        <v>88</v>
      </c>
      <c r="K8" s="1">
        <f t="shared" si="3"/>
        <v>1.0549999999999999</v>
      </c>
      <c r="L8" s="9">
        <v>23.09</v>
      </c>
      <c r="M8" s="8">
        <f t="shared" si="4"/>
        <v>22436.091199999999</v>
      </c>
      <c r="N8" s="1">
        <f>B8/B24</f>
        <v>3.690888119953864E-2</v>
      </c>
      <c r="O8" s="42">
        <f t="shared" si="7"/>
        <v>1025.1224</v>
      </c>
      <c r="P8" s="22">
        <f t="shared" si="8"/>
        <v>23670.076215999998</v>
      </c>
    </row>
    <row r="9" spans="1:16" x14ac:dyDescent="0.2">
      <c r="A9" t="s">
        <v>5</v>
      </c>
      <c r="B9" s="60">
        <v>2400</v>
      </c>
      <c r="C9" s="39">
        <v>0.40279999999999999</v>
      </c>
      <c r="D9">
        <f t="shared" si="5"/>
        <v>389.39481599999999</v>
      </c>
      <c r="E9">
        <f t="shared" si="0"/>
        <v>966.72</v>
      </c>
      <c r="F9">
        <f>1-C9</f>
        <v>0.59719999999999995</v>
      </c>
      <c r="G9" s="15">
        <f>B9/C1</f>
        <v>104.34782608695652</v>
      </c>
      <c r="H9" s="15">
        <f t="shared" si="1"/>
        <v>1433.28</v>
      </c>
      <c r="I9" s="2">
        <v>2688</v>
      </c>
      <c r="J9">
        <f t="shared" si="2"/>
        <v>288</v>
      </c>
      <c r="K9" s="1">
        <f t="shared" si="3"/>
        <v>1.1200000000000001</v>
      </c>
      <c r="L9" s="9">
        <v>11.99</v>
      </c>
      <c r="M9" s="8">
        <f t="shared" si="4"/>
        <v>17185.0272</v>
      </c>
      <c r="N9" s="1">
        <f>B9/B24</f>
        <v>5.536332179930796E-2</v>
      </c>
      <c r="O9" s="42">
        <f>I9*F9</f>
        <v>1605.2736</v>
      </c>
      <c r="P9" s="22">
        <f>(I9*F9)*L9</f>
        <v>19247.230464</v>
      </c>
    </row>
    <row r="10" spans="1:16" x14ac:dyDescent="0.2">
      <c r="A10" t="s">
        <v>4</v>
      </c>
      <c r="B10" s="60">
        <v>100</v>
      </c>
      <c r="C10" s="39">
        <v>0.1085</v>
      </c>
      <c r="D10">
        <f t="shared" si="5"/>
        <v>1.177225</v>
      </c>
      <c r="E10">
        <f t="shared" si="0"/>
        <v>10.85</v>
      </c>
      <c r="F10">
        <f t="shared" si="6"/>
        <v>0.89149999999999996</v>
      </c>
      <c r="G10" s="15">
        <f>B10/C1</f>
        <v>4.3478260869565215</v>
      </c>
      <c r="H10" s="15">
        <f t="shared" si="1"/>
        <v>89.149999999999991</v>
      </c>
      <c r="I10" s="2">
        <v>228</v>
      </c>
      <c r="J10">
        <f t="shared" si="2"/>
        <v>128</v>
      </c>
      <c r="K10" s="1">
        <f t="shared" si="3"/>
        <v>2.2799999999999998</v>
      </c>
      <c r="L10" s="9">
        <v>0</v>
      </c>
      <c r="M10" s="8">
        <f t="shared" si="4"/>
        <v>0</v>
      </c>
      <c r="N10" s="1">
        <f>B10/B24</f>
        <v>2.306805074971165E-3</v>
      </c>
      <c r="O10" s="42">
        <f t="shared" si="7"/>
        <v>203.262</v>
      </c>
      <c r="P10" s="22">
        <f t="shared" si="8"/>
        <v>0</v>
      </c>
    </row>
    <row r="11" spans="1:16" x14ac:dyDescent="0.2">
      <c r="A11" t="s">
        <v>6</v>
      </c>
      <c r="B11" s="60">
        <v>150</v>
      </c>
      <c r="C11" s="39">
        <v>0.71220000000000006</v>
      </c>
      <c r="D11">
        <f t="shared" si="5"/>
        <v>76.084326000000019</v>
      </c>
      <c r="E11">
        <f t="shared" si="0"/>
        <v>106.83000000000001</v>
      </c>
      <c r="F11">
        <f t="shared" si="6"/>
        <v>0.28779999999999994</v>
      </c>
      <c r="G11" s="15">
        <f>B11/C8</f>
        <v>381.97097020626433</v>
      </c>
      <c r="H11" s="15">
        <f t="shared" si="1"/>
        <v>43.169999999999995</v>
      </c>
      <c r="I11" s="2"/>
      <c r="J11">
        <f t="shared" si="2"/>
        <v>-150</v>
      </c>
      <c r="K11" s="1">
        <f t="shared" si="3"/>
        <v>0</v>
      </c>
      <c r="L11" s="9">
        <v>0</v>
      </c>
      <c r="M11" s="8">
        <f t="shared" si="4"/>
        <v>0</v>
      </c>
      <c r="N11" s="1">
        <f>B11/B24</f>
        <v>3.4602076124567475E-3</v>
      </c>
      <c r="O11" s="42">
        <f t="shared" si="7"/>
        <v>0</v>
      </c>
      <c r="P11" s="22">
        <f t="shared" si="8"/>
        <v>0</v>
      </c>
    </row>
    <row r="12" spans="1:16" x14ac:dyDescent="0.2">
      <c r="A12" t="s">
        <v>140</v>
      </c>
      <c r="B12" s="60">
        <v>750</v>
      </c>
      <c r="C12" s="39">
        <v>0.4047</v>
      </c>
      <c r="D12">
        <f t="shared" si="5"/>
        <v>122.83656749999999</v>
      </c>
      <c r="E12">
        <f t="shared" si="0"/>
        <v>303.52499999999998</v>
      </c>
      <c r="F12">
        <f t="shared" si="6"/>
        <v>0.59529999999999994</v>
      </c>
      <c r="G12" s="15">
        <f>B12/C1</f>
        <v>32.608695652173914</v>
      </c>
      <c r="H12" s="15">
        <f t="shared" si="1"/>
        <v>446.47499999999997</v>
      </c>
      <c r="I12" s="2">
        <v>2849</v>
      </c>
      <c r="J12">
        <f t="shared" si="2"/>
        <v>2099</v>
      </c>
      <c r="K12" s="1">
        <f t="shared" si="3"/>
        <v>3.7986666666666666</v>
      </c>
      <c r="L12" s="35">
        <v>30</v>
      </c>
      <c r="M12" s="8">
        <f t="shared" si="4"/>
        <v>13394.249999999998</v>
      </c>
      <c r="N12" s="1">
        <f>B12/B24</f>
        <v>1.7301038062283738E-2</v>
      </c>
      <c r="O12" s="42">
        <f t="shared" si="7"/>
        <v>1696.0096999999998</v>
      </c>
      <c r="P12" s="22">
        <f t="shared" si="8"/>
        <v>50880.290999999997</v>
      </c>
    </row>
    <row r="13" spans="1:16" x14ac:dyDescent="0.2">
      <c r="A13" t="s">
        <v>139</v>
      </c>
      <c r="B13" s="60">
        <v>750</v>
      </c>
      <c r="C13" s="39">
        <v>0.49299999999999999</v>
      </c>
      <c r="D13">
        <f t="shared" si="5"/>
        <v>182.28674999999998</v>
      </c>
      <c r="E13">
        <f t="shared" si="0"/>
        <v>369.75</v>
      </c>
      <c r="F13">
        <f t="shared" si="6"/>
        <v>0.50700000000000001</v>
      </c>
      <c r="G13" s="15">
        <f>B13/C1</f>
        <v>32.608695652173914</v>
      </c>
      <c r="H13" s="15">
        <f t="shared" si="1"/>
        <v>380.25</v>
      </c>
      <c r="I13" s="2">
        <v>241</v>
      </c>
      <c r="J13">
        <f t="shared" si="2"/>
        <v>-509</v>
      </c>
      <c r="K13" s="1">
        <f t="shared" si="3"/>
        <v>0.32133333333333336</v>
      </c>
      <c r="L13" s="35">
        <v>12</v>
      </c>
      <c r="M13" s="8">
        <f t="shared" si="4"/>
        <v>4563</v>
      </c>
      <c r="N13" s="1">
        <f>B13/B24</f>
        <v>1.7301038062283738E-2</v>
      </c>
      <c r="O13" s="42">
        <f t="shared" si="7"/>
        <v>122.187</v>
      </c>
      <c r="P13" s="22">
        <f t="shared" si="8"/>
        <v>1466.2439999999999</v>
      </c>
    </row>
    <row r="14" spans="1:16" x14ac:dyDescent="0.2">
      <c r="A14" t="s">
        <v>9</v>
      </c>
      <c r="B14" s="60">
        <v>1200</v>
      </c>
      <c r="C14" s="39">
        <v>0.48309999999999997</v>
      </c>
      <c r="D14">
        <f t="shared" si="5"/>
        <v>280.06273199999993</v>
      </c>
      <c r="E14">
        <f t="shared" si="0"/>
        <v>579.71999999999991</v>
      </c>
      <c r="F14">
        <v>0.53</v>
      </c>
      <c r="G14" s="15">
        <f>B14/C1</f>
        <v>52.173913043478258</v>
      </c>
      <c r="H14" s="15">
        <f t="shared" si="1"/>
        <v>636</v>
      </c>
      <c r="I14" s="2">
        <v>372</v>
      </c>
      <c r="J14">
        <f t="shared" si="2"/>
        <v>-828</v>
      </c>
      <c r="K14" s="1">
        <f t="shared" si="3"/>
        <v>0.31</v>
      </c>
      <c r="L14" s="35">
        <v>12</v>
      </c>
      <c r="M14" s="8">
        <f t="shared" si="4"/>
        <v>7632</v>
      </c>
      <c r="N14" s="1">
        <f>B14/B24</f>
        <v>2.768166089965398E-2</v>
      </c>
      <c r="O14" s="42">
        <f>I14*F14</f>
        <v>197.16</v>
      </c>
      <c r="P14" s="22">
        <f>(I14*F14)*L14</f>
        <v>2365.92</v>
      </c>
    </row>
    <row r="15" spans="1:16" x14ac:dyDescent="0.2">
      <c r="A15" t="s">
        <v>8</v>
      </c>
      <c r="B15" s="60">
        <v>11000</v>
      </c>
      <c r="C15" s="39">
        <v>0.41589999999999999</v>
      </c>
      <c r="D15">
        <f t="shared" si="5"/>
        <v>1902.7009099999998</v>
      </c>
      <c r="E15">
        <f t="shared" si="0"/>
        <v>4574.8999999999996</v>
      </c>
      <c r="F15">
        <f t="shared" si="6"/>
        <v>0.58410000000000006</v>
      </c>
      <c r="G15" s="15">
        <f>B15/C1</f>
        <v>478.26086956521738</v>
      </c>
      <c r="H15" s="15">
        <f t="shared" si="1"/>
        <v>6425.1</v>
      </c>
      <c r="I15" s="2">
        <v>8659</v>
      </c>
      <c r="J15">
        <f t="shared" si="2"/>
        <v>-2341</v>
      </c>
      <c r="K15" s="1">
        <f t="shared" si="3"/>
        <v>0.7871818181818182</v>
      </c>
      <c r="L15" s="65">
        <v>23.5</v>
      </c>
      <c r="M15" s="8">
        <f t="shared" si="4"/>
        <v>150989.85</v>
      </c>
      <c r="N15" s="1">
        <f>B15/B24</f>
        <v>0.25374855824682813</v>
      </c>
      <c r="O15" s="42">
        <f t="shared" si="7"/>
        <v>5057.7219000000005</v>
      </c>
      <c r="P15" s="22">
        <f t="shared" si="8"/>
        <v>118856.46465000001</v>
      </c>
    </row>
    <row r="16" spans="1:16" x14ac:dyDescent="0.2">
      <c r="A16" t="s">
        <v>11</v>
      </c>
      <c r="B16" s="60">
        <v>5000</v>
      </c>
      <c r="C16" s="39">
        <v>0.4163</v>
      </c>
      <c r="D16">
        <f t="shared" si="5"/>
        <v>866.52845000000002</v>
      </c>
      <c r="E16">
        <f t="shared" si="0"/>
        <v>2081.5</v>
      </c>
      <c r="F16">
        <f t="shared" si="6"/>
        <v>0.5837</v>
      </c>
      <c r="G16" s="15">
        <f>B16/C1</f>
        <v>217.39130434782609</v>
      </c>
      <c r="H16" s="15">
        <f t="shared" si="1"/>
        <v>2918.5</v>
      </c>
      <c r="I16" s="2">
        <v>4267</v>
      </c>
      <c r="J16">
        <f t="shared" si="2"/>
        <v>-733</v>
      </c>
      <c r="K16" s="1">
        <f t="shared" si="3"/>
        <v>0.85340000000000005</v>
      </c>
      <c r="L16" s="9">
        <v>27.41</v>
      </c>
      <c r="M16" s="8">
        <f t="shared" si="4"/>
        <v>79996.085000000006</v>
      </c>
      <c r="N16" s="1">
        <f>B16/B24</f>
        <v>0.11534025374855825</v>
      </c>
      <c r="O16" s="42">
        <f t="shared" si="7"/>
        <v>2490.6478999999999</v>
      </c>
      <c r="P16" s="22">
        <f t="shared" si="8"/>
        <v>68268.658939000001</v>
      </c>
    </row>
    <row r="17" spans="1:18" x14ac:dyDescent="0.2">
      <c r="A17" t="s">
        <v>144</v>
      </c>
      <c r="B17" s="60"/>
      <c r="C17" s="39"/>
      <c r="G17" s="15"/>
      <c r="H17" s="15"/>
      <c r="I17" s="2">
        <v>452</v>
      </c>
      <c r="K17" s="1"/>
      <c r="L17" s="9"/>
      <c r="M17" s="8"/>
      <c r="N17" s="1"/>
      <c r="O17" s="42"/>
      <c r="P17" s="22"/>
    </row>
    <row r="18" spans="1:18" x14ac:dyDescent="0.2">
      <c r="A18" t="s">
        <v>16</v>
      </c>
      <c r="B18" s="60">
        <v>2500</v>
      </c>
      <c r="C18" s="39">
        <v>0.36399999999999999</v>
      </c>
      <c r="D18">
        <f t="shared" si="5"/>
        <v>331.24</v>
      </c>
      <c r="E18">
        <f t="shared" si="0"/>
        <v>910</v>
      </c>
      <c r="F18">
        <f>1-C18</f>
        <v>0.63600000000000001</v>
      </c>
      <c r="G18" s="15">
        <f>B18/C1</f>
        <v>108.69565217391305</v>
      </c>
      <c r="H18" s="15">
        <f t="shared" si="1"/>
        <v>1590</v>
      </c>
      <c r="I18" s="2">
        <v>1657</v>
      </c>
      <c r="J18">
        <f t="shared" si="2"/>
        <v>-843</v>
      </c>
      <c r="K18" s="1">
        <f t="shared" si="3"/>
        <v>0.66279999999999994</v>
      </c>
      <c r="L18" s="9">
        <v>20.6</v>
      </c>
      <c r="M18" s="8">
        <f t="shared" si="4"/>
        <v>32754.000000000004</v>
      </c>
      <c r="N18" s="1">
        <f>B18/B24</f>
        <v>5.7670126874279123E-2</v>
      </c>
      <c r="O18" s="42">
        <f t="shared" si="7"/>
        <v>1053.8520000000001</v>
      </c>
      <c r="P18" s="22">
        <f t="shared" si="8"/>
        <v>21709.351200000005</v>
      </c>
    </row>
    <row r="19" spans="1:18" x14ac:dyDescent="0.2">
      <c r="A19" t="s">
        <v>51</v>
      </c>
      <c r="B19" s="60">
        <v>2800</v>
      </c>
      <c r="C19" s="39">
        <v>0.30790000000000001</v>
      </c>
      <c r="D19">
        <f t="shared" si="5"/>
        <v>265.44674800000001</v>
      </c>
      <c r="E19">
        <f t="shared" si="0"/>
        <v>862.12</v>
      </c>
      <c r="F19">
        <f t="shared" si="6"/>
        <v>0.69209999999999994</v>
      </c>
      <c r="G19" s="15">
        <f>B19/C1</f>
        <v>121.73913043478261</v>
      </c>
      <c r="H19" s="15">
        <f t="shared" si="1"/>
        <v>1937.8799999999999</v>
      </c>
      <c r="I19" s="2">
        <v>2155</v>
      </c>
      <c r="J19">
        <f t="shared" si="2"/>
        <v>-645</v>
      </c>
      <c r="K19" s="1">
        <f t="shared" si="3"/>
        <v>0.76964285714285718</v>
      </c>
      <c r="L19" s="9">
        <v>25</v>
      </c>
      <c r="M19" s="8">
        <f t="shared" si="4"/>
        <v>48447</v>
      </c>
      <c r="N19" s="1">
        <f>B19/B24</f>
        <v>6.4590542099192613E-2</v>
      </c>
      <c r="O19" s="42">
        <f t="shared" si="7"/>
        <v>1491.4754999999998</v>
      </c>
      <c r="P19" s="22">
        <f t="shared" si="8"/>
        <v>37286.887499999997</v>
      </c>
    </row>
    <row r="20" spans="1:18" x14ac:dyDescent="0.2">
      <c r="A20" t="s">
        <v>13</v>
      </c>
      <c r="B20" s="60">
        <v>3000</v>
      </c>
      <c r="C20" s="39">
        <v>0.25430000000000003</v>
      </c>
      <c r="D20">
        <f t="shared" si="5"/>
        <v>194.00547000000003</v>
      </c>
      <c r="E20">
        <f t="shared" si="0"/>
        <v>762.90000000000009</v>
      </c>
      <c r="F20">
        <f t="shared" si="6"/>
        <v>0.74570000000000003</v>
      </c>
      <c r="G20" s="15">
        <f>B20/C1</f>
        <v>130.43478260869566</v>
      </c>
      <c r="H20" s="15">
        <f t="shared" si="1"/>
        <v>2237.1</v>
      </c>
      <c r="I20" s="2">
        <v>4030</v>
      </c>
      <c r="J20">
        <f t="shared" si="2"/>
        <v>1030</v>
      </c>
      <c r="K20" s="1">
        <f t="shared" si="3"/>
        <v>1.3433333333333333</v>
      </c>
      <c r="L20" s="65">
        <v>22</v>
      </c>
      <c r="M20" s="8">
        <f t="shared" si="4"/>
        <v>49216.2</v>
      </c>
      <c r="N20" s="1">
        <f>B20/B24</f>
        <v>6.9204152249134954E-2</v>
      </c>
      <c r="O20" s="42">
        <f t="shared" si="7"/>
        <v>3005.1710000000003</v>
      </c>
      <c r="P20" s="22">
        <f t="shared" si="8"/>
        <v>66113.762000000002</v>
      </c>
    </row>
    <row r="21" spans="1:18" x14ac:dyDescent="0.2">
      <c r="A21" t="s">
        <v>14</v>
      </c>
      <c r="B21" s="60">
        <v>3000</v>
      </c>
      <c r="C21" s="39">
        <v>0.34239999999999998</v>
      </c>
      <c r="D21">
        <f t="shared" si="5"/>
        <v>351.71328</v>
      </c>
      <c r="E21">
        <f t="shared" si="0"/>
        <v>1027.2</v>
      </c>
      <c r="F21">
        <f t="shared" si="6"/>
        <v>0.65759999999999996</v>
      </c>
      <c r="G21" s="15">
        <f>B21/C1</f>
        <v>130.43478260869566</v>
      </c>
      <c r="H21" s="15">
        <f t="shared" si="1"/>
        <v>1972.8</v>
      </c>
      <c r="I21" s="2">
        <v>5767</v>
      </c>
      <c r="J21">
        <f t="shared" si="2"/>
        <v>2767</v>
      </c>
      <c r="K21" s="1">
        <f t="shared" si="3"/>
        <v>1.9223333333333332</v>
      </c>
      <c r="L21" s="65">
        <v>28.78</v>
      </c>
      <c r="M21" s="8">
        <f t="shared" si="4"/>
        <v>56777.184000000001</v>
      </c>
      <c r="N21" s="1">
        <f>B21/B24</f>
        <v>6.9204152249134954E-2</v>
      </c>
      <c r="O21" s="42">
        <f t="shared" si="7"/>
        <v>3792.3791999999999</v>
      </c>
      <c r="P21" s="22">
        <f t="shared" si="8"/>
        <v>109144.67337600001</v>
      </c>
    </row>
    <row r="22" spans="1:18" ht="15" thickBot="1" x14ac:dyDescent="0.25">
      <c r="A22" s="5" t="s">
        <v>15</v>
      </c>
      <c r="B22" s="61">
        <v>2000</v>
      </c>
      <c r="C22" s="71">
        <v>0.28910000000000002</v>
      </c>
      <c r="D22" s="5">
        <f t="shared" si="5"/>
        <v>167.15762000000004</v>
      </c>
      <c r="E22" s="5">
        <f t="shared" si="0"/>
        <v>578.20000000000005</v>
      </c>
      <c r="F22" s="5">
        <f t="shared" si="6"/>
        <v>0.71089999999999998</v>
      </c>
      <c r="G22" s="16">
        <f>B22/C1</f>
        <v>86.956521739130437</v>
      </c>
      <c r="H22" s="16">
        <f t="shared" si="1"/>
        <v>1421.8</v>
      </c>
      <c r="I22" s="38">
        <v>1357</v>
      </c>
      <c r="J22" s="5">
        <f t="shared" si="2"/>
        <v>-643</v>
      </c>
      <c r="K22" s="6">
        <f t="shared" si="3"/>
        <v>0.67849999999999999</v>
      </c>
      <c r="L22" s="10">
        <v>23.24</v>
      </c>
      <c r="M22" s="14">
        <f t="shared" si="4"/>
        <v>33042.631999999998</v>
      </c>
      <c r="N22" s="6">
        <f>B22/B24</f>
        <v>4.61361014994233E-2</v>
      </c>
      <c r="O22" s="43">
        <f t="shared" si="7"/>
        <v>964.69129999999996</v>
      </c>
      <c r="P22" s="25">
        <f t="shared" si="8"/>
        <v>22419.425811999998</v>
      </c>
    </row>
    <row r="23" spans="1:18" ht="15" hidden="1" thickBot="1" x14ac:dyDescent="0.25">
      <c r="A23" s="3" t="s">
        <v>24</v>
      </c>
      <c r="B23" s="62"/>
      <c r="C23" s="5">
        <v>0.2555</v>
      </c>
      <c r="E23">
        <f t="shared" si="0"/>
        <v>0</v>
      </c>
      <c r="F23" s="5">
        <f t="shared" si="6"/>
        <v>0.74449999999999994</v>
      </c>
      <c r="G23" s="16">
        <f>B23/21</f>
        <v>0</v>
      </c>
      <c r="H23" s="16">
        <f t="shared" si="1"/>
        <v>0</v>
      </c>
      <c r="I23" s="4"/>
      <c r="J23" s="5">
        <f t="shared" si="2"/>
        <v>0</v>
      </c>
      <c r="K23" s="6" t="e">
        <f>I23/B23</f>
        <v>#DIV/0!</v>
      </c>
      <c r="L23" s="10">
        <v>25</v>
      </c>
      <c r="M23" s="14">
        <f t="shared" si="4"/>
        <v>0</v>
      </c>
      <c r="N23" s="1"/>
      <c r="O23" s="43">
        <f t="shared" si="7"/>
        <v>0</v>
      </c>
      <c r="P23" s="25">
        <f t="shared" si="8"/>
        <v>0</v>
      </c>
    </row>
    <row r="24" spans="1:18" ht="15" thickBot="1" x14ac:dyDescent="0.25">
      <c r="B24" s="60">
        <f>SUM(B4:B23)</f>
        <v>43350</v>
      </c>
      <c r="C24" s="39">
        <f>D24/E24</f>
        <v>0.38749694786292666</v>
      </c>
      <c r="D24" s="31">
        <f>SUM(D4:D22)</f>
        <v>6275.8482554999991</v>
      </c>
      <c r="E24" s="28">
        <f>SUM(E4:E23)</f>
        <v>16195.865000000002</v>
      </c>
      <c r="G24" s="33">
        <f>SUM(G4:G23)</f>
        <v>2260.2318397714816</v>
      </c>
      <c r="H24" s="33">
        <f>SUM(H4:H23)</f>
        <v>26769.855</v>
      </c>
      <c r="I24" s="32">
        <f>SUM(I$4:I$22)</f>
        <v>43600</v>
      </c>
      <c r="J24" s="28">
        <f t="shared" si="2"/>
        <v>250</v>
      </c>
      <c r="K24" s="1">
        <f>I24/B24</f>
        <v>1.0057670126874279</v>
      </c>
      <c r="L24" s="9"/>
      <c r="M24" s="8">
        <f>SUM(M4:M23)</f>
        <v>623075.31880000001</v>
      </c>
      <c r="N24" s="1">
        <f>SUM(N4:N22)</f>
        <v>0.99999999999999978</v>
      </c>
      <c r="O24" s="44">
        <f>SUM(O4:O23)</f>
        <v>27214.594699999998</v>
      </c>
      <c r="P24" s="22">
        <f>SUM(P4:P23)</f>
        <v>654711.99699699995</v>
      </c>
      <c r="Q24" s="17"/>
    </row>
    <row r="25" spans="1:18" ht="15" thickBot="1" x14ac:dyDescent="0.25">
      <c r="A25" t="s">
        <v>41</v>
      </c>
      <c r="B25" s="63">
        <f>B24/23</f>
        <v>1884.7826086956522</v>
      </c>
      <c r="C25" s="54" t="s">
        <v>87</v>
      </c>
      <c r="F25" s="20">
        <f>B25/31</f>
        <v>60.799438990182331</v>
      </c>
      <c r="G25" s="15"/>
      <c r="H25" s="34">
        <f>H24/22</f>
        <v>1216.8115909090909</v>
      </c>
      <c r="I25" s="52">
        <f>I24/(C1-H28)</f>
        <v>1895.6521739130435</v>
      </c>
      <c r="J25" s="53" t="s">
        <v>86</v>
      </c>
      <c r="K25" s="54"/>
      <c r="M25" s="8">
        <f>M24/H24</f>
        <v>23.275259384109479</v>
      </c>
      <c r="N25" s="8" t="s">
        <v>29</v>
      </c>
      <c r="O25" s="45">
        <f>O24/H24</f>
        <v>1.0166134519593026</v>
      </c>
      <c r="P25" s="47">
        <f>P24/O24</f>
        <v>24.05738553942161</v>
      </c>
      <c r="Q25" s="48" t="s">
        <v>84</v>
      </c>
    </row>
    <row r="26" spans="1:18" ht="15" thickBot="1" x14ac:dyDescent="0.25">
      <c r="B26" s="55"/>
      <c r="H26" s="40" t="s">
        <v>81</v>
      </c>
      <c r="I26" s="41">
        <f>I25-B25</f>
        <v>10.869565217391255</v>
      </c>
      <c r="J26" s="59">
        <f>I26/B25</f>
        <v>5.7670126874278856E-3</v>
      </c>
      <c r="P26" s="49">
        <f>P24/I24</f>
        <v>15.01633020635321</v>
      </c>
      <c r="Q26" s="50" t="s">
        <v>85</v>
      </c>
      <c r="R26">
        <v>11.57</v>
      </c>
    </row>
    <row r="27" spans="1:18" ht="15" thickBot="1" x14ac:dyDescent="0.25"/>
    <row r="28" spans="1:18" ht="15" thickBot="1" x14ac:dyDescent="0.25">
      <c r="G28" s="46"/>
      <c r="H28" s="70">
        <v>0</v>
      </c>
      <c r="I28" t="s">
        <v>106</v>
      </c>
      <c r="J28" s="41">
        <f>I25</f>
        <v>1895.6521739130435</v>
      </c>
      <c r="K28" s="28">
        <f>H28*J28</f>
        <v>0</v>
      </c>
      <c r="L28" s="41">
        <f>K28+I24</f>
        <v>43600</v>
      </c>
      <c r="M28" t="s">
        <v>83</v>
      </c>
    </row>
    <row r="29" spans="1:18" x14ac:dyDescent="0.2">
      <c r="A29" t="s">
        <v>89</v>
      </c>
      <c r="I29" t="s">
        <v>92</v>
      </c>
      <c r="J29" s="34" t="e">
        <f>K29/H28</f>
        <v>#DIV/0!</v>
      </c>
      <c r="K29" s="41">
        <f>J24</f>
        <v>250</v>
      </c>
    </row>
    <row r="30" spans="1:18" x14ac:dyDescent="0.2">
      <c r="A30" t="s">
        <v>138</v>
      </c>
      <c r="J30" s="34" t="e">
        <f>J29/32</f>
        <v>#DIV/0!</v>
      </c>
      <c r="K30" t="s">
        <v>117</v>
      </c>
    </row>
    <row r="31" spans="1:18" x14ac:dyDescent="0.2">
      <c r="A31" t="s">
        <v>141</v>
      </c>
    </row>
    <row r="32" spans="1:18" x14ac:dyDescent="0.2">
      <c r="A32" t="s">
        <v>142</v>
      </c>
    </row>
    <row r="33" spans="1:1" x14ac:dyDescent="0.2">
      <c r="A33" t="s">
        <v>143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5"/>
  <sheetViews>
    <sheetView zoomScaleNormal="100" zoomScaleSheetLayoutView="100" workbookViewId="0">
      <selection activeCell="L28" sqref="L28"/>
    </sheetView>
  </sheetViews>
  <sheetFormatPr defaultRowHeight="14.25" x14ac:dyDescent="0.2"/>
  <cols>
    <col min="1" max="1" width="26.625" customWidth="1"/>
    <col min="4" max="4" width="13" hidden="1" customWidth="1"/>
    <col min="7" max="7" width="9.5" customWidth="1"/>
    <col min="9" max="9" width="13.625" customWidth="1"/>
    <col min="10" max="10" width="10.5" customWidth="1"/>
    <col min="11" max="11" width="10" customWidth="1"/>
    <col min="13" max="13" width="13.875" customWidth="1"/>
    <col min="16" max="16" width="11.75" customWidth="1"/>
  </cols>
  <sheetData>
    <row r="1" spans="1:16" x14ac:dyDescent="0.2">
      <c r="B1" t="s">
        <v>112</v>
      </c>
      <c r="C1">
        <v>20</v>
      </c>
      <c r="L1" s="57" t="s">
        <v>22</v>
      </c>
      <c r="M1" s="57" t="s">
        <v>23</v>
      </c>
    </row>
    <row r="2" spans="1:16" ht="15" thickBot="1" x14ac:dyDescent="0.25">
      <c r="A2" s="19" t="s">
        <v>39</v>
      </c>
      <c r="B2" t="s">
        <v>65</v>
      </c>
      <c r="C2" t="s">
        <v>137</v>
      </c>
      <c r="I2" s="2" t="s">
        <v>102</v>
      </c>
      <c r="L2" s="58">
        <f>(C1-H30)/C1</f>
        <v>1</v>
      </c>
      <c r="M2" s="58">
        <f>I26/B26</f>
        <v>0.93912195121951214</v>
      </c>
      <c r="N2" s="17">
        <f>M2-L2</f>
        <v>-6.0878048780487859E-2</v>
      </c>
      <c r="O2" s="36" t="s">
        <v>44</v>
      </c>
      <c r="P2" s="36"/>
    </row>
    <row r="3" spans="1:16" ht="15" thickBot="1" x14ac:dyDescent="0.25">
      <c r="A3" s="11" t="s">
        <v>145</v>
      </c>
      <c r="B3" s="12" t="s">
        <v>19</v>
      </c>
      <c r="C3" s="12" t="s">
        <v>30</v>
      </c>
      <c r="D3" s="12"/>
      <c r="E3" s="12" t="s">
        <v>29</v>
      </c>
      <c r="F3" s="12" t="s">
        <v>28</v>
      </c>
      <c r="G3" s="12" t="s">
        <v>27</v>
      </c>
      <c r="H3" s="12" t="s">
        <v>29</v>
      </c>
      <c r="I3" s="64"/>
      <c r="J3" s="12" t="s">
        <v>20</v>
      </c>
      <c r="K3" s="12" t="s">
        <v>21</v>
      </c>
      <c r="L3" s="12" t="s">
        <v>25</v>
      </c>
      <c r="M3" s="12" t="s">
        <v>26</v>
      </c>
      <c r="N3" s="12"/>
      <c r="O3" s="51" t="s">
        <v>28</v>
      </c>
      <c r="P3" s="51" t="s">
        <v>43</v>
      </c>
    </row>
    <row r="4" spans="1:16" ht="15" thickTop="1" x14ac:dyDescent="0.2">
      <c r="A4" t="s">
        <v>0</v>
      </c>
      <c r="B4" s="60">
        <v>800</v>
      </c>
      <c r="C4" s="39">
        <v>0.29239999999999999</v>
      </c>
      <c r="D4">
        <f>C4*E4</f>
        <v>68.398207999999997</v>
      </c>
      <c r="E4">
        <f t="shared" ref="E4:E25" si="0">B4*C4</f>
        <v>233.92</v>
      </c>
      <c r="F4">
        <f>1-C4</f>
        <v>0.70760000000000001</v>
      </c>
      <c r="G4" s="15">
        <f>B4/C1</f>
        <v>40</v>
      </c>
      <c r="H4" s="15">
        <f t="shared" ref="H4:H25" si="1">B4*F4</f>
        <v>566.08000000000004</v>
      </c>
      <c r="I4" s="2">
        <v>805</v>
      </c>
      <c r="J4">
        <f t="shared" ref="J4:J26" si="2">I4-B4</f>
        <v>5</v>
      </c>
      <c r="K4" s="1">
        <f t="shared" ref="K4:K24" si="3">I4/B4</f>
        <v>1.0062500000000001</v>
      </c>
      <c r="L4" s="8">
        <v>23.67</v>
      </c>
      <c r="M4" s="8">
        <f t="shared" ref="M4:M25" si="4">(B4*F4)*L4</f>
        <v>13399.113600000002</v>
      </c>
      <c r="N4" s="1">
        <f>B4/B26</f>
        <v>1.9512195121951219E-2</v>
      </c>
      <c r="O4" s="42">
        <f>I4*F4</f>
        <v>569.61800000000005</v>
      </c>
      <c r="P4" s="22">
        <f>(I4*F4)*L4</f>
        <v>13482.858060000002</v>
      </c>
    </row>
    <row r="5" spans="1:16" x14ac:dyDescent="0.2">
      <c r="A5" t="s">
        <v>17</v>
      </c>
      <c r="B5" s="60">
        <v>1000</v>
      </c>
      <c r="C5" s="39">
        <v>0.19919999999999999</v>
      </c>
      <c r="D5">
        <v>184.29849000000002</v>
      </c>
      <c r="E5">
        <v>429.3</v>
      </c>
      <c r="F5">
        <v>0.57069999999999999</v>
      </c>
      <c r="G5" s="15">
        <f>B5/C1</f>
        <v>50</v>
      </c>
      <c r="H5" s="15">
        <v>570.69999999999993</v>
      </c>
      <c r="I5" s="2">
        <v>3900</v>
      </c>
      <c r="J5">
        <v>-334</v>
      </c>
      <c r="K5" s="1">
        <f t="shared" si="3"/>
        <v>3.9</v>
      </c>
      <c r="L5" s="8">
        <v>18.98</v>
      </c>
      <c r="M5" s="8">
        <v>10843.3</v>
      </c>
      <c r="N5" s="1">
        <f>B5/B26</f>
        <v>2.4390243902439025E-2</v>
      </c>
      <c r="O5" s="42">
        <f>I5*F5</f>
        <v>2225.73</v>
      </c>
      <c r="P5" s="22">
        <f>(I5*F5)*L5</f>
        <v>42244.3554</v>
      </c>
    </row>
    <row r="6" spans="1:16" x14ac:dyDescent="0.2">
      <c r="A6" t="s">
        <v>148</v>
      </c>
      <c r="B6" s="60"/>
      <c r="C6" s="39"/>
      <c r="G6" s="15"/>
      <c r="H6" s="15"/>
      <c r="I6" s="2">
        <v>410</v>
      </c>
      <c r="K6" s="1"/>
      <c r="L6" s="8"/>
      <c r="M6" s="8"/>
      <c r="N6" s="1"/>
      <c r="O6" s="42"/>
      <c r="P6" s="22"/>
    </row>
    <row r="7" spans="1:16" x14ac:dyDescent="0.2">
      <c r="A7" t="s">
        <v>1</v>
      </c>
      <c r="B7" s="60">
        <v>3000</v>
      </c>
      <c r="C7" s="39">
        <v>0.34560000000000002</v>
      </c>
      <c r="D7">
        <f t="shared" ref="D7:D24" si="5">C7*E7</f>
        <v>358.31808000000001</v>
      </c>
      <c r="E7">
        <f t="shared" si="0"/>
        <v>1036.8</v>
      </c>
      <c r="F7">
        <f t="shared" ref="F7:F25" si="6">1-C7</f>
        <v>0.65439999999999998</v>
      </c>
      <c r="G7" s="15">
        <f>B7/C1</f>
        <v>150</v>
      </c>
      <c r="H7" s="15">
        <f t="shared" si="1"/>
        <v>1963.2</v>
      </c>
      <c r="I7" s="2">
        <v>2793</v>
      </c>
      <c r="J7">
        <f t="shared" si="2"/>
        <v>-207</v>
      </c>
      <c r="K7" s="1">
        <f t="shared" si="3"/>
        <v>0.93100000000000005</v>
      </c>
      <c r="L7" s="9">
        <v>28</v>
      </c>
      <c r="M7" s="8">
        <f t="shared" si="4"/>
        <v>54969.599999999999</v>
      </c>
      <c r="N7" s="1">
        <f>B7/B26</f>
        <v>7.3170731707317069E-2</v>
      </c>
      <c r="O7" s="42">
        <f t="shared" ref="O7:O25" si="7">I7*F7</f>
        <v>1827.7392</v>
      </c>
      <c r="P7" s="22">
        <f t="shared" ref="P7:P25" si="8">(I7*F7)*L7</f>
        <v>51176.6976</v>
      </c>
    </row>
    <row r="8" spans="1:16" x14ac:dyDescent="0.2">
      <c r="A8" t="s">
        <v>2</v>
      </c>
      <c r="B8" s="60">
        <v>1500</v>
      </c>
      <c r="C8" s="39">
        <v>0.41089999999999999</v>
      </c>
      <c r="D8">
        <f t="shared" si="5"/>
        <v>253.25821500000001</v>
      </c>
      <c r="E8">
        <f t="shared" si="0"/>
        <v>616.35</v>
      </c>
      <c r="F8">
        <f t="shared" si="6"/>
        <v>0.58909999999999996</v>
      </c>
      <c r="G8" s="15">
        <f>B8/C1</f>
        <v>75</v>
      </c>
      <c r="H8" s="15">
        <f t="shared" si="1"/>
        <v>883.65</v>
      </c>
      <c r="I8" s="2">
        <v>1538</v>
      </c>
      <c r="J8">
        <f t="shared" si="2"/>
        <v>38</v>
      </c>
      <c r="K8" s="1">
        <f t="shared" si="3"/>
        <v>1.0253333333333334</v>
      </c>
      <c r="L8" s="9">
        <v>23.46</v>
      </c>
      <c r="M8" s="8">
        <f t="shared" si="4"/>
        <v>20730.429</v>
      </c>
      <c r="N8" s="1">
        <f>B8/B26</f>
        <v>3.6585365853658534E-2</v>
      </c>
      <c r="O8" s="42">
        <f t="shared" si="7"/>
        <v>906.03579999999988</v>
      </c>
      <c r="P8" s="22">
        <f t="shared" si="8"/>
        <v>21255.599867999998</v>
      </c>
    </row>
    <row r="9" spans="1:16" x14ac:dyDescent="0.2">
      <c r="A9" t="s">
        <v>136</v>
      </c>
      <c r="B9" s="60">
        <v>1600</v>
      </c>
      <c r="C9" s="39">
        <v>0.39269999999999999</v>
      </c>
      <c r="D9">
        <f t="shared" si="5"/>
        <v>246.74126399999997</v>
      </c>
      <c r="E9">
        <f t="shared" si="0"/>
        <v>628.31999999999994</v>
      </c>
      <c r="F9">
        <f t="shared" si="6"/>
        <v>0.60729999999999995</v>
      </c>
      <c r="G9" s="15">
        <f>B9/C1</f>
        <v>80</v>
      </c>
      <c r="H9" s="15">
        <f t="shared" si="1"/>
        <v>971.68</v>
      </c>
      <c r="I9" s="2">
        <v>2756</v>
      </c>
      <c r="J9">
        <f t="shared" si="2"/>
        <v>1156</v>
      </c>
      <c r="K9" s="1">
        <f t="shared" si="3"/>
        <v>1.7224999999999999</v>
      </c>
      <c r="L9" s="9">
        <v>23.09</v>
      </c>
      <c r="M9" s="8">
        <f t="shared" si="4"/>
        <v>22436.091199999999</v>
      </c>
      <c r="N9" s="1">
        <f>B9/B26</f>
        <v>3.9024390243902439E-2</v>
      </c>
      <c r="O9" s="42">
        <f t="shared" si="7"/>
        <v>1673.7187999999999</v>
      </c>
      <c r="P9" s="22">
        <f t="shared" si="8"/>
        <v>38646.167091999996</v>
      </c>
    </row>
    <row r="10" spans="1:16" x14ac:dyDescent="0.2">
      <c r="A10" t="s">
        <v>5</v>
      </c>
      <c r="B10" s="60">
        <v>2400</v>
      </c>
      <c r="C10" s="39">
        <v>0.40279999999999999</v>
      </c>
      <c r="D10">
        <f t="shared" si="5"/>
        <v>389.39481599999999</v>
      </c>
      <c r="E10">
        <f t="shared" si="0"/>
        <v>966.72</v>
      </c>
      <c r="F10">
        <f>1-C10</f>
        <v>0.59719999999999995</v>
      </c>
      <c r="G10" s="15">
        <f>B10/C1</f>
        <v>120</v>
      </c>
      <c r="H10" s="15">
        <f t="shared" si="1"/>
        <v>1433.28</v>
      </c>
      <c r="I10" s="2">
        <v>2240</v>
      </c>
      <c r="J10">
        <f t="shared" si="2"/>
        <v>-160</v>
      </c>
      <c r="K10" s="1">
        <f t="shared" si="3"/>
        <v>0.93333333333333335</v>
      </c>
      <c r="L10" s="9">
        <v>11.99</v>
      </c>
      <c r="M10" s="8">
        <f t="shared" si="4"/>
        <v>17185.0272</v>
      </c>
      <c r="N10" s="1">
        <f>B10/B26</f>
        <v>5.8536585365853662E-2</v>
      </c>
      <c r="O10" s="42">
        <f>I10*F10</f>
        <v>1337.7279999999998</v>
      </c>
      <c r="P10" s="22">
        <f>(I10*F10)*L10</f>
        <v>16039.358719999998</v>
      </c>
    </row>
    <row r="11" spans="1:16" x14ac:dyDescent="0.2">
      <c r="A11" t="s">
        <v>4</v>
      </c>
      <c r="B11" s="60">
        <v>100</v>
      </c>
      <c r="C11" s="39">
        <v>0.1085</v>
      </c>
      <c r="D11">
        <f t="shared" si="5"/>
        <v>1.177225</v>
      </c>
      <c r="E11">
        <f t="shared" si="0"/>
        <v>10.85</v>
      </c>
      <c r="F11">
        <f t="shared" si="6"/>
        <v>0.89149999999999996</v>
      </c>
      <c r="G11" s="15">
        <f>B11/C1</f>
        <v>5</v>
      </c>
      <c r="H11" s="15">
        <f t="shared" si="1"/>
        <v>89.149999999999991</v>
      </c>
      <c r="I11" s="2">
        <v>174</v>
      </c>
      <c r="J11">
        <f t="shared" si="2"/>
        <v>74</v>
      </c>
      <c r="K11" s="1">
        <f t="shared" si="3"/>
        <v>1.74</v>
      </c>
      <c r="L11" s="9">
        <v>0</v>
      </c>
      <c r="M11" s="8">
        <f t="shared" si="4"/>
        <v>0</v>
      </c>
      <c r="N11" s="1">
        <f>B11/B26</f>
        <v>2.4390243902439024E-3</v>
      </c>
      <c r="O11" s="42">
        <f t="shared" si="7"/>
        <v>155.12099999999998</v>
      </c>
      <c r="P11" s="22">
        <f t="shared" si="8"/>
        <v>0</v>
      </c>
    </row>
    <row r="12" spans="1:16" x14ac:dyDescent="0.2">
      <c r="A12" t="s">
        <v>149</v>
      </c>
      <c r="B12" s="60"/>
      <c r="C12" s="39"/>
      <c r="G12" s="15"/>
      <c r="H12" s="15"/>
      <c r="I12" s="2">
        <v>338</v>
      </c>
      <c r="K12" s="1"/>
      <c r="L12" s="9"/>
      <c r="M12" s="8"/>
      <c r="N12" s="1"/>
      <c r="O12" s="42"/>
      <c r="P12" s="22"/>
    </row>
    <row r="13" spans="1:16" x14ac:dyDescent="0.2">
      <c r="A13" t="s">
        <v>6</v>
      </c>
      <c r="B13" s="60">
        <v>100</v>
      </c>
      <c r="C13" s="39">
        <v>0.71220000000000006</v>
      </c>
      <c r="D13">
        <f t="shared" si="5"/>
        <v>50.722884000000001</v>
      </c>
      <c r="E13">
        <f t="shared" si="0"/>
        <v>71.22</v>
      </c>
      <c r="F13">
        <f t="shared" si="6"/>
        <v>0.28779999999999994</v>
      </c>
      <c r="G13" s="15">
        <f>B13/C9</f>
        <v>254.64731347084287</v>
      </c>
      <c r="H13" s="15">
        <f t="shared" si="1"/>
        <v>28.779999999999994</v>
      </c>
      <c r="I13" s="2"/>
      <c r="J13">
        <f t="shared" si="2"/>
        <v>-100</v>
      </c>
      <c r="K13" s="1">
        <f t="shared" si="3"/>
        <v>0</v>
      </c>
      <c r="L13" s="9">
        <v>0</v>
      </c>
      <c r="M13" s="8">
        <f t="shared" si="4"/>
        <v>0</v>
      </c>
      <c r="N13" s="1">
        <f>B13/B26</f>
        <v>2.4390243902439024E-3</v>
      </c>
      <c r="O13" s="42">
        <f t="shared" si="7"/>
        <v>0</v>
      </c>
      <c r="P13" s="22">
        <f t="shared" si="8"/>
        <v>0</v>
      </c>
    </row>
    <row r="14" spans="1:16" x14ac:dyDescent="0.2">
      <c r="A14" t="s">
        <v>140</v>
      </c>
      <c r="B14" s="60">
        <v>2500</v>
      </c>
      <c r="C14" s="39">
        <v>0.4047</v>
      </c>
      <c r="D14">
        <f t="shared" si="5"/>
        <v>409.45522499999998</v>
      </c>
      <c r="E14">
        <f t="shared" si="0"/>
        <v>1011.75</v>
      </c>
      <c r="F14">
        <f t="shared" si="6"/>
        <v>0.59529999999999994</v>
      </c>
      <c r="G14" s="15">
        <f>B14/C1</f>
        <v>125</v>
      </c>
      <c r="H14" s="15">
        <f t="shared" si="1"/>
        <v>1488.2499999999998</v>
      </c>
      <c r="I14" s="2">
        <v>2343</v>
      </c>
      <c r="J14">
        <f t="shared" si="2"/>
        <v>-157</v>
      </c>
      <c r="K14" s="1">
        <f t="shared" si="3"/>
        <v>0.93720000000000003</v>
      </c>
      <c r="L14" s="35">
        <v>30</v>
      </c>
      <c r="M14" s="8">
        <f t="shared" si="4"/>
        <v>44647.499999999993</v>
      </c>
      <c r="N14" s="1">
        <f>B14/B26</f>
        <v>6.097560975609756E-2</v>
      </c>
      <c r="O14" s="42">
        <f t="shared" si="7"/>
        <v>1394.7878999999998</v>
      </c>
      <c r="P14" s="22">
        <f t="shared" si="8"/>
        <v>41843.636999999995</v>
      </c>
    </row>
    <row r="15" spans="1:16" x14ac:dyDescent="0.2">
      <c r="A15" t="s">
        <v>139</v>
      </c>
      <c r="B15" s="60">
        <v>300</v>
      </c>
      <c r="C15" s="39">
        <v>0.49299999999999999</v>
      </c>
      <c r="D15">
        <f t="shared" si="5"/>
        <v>72.914699999999996</v>
      </c>
      <c r="E15">
        <f t="shared" si="0"/>
        <v>147.9</v>
      </c>
      <c r="F15">
        <f t="shared" si="6"/>
        <v>0.50700000000000001</v>
      </c>
      <c r="G15" s="15">
        <f>B15/C1</f>
        <v>15</v>
      </c>
      <c r="H15" s="15">
        <f t="shared" si="1"/>
        <v>152.1</v>
      </c>
      <c r="I15" s="2"/>
      <c r="J15">
        <f t="shared" si="2"/>
        <v>-300</v>
      </c>
      <c r="K15" s="1">
        <f t="shared" si="3"/>
        <v>0</v>
      </c>
      <c r="L15" s="35">
        <v>12</v>
      </c>
      <c r="M15" s="8">
        <f t="shared" si="4"/>
        <v>1825.1999999999998</v>
      </c>
      <c r="N15" s="1">
        <f>B15/B26</f>
        <v>7.3170731707317077E-3</v>
      </c>
      <c r="O15" s="42">
        <f t="shared" si="7"/>
        <v>0</v>
      </c>
      <c r="P15" s="22">
        <f t="shared" si="8"/>
        <v>0</v>
      </c>
    </row>
    <row r="16" spans="1:16" x14ac:dyDescent="0.2">
      <c r="A16" t="s">
        <v>9</v>
      </c>
      <c r="B16" s="60">
        <v>1200</v>
      </c>
      <c r="C16" s="39">
        <v>0.48309999999999997</v>
      </c>
      <c r="D16">
        <f t="shared" si="5"/>
        <v>280.06273199999993</v>
      </c>
      <c r="E16">
        <f t="shared" si="0"/>
        <v>579.71999999999991</v>
      </c>
      <c r="F16">
        <v>0.53</v>
      </c>
      <c r="G16" s="15">
        <f>B16/C1</f>
        <v>60</v>
      </c>
      <c r="H16" s="15">
        <f t="shared" si="1"/>
        <v>636</v>
      </c>
      <c r="I16" s="2">
        <v>93</v>
      </c>
      <c r="J16">
        <f t="shared" si="2"/>
        <v>-1107</v>
      </c>
      <c r="K16" s="1">
        <f t="shared" si="3"/>
        <v>7.7499999999999999E-2</v>
      </c>
      <c r="L16" s="35">
        <v>12</v>
      </c>
      <c r="M16" s="8">
        <f t="shared" si="4"/>
        <v>7632</v>
      </c>
      <c r="N16" s="1">
        <f>B16/B26</f>
        <v>2.9268292682926831E-2</v>
      </c>
      <c r="O16" s="42">
        <f>I16*F16</f>
        <v>49.29</v>
      </c>
      <c r="P16" s="22">
        <f>(I16*F16)*L16</f>
        <v>591.48</v>
      </c>
    </row>
    <row r="17" spans="1:18" x14ac:dyDescent="0.2">
      <c r="A17" t="s">
        <v>8</v>
      </c>
      <c r="B17" s="60">
        <v>10000</v>
      </c>
      <c r="C17" s="39">
        <v>0.41589999999999999</v>
      </c>
      <c r="D17">
        <f t="shared" si="5"/>
        <v>1729.7281</v>
      </c>
      <c r="E17">
        <f t="shared" si="0"/>
        <v>4159</v>
      </c>
      <c r="F17">
        <f t="shared" si="6"/>
        <v>0.58410000000000006</v>
      </c>
      <c r="G17" s="15">
        <f>B17/C1</f>
        <v>500</v>
      </c>
      <c r="H17" s="15">
        <f t="shared" si="1"/>
        <v>5841.0000000000009</v>
      </c>
      <c r="I17" s="2">
        <v>7339</v>
      </c>
      <c r="J17">
        <f t="shared" si="2"/>
        <v>-2661</v>
      </c>
      <c r="K17" s="1">
        <f t="shared" si="3"/>
        <v>0.7339</v>
      </c>
      <c r="L17" s="65">
        <v>23.5</v>
      </c>
      <c r="M17" s="8">
        <f t="shared" si="4"/>
        <v>137263.50000000003</v>
      </c>
      <c r="N17" s="1">
        <f>B17/B26</f>
        <v>0.24390243902439024</v>
      </c>
      <c r="O17" s="42">
        <f t="shared" si="7"/>
        <v>4286.7099000000007</v>
      </c>
      <c r="P17" s="22">
        <f t="shared" si="8"/>
        <v>100737.68265000002</v>
      </c>
    </row>
    <row r="18" spans="1:18" x14ac:dyDescent="0.2">
      <c r="A18" t="s">
        <v>11</v>
      </c>
      <c r="B18" s="60">
        <v>4000</v>
      </c>
      <c r="C18" s="39">
        <v>0.4163</v>
      </c>
      <c r="D18">
        <f t="shared" si="5"/>
        <v>693.22275999999999</v>
      </c>
      <c r="E18">
        <f t="shared" si="0"/>
        <v>1665.2</v>
      </c>
      <c r="F18">
        <f t="shared" si="6"/>
        <v>0.5837</v>
      </c>
      <c r="G18" s="15">
        <f>B18/C1</f>
        <v>200</v>
      </c>
      <c r="H18" s="15">
        <f t="shared" si="1"/>
        <v>2334.8000000000002</v>
      </c>
      <c r="I18" s="2">
        <v>2826</v>
      </c>
      <c r="J18">
        <f t="shared" si="2"/>
        <v>-1174</v>
      </c>
      <c r="K18" s="1">
        <f t="shared" si="3"/>
        <v>0.70650000000000002</v>
      </c>
      <c r="L18" s="9">
        <v>27.41</v>
      </c>
      <c r="M18" s="8">
        <f t="shared" si="4"/>
        <v>63996.868000000002</v>
      </c>
      <c r="N18" s="1">
        <f>B18/B26</f>
        <v>9.7560975609756101E-2</v>
      </c>
      <c r="O18" s="42">
        <f t="shared" si="7"/>
        <v>1649.5362</v>
      </c>
      <c r="P18" s="22">
        <f t="shared" si="8"/>
        <v>45213.787241999999</v>
      </c>
    </row>
    <row r="19" spans="1:18" x14ac:dyDescent="0.2">
      <c r="A19" t="s">
        <v>144</v>
      </c>
      <c r="B19" s="60">
        <v>500</v>
      </c>
      <c r="C19" s="39"/>
      <c r="G19" s="15"/>
      <c r="H19" s="15"/>
      <c r="I19" s="2">
        <v>503</v>
      </c>
      <c r="J19">
        <f t="shared" si="2"/>
        <v>3</v>
      </c>
      <c r="K19" s="1">
        <f t="shared" si="3"/>
        <v>1.006</v>
      </c>
      <c r="L19" s="9"/>
      <c r="M19" s="8"/>
      <c r="N19" s="1"/>
      <c r="O19" s="42"/>
      <c r="P19" s="22"/>
    </row>
    <row r="20" spans="1:18" x14ac:dyDescent="0.2">
      <c r="A20" t="s">
        <v>16</v>
      </c>
      <c r="B20" s="60">
        <v>2500</v>
      </c>
      <c r="C20" s="39">
        <v>0.36399999999999999</v>
      </c>
      <c r="D20">
        <f t="shared" si="5"/>
        <v>331.24</v>
      </c>
      <c r="E20">
        <f t="shared" si="0"/>
        <v>910</v>
      </c>
      <c r="F20">
        <f>1-C20</f>
        <v>0.63600000000000001</v>
      </c>
      <c r="G20" s="15">
        <f>B20/C1</f>
        <v>125</v>
      </c>
      <c r="H20" s="15">
        <f t="shared" si="1"/>
        <v>1590</v>
      </c>
      <c r="I20" s="2">
        <v>1141</v>
      </c>
      <c r="J20">
        <f t="shared" si="2"/>
        <v>-1359</v>
      </c>
      <c r="K20" s="1">
        <f t="shared" si="3"/>
        <v>0.45639999999999997</v>
      </c>
      <c r="L20" s="9">
        <v>20.6</v>
      </c>
      <c r="M20" s="8">
        <f t="shared" si="4"/>
        <v>32754.000000000004</v>
      </c>
      <c r="N20" s="1">
        <f>B20/B26</f>
        <v>6.097560975609756E-2</v>
      </c>
      <c r="O20" s="42">
        <f t="shared" si="7"/>
        <v>725.67600000000004</v>
      </c>
      <c r="P20" s="22">
        <f t="shared" si="8"/>
        <v>14948.925600000002</v>
      </c>
    </row>
    <row r="21" spans="1:18" x14ac:dyDescent="0.2">
      <c r="A21" t="s">
        <v>51</v>
      </c>
      <c r="B21" s="60">
        <v>1500</v>
      </c>
      <c r="C21" s="39">
        <v>0.30790000000000001</v>
      </c>
      <c r="D21">
        <f t="shared" si="5"/>
        <v>142.20361500000001</v>
      </c>
      <c r="E21">
        <f t="shared" si="0"/>
        <v>461.85</v>
      </c>
      <c r="F21">
        <f t="shared" si="6"/>
        <v>0.69209999999999994</v>
      </c>
      <c r="G21" s="15">
        <f>B21/C1</f>
        <v>75</v>
      </c>
      <c r="H21" s="15">
        <f t="shared" si="1"/>
        <v>1038.1499999999999</v>
      </c>
      <c r="I21" s="2">
        <v>1549</v>
      </c>
      <c r="J21">
        <f t="shared" si="2"/>
        <v>49</v>
      </c>
      <c r="K21" s="1">
        <f t="shared" si="3"/>
        <v>1.0326666666666666</v>
      </c>
      <c r="L21" s="9">
        <v>25</v>
      </c>
      <c r="M21" s="8">
        <f t="shared" si="4"/>
        <v>25953.749999999996</v>
      </c>
      <c r="N21" s="1">
        <f>B21/B26</f>
        <v>3.6585365853658534E-2</v>
      </c>
      <c r="O21" s="42">
        <f t="shared" si="7"/>
        <v>1072.0628999999999</v>
      </c>
      <c r="P21" s="22">
        <f t="shared" si="8"/>
        <v>26801.572499999998</v>
      </c>
    </row>
    <row r="22" spans="1:18" x14ac:dyDescent="0.2">
      <c r="A22" t="s">
        <v>13</v>
      </c>
      <c r="B22" s="60">
        <v>3500</v>
      </c>
      <c r="C22" s="39">
        <v>0.25430000000000003</v>
      </c>
      <c r="D22">
        <f t="shared" si="5"/>
        <v>226.33971500000004</v>
      </c>
      <c r="E22">
        <f t="shared" si="0"/>
        <v>890.05000000000007</v>
      </c>
      <c r="F22">
        <f t="shared" si="6"/>
        <v>0.74570000000000003</v>
      </c>
      <c r="G22" s="15">
        <f>B22/C1</f>
        <v>175</v>
      </c>
      <c r="H22" s="15">
        <f t="shared" si="1"/>
        <v>2609.9500000000003</v>
      </c>
      <c r="I22" s="2">
        <v>4258</v>
      </c>
      <c r="J22">
        <f t="shared" si="2"/>
        <v>758</v>
      </c>
      <c r="K22" s="1">
        <f t="shared" si="3"/>
        <v>1.2165714285714286</v>
      </c>
      <c r="L22" s="65">
        <v>22</v>
      </c>
      <c r="M22" s="8">
        <f t="shared" si="4"/>
        <v>57418.900000000009</v>
      </c>
      <c r="N22" s="1">
        <f>B22/B26</f>
        <v>8.5365853658536592E-2</v>
      </c>
      <c r="O22" s="42">
        <f t="shared" si="7"/>
        <v>3175.1905999999999</v>
      </c>
      <c r="P22" s="22">
        <f t="shared" si="8"/>
        <v>69854.193199999994</v>
      </c>
    </row>
    <row r="23" spans="1:18" x14ac:dyDescent="0.2">
      <c r="A23" t="s">
        <v>14</v>
      </c>
      <c r="B23" s="60">
        <v>3000</v>
      </c>
      <c r="C23" s="39">
        <v>0.34239999999999998</v>
      </c>
      <c r="D23">
        <f t="shared" si="5"/>
        <v>351.71328</v>
      </c>
      <c r="E23">
        <f t="shared" si="0"/>
        <v>1027.2</v>
      </c>
      <c r="F23">
        <f t="shared" si="6"/>
        <v>0.65759999999999996</v>
      </c>
      <c r="G23" s="15">
        <f>B23/C1</f>
        <v>150</v>
      </c>
      <c r="H23" s="15">
        <f t="shared" si="1"/>
        <v>1972.8</v>
      </c>
      <c r="I23" s="2">
        <v>1450</v>
      </c>
      <c r="J23">
        <f t="shared" si="2"/>
        <v>-1550</v>
      </c>
      <c r="K23" s="1">
        <f t="shared" si="3"/>
        <v>0.48333333333333334</v>
      </c>
      <c r="L23" s="65">
        <v>28.78</v>
      </c>
      <c r="M23" s="8">
        <f t="shared" si="4"/>
        <v>56777.184000000001</v>
      </c>
      <c r="N23" s="1">
        <f>B23/B26</f>
        <v>7.3170731707317069E-2</v>
      </c>
      <c r="O23" s="42">
        <f t="shared" si="7"/>
        <v>953.52</v>
      </c>
      <c r="P23" s="22">
        <f t="shared" si="8"/>
        <v>27442.3056</v>
      </c>
    </row>
    <row r="24" spans="1:18" ht="15" thickBot="1" x14ac:dyDescent="0.25">
      <c r="A24" s="5" t="s">
        <v>15</v>
      </c>
      <c r="B24" s="61">
        <v>1500</v>
      </c>
      <c r="C24" s="71">
        <v>0.28910000000000002</v>
      </c>
      <c r="D24" s="5">
        <f t="shared" si="5"/>
        <v>125.36821500000002</v>
      </c>
      <c r="E24" s="5">
        <f t="shared" si="0"/>
        <v>433.65000000000003</v>
      </c>
      <c r="F24" s="5">
        <f t="shared" si="6"/>
        <v>0.71089999999999998</v>
      </c>
      <c r="G24" s="16">
        <f>B24/C1</f>
        <v>75</v>
      </c>
      <c r="H24" s="16">
        <f t="shared" si="1"/>
        <v>1066.3499999999999</v>
      </c>
      <c r="I24" s="38">
        <v>2048</v>
      </c>
      <c r="J24" s="5">
        <f t="shared" si="2"/>
        <v>548</v>
      </c>
      <c r="K24" s="6">
        <f t="shared" si="3"/>
        <v>1.3653333333333333</v>
      </c>
      <c r="L24" s="10">
        <v>23.24</v>
      </c>
      <c r="M24" s="14">
        <f t="shared" si="4"/>
        <v>24781.973999999995</v>
      </c>
      <c r="N24" s="6">
        <f>B24/B26</f>
        <v>3.6585365853658534E-2</v>
      </c>
      <c r="O24" s="43">
        <f t="shared" si="7"/>
        <v>1455.9232</v>
      </c>
      <c r="P24" s="25">
        <f t="shared" si="8"/>
        <v>33835.655167999998</v>
      </c>
    </row>
    <row r="25" spans="1:18" ht="15" hidden="1" thickBot="1" x14ac:dyDescent="0.25">
      <c r="A25" s="3" t="s">
        <v>24</v>
      </c>
      <c r="B25" s="62"/>
      <c r="C25" s="5">
        <v>0.2555</v>
      </c>
      <c r="E25">
        <f t="shared" si="0"/>
        <v>0</v>
      </c>
      <c r="F25" s="5">
        <f t="shared" si="6"/>
        <v>0.74449999999999994</v>
      </c>
      <c r="G25" s="16">
        <f>B25/21</f>
        <v>0</v>
      </c>
      <c r="H25" s="16">
        <f t="shared" si="1"/>
        <v>0</v>
      </c>
      <c r="I25" s="4"/>
      <c r="J25" s="5">
        <f t="shared" si="2"/>
        <v>0</v>
      </c>
      <c r="K25" s="6" t="e">
        <f>I25/B25</f>
        <v>#DIV/0!</v>
      </c>
      <c r="L25" s="10">
        <v>25</v>
      </c>
      <c r="M25" s="14">
        <f t="shared" si="4"/>
        <v>0</v>
      </c>
      <c r="N25" s="1"/>
      <c r="O25" s="43">
        <f t="shared" si="7"/>
        <v>0</v>
      </c>
      <c r="P25" s="25">
        <f t="shared" si="8"/>
        <v>0</v>
      </c>
    </row>
    <row r="26" spans="1:18" ht="15" thickBot="1" x14ac:dyDescent="0.25">
      <c r="B26" s="60">
        <f>SUM(B4:B25)</f>
        <v>41000</v>
      </c>
      <c r="C26" s="39">
        <f>D26/E26</f>
        <v>0.38708343852668231</v>
      </c>
      <c r="D26" s="31">
        <f>SUM(D4:D24)</f>
        <v>5914.5575239999998</v>
      </c>
      <c r="E26" s="28">
        <f>SUM(E4:E25)</f>
        <v>15279.8</v>
      </c>
      <c r="G26" s="33">
        <f>SUM(G4:G25)</f>
        <v>2274.6473134708431</v>
      </c>
      <c r="H26" s="33">
        <f>SUM(H4:H25)</f>
        <v>25235.919999999998</v>
      </c>
      <c r="I26" s="32">
        <f>SUM(I$4:I$24)</f>
        <v>38504</v>
      </c>
      <c r="J26" s="28">
        <f t="shared" si="2"/>
        <v>-2496</v>
      </c>
      <c r="K26" s="1">
        <f>I26/B26</f>
        <v>0.93912195121951214</v>
      </c>
      <c r="L26" s="9"/>
      <c r="M26" s="8">
        <f>SUM(M4:M25)</f>
        <v>592614.43700000015</v>
      </c>
      <c r="N26" s="1">
        <f>SUM(N4:N24)</f>
        <v>0.98780487804878048</v>
      </c>
      <c r="O26" s="44">
        <f>SUM(O4:O25)</f>
        <v>23458.387500000004</v>
      </c>
      <c r="P26" s="22">
        <f>SUM(P4:P25)</f>
        <v>544114.2757</v>
      </c>
      <c r="Q26" s="17"/>
    </row>
    <row r="27" spans="1:18" ht="15" thickBot="1" x14ac:dyDescent="0.25">
      <c r="A27" t="s">
        <v>41</v>
      </c>
      <c r="B27" s="63">
        <f>B26/23</f>
        <v>1782.608695652174</v>
      </c>
      <c r="C27" s="54" t="s">
        <v>87</v>
      </c>
      <c r="F27" s="20">
        <f>B27/31</f>
        <v>57.503506311360454</v>
      </c>
      <c r="G27" s="15"/>
      <c r="H27" s="34">
        <f>H26/22</f>
        <v>1147.0872727272726</v>
      </c>
      <c r="I27" s="52">
        <f>I26/(C1-H30)</f>
        <v>1925.2</v>
      </c>
      <c r="J27" s="53" t="s">
        <v>86</v>
      </c>
      <c r="K27" s="54"/>
      <c r="M27" s="8">
        <f>M26/H26</f>
        <v>23.482973357024438</v>
      </c>
      <c r="N27" s="8" t="s">
        <v>29</v>
      </c>
      <c r="O27" s="45">
        <f>O26/H26</f>
        <v>0.92956339614327543</v>
      </c>
      <c r="P27" s="47">
        <f>P26/O26</f>
        <v>23.194871160688258</v>
      </c>
      <c r="Q27" s="48" t="s">
        <v>84</v>
      </c>
    </row>
    <row r="28" spans="1:18" ht="15" thickBot="1" x14ac:dyDescent="0.25">
      <c r="B28" s="55"/>
      <c r="H28" s="40" t="s">
        <v>81</v>
      </c>
      <c r="I28" s="41">
        <f>I27-B27</f>
        <v>142.59130434782605</v>
      </c>
      <c r="J28" s="59">
        <f>I28/B27</f>
        <v>7.9990243902439001E-2</v>
      </c>
      <c r="P28" s="49">
        <f>P26/I26</f>
        <v>14.131370135570331</v>
      </c>
      <c r="Q28" s="50" t="s">
        <v>85</v>
      </c>
      <c r="R28">
        <v>11.57</v>
      </c>
    </row>
    <row r="29" spans="1:18" ht="15" thickBot="1" x14ac:dyDescent="0.25"/>
    <row r="30" spans="1:18" ht="15" thickBot="1" x14ac:dyDescent="0.25">
      <c r="G30" s="46"/>
      <c r="H30" s="70">
        <v>0</v>
      </c>
      <c r="I30" t="s">
        <v>106</v>
      </c>
      <c r="J30" s="41">
        <f>I27</f>
        <v>1925.2</v>
      </c>
      <c r="K30" s="28">
        <f>H30*J30</f>
        <v>0</v>
      </c>
      <c r="L30" s="41">
        <f>K30+I26</f>
        <v>38504</v>
      </c>
      <c r="M30" t="s">
        <v>83</v>
      </c>
    </row>
    <row r="31" spans="1:18" x14ac:dyDescent="0.2">
      <c r="A31" t="s">
        <v>89</v>
      </c>
      <c r="I31" t="s">
        <v>92</v>
      </c>
      <c r="J31" s="34" t="e">
        <f>K31/H30</f>
        <v>#DIV/0!</v>
      </c>
      <c r="K31" s="41">
        <f>J26</f>
        <v>-2496</v>
      </c>
    </row>
    <row r="32" spans="1:18" x14ac:dyDescent="0.2">
      <c r="A32" t="s">
        <v>146</v>
      </c>
      <c r="J32" s="34" t="e">
        <f>J31/32</f>
        <v>#DIV/0!</v>
      </c>
      <c r="K32" t="s">
        <v>117</v>
      </c>
    </row>
    <row r="33" spans="1:1" x14ac:dyDescent="0.2">
      <c r="A33" t="s">
        <v>147</v>
      </c>
    </row>
    <row r="34" spans="1:1" x14ac:dyDescent="0.2">
      <c r="A34" t="s">
        <v>142</v>
      </c>
    </row>
    <row r="35" spans="1:1" x14ac:dyDescent="0.2">
      <c r="A35" t="s">
        <v>143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7"/>
  <sheetViews>
    <sheetView zoomScaleNormal="100" zoomScaleSheetLayoutView="100" workbookViewId="0">
      <selection activeCell="I4" sqref="I4:I23"/>
    </sheetView>
  </sheetViews>
  <sheetFormatPr defaultRowHeight="14.25" x14ac:dyDescent="0.2"/>
  <cols>
    <col min="1" max="1" width="26.625" customWidth="1"/>
    <col min="4" max="4" width="13" hidden="1" customWidth="1"/>
    <col min="7" max="7" width="9.5" customWidth="1"/>
    <col min="9" max="9" width="13.625" customWidth="1"/>
    <col min="10" max="10" width="10.5" customWidth="1"/>
    <col min="11" max="11" width="10" customWidth="1"/>
    <col min="13" max="13" width="13.875" customWidth="1"/>
    <col min="16" max="16" width="11.75" customWidth="1"/>
  </cols>
  <sheetData>
    <row r="1" spans="1:16" x14ac:dyDescent="0.2">
      <c r="B1" t="s">
        <v>112</v>
      </c>
      <c r="C1">
        <v>22</v>
      </c>
      <c r="L1" s="57" t="s">
        <v>22</v>
      </c>
      <c r="M1" s="57" t="s">
        <v>23</v>
      </c>
    </row>
    <row r="2" spans="1:16" ht="15" thickBot="1" x14ac:dyDescent="0.25">
      <c r="A2" s="19" t="s">
        <v>39</v>
      </c>
      <c r="B2" t="s">
        <v>65</v>
      </c>
      <c r="C2" t="s">
        <v>137</v>
      </c>
      <c r="I2" s="2" t="s">
        <v>102</v>
      </c>
      <c r="L2" s="58">
        <f>(C1-H29)/C1</f>
        <v>0.90909090909090906</v>
      </c>
      <c r="M2" s="58">
        <f>I25/B25</f>
        <v>1.108867924528302</v>
      </c>
      <c r="N2" s="17">
        <f>M2-L2</f>
        <v>0.1997770154373929</v>
      </c>
      <c r="O2" s="36" t="s">
        <v>44</v>
      </c>
      <c r="P2" s="36"/>
    </row>
    <row r="3" spans="1:16" ht="15" thickBot="1" x14ac:dyDescent="0.25">
      <c r="A3" s="11" t="s">
        <v>145</v>
      </c>
      <c r="B3" s="12" t="s">
        <v>19</v>
      </c>
      <c r="C3" s="12" t="s">
        <v>30</v>
      </c>
      <c r="D3" s="12"/>
      <c r="E3" s="12" t="s">
        <v>29</v>
      </c>
      <c r="F3" s="12" t="s">
        <v>28</v>
      </c>
      <c r="G3" s="12" t="s">
        <v>27</v>
      </c>
      <c r="H3" s="12" t="s">
        <v>29</v>
      </c>
      <c r="I3" s="64"/>
      <c r="J3" s="12" t="s">
        <v>20</v>
      </c>
      <c r="K3" s="12" t="s">
        <v>21</v>
      </c>
      <c r="L3" s="12" t="s">
        <v>25</v>
      </c>
      <c r="M3" s="12" t="s">
        <v>26</v>
      </c>
      <c r="N3" s="12"/>
      <c r="O3" s="51" t="s">
        <v>28</v>
      </c>
      <c r="P3" s="51" t="s">
        <v>43</v>
      </c>
    </row>
    <row r="4" spans="1:16" ht="15" thickTop="1" x14ac:dyDescent="0.2">
      <c r="A4" t="s">
        <v>0</v>
      </c>
      <c r="B4" s="60">
        <v>1000</v>
      </c>
      <c r="C4" s="39">
        <v>0.45419999999999999</v>
      </c>
      <c r="D4">
        <f>C4*E4</f>
        <v>206.29764</v>
      </c>
      <c r="E4">
        <f t="shared" ref="E4:E24" si="0">B4*C4</f>
        <v>454.2</v>
      </c>
      <c r="F4">
        <f>1-C4</f>
        <v>0.54580000000000006</v>
      </c>
      <c r="G4" s="15">
        <f>B4/C1</f>
        <v>45.454545454545453</v>
      </c>
      <c r="H4" s="15">
        <f t="shared" ref="H4:H24" si="1">B4*F4</f>
        <v>545.80000000000007</v>
      </c>
      <c r="I4" s="2">
        <v>1688</v>
      </c>
      <c r="J4">
        <f t="shared" ref="J4:J25" si="2">I4-B4</f>
        <v>688</v>
      </c>
      <c r="K4" s="1">
        <f t="shared" ref="K4:K23" si="3">I4/B4</f>
        <v>1.6879999999999999</v>
      </c>
      <c r="L4" s="8">
        <v>23.67</v>
      </c>
      <c r="M4" s="8">
        <f t="shared" ref="M4:M24" si="4">(B4*F4)*L4</f>
        <v>12919.086000000003</v>
      </c>
      <c r="N4" s="1">
        <f>B4/B25</f>
        <v>2.358490566037736E-2</v>
      </c>
      <c r="O4" s="42">
        <f>I4*F4</f>
        <v>921.31040000000007</v>
      </c>
      <c r="P4" s="22">
        <f>(I4*F4)*L4</f>
        <v>21807.417168000004</v>
      </c>
    </row>
    <row r="5" spans="1:16" x14ac:dyDescent="0.2">
      <c r="A5" t="s">
        <v>17</v>
      </c>
      <c r="B5" s="60">
        <v>1000</v>
      </c>
      <c r="C5" s="39">
        <v>0.44619999999999999</v>
      </c>
      <c r="D5">
        <v>184.29849000000002</v>
      </c>
      <c r="E5">
        <v>429.3</v>
      </c>
      <c r="F5">
        <v>0.57069999999999999</v>
      </c>
      <c r="G5" s="15">
        <f>B5/C1</f>
        <v>45.454545454545453</v>
      </c>
      <c r="H5" s="15">
        <v>570.69999999999993</v>
      </c>
      <c r="I5" s="2">
        <v>2706</v>
      </c>
      <c r="J5">
        <v>-334</v>
      </c>
      <c r="K5" s="1">
        <f t="shared" si="3"/>
        <v>2.706</v>
      </c>
      <c r="L5" s="8">
        <v>18.98</v>
      </c>
      <c r="M5" s="8">
        <v>10843.3</v>
      </c>
      <c r="N5" s="1">
        <f>B5/B25</f>
        <v>2.358490566037736E-2</v>
      </c>
      <c r="O5" s="42">
        <f>I5*F5</f>
        <v>1544.3142</v>
      </c>
      <c r="P5" s="22">
        <f>(I5*F5)*L5</f>
        <v>29311.083516000002</v>
      </c>
    </row>
    <row r="6" spans="1:16" x14ac:dyDescent="0.2">
      <c r="A6" t="s">
        <v>148</v>
      </c>
      <c r="B6" s="60">
        <v>250</v>
      </c>
      <c r="C6" s="39">
        <v>0.65229999999999999</v>
      </c>
      <c r="G6" s="15"/>
      <c r="H6" s="15"/>
      <c r="I6" s="2">
        <v>50</v>
      </c>
      <c r="K6" s="1"/>
      <c r="L6" s="8"/>
      <c r="M6" s="8"/>
      <c r="N6" s="1"/>
      <c r="O6" s="42"/>
      <c r="P6" s="22"/>
    </row>
    <row r="7" spans="1:16" x14ac:dyDescent="0.2">
      <c r="A7" t="s">
        <v>1</v>
      </c>
      <c r="B7" s="60">
        <v>3000</v>
      </c>
      <c r="C7" s="39">
        <v>0.47</v>
      </c>
      <c r="D7">
        <f t="shared" ref="D7:D23" si="5">C7*E7</f>
        <v>662.69999999999993</v>
      </c>
      <c r="E7">
        <f t="shared" si="0"/>
        <v>1410</v>
      </c>
      <c r="F7">
        <f t="shared" ref="F7:F24" si="6">1-C7</f>
        <v>0.53</v>
      </c>
      <c r="G7" s="15">
        <f>B7/C1</f>
        <v>136.36363636363637</v>
      </c>
      <c r="H7" s="15">
        <f t="shared" si="1"/>
        <v>1590</v>
      </c>
      <c r="I7" s="2">
        <v>3992</v>
      </c>
      <c r="J7">
        <f t="shared" si="2"/>
        <v>992</v>
      </c>
      <c r="K7" s="1">
        <f t="shared" si="3"/>
        <v>1.3306666666666667</v>
      </c>
      <c r="L7" s="9">
        <v>28</v>
      </c>
      <c r="M7" s="8">
        <f t="shared" si="4"/>
        <v>44520</v>
      </c>
      <c r="N7" s="1">
        <f>B7/B25</f>
        <v>7.0754716981132074E-2</v>
      </c>
      <c r="O7" s="42">
        <f t="shared" ref="O7:O24" si="7">I7*F7</f>
        <v>2115.7600000000002</v>
      </c>
      <c r="P7" s="22">
        <f t="shared" ref="P7:P24" si="8">(I7*F7)*L7</f>
        <v>59241.280000000006</v>
      </c>
    </row>
    <row r="8" spans="1:16" x14ac:dyDescent="0.2">
      <c r="A8" t="s">
        <v>2</v>
      </c>
      <c r="B8" s="60">
        <v>1500</v>
      </c>
      <c r="C8" s="39">
        <v>0.43959999999999999</v>
      </c>
      <c r="D8">
        <f t="shared" si="5"/>
        <v>289.87223999999998</v>
      </c>
      <c r="E8">
        <f t="shared" si="0"/>
        <v>659.4</v>
      </c>
      <c r="F8">
        <f t="shared" si="6"/>
        <v>0.56040000000000001</v>
      </c>
      <c r="G8" s="15">
        <f>B8/C1</f>
        <v>68.181818181818187</v>
      </c>
      <c r="H8" s="15">
        <f t="shared" si="1"/>
        <v>840.6</v>
      </c>
      <c r="I8" s="2">
        <v>2560</v>
      </c>
      <c r="J8">
        <f t="shared" si="2"/>
        <v>1060</v>
      </c>
      <c r="K8" s="1">
        <f t="shared" si="3"/>
        <v>1.7066666666666668</v>
      </c>
      <c r="L8" s="9">
        <v>23.46</v>
      </c>
      <c r="M8" s="8">
        <f t="shared" si="4"/>
        <v>19720.476000000002</v>
      </c>
      <c r="N8" s="1">
        <f>B8/B25</f>
        <v>3.5377358490566037E-2</v>
      </c>
      <c r="O8" s="42">
        <f t="shared" si="7"/>
        <v>1434.624</v>
      </c>
      <c r="P8" s="22">
        <f t="shared" si="8"/>
        <v>33656.279040000001</v>
      </c>
    </row>
    <row r="9" spans="1:16" x14ac:dyDescent="0.2">
      <c r="A9" t="s">
        <v>136</v>
      </c>
      <c r="B9" s="60">
        <v>1600</v>
      </c>
      <c r="C9" s="39">
        <v>0.44</v>
      </c>
      <c r="D9">
        <f t="shared" si="5"/>
        <v>309.76</v>
      </c>
      <c r="E9">
        <f t="shared" si="0"/>
        <v>704</v>
      </c>
      <c r="F9">
        <f t="shared" si="6"/>
        <v>0.56000000000000005</v>
      </c>
      <c r="G9" s="15">
        <f>B9/C1</f>
        <v>72.727272727272734</v>
      </c>
      <c r="H9" s="15">
        <f t="shared" si="1"/>
        <v>896.00000000000011</v>
      </c>
      <c r="I9" s="2">
        <v>2377</v>
      </c>
      <c r="J9">
        <f t="shared" si="2"/>
        <v>777</v>
      </c>
      <c r="K9" s="1">
        <f t="shared" si="3"/>
        <v>1.485625</v>
      </c>
      <c r="L9" s="9">
        <v>23.09</v>
      </c>
      <c r="M9" s="8">
        <f t="shared" si="4"/>
        <v>20688.640000000003</v>
      </c>
      <c r="N9" s="1">
        <f>B9/B25</f>
        <v>3.7735849056603772E-2</v>
      </c>
      <c r="O9" s="42">
        <f t="shared" si="7"/>
        <v>1331.1200000000001</v>
      </c>
      <c r="P9" s="22">
        <f t="shared" si="8"/>
        <v>30735.560800000003</v>
      </c>
    </row>
    <row r="10" spans="1:16" x14ac:dyDescent="0.2">
      <c r="A10" t="s">
        <v>5</v>
      </c>
      <c r="B10" s="60">
        <v>2200</v>
      </c>
      <c r="C10" s="39">
        <v>0.32</v>
      </c>
      <c r="D10">
        <f t="shared" si="5"/>
        <v>225.28</v>
      </c>
      <c r="E10">
        <f t="shared" si="0"/>
        <v>704</v>
      </c>
      <c r="F10">
        <f>1-C10</f>
        <v>0.67999999999999994</v>
      </c>
      <c r="G10" s="15">
        <f>B10/C1</f>
        <v>100</v>
      </c>
      <c r="H10" s="15">
        <f t="shared" si="1"/>
        <v>1495.9999999999998</v>
      </c>
      <c r="I10" s="2">
        <v>843</v>
      </c>
      <c r="J10">
        <f t="shared" si="2"/>
        <v>-1357</v>
      </c>
      <c r="K10" s="1">
        <f t="shared" si="3"/>
        <v>0.38318181818181818</v>
      </c>
      <c r="L10" s="9">
        <v>11.99</v>
      </c>
      <c r="M10" s="8">
        <f t="shared" si="4"/>
        <v>17937.039999999997</v>
      </c>
      <c r="N10" s="1">
        <f>B10/B25</f>
        <v>5.1886792452830191E-2</v>
      </c>
      <c r="O10" s="42">
        <f>I10*F10</f>
        <v>573.2399999999999</v>
      </c>
      <c r="P10" s="22">
        <f>(I10*F10)*L10</f>
        <v>6873.1475999999984</v>
      </c>
    </row>
    <row r="11" spans="1:16" x14ac:dyDescent="0.2">
      <c r="A11" t="s">
        <v>4</v>
      </c>
      <c r="B11" s="60">
        <v>100</v>
      </c>
      <c r="C11" s="39">
        <v>0.1076</v>
      </c>
      <c r="D11">
        <f t="shared" si="5"/>
        <v>1.1577759999999999</v>
      </c>
      <c r="E11">
        <f t="shared" si="0"/>
        <v>10.76</v>
      </c>
      <c r="F11">
        <f t="shared" si="6"/>
        <v>0.89239999999999997</v>
      </c>
      <c r="G11" s="15">
        <f>B11/C1</f>
        <v>4.5454545454545459</v>
      </c>
      <c r="H11" s="15">
        <f t="shared" si="1"/>
        <v>89.24</v>
      </c>
      <c r="I11" s="2">
        <v>122</v>
      </c>
      <c r="J11">
        <f t="shared" si="2"/>
        <v>22</v>
      </c>
      <c r="K11" s="1">
        <f t="shared" si="3"/>
        <v>1.22</v>
      </c>
      <c r="L11" s="9">
        <v>0</v>
      </c>
      <c r="M11" s="8">
        <f t="shared" si="4"/>
        <v>0</v>
      </c>
      <c r="N11" s="1">
        <f>B11/B25</f>
        <v>2.3584905660377358E-3</v>
      </c>
      <c r="O11" s="42">
        <f t="shared" si="7"/>
        <v>108.8728</v>
      </c>
      <c r="P11" s="22">
        <f t="shared" si="8"/>
        <v>0</v>
      </c>
    </row>
    <row r="12" spans="1:16" x14ac:dyDescent="0.2">
      <c r="A12" t="s">
        <v>6</v>
      </c>
      <c r="B12" s="60">
        <v>100</v>
      </c>
      <c r="C12" s="39">
        <v>0.73119999999999996</v>
      </c>
      <c r="D12">
        <f t="shared" si="5"/>
        <v>53.465343999999988</v>
      </c>
      <c r="E12">
        <f t="shared" si="0"/>
        <v>73.11999999999999</v>
      </c>
      <c r="F12">
        <f t="shared" si="6"/>
        <v>0.26880000000000004</v>
      </c>
      <c r="G12" s="15">
        <f>B12/C9</f>
        <v>227.27272727272728</v>
      </c>
      <c r="H12" s="15">
        <f t="shared" si="1"/>
        <v>26.880000000000003</v>
      </c>
      <c r="I12" s="2">
        <v>95</v>
      </c>
      <c r="J12">
        <f t="shared" si="2"/>
        <v>-5</v>
      </c>
      <c r="K12" s="1">
        <f t="shared" si="3"/>
        <v>0.95</v>
      </c>
      <c r="L12" s="9">
        <v>0</v>
      </c>
      <c r="M12" s="8">
        <f t="shared" si="4"/>
        <v>0</v>
      </c>
      <c r="N12" s="1">
        <f>B12/B25</f>
        <v>2.3584905660377358E-3</v>
      </c>
      <c r="O12" s="42">
        <f t="shared" si="7"/>
        <v>25.536000000000005</v>
      </c>
      <c r="P12" s="22">
        <f t="shared" si="8"/>
        <v>0</v>
      </c>
    </row>
    <row r="13" spans="1:16" x14ac:dyDescent="0.2">
      <c r="A13" t="s">
        <v>140</v>
      </c>
      <c r="B13" s="60">
        <v>2500</v>
      </c>
      <c r="C13" s="39">
        <v>0.52590000000000003</v>
      </c>
      <c r="D13">
        <f t="shared" si="5"/>
        <v>691.42702500000007</v>
      </c>
      <c r="E13">
        <f t="shared" si="0"/>
        <v>1314.75</v>
      </c>
      <c r="F13">
        <f t="shared" si="6"/>
        <v>0.47409999999999997</v>
      </c>
      <c r="G13" s="15">
        <f>B13/C1</f>
        <v>113.63636363636364</v>
      </c>
      <c r="H13" s="15">
        <f t="shared" si="1"/>
        <v>1185.25</v>
      </c>
      <c r="I13" s="2">
        <v>4262</v>
      </c>
      <c r="J13">
        <f t="shared" si="2"/>
        <v>1762</v>
      </c>
      <c r="K13" s="1">
        <f t="shared" si="3"/>
        <v>1.7048000000000001</v>
      </c>
      <c r="L13" s="35">
        <v>30</v>
      </c>
      <c r="M13" s="8">
        <f t="shared" si="4"/>
        <v>35557.5</v>
      </c>
      <c r="N13" s="1">
        <f>B13/B25</f>
        <v>5.8962264150943397E-2</v>
      </c>
      <c r="O13" s="42">
        <f t="shared" si="7"/>
        <v>2020.6141999999998</v>
      </c>
      <c r="P13" s="22">
        <f t="shared" si="8"/>
        <v>60618.425999999992</v>
      </c>
    </row>
    <row r="14" spans="1:16" x14ac:dyDescent="0.2">
      <c r="A14" t="s">
        <v>139</v>
      </c>
      <c r="B14" s="60">
        <v>300</v>
      </c>
      <c r="C14" s="39">
        <v>0.49299999999999999</v>
      </c>
      <c r="D14">
        <f t="shared" si="5"/>
        <v>72.914699999999996</v>
      </c>
      <c r="E14">
        <f t="shared" si="0"/>
        <v>147.9</v>
      </c>
      <c r="F14">
        <f t="shared" si="6"/>
        <v>0.50700000000000001</v>
      </c>
      <c r="G14" s="15">
        <f>B14/C1</f>
        <v>13.636363636363637</v>
      </c>
      <c r="H14" s="15">
        <f t="shared" si="1"/>
        <v>152.1</v>
      </c>
      <c r="I14" s="2"/>
      <c r="J14">
        <f t="shared" si="2"/>
        <v>-300</v>
      </c>
      <c r="K14" s="1">
        <f t="shared" si="3"/>
        <v>0</v>
      </c>
      <c r="L14" s="35">
        <v>12</v>
      </c>
      <c r="M14" s="8">
        <f t="shared" si="4"/>
        <v>1825.1999999999998</v>
      </c>
      <c r="N14" s="1">
        <f>B14/B25</f>
        <v>7.0754716981132077E-3</v>
      </c>
      <c r="O14" s="42">
        <f t="shared" si="7"/>
        <v>0</v>
      </c>
      <c r="P14" s="22">
        <f t="shared" si="8"/>
        <v>0</v>
      </c>
    </row>
    <row r="15" spans="1:16" x14ac:dyDescent="0.2">
      <c r="A15" t="s">
        <v>9</v>
      </c>
      <c r="B15" s="60">
        <v>100</v>
      </c>
      <c r="C15" s="39">
        <v>0.4496</v>
      </c>
      <c r="D15">
        <f t="shared" si="5"/>
        <v>20.214016000000001</v>
      </c>
      <c r="E15">
        <f t="shared" si="0"/>
        <v>44.96</v>
      </c>
      <c r="F15">
        <v>0.53</v>
      </c>
      <c r="G15" s="15">
        <f>B15/C1</f>
        <v>4.5454545454545459</v>
      </c>
      <c r="H15" s="15">
        <f t="shared" si="1"/>
        <v>53</v>
      </c>
      <c r="I15" s="2">
        <v>417</v>
      </c>
      <c r="J15">
        <f t="shared" si="2"/>
        <v>317</v>
      </c>
      <c r="K15" s="1">
        <f t="shared" si="3"/>
        <v>4.17</v>
      </c>
      <c r="L15" s="35">
        <v>12</v>
      </c>
      <c r="M15" s="8">
        <f t="shared" si="4"/>
        <v>636</v>
      </c>
      <c r="N15" s="1">
        <f>B15/B25</f>
        <v>2.3584905660377358E-3</v>
      </c>
      <c r="O15" s="42">
        <f>I15*F15</f>
        <v>221.01000000000002</v>
      </c>
      <c r="P15" s="22">
        <f>(I15*F15)*L15</f>
        <v>2652.1200000000003</v>
      </c>
    </row>
    <row r="16" spans="1:16" x14ac:dyDescent="0.2">
      <c r="A16" t="s">
        <v>8</v>
      </c>
      <c r="B16" s="60">
        <v>11500</v>
      </c>
      <c r="C16" s="39">
        <v>0.47720000000000001</v>
      </c>
      <c r="D16">
        <f t="shared" si="5"/>
        <v>2618.7781600000003</v>
      </c>
      <c r="E16">
        <f t="shared" si="0"/>
        <v>5487.8</v>
      </c>
      <c r="F16">
        <f t="shared" si="6"/>
        <v>0.52279999999999993</v>
      </c>
      <c r="G16" s="15">
        <f>B16/C1</f>
        <v>522.72727272727275</v>
      </c>
      <c r="H16" s="15">
        <f t="shared" si="1"/>
        <v>6012.1999999999989</v>
      </c>
      <c r="I16" s="2">
        <v>10470</v>
      </c>
      <c r="J16">
        <f t="shared" si="2"/>
        <v>-1030</v>
      </c>
      <c r="K16" s="1">
        <f t="shared" si="3"/>
        <v>0.9104347826086957</v>
      </c>
      <c r="L16" s="65">
        <v>23.5</v>
      </c>
      <c r="M16" s="8">
        <f t="shared" si="4"/>
        <v>141286.69999999998</v>
      </c>
      <c r="N16" s="1">
        <f>B16/B25</f>
        <v>0.27122641509433965</v>
      </c>
      <c r="O16" s="42">
        <f t="shared" si="7"/>
        <v>5473.7159999999994</v>
      </c>
      <c r="P16" s="22">
        <f t="shared" si="8"/>
        <v>128632.32599999999</v>
      </c>
    </row>
    <row r="17" spans="1:18" x14ac:dyDescent="0.2">
      <c r="A17" t="s">
        <v>11</v>
      </c>
      <c r="B17" s="60">
        <v>4750</v>
      </c>
      <c r="C17" s="39">
        <v>0.4123</v>
      </c>
      <c r="D17">
        <f t="shared" si="5"/>
        <v>807.45862750000003</v>
      </c>
      <c r="E17">
        <f t="shared" si="0"/>
        <v>1958.425</v>
      </c>
      <c r="F17">
        <f t="shared" si="6"/>
        <v>0.5877</v>
      </c>
      <c r="G17" s="15">
        <f>B17/C1</f>
        <v>215.90909090909091</v>
      </c>
      <c r="H17" s="15">
        <f t="shared" si="1"/>
        <v>2791.5749999999998</v>
      </c>
      <c r="I17" s="2">
        <v>4008</v>
      </c>
      <c r="J17">
        <f t="shared" si="2"/>
        <v>-742</v>
      </c>
      <c r="K17" s="1">
        <f t="shared" si="3"/>
        <v>0.84378947368421053</v>
      </c>
      <c r="L17" s="9">
        <v>27.41</v>
      </c>
      <c r="M17" s="8">
        <f t="shared" si="4"/>
        <v>76517.070749999999</v>
      </c>
      <c r="N17" s="1">
        <f>B17/B25</f>
        <v>0.11202830188679246</v>
      </c>
      <c r="O17" s="42">
        <f t="shared" si="7"/>
        <v>2355.5016000000001</v>
      </c>
      <c r="P17" s="22">
        <f t="shared" si="8"/>
        <v>64564.298856000001</v>
      </c>
    </row>
    <row r="18" spans="1:18" x14ac:dyDescent="0.2">
      <c r="A18" t="s">
        <v>144</v>
      </c>
      <c r="B18" s="60">
        <v>500</v>
      </c>
      <c r="C18" s="39">
        <v>0.57140000000000002</v>
      </c>
      <c r="D18">
        <f t="shared" si="5"/>
        <v>163.24897999999999</v>
      </c>
      <c r="E18">
        <f t="shared" si="0"/>
        <v>285.7</v>
      </c>
      <c r="F18">
        <f t="shared" si="6"/>
        <v>0.42859999999999998</v>
      </c>
      <c r="G18" s="15"/>
      <c r="H18" s="15">
        <f t="shared" si="1"/>
        <v>214.29999999999998</v>
      </c>
      <c r="I18" s="2">
        <v>241</v>
      </c>
      <c r="J18">
        <f t="shared" si="2"/>
        <v>-259</v>
      </c>
      <c r="K18" s="1">
        <f t="shared" si="3"/>
        <v>0.48199999999999998</v>
      </c>
      <c r="L18" s="9"/>
      <c r="M18" s="8"/>
      <c r="N18" s="1"/>
      <c r="O18" s="42">
        <f t="shared" si="7"/>
        <v>103.29259999999999</v>
      </c>
      <c r="P18" s="22"/>
    </row>
    <row r="19" spans="1:18" x14ac:dyDescent="0.2">
      <c r="A19" t="s">
        <v>16</v>
      </c>
      <c r="B19" s="60">
        <v>2500</v>
      </c>
      <c r="C19" s="39">
        <v>0.3947</v>
      </c>
      <c r="D19">
        <f t="shared" si="5"/>
        <v>389.47022499999997</v>
      </c>
      <c r="E19">
        <f t="shared" si="0"/>
        <v>986.75</v>
      </c>
      <c r="F19">
        <f>1-C19</f>
        <v>0.60529999999999995</v>
      </c>
      <c r="G19" s="15">
        <f>B19/C1</f>
        <v>113.63636363636364</v>
      </c>
      <c r="H19" s="15">
        <f t="shared" si="1"/>
        <v>1513.2499999999998</v>
      </c>
      <c r="I19" s="2">
        <v>799</v>
      </c>
      <c r="J19">
        <f t="shared" si="2"/>
        <v>-1701</v>
      </c>
      <c r="K19" s="1">
        <f t="shared" si="3"/>
        <v>0.3196</v>
      </c>
      <c r="L19" s="9">
        <v>20.6</v>
      </c>
      <c r="M19" s="8">
        <f t="shared" si="4"/>
        <v>31172.949999999997</v>
      </c>
      <c r="N19" s="1">
        <f>B19/B25</f>
        <v>5.8962264150943397E-2</v>
      </c>
      <c r="O19" s="42">
        <f t="shared" si="7"/>
        <v>483.63469999999995</v>
      </c>
      <c r="P19" s="22">
        <f t="shared" si="8"/>
        <v>9962.8748199999991</v>
      </c>
    </row>
    <row r="20" spans="1:18" x14ac:dyDescent="0.2">
      <c r="A20" t="s">
        <v>51</v>
      </c>
      <c r="B20" s="60">
        <v>1500</v>
      </c>
      <c r="C20" s="39">
        <v>0.3992</v>
      </c>
      <c r="D20">
        <f t="shared" si="5"/>
        <v>239.04095999999998</v>
      </c>
      <c r="E20">
        <f t="shared" si="0"/>
        <v>598.79999999999995</v>
      </c>
      <c r="F20">
        <f t="shared" si="6"/>
        <v>0.6008</v>
      </c>
      <c r="G20" s="15">
        <f>B20/C1</f>
        <v>68.181818181818187</v>
      </c>
      <c r="H20" s="15">
        <f t="shared" si="1"/>
        <v>901.2</v>
      </c>
      <c r="I20" s="2">
        <v>2642</v>
      </c>
      <c r="J20">
        <f t="shared" si="2"/>
        <v>1142</v>
      </c>
      <c r="K20" s="1">
        <f t="shared" si="3"/>
        <v>1.7613333333333334</v>
      </c>
      <c r="L20" s="9">
        <v>25</v>
      </c>
      <c r="M20" s="8">
        <f t="shared" si="4"/>
        <v>22530</v>
      </c>
      <c r="N20" s="1">
        <f>B20/B25</f>
        <v>3.5377358490566037E-2</v>
      </c>
      <c r="O20" s="42">
        <f t="shared" si="7"/>
        <v>1587.3136</v>
      </c>
      <c r="P20" s="22">
        <f t="shared" si="8"/>
        <v>39682.839999999997</v>
      </c>
    </row>
    <row r="21" spans="1:18" x14ac:dyDescent="0.2">
      <c r="A21" t="s">
        <v>13</v>
      </c>
      <c r="B21" s="60">
        <v>3500</v>
      </c>
      <c r="C21" s="39">
        <v>0.36420000000000002</v>
      </c>
      <c r="D21">
        <f t="shared" si="5"/>
        <v>464.24574000000007</v>
      </c>
      <c r="E21">
        <f t="shared" si="0"/>
        <v>1274.7</v>
      </c>
      <c r="F21">
        <f t="shared" si="6"/>
        <v>0.63579999999999992</v>
      </c>
      <c r="G21" s="15">
        <f>B21/C1</f>
        <v>159.09090909090909</v>
      </c>
      <c r="H21" s="15">
        <f t="shared" si="1"/>
        <v>2225.2999999999997</v>
      </c>
      <c r="I21" s="2">
        <v>4521</v>
      </c>
      <c r="J21">
        <f t="shared" si="2"/>
        <v>1021</v>
      </c>
      <c r="K21" s="1">
        <f t="shared" si="3"/>
        <v>1.2917142857142858</v>
      </c>
      <c r="L21" s="65">
        <v>22</v>
      </c>
      <c r="M21" s="8">
        <f t="shared" si="4"/>
        <v>48956.599999999991</v>
      </c>
      <c r="N21" s="1">
        <f>B21/B25</f>
        <v>8.254716981132075E-2</v>
      </c>
      <c r="O21" s="42">
        <f t="shared" si="7"/>
        <v>2874.4517999999998</v>
      </c>
      <c r="P21" s="22">
        <f t="shared" si="8"/>
        <v>63237.939599999998</v>
      </c>
    </row>
    <row r="22" spans="1:18" x14ac:dyDescent="0.2">
      <c r="A22" t="s">
        <v>14</v>
      </c>
      <c r="B22" s="60">
        <v>3000</v>
      </c>
      <c r="C22" s="39">
        <v>0.38590000000000002</v>
      </c>
      <c r="D22">
        <f t="shared" si="5"/>
        <v>446.75643000000002</v>
      </c>
      <c r="E22">
        <f t="shared" si="0"/>
        <v>1157.7</v>
      </c>
      <c r="F22">
        <f t="shared" si="6"/>
        <v>0.61409999999999998</v>
      </c>
      <c r="G22" s="15">
        <f>B22/C1</f>
        <v>136.36363636363637</v>
      </c>
      <c r="H22" s="15">
        <f t="shared" si="1"/>
        <v>1842.3</v>
      </c>
      <c r="I22" s="2">
        <v>3170</v>
      </c>
      <c r="J22">
        <f t="shared" si="2"/>
        <v>170</v>
      </c>
      <c r="K22" s="1">
        <f t="shared" si="3"/>
        <v>1.0566666666666666</v>
      </c>
      <c r="L22" s="65">
        <v>28.78</v>
      </c>
      <c r="M22" s="8">
        <f t="shared" si="4"/>
        <v>53021.394</v>
      </c>
      <c r="N22" s="1">
        <f>B22/B25</f>
        <v>7.0754716981132074E-2</v>
      </c>
      <c r="O22" s="42">
        <f t="shared" si="7"/>
        <v>1946.6969999999999</v>
      </c>
      <c r="P22" s="22">
        <f t="shared" si="8"/>
        <v>56025.939659999996</v>
      </c>
    </row>
    <row r="23" spans="1:18" ht="15" thickBot="1" x14ac:dyDescent="0.25">
      <c r="A23" s="5" t="s">
        <v>15</v>
      </c>
      <c r="B23" s="61">
        <v>1500</v>
      </c>
      <c r="C23" s="71">
        <v>0.3715</v>
      </c>
      <c r="D23" s="5">
        <f t="shared" si="5"/>
        <v>207.01837499999999</v>
      </c>
      <c r="E23" s="5">
        <f t="shared" si="0"/>
        <v>557.25</v>
      </c>
      <c r="F23" s="5">
        <f t="shared" si="6"/>
        <v>0.62850000000000006</v>
      </c>
      <c r="G23" s="16">
        <f>B23/C1</f>
        <v>68.181818181818187</v>
      </c>
      <c r="H23" s="16">
        <f t="shared" si="1"/>
        <v>942.75000000000011</v>
      </c>
      <c r="I23" s="38">
        <v>2053</v>
      </c>
      <c r="J23" s="5">
        <f t="shared" si="2"/>
        <v>553</v>
      </c>
      <c r="K23" s="6">
        <f t="shared" si="3"/>
        <v>1.3686666666666667</v>
      </c>
      <c r="L23" s="10">
        <v>23.24</v>
      </c>
      <c r="M23" s="14">
        <f t="shared" si="4"/>
        <v>21909.510000000002</v>
      </c>
      <c r="N23" s="6">
        <f>B23/B25</f>
        <v>3.5377358490566037E-2</v>
      </c>
      <c r="O23" s="43">
        <f t="shared" si="7"/>
        <v>1290.3105</v>
      </c>
      <c r="P23" s="25">
        <f t="shared" si="8"/>
        <v>29986.816019999998</v>
      </c>
    </row>
    <row r="24" spans="1:18" ht="15" hidden="1" thickBot="1" x14ac:dyDescent="0.25">
      <c r="A24" s="3" t="s">
        <v>24</v>
      </c>
      <c r="B24" s="62"/>
      <c r="C24" s="5">
        <v>0.2555</v>
      </c>
      <c r="E24">
        <f t="shared" si="0"/>
        <v>0</v>
      </c>
      <c r="F24" s="5">
        <f t="shared" si="6"/>
        <v>0.74449999999999994</v>
      </c>
      <c r="G24" s="16">
        <f>B24/21</f>
        <v>0</v>
      </c>
      <c r="H24" s="16">
        <f t="shared" si="1"/>
        <v>0</v>
      </c>
      <c r="I24" s="4"/>
      <c r="J24" s="5">
        <f t="shared" si="2"/>
        <v>0</v>
      </c>
      <c r="K24" s="6" t="e">
        <f>I24/B24</f>
        <v>#DIV/0!</v>
      </c>
      <c r="L24" s="10">
        <v>25</v>
      </c>
      <c r="M24" s="14">
        <f t="shared" si="4"/>
        <v>0</v>
      </c>
      <c r="N24" s="1"/>
      <c r="O24" s="43">
        <f t="shared" si="7"/>
        <v>0</v>
      </c>
      <c r="P24" s="25">
        <f t="shared" si="8"/>
        <v>0</v>
      </c>
    </row>
    <row r="25" spans="1:18" ht="15" thickBot="1" x14ac:dyDescent="0.25">
      <c r="B25" s="60">
        <f>SUM(B4:B24)</f>
        <v>42400</v>
      </c>
      <c r="C25" s="39">
        <f>D25/E25</f>
        <v>0.44105249939552071</v>
      </c>
      <c r="D25" s="31">
        <f>SUM(D4:D23)</f>
        <v>8053.4047285000015</v>
      </c>
      <c r="E25" s="28">
        <f>SUM(E4:E24)</f>
        <v>18259.514999999999</v>
      </c>
      <c r="G25" s="33">
        <f>SUM(G4:G24)</f>
        <v>2115.909090909091</v>
      </c>
      <c r="H25" s="33">
        <f>SUM(H4:H24)</f>
        <v>23888.445</v>
      </c>
      <c r="I25" s="32">
        <f>SUM(I$4:I$23)</f>
        <v>47016</v>
      </c>
      <c r="J25" s="28">
        <f t="shared" si="2"/>
        <v>4616</v>
      </c>
      <c r="K25" s="1">
        <f>I25/B25</f>
        <v>1.108867924528302</v>
      </c>
      <c r="L25" s="9"/>
      <c r="M25" s="8">
        <f>SUM(M4:M24)</f>
        <v>560041.46675000002</v>
      </c>
      <c r="N25" s="1">
        <f>SUM(N4:N23)</f>
        <v>0.98231132075471694</v>
      </c>
      <c r="O25" s="44">
        <f>SUM(O4:O24)</f>
        <v>26411.319399999997</v>
      </c>
      <c r="P25" s="22">
        <f>SUM(P4:P24)</f>
        <v>636988.34908000019</v>
      </c>
      <c r="Q25" s="17"/>
    </row>
    <row r="26" spans="1:18" ht="15" thickBot="1" x14ac:dyDescent="0.25">
      <c r="A26" t="s">
        <v>41</v>
      </c>
      <c r="B26" s="63">
        <f>B25/23</f>
        <v>1843.4782608695652</v>
      </c>
      <c r="C26" s="54" t="s">
        <v>87</v>
      </c>
      <c r="F26" s="20">
        <f>B26/31</f>
        <v>59.467040673211784</v>
      </c>
      <c r="G26" s="15"/>
      <c r="H26" s="34">
        <f>H25/22</f>
        <v>1085.8384090909092</v>
      </c>
      <c r="I26" s="52">
        <f>I25/(C1-H29)</f>
        <v>2350.8000000000002</v>
      </c>
      <c r="J26" s="53" t="s">
        <v>86</v>
      </c>
      <c r="K26" s="54"/>
      <c r="M26" s="8">
        <f>M25/H25</f>
        <v>23.444031905383547</v>
      </c>
      <c r="N26" s="8" t="s">
        <v>29</v>
      </c>
      <c r="O26" s="45">
        <f>O25/H25</f>
        <v>1.1056106582073466</v>
      </c>
      <c r="P26" s="47">
        <f>P25/O25</f>
        <v>24.118005595737117</v>
      </c>
      <c r="Q26" s="48" t="s">
        <v>84</v>
      </c>
    </row>
    <row r="27" spans="1:18" ht="15" thickBot="1" x14ac:dyDescent="0.25">
      <c r="B27" s="55"/>
      <c r="H27" s="40" t="s">
        <v>81</v>
      </c>
      <c r="I27" s="41">
        <f>I26-B26</f>
        <v>507.32173913043493</v>
      </c>
      <c r="J27" s="59">
        <f>I27/B26</f>
        <v>0.27519811320754722</v>
      </c>
      <c r="P27" s="49">
        <f>P25/I25</f>
        <v>13.548331399523571</v>
      </c>
      <c r="Q27" s="50" t="s">
        <v>85</v>
      </c>
      <c r="R27">
        <v>11.57</v>
      </c>
    </row>
    <row r="28" spans="1:18" ht="15" thickBot="1" x14ac:dyDescent="0.25"/>
    <row r="29" spans="1:18" ht="15" thickBot="1" x14ac:dyDescent="0.25">
      <c r="G29" s="46"/>
      <c r="H29" s="70">
        <v>2</v>
      </c>
      <c r="I29" t="s">
        <v>106</v>
      </c>
      <c r="J29" s="41">
        <f>I26</f>
        <v>2350.8000000000002</v>
      </c>
      <c r="K29" s="28">
        <f>H29*J29</f>
        <v>4701.6000000000004</v>
      </c>
      <c r="L29" s="41">
        <f>K29+I25</f>
        <v>51717.599999999999</v>
      </c>
      <c r="M29" t="s">
        <v>83</v>
      </c>
    </row>
    <row r="30" spans="1:18" x14ac:dyDescent="0.2">
      <c r="A30" t="s">
        <v>89</v>
      </c>
      <c r="I30" t="s">
        <v>92</v>
      </c>
      <c r="J30" s="34">
        <f>K30/H29</f>
        <v>2308</v>
      </c>
      <c r="K30" s="41">
        <f>J25</f>
        <v>4616</v>
      </c>
    </row>
    <row r="31" spans="1:18" x14ac:dyDescent="0.2">
      <c r="A31" t="s">
        <v>150</v>
      </c>
      <c r="J31" s="34">
        <f>J30/32</f>
        <v>72.125</v>
      </c>
      <c r="K31" t="s">
        <v>117</v>
      </c>
    </row>
    <row r="32" spans="1:18" x14ac:dyDescent="0.2">
      <c r="A32" t="s">
        <v>153</v>
      </c>
    </row>
    <row r="33" spans="1:1" x14ac:dyDescent="0.2">
      <c r="A33" t="s">
        <v>151</v>
      </c>
    </row>
    <row r="34" spans="1:1" x14ac:dyDescent="0.2">
      <c r="A34" t="s">
        <v>152</v>
      </c>
    </row>
    <row r="35" spans="1:1" x14ac:dyDescent="0.2">
      <c r="A35" t="s">
        <v>154</v>
      </c>
    </row>
    <row r="36" spans="1:1" x14ac:dyDescent="0.2">
      <c r="A36" t="s">
        <v>156</v>
      </c>
    </row>
    <row r="37" spans="1:1" x14ac:dyDescent="0.2">
      <c r="A37" t="s">
        <v>155</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2"/>
  <sheetViews>
    <sheetView topLeftCell="A19" zoomScaleNormal="100" zoomScaleSheetLayoutView="100" workbookViewId="0">
      <selection activeCell="E29" sqref="E29"/>
    </sheetView>
  </sheetViews>
  <sheetFormatPr defaultRowHeight="14.25" x14ac:dyDescent="0.2"/>
  <cols>
    <col min="1" max="1" width="26.625" customWidth="1"/>
    <col min="4" max="4" width="13" hidden="1" customWidth="1"/>
    <col min="7" max="7" width="9.5" customWidth="1"/>
    <col min="9" max="9" width="13.625" customWidth="1"/>
    <col min="10" max="10" width="10.5" customWidth="1"/>
    <col min="11" max="11" width="10" customWidth="1"/>
    <col min="13" max="13" width="13.875" customWidth="1"/>
    <col min="16" max="16" width="11.75" customWidth="1"/>
  </cols>
  <sheetData>
    <row r="1" spans="1:16" x14ac:dyDescent="0.2">
      <c r="B1" t="s">
        <v>112</v>
      </c>
      <c r="C1">
        <v>22</v>
      </c>
      <c r="L1" s="57" t="s">
        <v>22</v>
      </c>
      <c r="M1" s="57" t="s">
        <v>23</v>
      </c>
    </row>
    <row r="2" spans="1:16" ht="15" thickBot="1" x14ac:dyDescent="0.25">
      <c r="A2" s="19" t="s">
        <v>39</v>
      </c>
      <c r="B2" t="s">
        <v>65</v>
      </c>
      <c r="C2" t="s">
        <v>157</v>
      </c>
      <c r="I2" s="2" t="s">
        <v>102</v>
      </c>
      <c r="L2" s="58">
        <f>(C1-H30)/C1</f>
        <v>1</v>
      </c>
      <c r="M2" s="58">
        <f>I26/B26</f>
        <v>1.0457371428571429</v>
      </c>
      <c r="N2" s="17">
        <f>M2-L2</f>
        <v>4.5737142857142921E-2</v>
      </c>
      <c r="O2" s="36" t="s">
        <v>44</v>
      </c>
      <c r="P2" s="36"/>
    </row>
    <row r="3" spans="1:16" ht="15" thickBot="1" x14ac:dyDescent="0.25">
      <c r="A3" s="11" t="s">
        <v>145</v>
      </c>
      <c r="B3" s="12" t="s">
        <v>19</v>
      </c>
      <c r="C3" s="12" t="s">
        <v>30</v>
      </c>
      <c r="D3" s="12"/>
      <c r="E3" s="12" t="s">
        <v>29</v>
      </c>
      <c r="F3" s="12" t="s">
        <v>28</v>
      </c>
      <c r="G3" s="12" t="s">
        <v>27</v>
      </c>
      <c r="H3" s="12" t="s">
        <v>29</v>
      </c>
      <c r="I3" s="64"/>
      <c r="J3" s="12" t="s">
        <v>20</v>
      </c>
      <c r="K3" s="12" t="s">
        <v>21</v>
      </c>
      <c r="L3" s="12" t="s">
        <v>25</v>
      </c>
      <c r="M3" s="12" t="s">
        <v>26</v>
      </c>
      <c r="N3" s="12"/>
      <c r="O3" s="51" t="s">
        <v>28</v>
      </c>
      <c r="P3" s="51" t="s">
        <v>43</v>
      </c>
    </row>
    <row r="4" spans="1:16" ht="15" thickTop="1" x14ac:dyDescent="0.2">
      <c r="A4" t="s">
        <v>0</v>
      </c>
      <c r="B4" s="60">
        <v>1750</v>
      </c>
      <c r="C4" s="39">
        <v>0.47220000000000001</v>
      </c>
      <c r="D4">
        <f>C4*E4</f>
        <v>390.20247000000001</v>
      </c>
      <c r="E4">
        <f t="shared" ref="E4:E25" si="0">B4*C4</f>
        <v>826.35</v>
      </c>
      <c r="F4">
        <f>1-C4</f>
        <v>0.52780000000000005</v>
      </c>
      <c r="G4" s="15">
        <f>B4/C1</f>
        <v>79.545454545454547</v>
      </c>
      <c r="H4" s="15">
        <f t="shared" ref="H4:H25" si="1">B4*F4</f>
        <v>923.65000000000009</v>
      </c>
      <c r="I4" s="2">
        <v>2538</v>
      </c>
      <c r="J4">
        <f t="shared" ref="J4:J26" si="2">I4-B4</f>
        <v>788</v>
      </c>
      <c r="K4" s="1">
        <f t="shared" ref="K4:K22" si="3">I4/B4</f>
        <v>1.4502857142857142</v>
      </c>
      <c r="L4" s="8">
        <v>23.67</v>
      </c>
      <c r="M4" s="8">
        <f t="shared" ref="M4:M25" si="4">(B4*F4)*L4</f>
        <v>21862.795500000004</v>
      </c>
      <c r="N4" s="1">
        <f>B4/B26</f>
        <v>0.04</v>
      </c>
      <c r="O4" s="42">
        <f>I4*F4</f>
        <v>1339.5564000000002</v>
      </c>
      <c r="P4" s="22">
        <f>(I4*F4)*L4</f>
        <v>31707.299988000006</v>
      </c>
    </row>
    <row r="5" spans="1:16" x14ac:dyDescent="0.2">
      <c r="A5" t="s">
        <v>17</v>
      </c>
      <c r="B5" s="60">
        <v>2500</v>
      </c>
      <c r="C5" s="39">
        <v>0.4617</v>
      </c>
      <c r="D5">
        <v>184.29849000000002</v>
      </c>
      <c r="E5">
        <v>429.3</v>
      </c>
      <c r="F5">
        <v>0.57069999999999999</v>
      </c>
      <c r="G5" s="15">
        <f>B5/C1</f>
        <v>113.63636363636364</v>
      </c>
      <c r="H5" s="15">
        <v>570.69999999999993</v>
      </c>
      <c r="I5" s="2">
        <v>2190</v>
      </c>
      <c r="J5">
        <v>-334</v>
      </c>
      <c r="K5" s="1">
        <f t="shared" si="3"/>
        <v>0.876</v>
      </c>
      <c r="L5" s="8">
        <v>18.98</v>
      </c>
      <c r="M5" s="8">
        <v>10843.3</v>
      </c>
      <c r="N5" s="1">
        <f>B5/B26</f>
        <v>5.7142857142857141E-2</v>
      </c>
      <c r="O5" s="42">
        <f>I5*F5</f>
        <v>1249.8329999999999</v>
      </c>
      <c r="P5" s="22">
        <f>(I5*F5)*L5</f>
        <v>23721.830339999997</v>
      </c>
    </row>
    <row r="6" spans="1:16" x14ac:dyDescent="0.2">
      <c r="A6" t="s">
        <v>148</v>
      </c>
      <c r="B6" s="60">
        <v>250</v>
      </c>
      <c r="C6" s="39">
        <v>0.65229999999999999</v>
      </c>
      <c r="G6" s="15"/>
      <c r="H6" s="15"/>
      <c r="I6" s="2">
        <v>26</v>
      </c>
      <c r="K6" s="1"/>
      <c r="L6" s="8"/>
      <c r="M6" s="8"/>
      <c r="N6" s="1"/>
      <c r="O6" s="42"/>
      <c r="P6" s="22"/>
    </row>
    <row r="7" spans="1:16" x14ac:dyDescent="0.2">
      <c r="A7" t="s">
        <v>1</v>
      </c>
      <c r="B7" s="60">
        <v>3000</v>
      </c>
      <c r="C7" s="39">
        <v>0.33960000000000001</v>
      </c>
      <c r="D7">
        <f t="shared" ref="D7:D22" si="5">C7*E7</f>
        <v>345.98448000000002</v>
      </c>
      <c r="E7">
        <f t="shared" si="0"/>
        <v>1018.8000000000001</v>
      </c>
      <c r="F7">
        <f t="shared" ref="F7:F25" si="6">1-C7</f>
        <v>0.66039999999999999</v>
      </c>
      <c r="G7" s="15">
        <f>B7/C1</f>
        <v>136.36363636363637</v>
      </c>
      <c r="H7" s="15">
        <f t="shared" si="1"/>
        <v>1981.2</v>
      </c>
      <c r="I7" s="2">
        <v>1594</v>
      </c>
      <c r="J7">
        <f t="shared" si="2"/>
        <v>-1406</v>
      </c>
      <c r="K7" s="1">
        <f t="shared" si="3"/>
        <v>0.53133333333333332</v>
      </c>
      <c r="L7" s="9">
        <v>28</v>
      </c>
      <c r="M7" s="8">
        <f t="shared" si="4"/>
        <v>55473.599999999999</v>
      </c>
      <c r="N7" s="1">
        <f>B7/B26</f>
        <v>6.8571428571428575E-2</v>
      </c>
      <c r="O7" s="42">
        <f t="shared" ref="O7:O25" si="7">I7*F7</f>
        <v>1052.6776</v>
      </c>
      <c r="P7" s="22">
        <f t="shared" ref="P7:P25" si="8">(I7*F7)*L7</f>
        <v>29474.9728</v>
      </c>
    </row>
    <row r="8" spans="1:16" x14ac:dyDescent="0.2">
      <c r="A8" t="s">
        <v>2</v>
      </c>
      <c r="B8" s="60">
        <v>2000</v>
      </c>
      <c r="C8" s="39">
        <v>0.47660000000000002</v>
      </c>
      <c r="D8">
        <f t="shared" si="5"/>
        <v>454.29512000000005</v>
      </c>
      <c r="E8">
        <f t="shared" si="0"/>
        <v>953.2</v>
      </c>
      <c r="F8">
        <f t="shared" si="6"/>
        <v>0.52339999999999998</v>
      </c>
      <c r="G8" s="15">
        <f>B8/C1</f>
        <v>90.909090909090907</v>
      </c>
      <c r="H8" s="15">
        <f t="shared" si="1"/>
        <v>1046.8</v>
      </c>
      <c r="I8" s="2">
        <v>1997</v>
      </c>
      <c r="J8">
        <f t="shared" si="2"/>
        <v>-3</v>
      </c>
      <c r="K8" s="1">
        <f t="shared" si="3"/>
        <v>0.99850000000000005</v>
      </c>
      <c r="L8" s="9">
        <v>23.46</v>
      </c>
      <c r="M8" s="8">
        <f t="shared" si="4"/>
        <v>24557.928</v>
      </c>
      <c r="N8" s="1">
        <f>B8/B26</f>
        <v>4.5714285714285714E-2</v>
      </c>
      <c r="O8" s="42">
        <f t="shared" si="7"/>
        <v>1045.2297999999998</v>
      </c>
      <c r="P8" s="22">
        <f t="shared" si="8"/>
        <v>24521.091107999997</v>
      </c>
    </row>
    <row r="9" spans="1:16" x14ac:dyDescent="0.2">
      <c r="A9" t="s">
        <v>136</v>
      </c>
      <c r="B9" s="60">
        <v>2000</v>
      </c>
      <c r="C9" s="39">
        <v>0.46200000000000002</v>
      </c>
      <c r="D9">
        <f t="shared" si="5"/>
        <v>426.88800000000003</v>
      </c>
      <c r="E9">
        <f t="shared" si="0"/>
        <v>924</v>
      </c>
      <c r="F9">
        <f t="shared" si="6"/>
        <v>0.53800000000000003</v>
      </c>
      <c r="G9" s="15">
        <f>B9/C1</f>
        <v>90.909090909090907</v>
      </c>
      <c r="H9" s="15">
        <f t="shared" si="1"/>
        <v>1076</v>
      </c>
      <c r="I9" s="2">
        <v>1241</v>
      </c>
      <c r="J9">
        <f t="shared" si="2"/>
        <v>-759</v>
      </c>
      <c r="K9" s="1">
        <f t="shared" si="3"/>
        <v>0.62050000000000005</v>
      </c>
      <c r="L9" s="9">
        <v>23.09</v>
      </c>
      <c r="M9" s="8">
        <f t="shared" si="4"/>
        <v>24844.84</v>
      </c>
      <c r="N9" s="1">
        <f>B9/B26</f>
        <v>4.5714285714285714E-2</v>
      </c>
      <c r="O9" s="42">
        <f t="shared" si="7"/>
        <v>667.65800000000002</v>
      </c>
      <c r="P9" s="22">
        <f t="shared" si="8"/>
        <v>15416.22322</v>
      </c>
    </row>
    <row r="10" spans="1:16" x14ac:dyDescent="0.2">
      <c r="A10" t="s">
        <v>5</v>
      </c>
      <c r="B10" s="60">
        <v>800</v>
      </c>
      <c r="C10" s="39">
        <v>0.2994</v>
      </c>
      <c r="D10">
        <f t="shared" si="5"/>
        <v>71.712288000000001</v>
      </c>
      <c r="E10">
        <f t="shared" si="0"/>
        <v>239.52</v>
      </c>
      <c r="F10">
        <f>1-C10</f>
        <v>0.7006</v>
      </c>
      <c r="G10" s="15">
        <f>B10/C1</f>
        <v>36.363636363636367</v>
      </c>
      <c r="H10" s="15">
        <f t="shared" si="1"/>
        <v>560.48</v>
      </c>
      <c r="I10" s="2">
        <v>1142</v>
      </c>
      <c r="J10">
        <f t="shared" si="2"/>
        <v>342</v>
      </c>
      <c r="K10" s="1">
        <f t="shared" si="3"/>
        <v>1.4275</v>
      </c>
      <c r="L10" s="9">
        <v>11.99</v>
      </c>
      <c r="M10" s="8">
        <f t="shared" si="4"/>
        <v>6720.1552000000001</v>
      </c>
      <c r="N10" s="1">
        <f>B10/B26</f>
        <v>1.8285714285714287E-2</v>
      </c>
      <c r="O10" s="42">
        <f>I10*F10</f>
        <v>800.08519999999999</v>
      </c>
      <c r="P10" s="22">
        <f>(I10*F10)*L10</f>
        <v>9593.0215480000006</v>
      </c>
    </row>
    <row r="11" spans="1:16" x14ac:dyDescent="0.2">
      <c r="A11" t="s">
        <v>4</v>
      </c>
      <c r="B11" s="60">
        <v>100</v>
      </c>
      <c r="C11" s="39">
        <v>0.12509999999999999</v>
      </c>
      <c r="D11">
        <f t="shared" si="5"/>
        <v>1.5650009999999996</v>
      </c>
      <c r="E11">
        <f t="shared" si="0"/>
        <v>12.509999999999998</v>
      </c>
      <c r="F11">
        <f t="shared" si="6"/>
        <v>0.87490000000000001</v>
      </c>
      <c r="G11" s="15">
        <f>B11/C1</f>
        <v>4.5454545454545459</v>
      </c>
      <c r="H11" s="15">
        <f t="shared" si="1"/>
        <v>87.49</v>
      </c>
      <c r="I11" s="2">
        <v>36</v>
      </c>
      <c r="J11">
        <f t="shared" si="2"/>
        <v>-64</v>
      </c>
      <c r="K11" s="1">
        <f t="shared" si="3"/>
        <v>0.36</v>
      </c>
      <c r="L11" s="9">
        <v>0</v>
      </c>
      <c r="M11" s="8">
        <f t="shared" si="4"/>
        <v>0</v>
      </c>
      <c r="N11" s="1">
        <f>B11/B26</f>
        <v>2.2857142857142859E-3</v>
      </c>
      <c r="O11" s="42">
        <f t="shared" si="7"/>
        <v>31.496400000000001</v>
      </c>
      <c r="P11" s="22">
        <f t="shared" si="8"/>
        <v>0</v>
      </c>
    </row>
    <row r="12" spans="1:16" x14ac:dyDescent="0.2">
      <c r="A12" t="s">
        <v>6</v>
      </c>
      <c r="B12" s="60">
        <v>100</v>
      </c>
      <c r="C12" s="39">
        <v>0.73119999999999996</v>
      </c>
      <c r="D12">
        <f t="shared" si="5"/>
        <v>53.465343999999988</v>
      </c>
      <c r="E12">
        <f t="shared" si="0"/>
        <v>73.11999999999999</v>
      </c>
      <c r="F12">
        <f t="shared" si="6"/>
        <v>0.26880000000000004</v>
      </c>
      <c r="G12" s="15">
        <f>B12/C9</f>
        <v>216.45021645021643</v>
      </c>
      <c r="H12" s="15">
        <f t="shared" si="1"/>
        <v>26.880000000000003</v>
      </c>
      <c r="I12" s="2">
        <v>132</v>
      </c>
      <c r="J12">
        <f t="shared" si="2"/>
        <v>32</v>
      </c>
      <c r="K12" s="1">
        <f t="shared" si="3"/>
        <v>1.32</v>
      </c>
      <c r="L12" s="9">
        <v>0</v>
      </c>
      <c r="M12" s="8">
        <f t="shared" si="4"/>
        <v>0</v>
      </c>
      <c r="N12" s="1">
        <f>B12/B26</f>
        <v>2.2857142857142859E-3</v>
      </c>
      <c r="O12" s="42">
        <f t="shared" si="7"/>
        <v>35.481600000000007</v>
      </c>
      <c r="P12" s="22">
        <f t="shared" si="8"/>
        <v>0</v>
      </c>
    </row>
    <row r="13" spans="1:16" x14ac:dyDescent="0.2">
      <c r="A13" t="s">
        <v>140</v>
      </c>
      <c r="B13" s="60">
        <v>1450</v>
      </c>
      <c r="C13" s="39">
        <v>0.51200000000000001</v>
      </c>
      <c r="D13">
        <f t="shared" si="5"/>
        <v>380.10879999999997</v>
      </c>
      <c r="E13">
        <f t="shared" si="0"/>
        <v>742.4</v>
      </c>
      <c r="F13">
        <f t="shared" si="6"/>
        <v>0.48799999999999999</v>
      </c>
      <c r="G13" s="15">
        <f>B13/C1</f>
        <v>65.909090909090907</v>
      </c>
      <c r="H13" s="15">
        <f t="shared" si="1"/>
        <v>707.6</v>
      </c>
      <c r="I13" s="2">
        <v>333</v>
      </c>
      <c r="J13">
        <f t="shared" si="2"/>
        <v>-1117</v>
      </c>
      <c r="K13" s="1">
        <f t="shared" si="3"/>
        <v>0.2296551724137931</v>
      </c>
      <c r="L13" s="35">
        <v>30</v>
      </c>
      <c r="M13" s="8">
        <f t="shared" si="4"/>
        <v>21228</v>
      </c>
      <c r="N13" s="1">
        <f>B13/B26</f>
        <v>3.3142857142857141E-2</v>
      </c>
      <c r="O13" s="42">
        <f t="shared" si="7"/>
        <v>162.50399999999999</v>
      </c>
      <c r="P13" s="22">
        <f t="shared" si="8"/>
        <v>4875.12</v>
      </c>
    </row>
    <row r="14" spans="1:16" x14ac:dyDescent="0.2">
      <c r="A14" t="s">
        <v>139</v>
      </c>
      <c r="B14" s="60">
        <v>0</v>
      </c>
      <c r="C14" s="39">
        <v>0.49299999999999999</v>
      </c>
      <c r="D14">
        <f t="shared" si="5"/>
        <v>0</v>
      </c>
      <c r="E14">
        <f t="shared" si="0"/>
        <v>0</v>
      </c>
      <c r="F14">
        <f t="shared" si="6"/>
        <v>0.50700000000000001</v>
      </c>
      <c r="G14" s="15">
        <f>B14/C1</f>
        <v>0</v>
      </c>
      <c r="H14" s="15">
        <f t="shared" si="1"/>
        <v>0</v>
      </c>
      <c r="I14" s="2">
        <v>0</v>
      </c>
      <c r="J14">
        <f t="shared" si="2"/>
        <v>0</v>
      </c>
      <c r="K14" s="1" t="e">
        <f t="shared" si="3"/>
        <v>#DIV/0!</v>
      </c>
      <c r="L14" s="35">
        <v>12</v>
      </c>
      <c r="M14" s="8">
        <f t="shared" si="4"/>
        <v>0</v>
      </c>
      <c r="N14" s="1">
        <f>B14/B26</f>
        <v>0</v>
      </c>
      <c r="O14" s="42">
        <f t="shared" si="7"/>
        <v>0</v>
      </c>
      <c r="P14" s="22">
        <f t="shared" si="8"/>
        <v>0</v>
      </c>
    </row>
    <row r="15" spans="1:16" x14ac:dyDescent="0.2">
      <c r="A15" t="s">
        <v>9</v>
      </c>
      <c r="B15" s="60">
        <v>1000</v>
      </c>
      <c r="C15" s="39">
        <v>0.4496</v>
      </c>
      <c r="D15">
        <f t="shared" si="5"/>
        <v>202.14016000000001</v>
      </c>
      <c r="E15">
        <f t="shared" si="0"/>
        <v>449.6</v>
      </c>
      <c r="F15">
        <v>0.53</v>
      </c>
      <c r="G15" s="15">
        <f>B15/C1</f>
        <v>45.454545454545453</v>
      </c>
      <c r="H15" s="15">
        <f t="shared" si="1"/>
        <v>530</v>
      </c>
      <c r="I15" s="2">
        <v>621</v>
      </c>
      <c r="J15">
        <f t="shared" si="2"/>
        <v>-379</v>
      </c>
      <c r="K15" s="1">
        <f t="shared" si="3"/>
        <v>0.621</v>
      </c>
      <c r="L15" s="35">
        <v>12</v>
      </c>
      <c r="M15" s="8">
        <f t="shared" si="4"/>
        <v>6360</v>
      </c>
      <c r="N15" s="1">
        <f>B15/B26</f>
        <v>2.2857142857142857E-2</v>
      </c>
      <c r="O15" s="42">
        <f>I15*F15</f>
        <v>329.13</v>
      </c>
      <c r="P15" s="22">
        <f>(I15*F15)*L15</f>
        <v>3949.56</v>
      </c>
    </row>
    <row r="16" spans="1:16" x14ac:dyDescent="0.2">
      <c r="A16" t="s">
        <v>8</v>
      </c>
      <c r="B16" s="60">
        <v>11500</v>
      </c>
      <c r="C16" s="39">
        <v>0.47889999999999999</v>
      </c>
      <c r="D16">
        <f t="shared" si="5"/>
        <v>2637.4699150000001</v>
      </c>
      <c r="E16">
        <f t="shared" si="0"/>
        <v>5507.35</v>
      </c>
      <c r="F16">
        <f t="shared" si="6"/>
        <v>0.52110000000000001</v>
      </c>
      <c r="G16" s="15">
        <f>B16/C1</f>
        <v>522.72727272727275</v>
      </c>
      <c r="H16" s="15">
        <f t="shared" si="1"/>
        <v>5992.65</v>
      </c>
      <c r="I16" s="2">
        <v>11991</v>
      </c>
      <c r="J16">
        <f t="shared" si="2"/>
        <v>491</v>
      </c>
      <c r="K16" s="1">
        <f t="shared" si="3"/>
        <v>1.042695652173913</v>
      </c>
      <c r="L16" s="65">
        <v>23.5</v>
      </c>
      <c r="M16" s="8">
        <f t="shared" si="4"/>
        <v>140827.27499999999</v>
      </c>
      <c r="N16" s="1">
        <f>B16/B26</f>
        <v>0.26285714285714284</v>
      </c>
      <c r="O16" s="42">
        <f t="shared" si="7"/>
        <v>6248.5101000000004</v>
      </c>
      <c r="P16" s="22">
        <f t="shared" si="8"/>
        <v>146839.98735000001</v>
      </c>
    </row>
    <row r="17" spans="1:18" x14ac:dyDescent="0.2">
      <c r="A17" t="s">
        <v>11</v>
      </c>
      <c r="B17" s="60">
        <v>4000</v>
      </c>
      <c r="C17" s="39">
        <v>0.44379999999999997</v>
      </c>
      <c r="D17">
        <f t="shared" si="5"/>
        <v>787.83375999999987</v>
      </c>
      <c r="E17">
        <f t="shared" si="0"/>
        <v>1775.1999999999998</v>
      </c>
      <c r="F17">
        <f t="shared" si="6"/>
        <v>0.55620000000000003</v>
      </c>
      <c r="G17" s="15">
        <f>B17/C1</f>
        <v>181.81818181818181</v>
      </c>
      <c r="H17" s="15">
        <f t="shared" si="1"/>
        <v>2224.8000000000002</v>
      </c>
      <c r="I17" s="2">
        <v>7058</v>
      </c>
      <c r="J17">
        <f t="shared" si="2"/>
        <v>3058</v>
      </c>
      <c r="K17" s="1">
        <f t="shared" si="3"/>
        <v>1.7645</v>
      </c>
      <c r="L17" s="9">
        <v>27.41</v>
      </c>
      <c r="M17" s="8">
        <f t="shared" si="4"/>
        <v>60981.768000000004</v>
      </c>
      <c r="N17" s="1">
        <f>B17/B26</f>
        <v>9.1428571428571428E-2</v>
      </c>
      <c r="O17" s="42">
        <f t="shared" si="7"/>
        <v>3925.6596000000004</v>
      </c>
      <c r="P17" s="22">
        <f t="shared" si="8"/>
        <v>107602.32963600001</v>
      </c>
    </row>
    <row r="18" spans="1:18" x14ac:dyDescent="0.2">
      <c r="A18" t="s">
        <v>144</v>
      </c>
      <c r="B18" s="60">
        <v>250</v>
      </c>
      <c r="C18" s="39">
        <v>0.57140000000000002</v>
      </c>
      <c r="D18">
        <f t="shared" si="5"/>
        <v>81.624489999999994</v>
      </c>
      <c r="E18">
        <f t="shared" si="0"/>
        <v>142.85</v>
      </c>
      <c r="F18">
        <f t="shared" si="6"/>
        <v>0.42859999999999998</v>
      </c>
      <c r="G18" s="15"/>
      <c r="H18" s="15">
        <f t="shared" si="1"/>
        <v>107.14999999999999</v>
      </c>
      <c r="I18" s="2">
        <v>163</v>
      </c>
      <c r="J18">
        <f t="shared" si="2"/>
        <v>-87</v>
      </c>
      <c r="K18" s="1">
        <f t="shared" si="3"/>
        <v>0.65200000000000002</v>
      </c>
      <c r="L18" s="9"/>
      <c r="M18" s="8"/>
      <c r="N18" s="1"/>
      <c r="O18" s="42">
        <f t="shared" si="7"/>
        <v>69.861800000000002</v>
      </c>
      <c r="P18" s="22"/>
    </row>
    <row r="19" spans="1:18" x14ac:dyDescent="0.2">
      <c r="A19" t="s">
        <v>16</v>
      </c>
      <c r="B19" s="60">
        <v>1200</v>
      </c>
      <c r="C19" s="39">
        <v>0.3947</v>
      </c>
      <c r="D19">
        <f t="shared" si="5"/>
        <v>186.945708</v>
      </c>
      <c r="E19">
        <f t="shared" si="0"/>
        <v>473.64</v>
      </c>
      <c r="F19">
        <f>1-C19</f>
        <v>0.60529999999999995</v>
      </c>
      <c r="G19" s="15">
        <f>B19/C1</f>
        <v>54.545454545454547</v>
      </c>
      <c r="H19" s="15">
        <f t="shared" si="1"/>
        <v>726.3599999999999</v>
      </c>
      <c r="I19" s="2">
        <v>2576</v>
      </c>
      <c r="J19">
        <f t="shared" si="2"/>
        <v>1376</v>
      </c>
      <c r="K19" s="1">
        <f t="shared" si="3"/>
        <v>2.1466666666666665</v>
      </c>
      <c r="L19" s="9">
        <v>20.6</v>
      </c>
      <c r="M19" s="8">
        <f t="shared" si="4"/>
        <v>14963.016</v>
      </c>
      <c r="N19" s="1">
        <f>B19/B26</f>
        <v>2.7428571428571427E-2</v>
      </c>
      <c r="O19" s="42">
        <f t="shared" si="7"/>
        <v>1559.2528</v>
      </c>
      <c r="P19" s="22">
        <f t="shared" si="8"/>
        <v>32120.607680000001</v>
      </c>
    </row>
    <row r="20" spans="1:18" x14ac:dyDescent="0.2">
      <c r="A20" t="s">
        <v>51</v>
      </c>
      <c r="B20" s="60">
        <v>2500</v>
      </c>
      <c r="C20" s="39">
        <v>0.38059999999999999</v>
      </c>
      <c r="D20">
        <f t="shared" si="5"/>
        <v>362.14089999999999</v>
      </c>
      <c r="E20">
        <f t="shared" si="0"/>
        <v>951.5</v>
      </c>
      <c r="F20">
        <f t="shared" si="6"/>
        <v>0.61939999999999995</v>
      </c>
      <c r="G20" s="15">
        <f>B20/C1</f>
        <v>113.63636363636364</v>
      </c>
      <c r="H20" s="15">
        <f t="shared" si="1"/>
        <v>1548.4999999999998</v>
      </c>
      <c r="I20" s="2">
        <v>2218</v>
      </c>
      <c r="J20">
        <f t="shared" si="2"/>
        <v>-282</v>
      </c>
      <c r="K20" s="1">
        <f t="shared" si="3"/>
        <v>0.88719999999999999</v>
      </c>
      <c r="L20" s="9">
        <v>25</v>
      </c>
      <c r="M20" s="8">
        <f t="shared" si="4"/>
        <v>38712.499999999993</v>
      </c>
      <c r="N20" s="1">
        <f>B20/B26</f>
        <v>5.7142857142857141E-2</v>
      </c>
      <c r="O20" s="42">
        <f t="shared" si="7"/>
        <v>1373.8291999999999</v>
      </c>
      <c r="P20" s="22">
        <f t="shared" si="8"/>
        <v>34345.729999999996</v>
      </c>
    </row>
    <row r="21" spans="1:18" x14ac:dyDescent="0.2">
      <c r="A21" t="s">
        <v>13</v>
      </c>
      <c r="B21" s="60">
        <v>4000</v>
      </c>
      <c r="C21" s="39">
        <v>0.38550000000000001</v>
      </c>
      <c r="D21">
        <f t="shared" si="5"/>
        <v>594.44100000000003</v>
      </c>
      <c r="E21">
        <f t="shared" si="0"/>
        <v>1542</v>
      </c>
      <c r="F21">
        <f t="shared" si="6"/>
        <v>0.61450000000000005</v>
      </c>
      <c r="G21" s="15">
        <f>B21/C1</f>
        <v>181.81818181818181</v>
      </c>
      <c r="H21" s="15">
        <f t="shared" si="1"/>
        <v>2458</v>
      </c>
      <c r="I21" s="2">
        <v>4561</v>
      </c>
      <c r="J21">
        <f t="shared" si="2"/>
        <v>561</v>
      </c>
      <c r="K21" s="1">
        <f t="shared" si="3"/>
        <v>1.14025</v>
      </c>
      <c r="L21" s="65">
        <v>22</v>
      </c>
      <c r="M21" s="8">
        <f t="shared" si="4"/>
        <v>54076</v>
      </c>
      <c r="N21" s="1">
        <f>B21/B26</f>
        <v>9.1428571428571428E-2</v>
      </c>
      <c r="O21" s="42">
        <f t="shared" si="7"/>
        <v>2802.7345</v>
      </c>
      <c r="P21" s="22">
        <f t="shared" si="8"/>
        <v>61660.159</v>
      </c>
    </row>
    <row r="22" spans="1:18" x14ac:dyDescent="0.2">
      <c r="A22" t="s">
        <v>14</v>
      </c>
      <c r="B22" s="60">
        <v>3000</v>
      </c>
      <c r="C22" s="39">
        <v>0.39779999999999999</v>
      </c>
      <c r="D22">
        <f t="shared" si="5"/>
        <v>474.73451999999992</v>
      </c>
      <c r="E22">
        <f t="shared" si="0"/>
        <v>1193.3999999999999</v>
      </c>
      <c r="F22">
        <f t="shared" si="6"/>
        <v>0.60220000000000007</v>
      </c>
      <c r="G22" s="15">
        <f>B22/C1</f>
        <v>136.36363636363637</v>
      </c>
      <c r="H22" s="15">
        <f t="shared" si="1"/>
        <v>1806.6000000000001</v>
      </c>
      <c r="I22" s="2">
        <v>2659</v>
      </c>
      <c r="J22">
        <f t="shared" si="2"/>
        <v>-341</v>
      </c>
      <c r="K22" s="1">
        <f t="shared" si="3"/>
        <v>0.88633333333333331</v>
      </c>
      <c r="L22" s="65">
        <v>28.78</v>
      </c>
      <c r="M22" s="8">
        <f t="shared" si="4"/>
        <v>51993.948000000004</v>
      </c>
      <c r="N22" s="1">
        <f>B22/B26</f>
        <v>6.8571428571428575E-2</v>
      </c>
      <c r="O22" s="42">
        <f t="shared" si="7"/>
        <v>1601.2498000000003</v>
      </c>
      <c r="P22" s="22">
        <f t="shared" si="8"/>
        <v>46083.969244000007</v>
      </c>
    </row>
    <row r="23" spans="1:18" x14ac:dyDescent="0.2">
      <c r="A23" t="s">
        <v>15</v>
      </c>
      <c r="B23" s="72">
        <v>2000</v>
      </c>
      <c r="C23" s="73">
        <v>0.36990000000000001</v>
      </c>
      <c r="D23">
        <f>C23*E23</f>
        <v>273.65202000000005</v>
      </c>
      <c r="E23">
        <f>B23*C23</f>
        <v>739.80000000000007</v>
      </c>
      <c r="F23">
        <f>1-C23</f>
        <v>0.63009999999999999</v>
      </c>
      <c r="G23" s="15">
        <f>B23/C1</f>
        <v>90.909090909090907</v>
      </c>
      <c r="H23" s="15">
        <f>B23*F23</f>
        <v>1260.2</v>
      </c>
      <c r="I23" s="2">
        <v>2157</v>
      </c>
      <c r="J23">
        <f>I23-B23</f>
        <v>157</v>
      </c>
      <c r="K23" s="74">
        <f>I23/B23</f>
        <v>1.0785</v>
      </c>
      <c r="L23" s="75">
        <v>23.24</v>
      </c>
      <c r="M23" s="8">
        <f>(B23*F23)*L23</f>
        <v>29287.047999999999</v>
      </c>
      <c r="N23" s="74">
        <f>B23/B26</f>
        <v>4.5714285714285714E-2</v>
      </c>
      <c r="O23" s="42">
        <f>I23*F23</f>
        <v>1359.1257000000001</v>
      </c>
      <c r="P23" s="22">
        <f>(I23*F23)*L23</f>
        <v>31586.081267999998</v>
      </c>
    </row>
    <row r="24" spans="1:18" ht="15" thickBot="1" x14ac:dyDescent="0.25">
      <c r="A24" s="5" t="s">
        <v>158</v>
      </c>
      <c r="B24" s="61">
        <v>350</v>
      </c>
      <c r="C24" s="5"/>
      <c r="D24" s="5"/>
      <c r="E24" s="5"/>
      <c r="F24" s="5"/>
      <c r="G24" s="5"/>
      <c r="H24" s="5"/>
      <c r="I24" s="38">
        <v>518</v>
      </c>
      <c r="J24" s="5">
        <f>I24-B24</f>
        <v>168</v>
      </c>
      <c r="K24" s="5">
        <f>I24/B24</f>
        <v>1.48</v>
      </c>
      <c r="L24" s="5"/>
      <c r="M24" s="5"/>
      <c r="N24" s="5"/>
      <c r="O24" s="24"/>
      <c r="P24" s="24"/>
    </row>
    <row r="25" spans="1:18" ht="15" hidden="1" thickBot="1" x14ac:dyDescent="0.25">
      <c r="A25" s="3" t="s">
        <v>24</v>
      </c>
      <c r="B25" s="62"/>
      <c r="C25" s="5">
        <v>0.2555</v>
      </c>
      <c r="E25">
        <f t="shared" si="0"/>
        <v>0</v>
      </c>
      <c r="F25" s="5">
        <f t="shared" si="6"/>
        <v>0.74449999999999994</v>
      </c>
      <c r="G25" s="16">
        <f>B25/21</f>
        <v>0</v>
      </c>
      <c r="H25" s="16">
        <f t="shared" si="1"/>
        <v>0</v>
      </c>
      <c r="I25" s="4"/>
      <c r="J25" s="5">
        <f t="shared" si="2"/>
        <v>0</v>
      </c>
      <c r="K25" s="6" t="e">
        <f>I25/B25</f>
        <v>#DIV/0!</v>
      </c>
      <c r="L25" s="10">
        <v>25</v>
      </c>
      <c r="M25" s="14">
        <f t="shared" si="4"/>
        <v>0</v>
      </c>
      <c r="N25" s="1"/>
      <c r="O25" s="43">
        <f t="shared" si="7"/>
        <v>0</v>
      </c>
      <c r="P25" s="25">
        <f t="shared" si="8"/>
        <v>0</v>
      </c>
    </row>
    <row r="26" spans="1:18" ht="15" thickBot="1" x14ac:dyDescent="0.25">
      <c r="B26" s="60">
        <f>SUM(B4:B25)</f>
        <v>43750</v>
      </c>
      <c r="C26" s="39">
        <f>D26/E26</f>
        <v>0.43955013387394176</v>
      </c>
      <c r="D26" s="31">
        <f>SUM(D4:D23)</f>
        <v>7909.5024660000008</v>
      </c>
      <c r="E26" s="28">
        <f>SUM(E4:E25)</f>
        <v>17994.54</v>
      </c>
      <c r="G26" s="33">
        <f>SUM(G4:G25)</f>
        <v>2161.9047619047619</v>
      </c>
      <c r="H26" s="33">
        <f>SUM(H4:H25)</f>
        <v>23635.059999999998</v>
      </c>
      <c r="I26" s="32">
        <f>SUM(I$4:I$24)</f>
        <v>45751</v>
      </c>
      <c r="J26" s="28">
        <f t="shared" si="2"/>
        <v>2001</v>
      </c>
      <c r="K26" s="1">
        <f>I26/B26</f>
        <v>1.0457371428571429</v>
      </c>
      <c r="L26" s="9"/>
      <c r="M26" s="8">
        <f>SUM(M4:M25)</f>
        <v>562732.17369999993</v>
      </c>
      <c r="N26" s="1">
        <f>SUM(N4:N23)</f>
        <v>0.98057142857142854</v>
      </c>
      <c r="O26" s="44">
        <f>SUM(O4:O25)</f>
        <v>25653.875499999998</v>
      </c>
      <c r="P26" s="22">
        <f>SUM(P4:P25)</f>
        <v>603497.983182</v>
      </c>
      <c r="Q26" s="17"/>
    </row>
    <row r="27" spans="1:18" ht="15" thickBot="1" x14ac:dyDescent="0.25">
      <c r="A27" t="s">
        <v>80</v>
      </c>
      <c r="B27" s="63">
        <f>B26/23</f>
        <v>1902.1739130434783</v>
      </c>
      <c r="C27" s="54" t="s">
        <v>87</v>
      </c>
      <c r="F27" s="20">
        <f>B27/31</f>
        <v>61.360448807854134</v>
      </c>
      <c r="G27" s="15"/>
      <c r="H27" s="34">
        <f>H26/22</f>
        <v>1074.320909090909</v>
      </c>
      <c r="I27" s="52">
        <f>I26/(C1-H30)</f>
        <v>2079.590909090909</v>
      </c>
      <c r="J27" s="53" t="s">
        <v>86</v>
      </c>
      <c r="K27" s="54"/>
      <c r="M27" s="8">
        <f>M26/H26</f>
        <v>23.809212826199722</v>
      </c>
      <c r="N27" s="8" t="s">
        <v>29</v>
      </c>
      <c r="O27" s="45">
        <f>O26/H26</f>
        <v>1.0854161360284256</v>
      </c>
      <c r="P27" s="47">
        <f>P26/O26</f>
        <v>23.524632104104505</v>
      </c>
      <c r="Q27" s="48" t="s">
        <v>84</v>
      </c>
    </row>
    <row r="28" spans="1:18" ht="15" thickBot="1" x14ac:dyDescent="0.25">
      <c r="B28" s="55"/>
      <c r="H28" s="40" t="s">
        <v>81</v>
      </c>
      <c r="I28" s="41">
        <f>I27-B27</f>
        <v>177.41699604743076</v>
      </c>
      <c r="J28" s="59">
        <f>I28/B27</f>
        <v>9.3270649350649312E-2</v>
      </c>
      <c r="P28" s="49">
        <f>P26/I26</f>
        <v>13.19092442093069</v>
      </c>
      <c r="Q28" s="50" t="s">
        <v>85</v>
      </c>
      <c r="R28">
        <v>11.57</v>
      </c>
    </row>
    <row r="29" spans="1:18" ht="15" thickBot="1" x14ac:dyDescent="0.25"/>
    <row r="30" spans="1:18" ht="15" thickBot="1" x14ac:dyDescent="0.25">
      <c r="G30" s="46"/>
      <c r="H30" s="70">
        <v>0</v>
      </c>
      <c r="I30" t="s">
        <v>106</v>
      </c>
      <c r="J30" s="41">
        <f>I27</f>
        <v>2079.590909090909</v>
      </c>
      <c r="K30" s="28">
        <f>H30*J30</f>
        <v>0</v>
      </c>
      <c r="L30" s="41">
        <f>K30+I26</f>
        <v>45751</v>
      </c>
      <c r="M30" t="s">
        <v>83</v>
      </c>
    </row>
    <row r="31" spans="1:18" x14ac:dyDescent="0.2">
      <c r="A31" t="s">
        <v>89</v>
      </c>
      <c r="I31" t="s">
        <v>92</v>
      </c>
      <c r="J31" s="34" t="e">
        <f>K31/H30</f>
        <v>#DIV/0!</v>
      </c>
      <c r="K31" s="41">
        <f>J26</f>
        <v>2001</v>
      </c>
    </row>
    <row r="32" spans="1:18" x14ac:dyDescent="0.2">
      <c r="A32" t="s">
        <v>156</v>
      </c>
      <c r="J32" s="34" t="e">
        <f>J31/32</f>
        <v>#DIV/0!</v>
      </c>
      <c r="K32" t="s">
        <v>117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2"/>
  <sheetViews>
    <sheetView zoomScaleNormal="100" zoomScaleSheetLayoutView="100" workbookViewId="0">
      <selection activeCell="F30" sqref="F30"/>
    </sheetView>
  </sheetViews>
  <sheetFormatPr defaultRowHeight="14.25" x14ac:dyDescent="0.2"/>
  <cols>
    <col min="1" max="1" width="26.625" customWidth="1"/>
    <col min="4" max="4" width="13" hidden="1" customWidth="1"/>
    <col min="7" max="7" width="9.5" customWidth="1"/>
    <col min="9" max="9" width="13.625" customWidth="1"/>
    <col min="10" max="10" width="10.5" customWidth="1"/>
    <col min="11" max="11" width="10" customWidth="1"/>
    <col min="13" max="13" width="13.875" customWidth="1"/>
    <col min="16" max="16" width="11.75" customWidth="1"/>
  </cols>
  <sheetData>
    <row r="1" spans="1:16" x14ac:dyDescent="0.2">
      <c r="B1" t="s">
        <v>112</v>
      </c>
      <c r="C1">
        <v>21</v>
      </c>
      <c r="L1" s="57" t="s">
        <v>22</v>
      </c>
      <c r="M1" s="57" t="s">
        <v>23</v>
      </c>
    </row>
    <row r="2" spans="1:16" ht="15" thickBot="1" x14ac:dyDescent="0.25">
      <c r="A2" s="19" t="s">
        <v>39</v>
      </c>
      <c r="B2" t="s">
        <v>65</v>
      </c>
      <c r="C2" t="s">
        <v>159</v>
      </c>
      <c r="I2" s="2" t="s">
        <v>102</v>
      </c>
      <c r="L2" s="58">
        <f>(C1-H30)/C1</f>
        <v>1</v>
      </c>
      <c r="M2" s="58">
        <f>I26/B26</f>
        <v>1.1163178807947021</v>
      </c>
      <c r="N2" s="17">
        <f>M2-L2</f>
        <v>0.11631788079470207</v>
      </c>
      <c r="O2" s="36" t="s">
        <v>44</v>
      </c>
      <c r="P2" s="36"/>
    </row>
    <row r="3" spans="1:16" ht="15" thickBot="1" x14ac:dyDescent="0.25">
      <c r="A3" s="11" t="s">
        <v>145</v>
      </c>
      <c r="B3" s="12" t="s">
        <v>19</v>
      </c>
      <c r="C3" s="12" t="s">
        <v>30</v>
      </c>
      <c r="D3" s="12"/>
      <c r="E3" s="12" t="s">
        <v>29</v>
      </c>
      <c r="F3" s="12" t="s">
        <v>28</v>
      </c>
      <c r="G3" s="12" t="s">
        <v>27</v>
      </c>
      <c r="H3" s="12" t="s">
        <v>29</v>
      </c>
      <c r="I3" s="64"/>
      <c r="J3" s="12" t="s">
        <v>20</v>
      </c>
      <c r="K3" s="12" t="s">
        <v>21</v>
      </c>
      <c r="L3" s="12" t="s">
        <v>25</v>
      </c>
      <c r="M3" s="12" t="s">
        <v>26</v>
      </c>
      <c r="N3" s="12"/>
      <c r="O3" s="51" t="s">
        <v>28</v>
      </c>
      <c r="P3" s="51" t="s">
        <v>43</v>
      </c>
    </row>
    <row r="4" spans="1:16" ht="15" thickTop="1" x14ac:dyDescent="0.2">
      <c r="A4" t="s">
        <v>0</v>
      </c>
      <c r="B4" s="60">
        <v>1500</v>
      </c>
      <c r="C4" s="39">
        <v>0.53820000000000001</v>
      </c>
      <c r="D4">
        <f>C4*E4</f>
        <v>434.48886000000005</v>
      </c>
      <c r="E4">
        <f t="shared" ref="E4:E25" si="0">B4*C4</f>
        <v>807.30000000000007</v>
      </c>
      <c r="F4">
        <f>1-C4</f>
        <v>0.46179999999999999</v>
      </c>
      <c r="G4" s="15">
        <f>B4/C1</f>
        <v>71.428571428571431</v>
      </c>
      <c r="H4" s="15">
        <f t="shared" ref="H4:H25" si="1">B4*F4</f>
        <v>692.69999999999993</v>
      </c>
      <c r="I4" s="2">
        <v>2237</v>
      </c>
      <c r="J4">
        <f t="shared" ref="J4:J26" si="2">I4-B4</f>
        <v>737</v>
      </c>
      <c r="K4" s="1">
        <f t="shared" ref="K4:K22" si="3">I4/B4</f>
        <v>1.4913333333333334</v>
      </c>
      <c r="L4" s="8">
        <v>23.67</v>
      </c>
      <c r="M4" s="8">
        <f t="shared" ref="M4:M25" si="4">(B4*F4)*L4</f>
        <v>16396.208999999999</v>
      </c>
      <c r="N4" s="1">
        <f>B4/B26</f>
        <v>3.9735099337748346E-2</v>
      </c>
      <c r="O4" s="42">
        <f>I4*F4</f>
        <v>1033.0465999999999</v>
      </c>
      <c r="P4" s="22">
        <f>(I4*F4)*L4</f>
        <v>24452.213022</v>
      </c>
    </row>
    <row r="5" spans="1:16" x14ac:dyDescent="0.2">
      <c r="A5" t="s">
        <v>17</v>
      </c>
      <c r="B5" s="60">
        <v>2000</v>
      </c>
      <c r="C5" s="39">
        <v>0.44350000000000001</v>
      </c>
      <c r="D5">
        <v>184.29849000000002</v>
      </c>
      <c r="E5">
        <v>429.3</v>
      </c>
      <c r="F5">
        <v>0.57069999999999999</v>
      </c>
      <c r="G5" s="15">
        <f>B5/C1</f>
        <v>95.238095238095241</v>
      </c>
      <c r="H5" s="15">
        <v>570.69999999999993</v>
      </c>
      <c r="I5" s="2">
        <v>1596</v>
      </c>
      <c r="J5">
        <v>-334</v>
      </c>
      <c r="K5" s="1">
        <f t="shared" si="3"/>
        <v>0.79800000000000004</v>
      </c>
      <c r="L5" s="8">
        <v>18.98</v>
      </c>
      <c r="M5" s="8">
        <v>10843.3</v>
      </c>
      <c r="N5" s="1">
        <f>B5/B26</f>
        <v>5.2980132450331126E-2</v>
      </c>
      <c r="O5" s="42">
        <f>I5*F5</f>
        <v>910.83719999999994</v>
      </c>
      <c r="P5" s="22">
        <f>(I5*F5)*L5</f>
        <v>17287.690055999999</v>
      </c>
    </row>
    <row r="6" spans="1:16" x14ac:dyDescent="0.2">
      <c r="A6" t="s">
        <v>148</v>
      </c>
      <c r="B6" s="60">
        <v>250</v>
      </c>
      <c r="C6" s="39">
        <v>0.52200000000000002</v>
      </c>
      <c r="G6" s="15"/>
      <c r="H6" s="15"/>
      <c r="I6" s="2">
        <v>111</v>
      </c>
      <c r="K6" s="1"/>
      <c r="L6" s="8"/>
      <c r="M6" s="8"/>
      <c r="N6" s="1"/>
      <c r="O6" s="42"/>
      <c r="P6" s="22"/>
    </row>
    <row r="7" spans="1:16" x14ac:dyDescent="0.2">
      <c r="A7" t="s">
        <v>1</v>
      </c>
      <c r="B7" s="60">
        <v>2000</v>
      </c>
      <c r="C7" s="39">
        <v>0.34870000000000001</v>
      </c>
      <c r="D7">
        <f t="shared" ref="D7:D22" si="5">C7*E7</f>
        <v>243.18338</v>
      </c>
      <c r="E7">
        <f t="shared" si="0"/>
        <v>697.4</v>
      </c>
      <c r="F7">
        <f t="shared" ref="F7:F25" si="6">1-C7</f>
        <v>0.65129999999999999</v>
      </c>
      <c r="G7" s="15">
        <f>B7/C1</f>
        <v>95.238095238095241</v>
      </c>
      <c r="H7" s="15">
        <f t="shared" si="1"/>
        <v>1302.5999999999999</v>
      </c>
      <c r="I7" s="2">
        <v>1545</v>
      </c>
      <c r="J7">
        <f t="shared" si="2"/>
        <v>-455</v>
      </c>
      <c r="K7" s="1">
        <f t="shared" si="3"/>
        <v>0.77249999999999996</v>
      </c>
      <c r="L7" s="9">
        <v>28</v>
      </c>
      <c r="M7" s="8">
        <f t="shared" si="4"/>
        <v>36472.799999999996</v>
      </c>
      <c r="N7" s="1">
        <f>B7/B26</f>
        <v>5.2980132450331126E-2</v>
      </c>
      <c r="O7" s="42">
        <f t="shared" ref="O7:O25" si="7">I7*F7</f>
        <v>1006.2585</v>
      </c>
      <c r="P7" s="22">
        <f t="shared" ref="P7:P25" si="8">(I7*F7)*L7</f>
        <v>28175.238000000001</v>
      </c>
    </row>
    <row r="8" spans="1:16" x14ac:dyDescent="0.2">
      <c r="A8" t="s">
        <v>2</v>
      </c>
      <c r="B8" s="60">
        <v>1500</v>
      </c>
      <c r="C8" s="39">
        <v>0.57499999999999996</v>
      </c>
      <c r="D8">
        <f t="shared" si="5"/>
        <v>495.93749999999989</v>
      </c>
      <c r="E8">
        <f t="shared" si="0"/>
        <v>862.49999999999989</v>
      </c>
      <c r="F8">
        <f t="shared" si="6"/>
        <v>0.42500000000000004</v>
      </c>
      <c r="G8" s="15">
        <f>B8/C1</f>
        <v>71.428571428571431</v>
      </c>
      <c r="H8" s="15">
        <f t="shared" si="1"/>
        <v>637.50000000000011</v>
      </c>
      <c r="I8" s="2">
        <v>1076</v>
      </c>
      <c r="J8">
        <f t="shared" si="2"/>
        <v>-424</v>
      </c>
      <c r="K8" s="1">
        <f t="shared" si="3"/>
        <v>0.71733333333333338</v>
      </c>
      <c r="L8" s="9">
        <v>23.46</v>
      </c>
      <c r="M8" s="8">
        <f t="shared" si="4"/>
        <v>14955.750000000004</v>
      </c>
      <c r="N8" s="1">
        <f>B8/B26</f>
        <v>3.9735099337748346E-2</v>
      </c>
      <c r="O8" s="42">
        <f t="shared" si="7"/>
        <v>457.30000000000007</v>
      </c>
      <c r="P8" s="22">
        <f t="shared" si="8"/>
        <v>10728.258000000002</v>
      </c>
    </row>
    <row r="9" spans="1:16" x14ac:dyDescent="0.2">
      <c r="A9" t="s">
        <v>136</v>
      </c>
      <c r="B9" s="60">
        <v>1500</v>
      </c>
      <c r="C9" s="39">
        <v>0.53110000000000002</v>
      </c>
      <c r="D9">
        <f t="shared" si="5"/>
        <v>423.10081500000001</v>
      </c>
      <c r="E9">
        <f t="shared" si="0"/>
        <v>796.65</v>
      </c>
      <c r="F9">
        <f t="shared" si="6"/>
        <v>0.46889999999999998</v>
      </c>
      <c r="G9" s="15">
        <f>B9/C1</f>
        <v>71.428571428571431</v>
      </c>
      <c r="H9" s="15">
        <f t="shared" si="1"/>
        <v>703.35</v>
      </c>
      <c r="I9" s="2">
        <v>1624</v>
      </c>
      <c r="J9">
        <f t="shared" si="2"/>
        <v>124</v>
      </c>
      <c r="K9" s="1">
        <f t="shared" si="3"/>
        <v>1.0826666666666667</v>
      </c>
      <c r="L9" s="9">
        <v>23.09</v>
      </c>
      <c r="M9" s="8">
        <f t="shared" si="4"/>
        <v>16240.351500000001</v>
      </c>
      <c r="N9" s="1">
        <f>B9/B26</f>
        <v>3.9735099337748346E-2</v>
      </c>
      <c r="O9" s="42">
        <f t="shared" si="7"/>
        <v>761.49360000000001</v>
      </c>
      <c r="P9" s="22">
        <f t="shared" si="8"/>
        <v>17582.887224000002</v>
      </c>
    </row>
    <row r="10" spans="1:16" x14ac:dyDescent="0.2">
      <c r="A10" t="s">
        <v>5</v>
      </c>
      <c r="B10" s="60">
        <v>800</v>
      </c>
      <c r="C10" s="39">
        <v>0.20960000000000001</v>
      </c>
      <c r="D10">
        <f t="shared" si="5"/>
        <v>35.145728000000005</v>
      </c>
      <c r="E10">
        <f t="shared" si="0"/>
        <v>167.68</v>
      </c>
      <c r="F10">
        <f>1-C10</f>
        <v>0.79039999999999999</v>
      </c>
      <c r="G10" s="15">
        <f>B10/C1</f>
        <v>38.095238095238095</v>
      </c>
      <c r="H10" s="15">
        <f t="shared" si="1"/>
        <v>632.31999999999994</v>
      </c>
      <c r="I10" s="2">
        <v>1316</v>
      </c>
      <c r="J10">
        <f t="shared" si="2"/>
        <v>516</v>
      </c>
      <c r="K10" s="1">
        <f t="shared" si="3"/>
        <v>1.645</v>
      </c>
      <c r="L10" s="9">
        <v>11.99</v>
      </c>
      <c r="M10" s="8">
        <f t="shared" si="4"/>
        <v>7581.5167999999994</v>
      </c>
      <c r="N10" s="1">
        <f>B10/B26</f>
        <v>2.119205298013245E-2</v>
      </c>
      <c r="O10" s="42">
        <f>I10*F10</f>
        <v>1040.1664000000001</v>
      </c>
      <c r="P10" s="22">
        <f>(I10*F10)*L10</f>
        <v>12471.595136000002</v>
      </c>
    </row>
    <row r="11" spans="1:16" x14ac:dyDescent="0.2">
      <c r="A11" t="s">
        <v>4</v>
      </c>
      <c r="B11" s="60">
        <v>50</v>
      </c>
      <c r="C11" s="39">
        <v>0.15379999999999999</v>
      </c>
      <c r="D11">
        <f t="shared" si="5"/>
        <v>1.1827219999999998</v>
      </c>
      <c r="E11">
        <f t="shared" si="0"/>
        <v>7.6899999999999995</v>
      </c>
      <c r="F11">
        <f t="shared" si="6"/>
        <v>0.84620000000000006</v>
      </c>
      <c r="G11" s="15">
        <f>B11/C1</f>
        <v>2.3809523809523809</v>
      </c>
      <c r="H11" s="15">
        <f t="shared" si="1"/>
        <v>42.31</v>
      </c>
      <c r="I11" s="2">
        <v>33</v>
      </c>
      <c r="J11">
        <f t="shared" si="2"/>
        <v>-17</v>
      </c>
      <c r="K11" s="1">
        <f t="shared" si="3"/>
        <v>0.66</v>
      </c>
      <c r="L11" s="9">
        <v>0</v>
      </c>
      <c r="M11" s="8">
        <f t="shared" si="4"/>
        <v>0</v>
      </c>
      <c r="N11" s="1">
        <f>B11/B26</f>
        <v>1.3245033112582781E-3</v>
      </c>
      <c r="O11" s="42">
        <f t="shared" si="7"/>
        <v>27.924600000000002</v>
      </c>
      <c r="P11" s="22">
        <f t="shared" si="8"/>
        <v>0</v>
      </c>
    </row>
    <row r="12" spans="1:16" x14ac:dyDescent="0.2">
      <c r="A12" t="s">
        <v>6</v>
      </c>
      <c r="B12" s="60">
        <v>100</v>
      </c>
      <c r="C12" s="39">
        <v>0</v>
      </c>
      <c r="D12">
        <f t="shared" si="5"/>
        <v>0</v>
      </c>
      <c r="E12">
        <f t="shared" si="0"/>
        <v>0</v>
      </c>
      <c r="F12">
        <f t="shared" si="6"/>
        <v>1</v>
      </c>
      <c r="G12" s="15">
        <f>B12/C9</f>
        <v>188.28845791752966</v>
      </c>
      <c r="H12" s="15">
        <f t="shared" si="1"/>
        <v>100</v>
      </c>
      <c r="I12" s="2">
        <v>0</v>
      </c>
      <c r="J12">
        <f t="shared" si="2"/>
        <v>-100</v>
      </c>
      <c r="K12" s="1">
        <f t="shared" si="3"/>
        <v>0</v>
      </c>
      <c r="L12" s="9">
        <v>0</v>
      </c>
      <c r="M12" s="8">
        <f t="shared" si="4"/>
        <v>0</v>
      </c>
      <c r="N12" s="1">
        <f>B12/B26</f>
        <v>2.6490066225165563E-3</v>
      </c>
      <c r="O12" s="42">
        <f t="shared" si="7"/>
        <v>0</v>
      </c>
      <c r="P12" s="22">
        <f t="shared" si="8"/>
        <v>0</v>
      </c>
    </row>
    <row r="13" spans="1:16" x14ac:dyDescent="0.2">
      <c r="A13" t="s">
        <v>140</v>
      </c>
      <c r="B13" s="60">
        <v>500</v>
      </c>
      <c r="C13" s="39">
        <v>0.45889999999999997</v>
      </c>
      <c r="D13">
        <f t="shared" si="5"/>
        <v>105.29460499999999</v>
      </c>
      <c r="E13">
        <f t="shared" si="0"/>
        <v>229.45</v>
      </c>
      <c r="F13">
        <f t="shared" si="6"/>
        <v>0.54110000000000003</v>
      </c>
      <c r="G13" s="15">
        <f>B13/C1</f>
        <v>23.80952380952381</v>
      </c>
      <c r="H13" s="15">
        <f t="shared" si="1"/>
        <v>270.55</v>
      </c>
      <c r="I13" s="2">
        <v>859</v>
      </c>
      <c r="J13">
        <f t="shared" si="2"/>
        <v>359</v>
      </c>
      <c r="K13" s="1">
        <f t="shared" si="3"/>
        <v>1.718</v>
      </c>
      <c r="L13" s="35">
        <v>30</v>
      </c>
      <c r="M13" s="8">
        <f t="shared" si="4"/>
        <v>8116.5</v>
      </c>
      <c r="N13" s="1">
        <f>B13/B26</f>
        <v>1.3245033112582781E-2</v>
      </c>
      <c r="O13" s="42">
        <f t="shared" si="7"/>
        <v>464.80490000000003</v>
      </c>
      <c r="P13" s="22">
        <f t="shared" si="8"/>
        <v>13944.147000000001</v>
      </c>
    </row>
    <row r="14" spans="1:16" x14ac:dyDescent="0.2">
      <c r="A14" t="s">
        <v>139</v>
      </c>
      <c r="B14" s="60">
        <v>0</v>
      </c>
      <c r="C14" s="39">
        <v>0</v>
      </c>
      <c r="D14">
        <f t="shared" si="5"/>
        <v>0</v>
      </c>
      <c r="E14">
        <f t="shared" si="0"/>
        <v>0</v>
      </c>
      <c r="F14">
        <f t="shared" si="6"/>
        <v>1</v>
      </c>
      <c r="G14" s="15">
        <f>B14/C1</f>
        <v>0</v>
      </c>
      <c r="H14" s="15">
        <f t="shared" si="1"/>
        <v>0</v>
      </c>
      <c r="I14" s="2">
        <v>0</v>
      </c>
      <c r="J14">
        <f t="shared" si="2"/>
        <v>0</v>
      </c>
      <c r="K14" s="1" t="e">
        <f t="shared" si="3"/>
        <v>#DIV/0!</v>
      </c>
      <c r="L14" s="35">
        <v>12</v>
      </c>
      <c r="M14" s="8">
        <f t="shared" si="4"/>
        <v>0</v>
      </c>
      <c r="N14" s="1">
        <f>B14/B26</f>
        <v>0</v>
      </c>
      <c r="O14" s="42">
        <f t="shared" si="7"/>
        <v>0</v>
      </c>
      <c r="P14" s="22">
        <f t="shared" si="8"/>
        <v>0</v>
      </c>
    </row>
    <row r="15" spans="1:16" x14ac:dyDescent="0.2">
      <c r="A15" t="s">
        <v>9</v>
      </c>
      <c r="B15" s="60">
        <v>1000</v>
      </c>
      <c r="C15" s="39">
        <v>0.59740000000000004</v>
      </c>
      <c r="D15">
        <f t="shared" si="5"/>
        <v>356.88676000000009</v>
      </c>
      <c r="E15">
        <f t="shared" si="0"/>
        <v>597.40000000000009</v>
      </c>
      <c r="F15">
        <v>0.53</v>
      </c>
      <c r="G15" s="15">
        <f>B15/C1</f>
        <v>47.61904761904762</v>
      </c>
      <c r="H15" s="15">
        <f t="shared" si="1"/>
        <v>530</v>
      </c>
      <c r="I15" s="2">
        <v>1548</v>
      </c>
      <c r="J15">
        <f t="shared" si="2"/>
        <v>548</v>
      </c>
      <c r="K15" s="1">
        <f t="shared" si="3"/>
        <v>1.548</v>
      </c>
      <c r="L15" s="35">
        <v>12</v>
      </c>
      <c r="M15" s="8">
        <f t="shared" si="4"/>
        <v>6360</v>
      </c>
      <c r="N15" s="1">
        <f>B15/B26</f>
        <v>2.6490066225165563E-2</v>
      </c>
      <c r="O15" s="42">
        <f>I15*F15</f>
        <v>820.44</v>
      </c>
      <c r="P15" s="22">
        <f>(I15*F15)*L15</f>
        <v>9845.2800000000007</v>
      </c>
    </row>
    <row r="16" spans="1:16" x14ac:dyDescent="0.2">
      <c r="A16" t="s">
        <v>8</v>
      </c>
      <c r="B16" s="60">
        <v>9500</v>
      </c>
      <c r="C16" s="39">
        <v>0.52300000000000002</v>
      </c>
      <c r="D16">
        <f t="shared" si="5"/>
        <v>2598.5255000000002</v>
      </c>
      <c r="E16">
        <f t="shared" si="0"/>
        <v>4968.5</v>
      </c>
      <c r="F16">
        <f t="shared" si="6"/>
        <v>0.47699999999999998</v>
      </c>
      <c r="G16" s="15">
        <f>B16/C1</f>
        <v>452.38095238095241</v>
      </c>
      <c r="H16" s="15">
        <f t="shared" si="1"/>
        <v>4531.5</v>
      </c>
      <c r="I16" s="2">
        <v>9811</v>
      </c>
      <c r="J16">
        <f t="shared" si="2"/>
        <v>311</v>
      </c>
      <c r="K16" s="1">
        <f t="shared" si="3"/>
        <v>1.0327368421052632</v>
      </c>
      <c r="L16" s="65">
        <v>23.5</v>
      </c>
      <c r="M16" s="8">
        <f t="shared" si="4"/>
        <v>106490.25</v>
      </c>
      <c r="N16" s="1">
        <f>B16/B26</f>
        <v>0.25165562913907286</v>
      </c>
      <c r="O16" s="42">
        <f t="shared" si="7"/>
        <v>4679.8469999999998</v>
      </c>
      <c r="P16" s="22">
        <f t="shared" si="8"/>
        <v>109976.40449999999</v>
      </c>
    </row>
    <row r="17" spans="1:18" x14ac:dyDescent="0.2">
      <c r="A17" t="s">
        <v>11</v>
      </c>
      <c r="B17" s="60">
        <v>4500</v>
      </c>
      <c r="C17" s="39">
        <v>0.4556</v>
      </c>
      <c r="D17">
        <f t="shared" si="5"/>
        <v>934.07111999999995</v>
      </c>
      <c r="E17">
        <f t="shared" si="0"/>
        <v>2050.1999999999998</v>
      </c>
      <c r="F17">
        <f t="shared" si="6"/>
        <v>0.5444</v>
      </c>
      <c r="G17" s="15">
        <f>B17/C1</f>
        <v>214.28571428571428</v>
      </c>
      <c r="H17" s="15">
        <f t="shared" si="1"/>
        <v>2449.8000000000002</v>
      </c>
      <c r="I17" s="2">
        <v>5064</v>
      </c>
      <c r="J17">
        <f t="shared" si="2"/>
        <v>564</v>
      </c>
      <c r="K17" s="1">
        <f t="shared" si="3"/>
        <v>1.1253333333333333</v>
      </c>
      <c r="L17" s="9">
        <v>27.41</v>
      </c>
      <c r="M17" s="8">
        <f t="shared" si="4"/>
        <v>67149.018000000011</v>
      </c>
      <c r="N17" s="1">
        <f>B17/B26</f>
        <v>0.11920529801324503</v>
      </c>
      <c r="O17" s="42">
        <f t="shared" si="7"/>
        <v>2756.8416000000002</v>
      </c>
      <c r="P17" s="22">
        <f t="shared" si="8"/>
        <v>75565.028256000005</v>
      </c>
    </row>
    <row r="18" spans="1:18" x14ac:dyDescent="0.2">
      <c r="A18" t="s">
        <v>144</v>
      </c>
      <c r="B18" s="60">
        <v>100</v>
      </c>
      <c r="C18" s="39">
        <v>0.67300000000000004</v>
      </c>
      <c r="D18">
        <f t="shared" si="5"/>
        <v>45.29290000000001</v>
      </c>
      <c r="E18">
        <f t="shared" si="0"/>
        <v>67.300000000000011</v>
      </c>
      <c r="F18">
        <f t="shared" si="6"/>
        <v>0.32699999999999996</v>
      </c>
      <c r="G18" s="15"/>
      <c r="H18" s="15">
        <f t="shared" si="1"/>
        <v>32.699999999999996</v>
      </c>
      <c r="I18" s="2">
        <v>98</v>
      </c>
      <c r="J18">
        <f t="shared" si="2"/>
        <v>-2</v>
      </c>
      <c r="K18" s="1">
        <f t="shared" si="3"/>
        <v>0.98</v>
      </c>
      <c r="L18" s="9"/>
      <c r="M18" s="8"/>
      <c r="N18" s="1"/>
      <c r="O18" s="42">
        <f t="shared" si="7"/>
        <v>32.045999999999992</v>
      </c>
      <c r="P18" s="22"/>
    </row>
    <row r="19" spans="1:18" x14ac:dyDescent="0.2">
      <c r="A19" t="s">
        <v>16</v>
      </c>
      <c r="B19" s="60">
        <v>1500</v>
      </c>
      <c r="C19" s="39">
        <v>0.49569999999999997</v>
      </c>
      <c r="D19">
        <f t="shared" si="5"/>
        <v>368.57773499999996</v>
      </c>
      <c r="E19">
        <f t="shared" si="0"/>
        <v>743.55</v>
      </c>
      <c r="F19">
        <f>1-C19</f>
        <v>0.50429999999999997</v>
      </c>
      <c r="G19" s="15">
        <f>B19/C1</f>
        <v>71.428571428571431</v>
      </c>
      <c r="H19" s="15">
        <f t="shared" si="1"/>
        <v>756.44999999999993</v>
      </c>
      <c r="I19" s="2">
        <v>1925</v>
      </c>
      <c r="J19">
        <f t="shared" si="2"/>
        <v>425</v>
      </c>
      <c r="K19" s="1">
        <f t="shared" si="3"/>
        <v>1.2833333333333334</v>
      </c>
      <c r="L19" s="9">
        <v>20.6</v>
      </c>
      <c r="M19" s="8">
        <f t="shared" si="4"/>
        <v>15582.869999999999</v>
      </c>
      <c r="N19" s="1">
        <f>B19/B26</f>
        <v>3.9735099337748346E-2</v>
      </c>
      <c r="O19" s="42">
        <f t="shared" si="7"/>
        <v>970.77749999999992</v>
      </c>
      <c r="P19" s="22">
        <f t="shared" si="8"/>
        <v>19998.016499999998</v>
      </c>
    </row>
    <row r="20" spans="1:18" x14ac:dyDescent="0.2">
      <c r="A20" t="s">
        <v>51</v>
      </c>
      <c r="B20" s="60">
        <v>2100</v>
      </c>
      <c r="C20" s="39">
        <v>0.46260000000000001</v>
      </c>
      <c r="D20">
        <f t="shared" si="5"/>
        <v>449.39739600000001</v>
      </c>
      <c r="E20">
        <f t="shared" si="0"/>
        <v>971.46</v>
      </c>
      <c r="F20">
        <f t="shared" si="6"/>
        <v>0.53739999999999999</v>
      </c>
      <c r="G20" s="15">
        <f>B20/C1</f>
        <v>100</v>
      </c>
      <c r="H20" s="15">
        <f t="shared" si="1"/>
        <v>1128.54</v>
      </c>
      <c r="I20" s="2">
        <v>2288</v>
      </c>
      <c r="J20">
        <f t="shared" si="2"/>
        <v>188</v>
      </c>
      <c r="K20" s="1">
        <f t="shared" si="3"/>
        <v>1.0895238095238096</v>
      </c>
      <c r="L20" s="9">
        <v>25</v>
      </c>
      <c r="M20" s="8">
        <f t="shared" si="4"/>
        <v>28213.5</v>
      </c>
      <c r="N20" s="1">
        <f>B20/B26</f>
        <v>5.562913907284768E-2</v>
      </c>
      <c r="O20" s="42">
        <f t="shared" si="7"/>
        <v>1229.5711999999999</v>
      </c>
      <c r="P20" s="22">
        <f t="shared" si="8"/>
        <v>30739.279999999995</v>
      </c>
    </row>
    <row r="21" spans="1:18" x14ac:dyDescent="0.2">
      <c r="A21" t="s">
        <v>13</v>
      </c>
      <c r="B21" s="60">
        <v>4000</v>
      </c>
      <c r="C21" s="39">
        <v>0.53169999999999995</v>
      </c>
      <c r="D21">
        <f t="shared" si="5"/>
        <v>1130.8195599999997</v>
      </c>
      <c r="E21">
        <f t="shared" si="0"/>
        <v>2126.7999999999997</v>
      </c>
      <c r="F21">
        <f t="shared" si="6"/>
        <v>0.46830000000000005</v>
      </c>
      <c r="G21" s="15">
        <f>B21/C1</f>
        <v>190.47619047619048</v>
      </c>
      <c r="H21" s="15">
        <f t="shared" si="1"/>
        <v>1873.2000000000003</v>
      </c>
      <c r="I21" s="2">
        <v>6126</v>
      </c>
      <c r="J21">
        <f t="shared" si="2"/>
        <v>2126</v>
      </c>
      <c r="K21" s="1">
        <f t="shared" si="3"/>
        <v>1.5315000000000001</v>
      </c>
      <c r="L21" s="65">
        <v>22</v>
      </c>
      <c r="M21" s="8">
        <f t="shared" si="4"/>
        <v>41210.400000000009</v>
      </c>
      <c r="N21" s="1">
        <f>B21/B26</f>
        <v>0.10596026490066225</v>
      </c>
      <c r="O21" s="42">
        <f t="shared" si="7"/>
        <v>2868.8058000000001</v>
      </c>
      <c r="P21" s="22">
        <f t="shared" si="8"/>
        <v>63113.727599999998</v>
      </c>
    </row>
    <row r="22" spans="1:18" x14ac:dyDescent="0.2">
      <c r="A22" t="s">
        <v>14</v>
      </c>
      <c r="B22" s="60">
        <v>2500</v>
      </c>
      <c r="C22" s="39">
        <v>0.53149999999999997</v>
      </c>
      <c r="D22">
        <f t="shared" si="5"/>
        <v>706.23062499999992</v>
      </c>
      <c r="E22">
        <f t="shared" si="0"/>
        <v>1328.75</v>
      </c>
      <c r="F22">
        <f t="shared" si="6"/>
        <v>0.46850000000000003</v>
      </c>
      <c r="G22" s="15">
        <f>B22/C1</f>
        <v>119.04761904761905</v>
      </c>
      <c r="H22" s="15">
        <f t="shared" si="1"/>
        <v>1171.25</v>
      </c>
      <c r="I22" s="2">
        <v>2167</v>
      </c>
      <c r="J22">
        <f t="shared" si="2"/>
        <v>-333</v>
      </c>
      <c r="K22" s="1">
        <f t="shared" si="3"/>
        <v>0.86680000000000001</v>
      </c>
      <c r="L22" s="65">
        <v>28.78</v>
      </c>
      <c r="M22" s="8">
        <f t="shared" si="4"/>
        <v>33708.575000000004</v>
      </c>
      <c r="N22" s="1">
        <f>B22/B26</f>
        <v>6.6225165562913912E-2</v>
      </c>
      <c r="O22" s="42">
        <f t="shared" si="7"/>
        <v>1015.2395</v>
      </c>
      <c r="P22" s="22">
        <f t="shared" si="8"/>
        <v>29218.592810000002</v>
      </c>
    </row>
    <row r="23" spans="1:18" x14ac:dyDescent="0.2">
      <c r="A23" t="s">
        <v>15</v>
      </c>
      <c r="B23" s="72">
        <v>2000</v>
      </c>
      <c r="C23" s="73">
        <v>0.52070000000000005</v>
      </c>
      <c r="D23">
        <f>C23*E23</f>
        <v>542.25698000000011</v>
      </c>
      <c r="E23">
        <f>B23*C23</f>
        <v>1041.4000000000001</v>
      </c>
      <c r="F23">
        <f>1-C23</f>
        <v>0.47929999999999995</v>
      </c>
      <c r="G23" s="15">
        <f>B23/C1</f>
        <v>95.238095238095241</v>
      </c>
      <c r="H23" s="15">
        <f>B23*F23</f>
        <v>958.59999999999991</v>
      </c>
      <c r="I23" s="2">
        <v>2172</v>
      </c>
      <c r="J23">
        <f>I23-B23</f>
        <v>172</v>
      </c>
      <c r="K23" s="74">
        <f>I23/B23</f>
        <v>1.0860000000000001</v>
      </c>
      <c r="L23" s="75">
        <v>23.24</v>
      </c>
      <c r="M23" s="8">
        <f>(B23*F23)*L23</f>
        <v>22277.863999999998</v>
      </c>
      <c r="N23" s="74">
        <f>B23/B26</f>
        <v>5.2980132450331126E-2</v>
      </c>
      <c r="O23" s="42">
        <f>I23*F23</f>
        <v>1041.0395999999998</v>
      </c>
      <c r="P23" s="22">
        <f>(I23*F23)*L23</f>
        <v>24193.760303999996</v>
      </c>
    </row>
    <row r="24" spans="1:18" ht="15" thickBot="1" x14ac:dyDescent="0.25">
      <c r="A24" s="5" t="s">
        <v>158</v>
      </c>
      <c r="B24" s="61">
        <v>350</v>
      </c>
      <c r="C24" s="71">
        <v>0.33110000000000001</v>
      </c>
      <c r="D24" s="5">
        <f>C24*E24</f>
        <v>38.3695235</v>
      </c>
      <c r="E24" s="5">
        <f>B24*C24</f>
        <v>115.88500000000001</v>
      </c>
      <c r="F24" s="5">
        <f>1-C24</f>
        <v>0.66890000000000005</v>
      </c>
      <c r="G24" s="5"/>
      <c r="H24" s="5">
        <f>B24*F24</f>
        <v>234.11500000000001</v>
      </c>
      <c r="I24" s="38">
        <v>545</v>
      </c>
      <c r="J24" s="5">
        <f>I24-B24</f>
        <v>195</v>
      </c>
      <c r="K24" s="5">
        <f>I24/B24</f>
        <v>1.5571428571428572</v>
      </c>
      <c r="L24" s="5"/>
      <c r="M24" s="5"/>
      <c r="N24" s="5"/>
      <c r="O24" s="24">
        <f>I24*F24</f>
        <v>364.5505</v>
      </c>
      <c r="P24" s="24"/>
    </row>
    <row r="25" spans="1:18" ht="15" hidden="1" thickBot="1" x14ac:dyDescent="0.25">
      <c r="A25" s="3" t="s">
        <v>24</v>
      </c>
      <c r="B25" s="62"/>
      <c r="C25" s="5">
        <v>0.2555</v>
      </c>
      <c r="E25">
        <f t="shared" si="0"/>
        <v>0</v>
      </c>
      <c r="F25" s="5">
        <f t="shared" si="6"/>
        <v>0.74449999999999994</v>
      </c>
      <c r="G25" s="16">
        <f>B25/21</f>
        <v>0</v>
      </c>
      <c r="H25" s="16">
        <f t="shared" si="1"/>
        <v>0</v>
      </c>
      <c r="I25" s="4"/>
      <c r="J25" s="5">
        <f t="shared" si="2"/>
        <v>0</v>
      </c>
      <c r="K25" s="6" t="e">
        <f>I25/B25</f>
        <v>#DIV/0!</v>
      </c>
      <c r="L25" s="10">
        <v>25</v>
      </c>
      <c r="M25" s="14">
        <f t="shared" si="4"/>
        <v>0</v>
      </c>
      <c r="N25" s="1"/>
      <c r="O25" s="43">
        <f t="shared" si="7"/>
        <v>0</v>
      </c>
      <c r="P25" s="25">
        <f t="shared" si="8"/>
        <v>0</v>
      </c>
    </row>
    <row r="26" spans="1:18" ht="15" thickBot="1" x14ac:dyDescent="0.25">
      <c r="B26" s="60">
        <f>SUM(B4:B25)</f>
        <v>37750</v>
      </c>
      <c r="C26" s="39">
        <f>D26/E26</f>
        <v>0.50491152443346377</v>
      </c>
      <c r="D26" s="31">
        <f>SUM(D4:D24)</f>
        <v>9093.0601994999997</v>
      </c>
      <c r="E26" s="28">
        <f>SUM(E4:E25)</f>
        <v>18009.214999999997</v>
      </c>
      <c r="G26" s="33">
        <f>SUM(G4:G25)</f>
        <v>1947.8122674413389</v>
      </c>
      <c r="H26" s="33">
        <f>SUM(H4:H25)</f>
        <v>18618.185000000005</v>
      </c>
      <c r="I26" s="32">
        <f>SUM(I$4:I$24)</f>
        <v>42141</v>
      </c>
      <c r="J26" s="28">
        <f t="shared" si="2"/>
        <v>4391</v>
      </c>
      <c r="K26" s="1">
        <f>I26/B26</f>
        <v>1.1163178807947021</v>
      </c>
      <c r="L26" s="9"/>
      <c r="M26" s="8">
        <f>SUM(M4:M25)</f>
        <v>431598.90430000005</v>
      </c>
      <c r="N26" s="1">
        <f>SUM(N4:N23)</f>
        <v>0.98145695364238417</v>
      </c>
      <c r="O26" s="44">
        <f>SUM(O4:O25)</f>
        <v>21480.990500000004</v>
      </c>
      <c r="P26" s="22">
        <f>SUM(P4:P25)</f>
        <v>487292.11840799998</v>
      </c>
      <c r="Q26" s="17"/>
    </row>
    <row r="27" spans="1:18" ht="15" thickBot="1" x14ac:dyDescent="0.25">
      <c r="A27" t="s">
        <v>80</v>
      </c>
      <c r="B27" s="63">
        <f>B26/23</f>
        <v>1641.304347826087</v>
      </c>
      <c r="C27" s="54" t="s">
        <v>87</v>
      </c>
      <c r="F27" s="20">
        <f>B27/31</f>
        <v>52.945301542777003</v>
      </c>
      <c r="G27" s="15"/>
      <c r="H27" s="34">
        <f>H26/22</f>
        <v>846.28113636363662</v>
      </c>
      <c r="I27" s="52">
        <f>I26/(C1-H30)</f>
        <v>2006.7142857142858</v>
      </c>
      <c r="J27" s="53" t="s">
        <v>86</v>
      </c>
      <c r="K27" s="54"/>
      <c r="M27" s="8">
        <f>M26/H26</f>
        <v>23.181577812230351</v>
      </c>
      <c r="N27" s="8" t="s">
        <v>29</v>
      </c>
      <c r="O27" s="45">
        <f>O26/H26</f>
        <v>1.153763941007139</v>
      </c>
      <c r="P27" s="47">
        <f>P26/O26</f>
        <v>22.684806755442676</v>
      </c>
      <c r="Q27" s="48" t="s">
        <v>84</v>
      </c>
    </row>
    <row r="28" spans="1:18" ht="15" thickBot="1" x14ac:dyDescent="0.25">
      <c r="B28" s="55"/>
      <c r="H28" s="40" t="s">
        <v>81</v>
      </c>
      <c r="I28" s="41">
        <f>I27-B27</f>
        <v>365.40993788819878</v>
      </c>
      <c r="J28" s="59">
        <f>I28/B27</f>
        <v>0.22263386944181648</v>
      </c>
      <c r="P28" s="49">
        <f>P26/I26</f>
        <v>11.563373399017584</v>
      </c>
      <c r="Q28" s="50" t="s">
        <v>85</v>
      </c>
      <c r="R28">
        <v>11.57</v>
      </c>
    </row>
    <row r="29" spans="1:18" ht="15" thickBot="1" x14ac:dyDescent="0.25"/>
    <row r="30" spans="1:18" ht="15" thickBot="1" x14ac:dyDescent="0.25">
      <c r="G30" s="46"/>
      <c r="H30" s="70">
        <v>0</v>
      </c>
      <c r="I30" t="s">
        <v>106</v>
      </c>
      <c r="J30" s="41">
        <f>I27</f>
        <v>2006.7142857142858</v>
      </c>
      <c r="K30" s="28">
        <f>H30*J30</f>
        <v>0</v>
      </c>
      <c r="L30" s="41">
        <f>K30+I26</f>
        <v>42141</v>
      </c>
      <c r="M30" t="s">
        <v>83</v>
      </c>
    </row>
    <row r="31" spans="1:18" x14ac:dyDescent="0.2">
      <c r="A31" t="s">
        <v>89</v>
      </c>
      <c r="I31" t="s">
        <v>92</v>
      </c>
      <c r="J31" s="34" t="e">
        <f>K31/H30</f>
        <v>#DIV/0!</v>
      </c>
      <c r="K31" s="41">
        <f>J26</f>
        <v>4391</v>
      </c>
    </row>
    <row r="32" spans="1:18" x14ac:dyDescent="0.2">
      <c r="J32" s="34" t="e">
        <f>J31/32</f>
        <v>#DIV/0!</v>
      </c>
      <c r="K32" t="s">
        <v>117</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B32"/>
  <sheetViews>
    <sheetView zoomScaleNormal="100" zoomScaleSheetLayoutView="100" workbookViewId="0">
      <selection activeCell="D35" sqref="D35"/>
    </sheetView>
  </sheetViews>
  <sheetFormatPr defaultRowHeight="14.25" x14ac:dyDescent="0.2"/>
  <cols>
    <col min="1" max="1" width="29.25" customWidth="1"/>
    <col min="2" max="2" width="11" customWidth="1"/>
    <col min="3" max="3" width="11" hidden="1" customWidth="1"/>
    <col min="5" max="5" width="13" hidden="1" customWidth="1"/>
    <col min="6" max="6" width="15.625" hidden="1" customWidth="1"/>
    <col min="7" max="7" width="9.875" customWidth="1"/>
    <col min="9" max="9" width="8.75" hidden="1" customWidth="1"/>
    <col min="10" max="10" width="11" customWidth="1"/>
    <col min="12" max="12" width="13.875" customWidth="1"/>
    <col min="13" max="13" width="9" customWidth="1"/>
  </cols>
  <sheetData>
    <row r="1" spans="1:13" x14ac:dyDescent="0.2">
      <c r="H1" s="19"/>
      <c r="I1" s="19"/>
      <c r="J1" s="19"/>
      <c r="K1" s="19"/>
      <c r="L1" s="19"/>
    </row>
    <row r="2" spans="1:13" ht="14.25" customHeight="1" x14ac:dyDescent="0.2">
      <c r="A2" s="19" t="s">
        <v>39</v>
      </c>
      <c r="H2" s="76"/>
      <c r="I2" s="76"/>
      <c r="J2" s="76"/>
      <c r="K2" s="76"/>
      <c r="L2" s="76"/>
    </row>
    <row r="3" spans="1:13" ht="15" thickBot="1" x14ac:dyDescent="0.25">
      <c r="A3" s="11" t="s">
        <v>191</v>
      </c>
      <c r="B3" s="77" t="s">
        <v>19</v>
      </c>
      <c r="C3" s="77" t="s">
        <v>181</v>
      </c>
      <c r="D3" s="77" t="s">
        <v>30</v>
      </c>
      <c r="E3" s="77"/>
      <c r="F3" s="77"/>
      <c r="G3" s="77" t="s">
        <v>29</v>
      </c>
      <c r="H3" s="77" t="s">
        <v>25</v>
      </c>
      <c r="I3" s="77" t="s">
        <v>160</v>
      </c>
      <c r="J3" s="77" t="s">
        <v>162</v>
      </c>
      <c r="K3" s="77" t="s">
        <v>161</v>
      </c>
      <c r="L3" s="77" t="s">
        <v>163</v>
      </c>
    </row>
    <row r="4" spans="1:13" s="19" customFormat="1" ht="16.5" thickTop="1" x14ac:dyDescent="0.25">
      <c r="A4" s="196" t="s">
        <v>8</v>
      </c>
      <c r="B4" s="197">
        <v>113496</v>
      </c>
      <c r="C4" s="198">
        <f>B4/12</f>
        <v>9458</v>
      </c>
      <c r="D4" s="199">
        <v>0.49940000000000001</v>
      </c>
      <c r="E4" s="36">
        <f t="shared" ref="E4:E16" si="0">D4*G4</f>
        <v>28373.411</v>
      </c>
      <c r="F4" s="200">
        <f t="shared" ref="F4:F27" si="1">B4*D4</f>
        <v>56679.902399999999</v>
      </c>
      <c r="G4" s="197">
        <v>56815</v>
      </c>
      <c r="H4" s="201">
        <v>19.809999999999999</v>
      </c>
      <c r="I4" s="201"/>
      <c r="J4" s="202">
        <f t="shared" ref="J4:J27" si="2">G4*1.272</f>
        <v>72268.680000000008</v>
      </c>
      <c r="K4" s="201">
        <f t="shared" ref="K4:K18" si="3">(G4*H4)/J4</f>
        <v>15.57389937106918</v>
      </c>
      <c r="L4" s="203">
        <f t="shared" ref="L4:L21" si="4">G4*H4</f>
        <v>1125505.1499999999</v>
      </c>
    </row>
    <row r="5" spans="1:13" s="19" customFormat="1" ht="15.75" x14ac:dyDescent="0.25">
      <c r="A5" s="204" t="s">
        <v>11</v>
      </c>
      <c r="B5" s="205">
        <v>62329</v>
      </c>
      <c r="C5" s="216">
        <f t="shared" ref="C5:C27" si="5">B5/12</f>
        <v>5194.083333333333</v>
      </c>
      <c r="D5" s="206">
        <f t="shared" ref="D5:D21" si="6">1-(G5/B5)</f>
        <v>0.45336841598613808</v>
      </c>
      <c r="E5" s="55">
        <f t="shared" si="0"/>
        <v>15446.71530106371</v>
      </c>
      <c r="F5" s="207">
        <f t="shared" si="1"/>
        <v>28258</v>
      </c>
      <c r="G5" s="208">
        <v>34071</v>
      </c>
      <c r="H5" s="209">
        <v>27.43</v>
      </c>
      <c r="I5" s="209"/>
      <c r="J5" s="210">
        <f t="shared" si="2"/>
        <v>43338.311999999998</v>
      </c>
      <c r="K5" s="211">
        <f t="shared" si="3"/>
        <v>21.564465408805034</v>
      </c>
      <c r="L5" s="212">
        <f t="shared" si="4"/>
        <v>934567.53</v>
      </c>
    </row>
    <row r="6" spans="1:13" ht="15.75" x14ac:dyDescent="0.25">
      <c r="A6" s="104" t="s">
        <v>13</v>
      </c>
      <c r="B6" s="97">
        <v>49183</v>
      </c>
      <c r="C6" s="128">
        <f t="shared" si="5"/>
        <v>4098.583333333333</v>
      </c>
      <c r="D6" s="131">
        <f t="shared" si="6"/>
        <v>0.43537401134538356</v>
      </c>
      <c r="E6" s="132">
        <f t="shared" si="0"/>
        <v>12090.336295061301</v>
      </c>
      <c r="F6" s="133">
        <f t="shared" si="1"/>
        <v>21413</v>
      </c>
      <c r="G6" s="97">
        <v>27770</v>
      </c>
      <c r="H6" s="98">
        <v>21.64</v>
      </c>
      <c r="I6" s="99"/>
      <c r="J6" s="95">
        <f t="shared" si="2"/>
        <v>35323.440000000002</v>
      </c>
      <c r="K6" s="94">
        <f t="shared" si="3"/>
        <v>17.012578616352201</v>
      </c>
      <c r="L6" s="96">
        <f t="shared" si="4"/>
        <v>600942.80000000005</v>
      </c>
      <c r="M6" s="19"/>
    </row>
    <row r="7" spans="1:13" s="19" customFormat="1" ht="15.75" x14ac:dyDescent="0.25">
      <c r="A7" s="204" t="s">
        <v>14</v>
      </c>
      <c r="B7" s="205">
        <v>23529</v>
      </c>
      <c r="C7" s="216">
        <f t="shared" si="5"/>
        <v>1960.75</v>
      </c>
      <c r="D7" s="206">
        <f t="shared" si="6"/>
        <v>0.4272174763058354</v>
      </c>
      <c r="E7" s="55">
        <f t="shared" si="0"/>
        <v>5757.6099281737434</v>
      </c>
      <c r="F7" s="207">
        <f t="shared" si="1"/>
        <v>10052.000000000002</v>
      </c>
      <c r="G7" s="205">
        <v>13477</v>
      </c>
      <c r="H7" s="209">
        <v>28.22</v>
      </c>
      <c r="I7" s="209"/>
      <c r="J7" s="210">
        <f t="shared" si="2"/>
        <v>17142.743999999999</v>
      </c>
      <c r="K7" s="211">
        <f t="shared" si="3"/>
        <v>22.185534591194969</v>
      </c>
      <c r="L7" s="212">
        <f t="shared" si="4"/>
        <v>380320.94</v>
      </c>
    </row>
    <row r="8" spans="1:13" s="19" customFormat="1" ht="15.75" x14ac:dyDescent="0.25">
      <c r="A8" s="196" t="s">
        <v>51</v>
      </c>
      <c r="B8" s="213">
        <v>34032</v>
      </c>
      <c r="C8" s="198">
        <f t="shared" si="5"/>
        <v>2836</v>
      </c>
      <c r="D8" s="199">
        <f t="shared" si="6"/>
        <v>0.44813704748472027</v>
      </c>
      <c r="E8" s="36">
        <f t="shared" si="0"/>
        <v>8416.4618888105306</v>
      </c>
      <c r="F8" s="200">
        <f t="shared" si="1"/>
        <v>15251</v>
      </c>
      <c r="G8" s="213">
        <v>18781</v>
      </c>
      <c r="H8" s="214">
        <v>27.14</v>
      </c>
      <c r="I8" s="214"/>
      <c r="J8" s="202">
        <f t="shared" si="2"/>
        <v>23889.432000000001</v>
      </c>
      <c r="K8" s="201">
        <f t="shared" si="3"/>
        <v>21.336477987421382</v>
      </c>
      <c r="L8" s="203">
        <f t="shared" si="4"/>
        <v>509716.34</v>
      </c>
    </row>
    <row r="9" spans="1:13" ht="15.75" x14ac:dyDescent="0.25">
      <c r="A9" s="105" t="s">
        <v>16</v>
      </c>
      <c r="B9" s="80">
        <v>14729</v>
      </c>
      <c r="C9" s="217">
        <f t="shared" si="5"/>
        <v>1227.4166666666667</v>
      </c>
      <c r="D9" s="135">
        <f t="shared" si="6"/>
        <v>0.45841537103673025</v>
      </c>
      <c r="E9" s="67">
        <f t="shared" si="0"/>
        <v>3656.7794147599971</v>
      </c>
      <c r="F9" s="82">
        <f t="shared" si="1"/>
        <v>6752</v>
      </c>
      <c r="G9" s="80">
        <v>7977</v>
      </c>
      <c r="H9" s="137">
        <v>21.43</v>
      </c>
      <c r="I9" s="137"/>
      <c r="J9" s="138">
        <f t="shared" si="2"/>
        <v>10146.744000000001</v>
      </c>
      <c r="K9" s="136">
        <f t="shared" si="3"/>
        <v>16.847484276729556</v>
      </c>
      <c r="L9" s="85">
        <f t="shared" si="4"/>
        <v>170947.11</v>
      </c>
    </row>
    <row r="10" spans="1:13" ht="15.75" x14ac:dyDescent="0.25">
      <c r="A10" s="104" t="s">
        <v>5</v>
      </c>
      <c r="B10" s="97">
        <v>23404</v>
      </c>
      <c r="C10" s="128">
        <f t="shared" si="5"/>
        <v>1950.3333333333333</v>
      </c>
      <c r="D10" s="90">
        <f t="shared" si="6"/>
        <v>0.29486412579046317</v>
      </c>
      <c r="E10" s="91">
        <f t="shared" si="0"/>
        <v>4866.142667920014</v>
      </c>
      <c r="F10" s="92">
        <f t="shared" si="1"/>
        <v>6901</v>
      </c>
      <c r="G10" s="97">
        <v>16503</v>
      </c>
      <c r="H10" s="99">
        <v>12.67</v>
      </c>
      <c r="I10" s="99"/>
      <c r="J10" s="89">
        <f t="shared" si="2"/>
        <v>20991.815999999999</v>
      </c>
      <c r="K10" s="94">
        <f t="shared" si="3"/>
        <v>9.9606918238993725</v>
      </c>
      <c r="L10" s="96">
        <f t="shared" si="4"/>
        <v>209093.01</v>
      </c>
    </row>
    <row r="11" spans="1:13" ht="15.75" x14ac:dyDescent="0.25">
      <c r="A11" s="105" t="s">
        <v>15</v>
      </c>
      <c r="B11" s="134">
        <v>26242</v>
      </c>
      <c r="C11" s="217">
        <f t="shared" si="5"/>
        <v>2186.8333333333335</v>
      </c>
      <c r="D11" s="135">
        <f>1-(G11/B11)</f>
        <v>0.43075985062114164</v>
      </c>
      <c r="E11" s="67">
        <f t="shared" si="0"/>
        <v>6434.6906485786139</v>
      </c>
      <c r="F11" s="82">
        <f t="shared" si="1"/>
        <v>11303.999999999998</v>
      </c>
      <c r="G11" s="80">
        <v>14938</v>
      </c>
      <c r="H11" s="136">
        <v>27.5</v>
      </c>
      <c r="I11" s="136"/>
      <c r="J11" s="134">
        <f t="shared" si="2"/>
        <v>19001.135999999999</v>
      </c>
      <c r="K11" s="136">
        <f t="shared" si="3"/>
        <v>21.619496855345915</v>
      </c>
      <c r="L11" s="85">
        <f t="shared" si="4"/>
        <v>410795</v>
      </c>
      <c r="M11" s="19"/>
    </row>
    <row r="12" spans="1:13" s="19" customFormat="1" ht="15.75" x14ac:dyDescent="0.25">
      <c r="A12" s="196" t="s">
        <v>0</v>
      </c>
      <c r="B12" s="213">
        <v>25814</v>
      </c>
      <c r="C12" s="198">
        <f t="shared" si="5"/>
        <v>2151.1666666666665</v>
      </c>
      <c r="D12" s="199">
        <f t="shared" si="6"/>
        <v>0.48570543116138531</v>
      </c>
      <c r="E12" s="36">
        <f t="shared" si="0"/>
        <v>6448.2253040985515</v>
      </c>
      <c r="F12" s="200">
        <f t="shared" si="1"/>
        <v>12538</v>
      </c>
      <c r="G12" s="213">
        <v>13276</v>
      </c>
      <c r="H12" s="203">
        <v>24.23</v>
      </c>
      <c r="I12" s="214"/>
      <c r="J12" s="197">
        <f t="shared" si="2"/>
        <v>16887.072</v>
      </c>
      <c r="K12" s="201">
        <f t="shared" si="3"/>
        <v>19.04874213836478</v>
      </c>
      <c r="L12" s="203">
        <f t="shared" si="4"/>
        <v>321677.48</v>
      </c>
    </row>
    <row r="13" spans="1:13" ht="15.75" x14ac:dyDescent="0.25">
      <c r="A13" s="105" t="s">
        <v>136</v>
      </c>
      <c r="B13" s="80">
        <v>23786</v>
      </c>
      <c r="C13" s="217">
        <f t="shared" si="5"/>
        <v>1982.1666666666667</v>
      </c>
      <c r="D13" s="135">
        <f t="shared" si="6"/>
        <v>0.40502816782981588</v>
      </c>
      <c r="E13" s="67">
        <f t="shared" si="0"/>
        <v>5731.9586311275543</v>
      </c>
      <c r="F13" s="82">
        <f t="shared" si="1"/>
        <v>9634</v>
      </c>
      <c r="G13" s="80">
        <v>14152</v>
      </c>
      <c r="H13" s="84">
        <v>21.56</v>
      </c>
      <c r="I13" s="84"/>
      <c r="J13" s="79">
        <f t="shared" si="2"/>
        <v>18001.344000000001</v>
      </c>
      <c r="K13" s="78">
        <f t="shared" si="3"/>
        <v>16.949685534591193</v>
      </c>
      <c r="L13" s="85">
        <f t="shared" si="4"/>
        <v>305117.12</v>
      </c>
    </row>
    <row r="14" spans="1:13" ht="15.75" x14ac:dyDescent="0.25">
      <c r="A14" s="104" t="s">
        <v>2</v>
      </c>
      <c r="B14" s="97">
        <v>23609</v>
      </c>
      <c r="C14" s="128">
        <f t="shared" si="5"/>
        <v>1967.4166666666667</v>
      </c>
      <c r="D14" s="90">
        <f t="shared" si="6"/>
        <v>0.49913168706849087</v>
      </c>
      <c r="E14" s="91">
        <f t="shared" si="0"/>
        <v>5902.2321995849043</v>
      </c>
      <c r="F14" s="92">
        <f t="shared" si="1"/>
        <v>11784.000000000002</v>
      </c>
      <c r="G14" s="97">
        <v>11825</v>
      </c>
      <c r="H14" s="99">
        <v>22.9</v>
      </c>
      <c r="I14" s="99"/>
      <c r="J14" s="89">
        <f t="shared" si="2"/>
        <v>15041.4</v>
      </c>
      <c r="K14" s="94">
        <f t="shared" si="3"/>
        <v>18.00314465408805</v>
      </c>
      <c r="L14" s="96">
        <f t="shared" si="4"/>
        <v>270792.5</v>
      </c>
    </row>
    <row r="15" spans="1:13" ht="15.75" x14ac:dyDescent="0.25">
      <c r="A15" s="105" t="s">
        <v>1</v>
      </c>
      <c r="B15" s="80">
        <v>25592</v>
      </c>
      <c r="C15" s="217">
        <f t="shared" si="5"/>
        <v>2132.6666666666665</v>
      </c>
      <c r="D15" s="135">
        <f t="shared" si="6"/>
        <v>0.2635198499531104</v>
      </c>
      <c r="E15" s="67">
        <f t="shared" si="0"/>
        <v>4966.8221319162249</v>
      </c>
      <c r="F15" s="82">
        <f t="shared" si="1"/>
        <v>6744.0000000000009</v>
      </c>
      <c r="G15" s="80">
        <v>18848</v>
      </c>
      <c r="H15" s="84">
        <v>27.99</v>
      </c>
      <c r="I15" s="84"/>
      <c r="J15" s="79">
        <f t="shared" si="2"/>
        <v>23974.655999999999</v>
      </c>
      <c r="K15" s="78">
        <f t="shared" si="3"/>
        <v>22.004716981132077</v>
      </c>
      <c r="L15" s="85">
        <f t="shared" si="4"/>
        <v>527555.52</v>
      </c>
    </row>
    <row r="16" spans="1:13" s="19" customFormat="1" ht="15.75" x14ac:dyDescent="0.25">
      <c r="A16" s="196" t="s">
        <v>9</v>
      </c>
      <c r="B16" s="213">
        <v>14291</v>
      </c>
      <c r="C16" s="198">
        <f t="shared" si="5"/>
        <v>1190.9166666666667</v>
      </c>
      <c r="D16" s="199">
        <f t="shared" si="6"/>
        <v>0.59058148485060524</v>
      </c>
      <c r="E16" s="36">
        <f t="shared" si="0"/>
        <v>3455.4922678608914</v>
      </c>
      <c r="F16" s="200">
        <f t="shared" si="1"/>
        <v>8440</v>
      </c>
      <c r="G16" s="213">
        <v>5851</v>
      </c>
      <c r="H16" s="214">
        <v>9.75</v>
      </c>
      <c r="I16" s="214"/>
      <c r="J16" s="197">
        <f t="shared" si="2"/>
        <v>7442.4719999999998</v>
      </c>
      <c r="K16" s="201">
        <f t="shared" si="3"/>
        <v>7.6650943396226419</v>
      </c>
      <c r="L16" s="203">
        <f t="shared" si="4"/>
        <v>57047.25</v>
      </c>
    </row>
    <row r="17" spans="1:28" s="19" customFormat="1" ht="15.75" x14ac:dyDescent="0.25">
      <c r="A17" s="204" t="s">
        <v>192</v>
      </c>
      <c r="B17" s="205">
        <v>40608</v>
      </c>
      <c r="C17" s="216">
        <f t="shared" si="5"/>
        <v>3384</v>
      </c>
      <c r="D17" s="206">
        <f t="shared" si="6"/>
        <v>0.50795409771473599</v>
      </c>
      <c r="E17" s="55">
        <v>184.29849000000002</v>
      </c>
      <c r="F17" s="207">
        <f t="shared" si="1"/>
        <v>20627</v>
      </c>
      <c r="G17" s="205">
        <v>19981</v>
      </c>
      <c r="H17" s="212">
        <v>6.85</v>
      </c>
      <c r="I17" s="209"/>
      <c r="J17" s="215">
        <f t="shared" si="2"/>
        <v>25415.832000000002</v>
      </c>
      <c r="K17" s="211">
        <f t="shared" si="3"/>
        <v>5.3852201257861632</v>
      </c>
      <c r="L17" s="212">
        <f t="shared" si="4"/>
        <v>136869.85</v>
      </c>
    </row>
    <row r="18" spans="1:28" ht="15.75" x14ac:dyDescent="0.25">
      <c r="A18" s="104" t="s">
        <v>4</v>
      </c>
      <c r="B18" s="97">
        <v>302</v>
      </c>
      <c r="C18" s="128">
        <f t="shared" si="5"/>
        <v>25.166666666666668</v>
      </c>
      <c r="D18" s="90">
        <f t="shared" si="6"/>
        <v>0.14900662251655628</v>
      </c>
      <c r="E18" s="91">
        <f>D18*G18</f>
        <v>38.294701986754966</v>
      </c>
      <c r="F18" s="92">
        <f t="shared" si="1"/>
        <v>44.999999999999993</v>
      </c>
      <c r="G18" s="97">
        <v>257</v>
      </c>
      <c r="H18" s="99">
        <v>2.5499999999999998</v>
      </c>
      <c r="I18" s="99"/>
      <c r="J18" s="89">
        <f t="shared" si="2"/>
        <v>326.904</v>
      </c>
      <c r="K18" s="94">
        <f t="shared" si="3"/>
        <v>2.0047169811320753</v>
      </c>
      <c r="L18" s="96">
        <f t="shared" si="4"/>
        <v>655.34999999999991</v>
      </c>
    </row>
    <row r="19" spans="1:28" ht="15.75" x14ac:dyDescent="0.25">
      <c r="A19" s="105" t="s">
        <v>144</v>
      </c>
      <c r="B19" s="80">
        <v>113</v>
      </c>
      <c r="C19" s="217">
        <f t="shared" si="5"/>
        <v>9.4166666666666661</v>
      </c>
      <c r="D19" s="135"/>
      <c r="E19" s="67">
        <f>D19*G19</f>
        <v>0</v>
      </c>
      <c r="F19" s="82">
        <f t="shared" si="1"/>
        <v>0</v>
      </c>
      <c r="G19" s="80">
        <v>48</v>
      </c>
      <c r="H19" s="84">
        <v>29.47</v>
      </c>
      <c r="I19" s="84"/>
      <c r="J19" s="79">
        <f t="shared" si="2"/>
        <v>61.055999999999997</v>
      </c>
      <c r="K19" s="78">
        <v>0</v>
      </c>
      <c r="L19" s="85">
        <f t="shared" si="4"/>
        <v>1414.56</v>
      </c>
    </row>
    <row r="20" spans="1:28" ht="15.75" x14ac:dyDescent="0.25">
      <c r="A20" s="104" t="s">
        <v>158</v>
      </c>
      <c r="B20" s="89">
        <v>1639</v>
      </c>
      <c r="C20" s="128">
        <f t="shared" si="5"/>
        <v>136.58333333333334</v>
      </c>
      <c r="D20" s="90">
        <f t="shared" si="6"/>
        <v>0.44051250762660155</v>
      </c>
      <c r="E20" s="91">
        <f>D20*G20</f>
        <v>403.94996949359364</v>
      </c>
      <c r="F20" s="92">
        <f t="shared" si="1"/>
        <v>721.99999999999989</v>
      </c>
      <c r="G20" s="89">
        <v>917</v>
      </c>
      <c r="H20" s="91">
        <v>16.77</v>
      </c>
      <c r="I20" s="94"/>
      <c r="J20" s="89">
        <f t="shared" si="2"/>
        <v>1166.424</v>
      </c>
      <c r="K20" s="94">
        <f>(G20*H20)/J20</f>
        <v>13.183962264150944</v>
      </c>
      <c r="L20" s="96">
        <f t="shared" si="4"/>
        <v>15378.09</v>
      </c>
    </row>
    <row r="21" spans="1:28" ht="15.75" x14ac:dyDescent="0.25">
      <c r="A21" s="105" t="s">
        <v>6</v>
      </c>
      <c r="B21" s="80">
        <v>774</v>
      </c>
      <c r="C21" s="217">
        <f t="shared" si="5"/>
        <v>64.5</v>
      </c>
      <c r="D21" s="135">
        <f t="shared" si="6"/>
        <v>0.65762273901808788</v>
      </c>
      <c r="E21" s="67">
        <f>D21*G21</f>
        <v>174.27002583979328</v>
      </c>
      <c r="F21" s="82">
        <f t="shared" si="1"/>
        <v>509</v>
      </c>
      <c r="G21" s="80">
        <v>265</v>
      </c>
      <c r="H21" s="84">
        <v>4.6900000000000004</v>
      </c>
      <c r="I21" s="84"/>
      <c r="J21" s="79">
        <f t="shared" si="2"/>
        <v>337.08</v>
      </c>
      <c r="K21" s="78">
        <f>(G21*H21)/J21</f>
        <v>3.6871069182389942</v>
      </c>
      <c r="L21" s="85">
        <f t="shared" si="4"/>
        <v>1242.8500000000001</v>
      </c>
    </row>
    <row r="22" spans="1:28" s="228" customFormat="1" ht="15.75" x14ac:dyDescent="0.25">
      <c r="A22" s="218" t="s">
        <v>24</v>
      </c>
      <c r="B22" s="219">
        <v>479</v>
      </c>
      <c r="C22" s="220">
        <f t="shared" si="5"/>
        <v>39.916666666666664</v>
      </c>
      <c r="D22" s="221"/>
      <c r="E22" s="222"/>
      <c r="F22" s="223"/>
      <c r="G22" s="219">
        <v>273</v>
      </c>
      <c r="H22" s="224"/>
      <c r="I22" s="224"/>
      <c r="J22" s="225">
        <f t="shared" si="2"/>
        <v>347.25600000000003</v>
      </c>
      <c r="K22" s="226"/>
      <c r="L22" s="227"/>
      <c r="M22"/>
      <c r="N22"/>
      <c r="O22"/>
      <c r="P22"/>
      <c r="Q22"/>
      <c r="R22"/>
      <c r="S22"/>
      <c r="T22"/>
      <c r="U22"/>
      <c r="V22"/>
      <c r="W22"/>
      <c r="X22"/>
      <c r="Y22"/>
      <c r="Z22"/>
      <c r="AA22"/>
      <c r="AB22"/>
    </row>
    <row r="23" spans="1:28" s="19" customFormat="1" ht="15.75" x14ac:dyDescent="0.25">
      <c r="A23" s="204" t="s">
        <v>193</v>
      </c>
      <c r="B23" s="205">
        <v>4626</v>
      </c>
      <c r="C23" s="216">
        <f t="shared" si="5"/>
        <v>385.5</v>
      </c>
      <c r="D23" s="206"/>
      <c r="E23" s="55"/>
      <c r="F23" s="207"/>
      <c r="G23" s="205">
        <v>2521</v>
      </c>
      <c r="H23" s="209">
        <v>30.01</v>
      </c>
      <c r="I23" s="209"/>
      <c r="J23" s="215">
        <f t="shared" si="2"/>
        <v>3206.712</v>
      </c>
      <c r="K23" s="211"/>
      <c r="L23" s="212">
        <f t="shared" ref="L23:L28" si="7">G23*H23</f>
        <v>75655.210000000006</v>
      </c>
    </row>
    <row r="24" spans="1:28" s="239" customFormat="1" ht="15.75" x14ac:dyDescent="0.25">
      <c r="A24" s="229" t="s">
        <v>194</v>
      </c>
      <c r="B24" s="230">
        <v>1416</v>
      </c>
      <c r="C24" s="231">
        <f t="shared" si="5"/>
        <v>118</v>
      </c>
      <c r="D24" s="232"/>
      <c r="E24" s="233"/>
      <c r="F24" s="234"/>
      <c r="G24" s="230">
        <v>693</v>
      </c>
      <c r="H24" s="235">
        <v>21.98</v>
      </c>
      <c r="I24" s="235"/>
      <c r="J24" s="236">
        <f t="shared" si="2"/>
        <v>881.49599999999998</v>
      </c>
      <c r="K24" s="237"/>
      <c r="L24" s="238">
        <f t="shared" si="7"/>
        <v>15232.14</v>
      </c>
      <c r="M24" s="19"/>
      <c r="N24" s="19"/>
      <c r="O24" s="19"/>
      <c r="P24" s="19"/>
      <c r="Q24" s="19"/>
      <c r="R24" s="19"/>
      <c r="S24" s="19"/>
      <c r="T24" s="19"/>
      <c r="U24" s="19"/>
      <c r="V24" s="19"/>
      <c r="W24" s="19"/>
      <c r="X24" s="19"/>
      <c r="Y24" s="19"/>
      <c r="Z24" s="19"/>
      <c r="AA24" s="19"/>
      <c r="AB24" s="19"/>
    </row>
    <row r="25" spans="1:28" ht="15.75" x14ac:dyDescent="0.25">
      <c r="A25" s="105" t="s">
        <v>195</v>
      </c>
      <c r="B25" s="80">
        <v>6853</v>
      </c>
      <c r="C25" s="217">
        <f t="shared" si="5"/>
        <v>571.08333333333337</v>
      </c>
      <c r="D25" s="135"/>
      <c r="E25" s="67"/>
      <c r="F25" s="82"/>
      <c r="G25" s="80">
        <v>5761</v>
      </c>
      <c r="H25" s="84">
        <v>19.52</v>
      </c>
      <c r="I25" s="84"/>
      <c r="J25" s="79">
        <f t="shared" si="2"/>
        <v>7327.9920000000002</v>
      </c>
      <c r="K25" s="78"/>
      <c r="L25" s="85">
        <f t="shared" si="7"/>
        <v>112454.72</v>
      </c>
    </row>
    <row r="26" spans="1:28" s="239" customFormat="1" ht="15.75" x14ac:dyDescent="0.25">
      <c r="A26" s="229" t="s">
        <v>196</v>
      </c>
      <c r="B26" s="230">
        <v>4058</v>
      </c>
      <c r="C26" s="231">
        <f t="shared" si="5"/>
        <v>338.16666666666669</v>
      </c>
      <c r="D26" s="232"/>
      <c r="E26" s="233"/>
      <c r="F26" s="234"/>
      <c r="G26" s="230">
        <v>1617</v>
      </c>
      <c r="H26" s="235">
        <v>27.99</v>
      </c>
      <c r="I26" s="235"/>
      <c r="J26" s="236">
        <f t="shared" si="2"/>
        <v>2056.8240000000001</v>
      </c>
      <c r="K26" s="237"/>
      <c r="L26" s="238">
        <f t="shared" si="7"/>
        <v>45259.829999999994</v>
      </c>
      <c r="M26" s="19"/>
      <c r="N26" s="19"/>
      <c r="O26" s="19"/>
      <c r="P26" s="19"/>
      <c r="Q26" s="19"/>
      <c r="R26" s="19"/>
      <c r="S26" s="19"/>
      <c r="T26" s="19"/>
      <c r="U26" s="19"/>
      <c r="V26" s="19"/>
      <c r="W26" s="19"/>
      <c r="X26" s="19"/>
      <c r="Y26" s="19"/>
      <c r="Z26" s="19"/>
      <c r="AA26" s="19"/>
      <c r="AB26" s="19"/>
    </row>
    <row r="27" spans="1:28" s="19" customFormat="1" ht="16.5" thickBot="1" x14ac:dyDescent="0.3">
      <c r="A27" s="240" t="s">
        <v>148</v>
      </c>
      <c r="B27" s="241">
        <v>1328</v>
      </c>
      <c r="C27" s="246">
        <f t="shared" si="5"/>
        <v>110.66666666666667</v>
      </c>
      <c r="D27" s="242"/>
      <c r="E27" s="243"/>
      <c r="F27" s="207">
        <f t="shared" si="1"/>
        <v>0</v>
      </c>
      <c r="G27" s="241">
        <v>581</v>
      </c>
      <c r="H27" s="244">
        <v>23.83</v>
      </c>
      <c r="I27" s="245"/>
      <c r="J27" s="241">
        <f t="shared" si="2"/>
        <v>739.03200000000004</v>
      </c>
      <c r="K27" s="245">
        <v>0</v>
      </c>
      <c r="L27" s="244">
        <f t="shared" si="7"/>
        <v>13845.23</v>
      </c>
    </row>
    <row r="28" spans="1:28" x14ac:dyDescent="0.2">
      <c r="B28" s="80">
        <f>SUM(B4:B27)</f>
        <v>522232</v>
      </c>
      <c r="C28" s="80">
        <f>B28/6</f>
        <v>87038.666666666672</v>
      </c>
      <c r="D28" s="81">
        <f>F28/B28</f>
        <v>0.43592484259869174</v>
      </c>
      <c r="E28" s="87">
        <f>SUM(E4:E27)</f>
        <v>112347.69086627617</v>
      </c>
      <c r="F28" s="87">
        <f>SUM(F4:F27)</f>
        <v>227653.90239999999</v>
      </c>
      <c r="G28" s="33">
        <f>SUM(G4:G27)</f>
        <v>287198</v>
      </c>
      <c r="H28" s="84">
        <v>22.19</v>
      </c>
      <c r="I28" s="84"/>
      <c r="J28" s="33">
        <f>SUM(J4:J27)</f>
        <v>365315.85600000003</v>
      </c>
      <c r="K28" s="78">
        <f>(G28*H28)/J28</f>
        <v>17.44496855345912</v>
      </c>
      <c r="L28" s="107">
        <f t="shared" si="7"/>
        <v>6372923.6200000001</v>
      </c>
    </row>
    <row r="31" spans="1:28" x14ac:dyDescent="0.2">
      <c r="A31" s="247" t="s">
        <v>235</v>
      </c>
      <c r="B31" s="248">
        <f>B4+B5+B7+B8+B12+B16+B17+B23+B24+B26+B27</f>
        <v>325527</v>
      </c>
      <c r="D31" s="1">
        <f>B31/B28</f>
        <v>0.62333790346053097</v>
      </c>
    </row>
    <row r="32" spans="1:28" x14ac:dyDescent="0.2">
      <c r="A32" s="40" t="s">
        <v>165</v>
      </c>
      <c r="B32" s="41">
        <f>B28-B31</f>
        <v>196705</v>
      </c>
      <c r="D32" s="1">
        <f>B32/B28</f>
        <v>0.37666209653946903</v>
      </c>
    </row>
  </sheetData>
  <sortState xmlns:xlrd2="http://schemas.microsoft.com/office/spreadsheetml/2017/richdata2" ref="A4:L22">
    <sortCondition descending="1" ref="B4:B22"/>
  </sortState>
  <pageMargins left="0.7" right="0.7" top="0.75" bottom="0.75" header="0.3" footer="0.3"/>
  <pageSetup scale="5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06E00-04B5-4850-8E57-C14F6887D297}">
  <dimension ref="A1:N35"/>
  <sheetViews>
    <sheetView workbookViewId="0">
      <selection activeCell="F7" sqref="F7"/>
    </sheetView>
  </sheetViews>
  <sheetFormatPr defaultRowHeight="14.25" x14ac:dyDescent="0.2"/>
  <cols>
    <col min="1" max="1" width="32.625" customWidth="1"/>
    <col min="2" max="2" width="10.875" bestFit="1" customWidth="1"/>
  </cols>
  <sheetData>
    <row r="1" spans="1:14" s="5" customFormat="1" ht="15" thickBot="1" x14ac:dyDescent="0.25">
      <c r="A1" s="185" t="s">
        <v>191</v>
      </c>
      <c r="B1" s="186" t="s">
        <v>19</v>
      </c>
      <c r="C1" s="186" t="s">
        <v>29</v>
      </c>
      <c r="D1" s="5" t="s">
        <v>200</v>
      </c>
    </row>
    <row r="2" spans="1:14" s="181" customFormat="1" ht="15.75" x14ac:dyDescent="0.25">
      <c r="A2" s="179" t="s">
        <v>8</v>
      </c>
      <c r="B2" s="182">
        <v>113496</v>
      </c>
      <c r="C2" s="182">
        <v>56815</v>
      </c>
      <c r="D2" s="181" t="s">
        <v>232</v>
      </c>
    </row>
    <row r="3" spans="1:14" ht="15.75" x14ac:dyDescent="0.25">
      <c r="A3" s="105" t="s">
        <v>11</v>
      </c>
      <c r="B3" s="80">
        <v>62329</v>
      </c>
      <c r="C3" s="33">
        <v>34071</v>
      </c>
      <c r="D3" t="s">
        <v>201</v>
      </c>
    </row>
    <row r="4" spans="1:14" s="181" customFormat="1" ht="15.75" x14ac:dyDescent="0.25">
      <c r="A4" s="179" t="s">
        <v>14</v>
      </c>
      <c r="B4" s="180">
        <v>23529</v>
      </c>
      <c r="C4" s="180">
        <v>13477</v>
      </c>
      <c r="D4" s="181" t="s">
        <v>202</v>
      </c>
    </row>
    <row r="5" spans="1:14" ht="15.75" x14ac:dyDescent="0.25">
      <c r="A5" s="105" t="s">
        <v>51</v>
      </c>
      <c r="B5" s="80">
        <v>34032</v>
      </c>
      <c r="C5" s="80">
        <v>18781</v>
      </c>
      <c r="D5" t="s">
        <v>203</v>
      </c>
    </row>
    <row r="6" spans="1:14" s="181" customFormat="1" ht="15.75" x14ac:dyDescent="0.25">
      <c r="A6" s="179" t="s">
        <v>0</v>
      </c>
      <c r="B6" s="180">
        <v>25814</v>
      </c>
      <c r="C6" s="180">
        <v>13276</v>
      </c>
      <c r="D6" s="181" t="s">
        <v>204</v>
      </c>
    </row>
    <row r="7" spans="1:14" ht="15.75" x14ac:dyDescent="0.25">
      <c r="A7" s="105" t="s">
        <v>9</v>
      </c>
      <c r="B7" s="80">
        <v>14291</v>
      </c>
      <c r="C7" s="80">
        <v>5851</v>
      </c>
      <c r="D7" t="s">
        <v>222</v>
      </c>
    </row>
    <row r="8" spans="1:14" s="181" customFormat="1" ht="15.75" x14ac:dyDescent="0.25">
      <c r="A8" s="179" t="s">
        <v>192</v>
      </c>
      <c r="B8" s="180">
        <v>40608</v>
      </c>
      <c r="C8" s="180">
        <v>19982</v>
      </c>
      <c r="D8" s="181" t="s">
        <v>231</v>
      </c>
    </row>
    <row r="9" spans="1:14" ht="15.75" x14ac:dyDescent="0.25">
      <c r="A9" s="105" t="s">
        <v>193</v>
      </c>
      <c r="B9" s="80">
        <v>4626</v>
      </c>
      <c r="C9" s="80">
        <v>2521</v>
      </c>
      <c r="D9" t="s">
        <v>205</v>
      </c>
    </row>
    <row r="10" spans="1:14" s="181" customFormat="1" ht="15.75" x14ac:dyDescent="0.25">
      <c r="A10" s="179" t="s">
        <v>194</v>
      </c>
      <c r="B10" s="180">
        <v>1416</v>
      </c>
      <c r="C10" s="180">
        <v>693</v>
      </c>
      <c r="D10" s="181" t="s">
        <v>206</v>
      </c>
    </row>
    <row r="11" spans="1:14" ht="15.75" x14ac:dyDescent="0.25">
      <c r="A11" s="105" t="s">
        <v>196</v>
      </c>
      <c r="B11" s="80">
        <v>4058</v>
      </c>
      <c r="C11" s="80">
        <v>1617</v>
      </c>
      <c r="D11" t="s">
        <v>207</v>
      </c>
    </row>
    <row r="12" spans="1:14" s="181" customFormat="1" ht="16.5" thickBot="1" x14ac:dyDescent="0.3">
      <c r="A12" s="183" t="s">
        <v>148</v>
      </c>
      <c r="B12" s="184">
        <v>1328</v>
      </c>
      <c r="C12" s="184">
        <v>581</v>
      </c>
      <c r="D12" s="187" t="s">
        <v>208</v>
      </c>
      <c r="E12" s="187"/>
      <c r="F12" s="187"/>
      <c r="G12" s="187"/>
      <c r="H12" s="187"/>
      <c r="I12" s="187"/>
      <c r="J12" s="187"/>
      <c r="K12" s="187"/>
      <c r="L12" s="187"/>
      <c r="M12" s="187"/>
      <c r="N12" s="187"/>
    </row>
    <row r="13" spans="1:14" ht="15.75" x14ac:dyDescent="0.25">
      <c r="A13" s="105"/>
      <c r="B13" s="134"/>
      <c r="C13" s="134"/>
    </row>
    <row r="14" spans="1:14" s="181" customFormat="1" ht="15.75" x14ac:dyDescent="0.25">
      <c r="A14" s="179" t="s">
        <v>13</v>
      </c>
      <c r="B14" s="180">
        <v>49183</v>
      </c>
      <c r="C14" s="180">
        <v>27770</v>
      </c>
      <c r="D14" s="181" t="s">
        <v>211</v>
      </c>
    </row>
    <row r="15" spans="1:14" ht="15.75" x14ac:dyDescent="0.25">
      <c r="A15" s="105" t="s">
        <v>16</v>
      </c>
      <c r="B15" s="80">
        <v>14729</v>
      </c>
      <c r="C15" s="80">
        <v>7977</v>
      </c>
      <c r="D15" t="s">
        <v>209</v>
      </c>
    </row>
    <row r="16" spans="1:14" s="181" customFormat="1" ht="15.75" x14ac:dyDescent="0.25">
      <c r="A16" s="179" t="s">
        <v>5</v>
      </c>
      <c r="B16" s="180">
        <v>23404</v>
      </c>
      <c r="C16" s="180">
        <v>16503</v>
      </c>
      <c r="D16" s="181" t="s">
        <v>210</v>
      </c>
    </row>
    <row r="17" spans="1:5" ht="15.75" x14ac:dyDescent="0.25">
      <c r="A17" s="105" t="s">
        <v>15</v>
      </c>
      <c r="B17" s="134">
        <v>26301</v>
      </c>
      <c r="C17" s="80">
        <v>14938</v>
      </c>
      <c r="D17" t="s">
        <v>213</v>
      </c>
    </row>
    <row r="18" spans="1:5" s="181" customFormat="1" ht="15.75" x14ac:dyDescent="0.25">
      <c r="A18" s="179" t="s">
        <v>136</v>
      </c>
      <c r="B18" s="180">
        <v>23786</v>
      </c>
      <c r="C18" s="180">
        <v>14152</v>
      </c>
      <c r="D18" s="181" t="s">
        <v>214</v>
      </c>
    </row>
    <row r="19" spans="1:5" ht="15.75" x14ac:dyDescent="0.25">
      <c r="A19" s="105" t="s">
        <v>2</v>
      </c>
      <c r="B19" s="80">
        <v>23609</v>
      </c>
      <c r="C19" s="80">
        <v>11825</v>
      </c>
      <c r="D19" t="s">
        <v>215</v>
      </c>
    </row>
    <row r="20" spans="1:5" s="181" customFormat="1" ht="15.75" x14ac:dyDescent="0.25">
      <c r="A20" s="179" t="s">
        <v>199</v>
      </c>
      <c r="B20" s="180">
        <v>25592</v>
      </c>
      <c r="C20" s="180">
        <v>18848</v>
      </c>
      <c r="D20" s="181" t="s">
        <v>216</v>
      </c>
    </row>
    <row r="21" spans="1:5" ht="15.75" x14ac:dyDescent="0.25">
      <c r="A21" s="105" t="s">
        <v>223</v>
      </c>
      <c r="B21" s="80">
        <v>6853</v>
      </c>
      <c r="C21" s="80">
        <v>5762</v>
      </c>
      <c r="D21" t="s">
        <v>224</v>
      </c>
    </row>
    <row r="22" spans="1:5" s="181" customFormat="1" ht="15.75" x14ac:dyDescent="0.25">
      <c r="A22" s="179" t="s">
        <v>225</v>
      </c>
      <c r="B22" s="180">
        <v>2639</v>
      </c>
      <c r="C22" s="180">
        <v>1314</v>
      </c>
      <c r="D22" s="181" t="s">
        <v>226</v>
      </c>
    </row>
    <row r="23" spans="1:5" ht="15.75" x14ac:dyDescent="0.25">
      <c r="A23" s="105" t="s">
        <v>24</v>
      </c>
      <c r="B23" s="80">
        <v>479</v>
      </c>
      <c r="C23" s="80">
        <v>273</v>
      </c>
      <c r="D23" t="s">
        <v>227</v>
      </c>
    </row>
    <row r="24" spans="1:5" s="181" customFormat="1" ht="15.75" x14ac:dyDescent="0.25">
      <c r="A24" s="179" t="s">
        <v>140</v>
      </c>
      <c r="B24" s="180">
        <v>0</v>
      </c>
      <c r="C24" s="180">
        <v>0</v>
      </c>
      <c r="D24" s="181" t="s">
        <v>217</v>
      </c>
    </row>
    <row r="25" spans="1:5" ht="15.75" x14ac:dyDescent="0.25">
      <c r="A25" s="105" t="s">
        <v>139</v>
      </c>
      <c r="B25" s="80">
        <v>0</v>
      </c>
      <c r="C25" s="80">
        <v>0</v>
      </c>
      <c r="D25" t="s">
        <v>217</v>
      </c>
    </row>
    <row r="26" spans="1:5" s="181" customFormat="1" ht="15.75" x14ac:dyDescent="0.25">
      <c r="A26" s="179" t="s">
        <v>4</v>
      </c>
      <c r="B26" s="180">
        <v>302</v>
      </c>
      <c r="C26" s="180">
        <v>257</v>
      </c>
      <c r="D26" s="181" t="s">
        <v>218</v>
      </c>
    </row>
    <row r="27" spans="1:5" ht="15.75" x14ac:dyDescent="0.25">
      <c r="A27" s="105" t="s">
        <v>144</v>
      </c>
      <c r="B27" s="80">
        <v>113</v>
      </c>
      <c r="C27" s="80">
        <v>48</v>
      </c>
      <c r="D27" t="s">
        <v>219</v>
      </c>
    </row>
    <row r="28" spans="1:5" s="181" customFormat="1" ht="15.75" x14ac:dyDescent="0.25">
      <c r="A28" s="179" t="s">
        <v>158</v>
      </c>
      <c r="B28" s="182">
        <v>1639</v>
      </c>
      <c r="C28" s="182">
        <v>917</v>
      </c>
      <c r="D28" s="181" t="s">
        <v>220</v>
      </c>
    </row>
    <row r="29" spans="1:5" ht="15.75" x14ac:dyDescent="0.25">
      <c r="A29" s="105" t="s">
        <v>6</v>
      </c>
      <c r="B29" s="80">
        <v>774</v>
      </c>
      <c r="C29" s="80">
        <v>265</v>
      </c>
      <c r="D29" t="s">
        <v>221</v>
      </c>
    </row>
    <row r="31" spans="1:5" x14ac:dyDescent="0.2">
      <c r="A31" s="188" t="s">
        <v>229</v>
      </c>
      <c r="B31" s="189">
        <f>SUM(B2:B12)</f>
        <v>325527</v>
      </c>
      <c r="C31" s="189">
        <f>SUM(C2:C12)</f>
        <v>167665</v>
      </c>
      <c r="D31" s="190">
        <f>B31/B33</f>
        <v>0.62013411311984457</v>
      </c>
      <c r="E31" s="1"/>
    </row>
    <row r="32" spans="1:5" x14ac:dyDescent="0.2">
      <c r="A32" s="188" t="s">
        <v>230</v>
      </c>
      <c r="B32" s="194">
        <f>SUM(B14:B29)</f>
        <v>199403</v>
      </c>
      <c r="C32" s="194">
        <f>SUM(C14:C29)</f>
        <v>120849</v>
      </c>
      <c r="D32" s="195">
        <f>B32/B33</f>
        <v>0.37986588688015543</v>
      </c>
      <c r="E32" s="1"/>
    </row>
    <row r="33" spans="1:4" x14ac:dyDescent="0.2">
      <c r="A33" s="188"/>
      <c r="B33" s="191">
        <f>SUM(B2:B29)</f>
        <v>524930</v>
      </c>
      <c r="C33" s="191">
        <f>SUM(C2:C29)</f>
        <v>288514</v>
      </c>
      <c r="D33" s="188"/>
    </row>
    <row r="34" spans="1:4" x14ac:dyDescent="0.2">
      <c r="A34" s="140" t="s">
        <v>212</v>
      </c>
      <c r="B34" s="192">
        <v>21.76</v>
      </c>
      <c r="C34" s="192">
        <v>11.97</v>
      </c>
      <c r="D34" s="188"/>
    </row>
    <row r="35" spans="1:4" x14ac:dyDescent="0.2">
      <c r="A35" s="140" t="s">
        <v>228</v>
      </c>
      <c r="B35" s="193">
        <f>C33*1.272</f>
        <v>366989.80800000002</v>
      </c>
      <c r="C35" s="192">
        <f>((C33*B34)/B35)</f>
        <v>17.10691823899371</v>
      </c>
      <c r="D35" s="18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
  <sheetViews>
    <sheetView zoomScaleNormal="100" zoomScaleSheetLayoutView="100" workbookViewId="0">
      <selection activeCell="G27" sqref="G27"/>
    </sheetView>
  </sheetViews>
  <sheetFormatPr defaultRowHeight="14.25" x14ac:dyDescent="0.2"/>
  <cols>
    <col min="1" max="1" width="26.625" customWidth="1"/>
    <col min="4" max="4" width="13" hidden="1" customWidth="1"/>
    <col min="7" max="7" width="9.5" customWidth="1"/>
    <col min="9" max="9" width="13.625" customWidth="1"/>
    <col min="10" max="10" width="10.375" customWidth="1"/>
    <col min="13" max="13" width="13.875" customWidth="1"/>
    <col min="16" max="16" width="11.75" customWidth="1"/>
  </cols>
  <sheetData>
    <row r="1" spans="1:16" x14ac:dyDescent="0.2">
      <c r="B1" t="s">
        <v>112</v>
      </c>
      <c r="C1">
        <v>21</v>
      </c>
      <c r="L1" s="57" t="s">
        <v>22</v>
      </c>
      <c r="M1" s="57" t="s">
        <v>23</v>
      </c>
    </row>
    <row r="2" spans="1:16" ht="15" thickBot="1" x14ac:dyDescent="0.25">
      <c r="A2" s="19" t="s">
        <v>39</v>
      </c>
      <c r="B2" t="s">
        <v>65</v>
      </c>
      <c r="C2" t="s">
        <v>137</v>
      </c>
      <c r="I2" s="2" t="s">
        <v>102</v>
      </c>
      <c r="L2" s="58">
        <f>(C1-H27)/22</f>
        <v>0.90909090909090906</v>
      </c>
      <c r="M2" s="58">
        <f>I23/B23</f>
        <v>0.775609756097561</v>
      </c>
      <c r="N2" s="17">
        <f>M2-L2</f>
        <v>-0.13348115299334806</v>
      </c>
      <c r="O2" s="36" t="s">
        <v>44</v>
      </c>
      <c r="P2" s="36"/>
    </row>
    <row r="3" spans="1:16" ht="15" thickBot="1" x14ac:dyDescent="0.25">
      <c r="A3" s="11" t="s">
        <v>107</v>
      </c>
      <c r="B3" s="12" t="s">
        <v>19</v>
      </c>
      <c r="C3" s="12" t="s">
        <v>30</v>
      </c>
      <c r="D3" s="12"/>
      <c r="E3" s="12" t="s">
        <v>29</v>
      </c>
      <c r="F3" s="12" t="s">
        <v>28</v>
      </c>
      <c r="G3" s="12" t="s">
        <v>27</v>
      </c>
      <c r="H3" s="12" t="s">
        <v>29</v>
      </c>
      <c r="I3" s="64"/>
      <c r="J3" s="12" t="s">
        <v>20</v>
      </c>
      <c r="K3" s="12" t="s">
        <v>21</v>
      </c>
      <c r="L3" s="12" t="s">
        <v>25</v>
      </c>
      <c r="M3" s="12" t="s">
        <v>26</v>
      </c>
      <c r="N3" s="12"/>
      <c r="O3" s="51" t="s">
        <v>28</v>
      </c>
      <c r="P3" s="51" t="s">
        <v>43</v>
      </c>
    </row>
    <row r="4" spans="1:16" ht="15" thickTop="1" x14ac:dyDescent="0.2">
      <c r="A4" t="s">
        <v>0</v>
      </c>
      <c r="B4" s="60">
        <v>1500</v>
      </c>
      <c r="C4" s="39">
        <v>0.29239999999999999</v>
      </c>
      <c r="D4">
        <f>C4*E4</f>
        <v>128.24663999999999</v>
      </c>
      <c r="E4">
        <f t="shared" ref="E4:E22" si="0">B4*C4</f>
        <v>438.59999999999997</v>
      </c>
      <c r="F4">
        <f>1-C4</f>
        <v>0.70760000000000001</v>
      </c>
      <c r="G4" s="15">
        <f>B4/C1</f>
        <v>71.428571428571431</v>
      </c>
      <c r="H4" s="15">
        <f t="shared" ref="H4:H22" si="1">B4*F4</f>
        <v>1061.4000000000001</v>
      </c>
      <c r="I4" s="2">
        <v>1030</v>
      </c>
      <c r="J4">
        <f t="shared" ref="J4:J23" si="2">I4-B4</f>
        <v>-470</v>
      </c>
      <c r="K4" s="1">
        <f t="shared" ref="K4:K21" si="3">I4/B4</f>
        <v>0.68666666666666665</v>
      </c>
      <c r="L4" s="8">
        <v>23.67</v>
      </c>
      <c r="M4" s="8">
        <f t="shared" ref="M4:M22" si="4">(B4*F4)*L4</f>
        <v>25123.338000000003</v>
      </c>
      <c r="O4" s="42">
        <f>I4*F4</f>
        <v>728.82799999999997</v>
      </c>
      <c r="P4" s="22">
        <f>(I4*F4)*L4</f>
        <v>17251.358759999999</v>
      </c>
    </row>
    <row r="5" spans="1:16" x14ac:dyDescent="0.2">
      <c r="A5" t="s">
        <v>17</v>
      </c>
      <c r="B5" s="60">
        <v>3200</v>
      </c>
      <c r="C5" s="39"/>
      <c r="D5">
        <v>184.29849000000002</v>
      </c>
      <c r="E5">
        <v>429.3</v>
      </c>
      <c r="F5">
        <v>0.57069999999999999</v>
      </c>
      <c r="G5" s="15">
        <f>B5/C1</f>
        <v>152.38095238095238</v>
      </c>
      <c r="H5" s="15">
        <v>570.69999999999993</v>
      </c>
      <c r="I5" s="2">
        <v>780</v>
      </c>
      <c r="J5">
        <v>-334</v>
      </c>
      <c r="K5" s="1">
        <f t="shared" si="3"/>
        <v>0.24374999999999999</v>
      </c>
      <c r="L5" s="8">
        <v>18.98</v>
      </c>
      <c r="M5" s="8">
        <v>10843.3</v>
      </c>
      <c r="O5" s="42">
        <f>I5*F5</f>
        <v>445.14600000000002</v>
      </c>
      <c r="P5" s="22">
        <f>(I5*F5)*L5</f>
        <v>8448.8710800000008</v>
      </c>
    </row>
    <row r="6" spans="1:16" x14ac:dyDescent="0.2">
      <c r="A6" t="s">
        <v>1</v>
      </c>
      <c r="B6" s="60">
        <v>3500</v>
      </c>
      <c r="C6" s="39">
        <v>0.3337</v>
      </c>
      <c r="D6">
        <f t="shared" ref="D6:D21" si="5">C6*E6</f>
        <v>389.74491499999999</v>
      </c>
      <c r="E6">
        <f t="shared" si="0"/>
        <v>1167.95</v>
      </c>
      <c r="F6">
        <f t="shared" ref="F6:F22" si="6">1-C6</f>
        <v>0.6663</v>
      </c>
      <c r="G6" s="15">
        <f>B6/C1</f>
        <v>166.66666666666666</v>
      </c>
      <c r="H6" s="15">
        <f t="shared" si="1"/>
        <v>2332.0500000000002</v>
      </c>
      <c r="I6" s="2">
        <v>1110</v>
      </c>
      <c r="J6">
        <f t="shared" si="2"/>
        <v>-2390</v>
      </c>
      <c r="K6" s="1">
        <f t="shared" si="3"/>
        <v>0.31714285714285712</v>
      </c>
      <c r="L6" s="9">
        <v>28</v>
      </c>
      <c r="M6" s="8">
        <f t="shared" si="4"/>
        <v>65297.400000000009</v>
      </c>
      <c r="O6" s="42">
        <f t="shared" ref="O6:O22" si="7">I6*F6</f>
        <v>739.59299999999996</v>
      </c>
      <c r="P6" s="22">
        <f t="shared" ref="P6:P22" si="8">(I6*F6)*L6</f>
        <v>20708.603999999999</v>
      </c>
    </row>
    <row r="7" spans="1:16" x14ac:dyDescent="0.2">
      <c r="A7" t="s">
        <v>2</v>
      </c>
      <c r="B7" s="60">
        <v>1500</v>
      </c>
      <c r="C7" s="39">
        <v>0.41920000000000002</v>
      </c>
      <c r="D7">
        <f t="shared" si="5"/>
        <v>263.59296000000006</v>
      </c>
      <c r="E7">
        <f t="shared" si="0"/>
        <v>628.80000000000007</v>
      </c>
      <c r="F7">
        <f t="shared" si="6"/>
        <v>0.58079999999999998</v>
      </c>
      <c r="G7" s="15">
        <f>B7/C1</f>
        <v>71.428571428571431</v>
      </c>
      <c r="H7" s="15">
        <f t="shared" si="1"/>
        <v>871.19999999999993</v>
      </c>
      <c r="I7" s="2">
        <v>1487</v>
      </c>
      <c r="J7">
        <f t="shared" si="2"/>
        <v>-13</v>
      </c>
      <c r="K7" s="1">
        <f t="shared" si="3"/>
        <v>0.99133333333333329</v>
      </c>
      <c r="L7" s="9">
        <v>23.46</v>
      </c>
      <c r="M7" s="8">
        <f t="shared" si="4"/>
        <v>20438.351999999999</v>
      </c>
      <c r="O7" s="42">
        <f t="shared" si="7"/>
        <v>863.64959999999996</v>
      </c>
      <c r="P7" s="22">
        <f t="shared" si="8"/>
        <v>20261.219615999998</v>
      </c>
    </row>
    <row r="8" spans="1:16" x14ac:dyDescent="0.2">
      <c r="A8" t="s">
        <v>136</v>
      </c>
      <c r="B8" s="60">
        <v>1600</v>
      </c>
      <c r="C8" s="39">
        <v>0.33500000000000002</v>
      </c>
      <c r="D8">
        <f t="shared" si="5"/>
        <v>179.56</v>
      </c>
      <c r="E8">
        <f t="shared" si="0"/>
        <v>536</v>
      </c>
      <c r="F8">
        <f t="shared" si="6"/>
        <v>0.66500000000000004</v>
      </c>
      <c r="G8" s="15">
        <f>B8/C1</f>
        <v>76.19047619047619</v>
      </c>
      <c r="H8" s="15">
        <f t="shared" si="1"/>
        <v>1064</v>
      </c>
      <c r="I8" s="2">
        <v>1830</v>
      </c>
      <c r="J8">
        <f t="shared" si="2"/>
        <v>230</v>
      </c>
      <c r="K8" s="1">
        <f t="shared" si="3"/>
        <v>1.14375</v>
      </c>
      <c r="L8" s="9">
        <v>23.09</v>
      </c>
      <c r="M8" s="8">
        <f t="shared" si="4"/>
        <v>24567.759999999998</v>
      </c>
      <c r="O8" s="42">
        <f t="shared" si="7"/>
        <v>1216.95</v>
      </c>
      <c r="P8" s="22">
        <f t="shared" si="8"/>
        <v>28099.375500000002</v>
      </c>
    </row>
    <row r="9" spans="1:16" x14ac:dyDescent="0.2">
      <c r="A9" t="s">
        <v>5</v>
      </c>
      <c r="B9" s="60">
        <v>2400</v>
      </c>
      <c r="C9" s="39">
        <v>0.39200000000000002</v>
      </c>
      <c r="D9">
        <f t="shared" si="5"/>
        <v>368.79360000000003</v>
      </c>
      <c r="E9">
        <f t="shared" si="0"/>
        <v>940.80000000000007</v>
      </c>
      <c r="F9">
        <f>1-C9</f>
        <v>0.60799999999999998</v>
      </c>
      <c r="G9" s="15">
        <f>B9/C1</f>
        <v>114.28571428571429</v>
      </c>
      <c r="H9" s="15">
        <f t="shared" si="1"/>
        <v>1459.2</v>
      </c>
      <c r="I9" s="2">
        <v>2653</v>
      </c>
      <c r="J9">
        <f t="shared" si="2"/>
        <v>253</v>
      </c>
      <c r="K9" s="1">
        <f t="shared" si="3"/>
        <v>1.1054166666666667</v>
      </c>
      <c r="L9" s="9">
        <v>11.99</v>
      </c>
      <c r="M9" s="8">
        <f t="shared" si="4"/>
        <v>17495.808000000001</v>
      </c>
      <c r="O9" s="42">
        <f>I9*F9</f>
        <v>1613.0239999999999</v>
      </c>
      <c r="P9" s="22">
        <f>(I9*F9)*L9</f>
        <v>19340.157759999998</v>
      </c>
    </row>
    <row r="10" spans="1:16" x14ac:dyDescent="0.2">
      <c r="A10" t="s">
        <v>4</v>
      </c>
      <c r="B10" s="60">
        <v>100</v>
      </c>
      <c r="C10" s="39">
        <v>0.16370000000000001</v>
      </c>
      <c r="D10">
        <f t="shared" si="5"/>
        <v>2.6797690000000003</v>
      </c>
      <c r="E10">
        <f t="shared" si="0"/>
        <v>16.37</v>
      </c>
      <c r="F10">
        <f t="shared" si="6"/>
        <v>0.83630000000000004</v>
      </c>
      <c r="G10" s="15">
        <f>B10/C1</f>
        <v>4.7619047619047619</v>
      </c>
      <c r="H10" s="15">
        <f t="shared" si="1"/>
        <v>83.63000000000001</v>
      </c>
      <c r="I10" s="2">
        <v>152</v>
      </c>
      <c r="J10">
        <f t="shared" si="2"/>
        <v>52</v>
      </c>
      <c r="K10" s="1">
        <f t="shared" si="3"/>
        <v>1.52</v>
      </c>
      <c r="L10" s="9">
        <v>0</v>
      </c>
      <c r="M10" s="8">
        <f t="shared" si="4"/>
        <v>0</v>
      </c>
      <c r="O10" s="42">
        <f t="shared" si="7"/>
        <v>127.11760000000001</v>
      </c>
      <c r="P10" s="22">
        <f t="shared" si="8"/>
        <v>0</v>
      </c>
    </row>
    <row r="11" spans="1:16" x14ac:dyDescent="0.2">
      <c r="A11" t="s">
        <v>6</v>
      </c>
      <c r="B11" s="60">
        <v>100</v>
      </c>
      <c r="C11" s="39">
        <v>0.68400000000000005</v>
      </c>
      <c r="D11">
        <f t="shared" si="5"/>
        <v>46.785600000000009</v>
      </c>
      <c r="E11">
        <f t="shared" si="0"/>
        <v>68.400000000000006</v>
      </c>
      <c r="F11">
        <f t="shared" si="6"/>
        <v>0.31599999999999995</v>
      </c>
      <c r="G11" s="15">
        <f>B11/C8</f>
        <v>298.50746268656712</v>
      </c>
      <c r="H11" s="15">
        <f t="shared" si="1"/>
        <v>31.599999999999994</v>
      </c>
      <c r="I11" s="2">
        <v>164</v>
      </c>
      <c r="J11">
        <f t="shared" si="2"/>
        <v>64</v>
      </c>
      <c r="K11" s="1">
        <f t="shared" si="3"/>
        <v>1.64</v>
      </c>
      <c r="L11" s="9">
        <v>0</v>
      </c>
      <c r="M11" s="8">
        <f t="shared" si="4"/>
        <v>0</v>
      </c>
      <c r="O11" s="42">
        <f t="shared" si="7"/>
        <v>51.823999999999991</v>
      </c>
      <c r="P11" s="22">
        <f t="shared" si="8"/>
        <v>0</v>
      </c>
    </row>
    <row r="12" spans="1:16" x14ac:dyDescent="0.2">
      <c r="A12" t="s">
        <v>134</v>
      </c>
      <c r="B12" s="60">
        <v>800</v>
      </c>
      <c r="C12" s="39">
        <v>0.45</v>
      </c>
      <c r="D12">
        <f t="shared" si="5"/>
        <v>162</v>
      </c>
      <c r="E12">
        <f t="shared" si="0"/>
        <v>360</v>
      </c>
      <c r="F12">
        <f t="shared" si="6"/>
        <v>0.55000000000000004</v>
      </c>
      <c r="G12" s="15">
        <f>B12/C1</f>
        <v>38.095238095238095</v>
      </c>
      <c r="H12" s="15">
        <f t="shared" si="1"/>
        <v>440.00000000000006</v>
      </c>
      <c r="I12" s="2">
        <v>1397</v>
      </c>
      <c r="J12">
        <f t="shared" si="2"/>
        <v>597</v>
      </c>
      <c r="K12" s="1">
        <f t="shared" si="3"/>
        <v>1.7462500000000001</v>
      </c>
      <c r="L12" s="35">
        <v>25</v>
      </c>
      <c r="M12" s="8">
        <f t="shared" si="4"/>
        <v>11000.000000000002</v>
      </c>
      <c r="O12" s="42">
        <f t="shared" si="7"/>
        <v>768.35</v>
      </c>
      <c r="P12" s="22">
        <f t="shared" si="8"/>
        <v>19208.75</v>
      </c>
    </row>
    <row r="13" spans="1:16" x14ac:dyDescent="0.2">
      <c r="A13" t="s">
        <v>9</v>
      </c>
      <c r="B13" s="60">
        <v>3000</v>
      </c>
      <c r="C13" s="39">
        <v>0.43909999999999999</v>
      </c>
      <c r="D13">
        <f t="shared" si="5"/>
        <v>578.42642999999998</v>
      </c>
      <c r="E13">
        <f t="shared" si="0"/>
        <v>1317.3</v>
      </c>
      <c r="F13">
        <v>0.53</v>
      </c>
      <c r="G13" s="15">
        <f>B13/C1</f>
        <v>142.85714285714286</v>
      </c>
      <c r="H13" s="15">
        <f t="shared" si="1"/>
        <v>1590</v>
      </c>
      <c r="I13" s="2">
        <v>99</v>
      </c>
      <c r="J13">
        <f t="shared" si="2"/>
        <v>-2901</v>
      </c>
      <c r="K13" s="1">
        <f t="shared" si="3"/>
        <v>3.3000000000000002E-2</v>
      </c>
      <c r="L13" s="35">
        <v>12</v>
      </c>
      <c r="M13" s="8">
        <f t="shared" si="4"/>
        <v>19080</v>
      </c>
      <c r="O13" s="42">
        <f>I13*F13</f>
        <v>52.470000000000006</v>
      </c>
      <c r="P13" s="22">
        <f>(I13*F13)*L13</f>
        <v>629.6400000000001</v>
      </c>
    </row>
    <row r="14" spans="1:16" x14ac:dyDescent="0.2">
      <c r="A14" t="s">
        <v>8</v>
      </c>
      <c r="B14" s="60">
        <v>12000</v>
      </c>
      <c r="C14" s="39">
        <v>0.4173</v>
      </c>
      <c r="D14">
        <f t="shared" si="5"/>
        <v>2089.67148</v>
      </c>
      <c r="E14">
        <f t="shared" si="0"/>
        <v>5007.6000000000004</v>
      </c>
      <c r="F14">
        <f t="shared" si="6"/>
        <v>0.5827</v>
      </c>
      <c r="G14" s="15">
        <f>B14/C1</f>
        <v>571.42857142857144</v>
      </c>
      <c r="H14" s="15">
        <f t="shared" si="1"/>
        <v>6992.4</v>
      </c>
      <c r="I14" s="2">
        <v>8148</v>
      </c>
      <c r="J14">
        <f t="shared" si="2"/>
        <v>-3852</v>
      </c>
      <c r="K14" s="1">
        <f t="shared" si="3"/>
        <v>0.67900000000000005</v>
      </c>
      <c r="L14" s="65">
        <v>23.5</v>
      </c>
      <c r="M14" s="8">
        <f t="shared" si="4"/>
        <v>164321.4</v>
      </c>
      <c r="O14" s="42">
        <f t="shared" si="7"/>
        <v>4747.8396000000002</v>
      </c>
      <c r="P14" s="22">
        <f t="shared" si="8"/>
        <v>111574.23060000001</v>
      </c>
    </row>
    <row r="15" spans="1:16" hidden="1" x14ac:dyDescent="0.2">
      <c r="A15" t="s">
        <v>10</v>
      </c>
      <c r="B15" s="60"/>
      <c r="C15" s="39"/>
      <c r="D15">
        <f t="shared" si="5"/>
        <v>0</v>
      </c>
      <c r="E15">
        <f t="shared" si="0"/>
        <v>0</v>
      </c>
      <c r="G15" s="15">
        <f>B15/C12</f>
        <v>0</v>
      </c>
      <c r="H15" s="15">
        <f t="shared" si="1"/>
        <v>0</v>
      </c>
      <c r="I15" s="2"/>
      <c r="J15">
        <f t="shared" si="2"/>
        <v>0</v>
      </c>
      <c r="K15" s="1" t="e">
        <f t="shared" si="3"/>
        <v>#DIV/0!</v>
      </c>
      <c r="L15" s="9"/>
      <c r="M15" s="8">
        <f t="shared" si="4"/>
        <v>0</v>
      </c>
      <c r="O15" s="42">
        <f t="shared" si="7"/>
        <v>0</v>
      </c>
      <c r="P15" s="22">
        <f t="shared" si="8"/>
        <v>0</v>
      </c>
    </row>
    <row r="16" spans="1:16" x14ac:dyDescent="0.2">
      <c r="A16" t="s">
        <v>11</v>
      </c>
      <c r="B16" s="60">
        <v>5000</v>
      </c>
      <c r="C16" s="39">
        <v>0.42420000000000002</v>
      </c>
      <c r="D16">
        <f t="shared" si="5"/>
        <v>899.72820000000002</v>
      </c>
      <c r="E16">
        <f t="shared" si="0"/>
        <v>2121</v>
      </c>
      <c r="F16">
        <f t="shared" si="6"/>
        <v>0.57579999999999998</v>
      </c>
      <c r="G16" s="15">
        <f>B16/C1</f>
        <v>238.0952380952381</v>
      </c>
      <c r="H16" s="15">
        <f t="shared" si="1"/>
        <v>2879</v>
      </c>
      <c r="I16" s="2">
        <v>4485</v>
      </c>
      <c r="J16">
        <f t="shared" si="2"/>
        <v>-515</v>
      </c>
      <c r="K16" s="1">
        <f t="shared" si="3"/>
        <v>0.89700000000000002</v>
      </c>
      <c r="L16" s="9">
        <v>27.41</v>
      </c>
      <c r="M16" s="8">
        <f t="shared" si="4"/>
        <v>78913.39</v>
      </c>
      <c r="O16" s="42">
        <f t="shared" si="7"/>
        <v>2582.4629999999997</v>
      </c>
      <c r="P16" s="22">
        <f t="shared" si="8"/>
        <v>70785.310829999988</v>
      </c>
    </row>
    <row r="17" spans="1:18" x14ac:dyDescent="0.2">
      <c r="A17" t="s">
        <v>16</v>
      </c>
      <c r="B17" s="60">
        <v>2500</v>
      </c>
      <c r="C17" s="39">
        <v>0.34689999999999999</v>
      </c>
      <c r="D17">
        <f t="shared" si="5"/>
        <v>300.84902499999998</v>
      </c>
      <c r="E17">
        <f t="shared" si="0"/>
        <v>867.25</v>
      </c>
      <c r="F17">
        <f>1-C17</f>
        <v>0.65310000000000001</v>
      </c>
      <c r="G17" s="15">
        <f>B17/C1</f>
        <v>119.04761904761905</v>
      </c>
      <c r="H17" s="15">
        <f t="shared" si="1"/>
        <v>1632.75</v>
      </c>
      <c r="I17" s="2">
        <v>2600</v>
      </c>
      <c r="J17">
        <f t="shared" si="2"/>
        <v>100</v>
      </c>
      <c r="K17" s="1">
        <f t="shared" si="3"/>
        <v>1.04</v>
      </c>
      <c r="L17" s="9">
        <v>20.6</v>
      </c>
      <c r="M17" s="8">
        <f t="shared" si="4"/>
        <v>33634.65</v>
      </c>
      <c r="O17" s="42">
        <f t="shared" si="7"/>
        <v>1698.06</v>
      </c>
      <c r="P17" s="22">
        <f t="shared" si="8"/>
        <v>34980.036</v>
      </c>
    </row>
    <row r="18" spans="1:18" x14ac:dyDescent="0.2">
      <c r="A18" t="s">
        <v>51</v>
      </c>
      <c r="B18" s="60">
        <v>3500</v>
      </c>
      <c r="C18" s="39">
        <v>0.30790000000000001</v>
      </c>
      <c r="D18">
        <f t="shared" si="5"/>
        <v>331.80843500000003</v>
      </c>
      <c r="E18">
        <f t="shared" si="0"/>
        <v>1077.6500000000001</v>
      </c>
      <c r="F18">
        <f t="shared" si="6"/>
        <v>0.69209999999999994</v>
      </c>
      <c r="G18" s="15">
        <f>B18/C1</f>
        <v>166.66666666666666</v>
      </c>
      <c r="H18" s="15">
        <f t="shared" si="1"/>
        <v>2422.35</v>
      </c>
      <c r="I18" s="2">
        <v>3206</v>
      </c>
      <c r="J18">
        <f t="shared" si="2"/>
        <v>-294</v>
      </c>
      <c r="K18" s="1">
        <f t="shared" si="3"/>
        <v>0.91600000000000004</v>
      </c>
      <c r="L18" s="9">
        <v>25</v>
      </c>
      <c r="M18" s="8">
        <f t="shared" si="4"/>
        <v>60558.75</v>
      </c>
      <c r="O18" s="42">
        <f t="shared" si="7"/>
        <v>2218.8725999999997</v>
      </c>
      <c r="P18" s="22">
        <f t="shared" si="8"/>
        <v>55471.814999999995</v>
      </c>
    </row>
    <row r="19" spans="1:18" x14ac:dyDescent="0.2">
      <c r="A19" t="s">
        <v>13</v>
      </c>
      <c r="B19" s="60">
        <v>3000</v>
      </c>
      <c r="C19" s="39">
        <v>0.25669999999999998</v>
      </c>
      <c r="D19">
        <f t="shared" si="5"/>
        <v>197.68466999999995</v>
      </c>
      <c r="E19">
        <f t="shared" si="0"/>
        <v>770.09999999999991</v>
      </c>
      <c r="F19">
        <f t="shared" si="6"/>
        <v>0.74330000000000007</v>
      </c>
      <c r="G19" s="15">
        <f>B19/C1</f>
        <v>142.85714285714286</v>
      </c>
      <c r="H19" s="15">
        <f t="shared" si="1"/>
        <v>2229.9</v>
      </c>
      <c r="I19" s="2">
        <v>3840</v>
      </c>
      <c r="J19">
        <f t="shared" si="2"/>
        <v>840</v>
      </c>
      <c r="K19" s="1">
        <f t="shared" si="3"/>
        <v>1.28</v>
      </c>
      <c r="L19" s="65">
        <v>22</v>
      </c>
      <c r="M19" s="8">
        <f t="shared" si="4"/>
        <v>49057.8</v>
      </c>
      <c r="O19" s="42">
        <f t="shared" si="7"/>
        <v>2854.2720000000004</v>
      </c>
      <c r="P19" s="22">
        <f t="shared" si="8"/>
        <v>62793.984000000011</v>
      </c>
    </row>
    <row r="20" spans="1:18" x14ac:dyDescent="0.2">
      <c r="A20" t="s">
        <v>14</v>
      </c>
      <c r="B20" s="60">
        <v>3500</v>
      </c>
      <c r="C20" s="39">
        <v>0.38940000000000002</v>
      </c>
      <c r="D20">
        <f t="shared" si="5"/>
        <v>530.7132600000001</v>
      </c>
      <c r="E20">
        <f t="shared" si="0"/>
        <v>1362.9</v>
      </c>
      <c r="F20">
        <f t="shared" si="6"/>
        <v>0.61060000000000003</v>
      </c>
      <c r="G20" s="15">
        <f>B20/C1</f>
        <v>166.66666666666666</v>
      </c>
      <c r="H20" s="15">
        <f t="shared" si="1"/>
        <v>2137.1</v>
      </c>
      <c r="I20" s="2">
        <v>3546</v>
      </c>
      <c r="J20">
        <f t="shared" si="2"/>
        <v>46</v>
      </c>
      <c r="K20" s="1">
        <f t="shared" si="3"/>
        <v>1.0131428571428571</v>
      </c>
      <c r="L20" s="65">
        <v>28.78</v>
      </c>
      <c r="M20" s="8">
        <f t="shared" si="4"/>
        <v>61505.737999999998</v>
      </c>
      <c r="O20" s="42">
        <f t="shared" si="7"/>
        <v>2165.1876000000002</v>
      </c>
      <c r="P20" s="22">
        <f t="shared" si="8"/>
        <v>62314.099128000009</v>
      </c>
    </row>
    <row r="21" spans="1:18" ht="15" thickBot="1" x14ac:dyDescent="0.25">
      <c r="A21" s="5" t="s">
        <v>15</v>
      </c>
      <c r="B21" s="61">
        <v>2000</v>
      </c>
      <c r="C21" s="71">
        <v>0.28189999999999998</v>
      </c>
      <c r="D21" s="5">
        <f t="shared" si="5"/>
        <v>158.93521999999999</v>
      </c>
      <c r="E21" s="5">
        <f t="shared" si="0"/>
        <v>563.79999999999995</v>
      </c>
      <c r="F21" s="5">
        <f t="shared" si="6"/>
        <v>0.71809999999999996</v>
      </c>
      <c r="G21" s="16">
        <f>B21/C1</f>
        <v>95.238095238095241</v>
      </c>
      <c r="H21" s="16">
        <f t="shared" si="1"/>
        <v>1436.1999999999998</v>
      </c>
      <c r="I21" s="38">
        <v>1633</v>
      </c>
      <c r="J21" s="5">
        <f t="shared" si="2"/>
        <v>-367</v>
      </c>
      <c r="K21" s="6">
        <f t="shared" si="3"/>
        <v>0.8165</v>
      </c>
      <c r="L21" s="10">
        <v>23.24</v>
      </c>
      <c r="M21" s="14">
        <f t="shared" si="4"/>
        <v>33377.287999999993</v>
      </c>
      <c r="N21" s="5"/>
      <c r="O21" s="43">
        <f t="shared" si="7"/>
        <v>1172.6572999999999</v>
      </c>
      <c r="P21" s="25">
        <f t="shared" si="8"/>
        <v>27252.555651999995</v>
      </c>
    </row>
    <row r="22" spans="1:18" ht="15" hidden="1" thickBot="1" x14ac:dyDescent="0.25">
      <c r="A22" s="3" t="s">
        <v>24</v>
      </c>
      <c r="B22" s="62"/>
      <c r="C22" s="5">
        <v>0.2555</v>
      </c>
      <c r="E22">
        <f t="shared" si="0"/>
        <v>0</v>
      </c>
      <c r="F22" s="5">
        <f t="shared" si="6"/>
        <v>0.74449999999999994</v>
      </c>
      <c r="G22" s="16">
        <f>B22/21</f>
        <v>0</v>
      </c>
      <c r="H22" s="16">
        <f t="shared" si="1"/>
        <v>0</v>
      </c>
      <c r="I22" s="4"/>
      <c r="J22" s="5">
        <f t="shared" si="2"/>
        <v>0</v>
      </c>
      <c r="K22" s="6" t="e">
        <f>I22/B22</f>
        <v>#DIV/0!</v>
      </c>
      <c r="L22" s="10">
        <v>25</v>
      </c>
      <c r="M22" s="14">
        <f t="shared" si="4"/>
        <v>0</v>
      </c>
      <c r="O22" s="43">
        <f t="shared" si="7"/>
        <v>0</v>
      </c>
      <c r="P22" s="25">
        <f t="shared" si="8"/>
        <v>0</v>
      </c>
    </row>
    <row r="23" spans="1:18" ht="15" thickBot="1" x14ac:dyDescent="0.25">
      <c r="B23" s="60">
        <f>SUM(B4:B22)</f>
        <v>49200</v>
      </c>
      <c r="C23" s="39">
        <f>D23/E23</f>
        <v>0.38551477235821113</v>
      </c>
      <c r="D23" s="31">
        <f>SUM(D4:D21)</f>
        <v>6813.5186939999994</v>
      </c>
      <c r="E23" s="28">
        <f>SUM(E4:E22)</f>
        <v>17673.82</v>
      </c>
      <c r="G23" s="33">
        <f>SUM(G4:G22)</f>
        <v>2636.6027007818052</v>
      </c>
      <c r="H23" s="33">
        <f>SUM(H4:H22)</f>
        <v>29233.48</v>
      </c>
      <c r="I23" s="32">
        <f>SUM(I$4:I$21)</f>
        <v>38160</v>
      </c>
      <c r="J23" s="28">
        <f t="shared" si="2"/>
        <v>-11040</v>
      </c>
      <c r="K23" s="1">
        <f>I23/B23</f>
        <v>0.775609756097561</v>
      </c>
      <c r="L23" s="9"/>
      <c r="M23" s="8">
        <f>SUM(M4:M22)</f>
        <v>675214.97400000005</v>
      </c>
      <c r="N23" s="8"/>
      <c r="O23" s="44">
        <f>SUM(O4:O22)</f>
        <v>24046.3043</v>
      </c>
      <c r="P23" s="22">
        <f>SUM(P4:P22)</f>
        <v>559120.00792600005</v>
      </c>
      <c r="Q23" s="17"/>
    </row>
    <row r="24" spans="1:18" ht="15" thickBot="1" x14ac:dyDescent="0.25">
      <c r="A24" t="s">
        <v>41</v>
      </c>
      <c r="B24" s="63">
        <f>B23/23</f>
        <v>2139.1304347826085</v>
      </c>
      <c r="C24" s="54" t="s">
        <v>87</v>
      </c>
      <c r="F24" s="20">
        <f>B24/31</f>
        <v>69.004207573632527</v>
      </c>
      <c r="G24" s="15"/>
      <c r="H24" s="34">
        <f>H23/22</f>
        <v>1328.7945454545454</v>
      </c>
      <c r="I24" s="52">
        <f>I23/(C1-H27)</f>
        <v>1908</v>
      </c>
      <c r="J24" s="53" t="s">
        <v>86</v>
      </c>
      <c r="K24" s="54"/>
      <c r="M24" s="8">
        <f>M23/H23</f>
        <v>23.097317664540796</v>
      </c>
      <c r="N24" s="8" t="s">
        <v>29</v>
      </c>
      <c r="O24" s="45">
        <f>O23/H23</f>
        <v>0.82256044439457776</v>
      </c>
      <c r="P24" s="47">
        <f>P23/O23</f>
        <v>23.251806221465809</v>
      </c>
      <c r="Q24" s="48" t="s">
        <v>84</v>
      </c>
    </row>
    <row r="25" spans="1:18" ht="15" thickBot="1" x14ac:dyDescent="0.25">
      <c r="B25" s="55"/>
      <c r="H25" s="40" t="s">
        <v>81</v>
      </c>
      <c r="I25" s="41">
        <f>I24-B24</f>
        <v>-231.13043478260852</v>
      </c>
      <c r="J25" s="59">
        <f>I25/B24</f>
        <v>-0.10804878048780481</v>
      </c>
      <c r="P25" s="49">
        <f>P23/I23</f>
        <v>14.651991821960168</v>
      </c>
      <c r="Q25" s="50" t="s">
        <v>85</v>
      </c>
      <c r="R25">
        <v>11.57</v>
      </c>
    </row>
    <row r="26" spans="1:18" ht="15" thickBot="1" x14ac:dyDescent="0.25"/>
    <row r="27" spans="1:18" ht="15" thickBot="1" x14ac:dyDescent="0.25">
      <c r="G27" s="46"/>
      <c r="H27" s="70">
        <v>1</v>
      </c>
      <c r="I27" t="s">
        <v>106</v>
      </c>
      <c r="J27" s="41">
        <f>I24</f>
        <v>1908</v>
      </c>
      <c r="K27">
        <f>H27*J27</f>
        <v>1908</v>
      </c>
      <c r="L27" s="41">
        <f>K27+I23</f>
        <v>40068</v>
      </c>
      <c r="M27" t="s">
        <v>83</v>
      </c>
    </row>
    <row r="28" spans="1:18" x14ac:dyDescent="0.2">
      <c r="A28" t="s">
        <v>89</v>
      </c>
      <c r="I28" t="s">
        <v>92</v>
      </c>
      <c r="J28" s="34">
        <f>K28/H27</f>
        <v>-11040</v>
      </c>
      <c r="K28" s="41">
        <f>J23</f>
        <v>-11040</v>
      </c>
    </row>
    <row r="29" spans="1:18" x14ac:dyDescent="0.2">
      <c r="A29" t="s">
        <v>138</v>
      </c>
      <c r="J29" s="34">
        <f>J28/32</f>
        <v>-345</v>
      </c>
      <c r="K29" t="s">
        <v>117</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BC50F-1896-41AC-BBE7-D5E909BD9D45}">
  <sheetPr>
    <pageSetUpPr fitToPage="1"/>
  </sheetPr>
  <dimension ref="A1:N27"/>
  <sheetViews>
    <sheetView zoomScaleNormal="100" zoomScaleSheetLayoutView="100" workbookViewId="0">
      <selection activeCell="B34" sqref="B34"/>
    </sheetView>
  </sheetViews>
  <sheetFormatPr defaultColWidth="9" defaultRowHeight="14.25" x14ac:dyDescent="0.2"/>
  <cols>
    <col min="1" max="1" width="29.25" customWidth="1"/>
    <col min="2" max="2" width="11" customWidth="1"/>
    <col min="3" max="3" width="11" hidden="1" customWidth="1"/>
    <col min="5" max="5" width="13" hidden="1" customWidth="1"/>
    <col min="6" max="6" width="15.625" hidden="1" customWidth="1"/>
    <col min="7" max="7" width="9.875" customWidth="1"/>
    <col min="8" max="8" width="9.875" hidden="1" customWidth="1"/>
    <col min="10" max="10" width="8.75" hidden="1" customWidth="1"/>
    <col min="11" max="11" width="11" customWidth="1"/>
    <col min="13" max="13" width="13.875" customWidth="1"/>
    <col min="14" max="14" width="9" customWidth="1"/>
  </cols>
  <sheetData>
    <row r="1" spans="1:14" x14ac:dyDescent="0.2">
      <c r="I1" s="19"/>
      <c r="J1" s="19"/>
      <c r="K1" s="19"/>
      <c r="L1" s="19"/>
      <c r="M1" s="19"/>
    </row>
    <row r="2" spans="1:14" ht="14.25" customHeight="1" x14ac:dyDescent="0.2">
      <c r="A2" s="19" t="s">
        <v>39</v>
      </c>
      <c r="I2" s="76"/>
      <c r="J2" s="76"/>
      <c r="K2" s="76"/>
      <c r="L2" s="76"/>
      <c r="M2" s="76"/>
    </row>
    <row r="3" spans="1:14" ht="15" thickBot="1" x14ac:dyDescent="0.25">
      <c r="A3" s="11" t="s">
        <v>233</v>
      </c>
      <c r="B3" s="77" t="s">
        <v>19</v>
      </c>
      <c r="C3" s="77" t="s">
        <v>181</v>
      </c>
      <c r="D3" s="77" t="s">
        <v>30</v>
      </c>
      <c r="E3" s="77"/>
      <c r="F3" s="77"/>
      <c r="G3" s="77" t="s">
        <v>29</v>
      </c>
      <c r="H3" s="129" t="s">
        <v>176</v>
      </c>
      <c r="I3" s="77" t="s">
        <v>25</v>
      </c>
      <c r="J3" s="77" t="s">
        <v>160</v>
      </c>
      <c r="K3" s="77" t="s">
        <v>162</v>
      </c>
      <c r="L3" s="77" t="s">
        <v>161</v>
      </c>
      <c r="M3" s="77" t="s">
        <v>163</v>
      </c>
    </row>
    <row r="4" spans="1:14" ht="16.5" thickTop="1" x14ac:dyDescent="0.25">
      <c r="A4" s="104" t="s">
        <v>8</v>
      </c>
      <c r="B4" s="89">
        <v>105761</v>
      </c>
      <c r="C4" s="128">
        <f>B4/12</f>
        <v>8813.4166666666661</v>
      </c>
      <c r="D4" s="90">
        <v>0.49759999999999999</v>
      </c>
      <c r="E4" s="91">
        <f t="shared" ref="E4:E16" si="0">D4*G4</f>
        <v>26442.464</v>
      </c>
      <c r="F4" s="92">
        <f t="shared" ref="F4:F26" si="1">B4*D4</f>
        <v>52626.673600000002</v>
      </c>
      <c r="G4" s="89">
        <v>53140</v>
      </c>
      <c r="H4" s="130" t="e">
        <f>(G4+G16)/#REF!</f>
        <v>#REF!</v>
      </c>
      <c r="I4" s="93">
        <v>23.88</v>
      </c>
      <c r="J4" s="94"/>
      <c r="K4" s="95">
        <f t="shared" ref="K4:K26" si="2">G4*1.272</f>
        <v>67594.080000000002</v>
      </c>
      <c r="L4" s="94">
        <f t="shared" ref="L4:L17" si="3">(G4*I4)/K4</f>
        <v>18.773584905660375</v>
      </c>
      <c r="M4" s="96">
        <f t="shared" ref="M4:M27" si="4">G4*I4</f>
        <v>1268983.2</v>
      </c>
    </row>
    <row r="5" spans="1:14" ht="15.75" x14ac:dyDescent="0.25">
      <c r="A5" s="105" t="s">
        <v>11</v>
      </c>
      <c r="B5" s="80">
        <v>49674</v>
      </c>
      <c r="C5" s="128">
        <f t="shared" ref="C5:C26" si="5">B5/12</f>
        <v>4139.5</v>
      </c>
      <c r="D5" s="135">
        <v>0.47439999999999999</v>
      </c>
      <c r="E5" s="67">
        <f t="shared" si="0"/>
        <v>12386.583999999999</v>
      </c>
      <c r="F5" s="82">
        <f t="shared" si="1"/>
        <v>23565.345600000001</v>
      </c>
      <c r="G5" s="33">
        <v>26110</v>
      </c>
      <c r="H5" s="76" t="e">
        <f>G5/#REF!</f>
        <v>#REF!</v>
      </c>
      <c r="I5" s="84">
        <v>27.43</v>
      </c>
      <c r="J5" s="84"/>
      <c r="K5" s="88">
        <f t="shared" si="2"/>
        <v>33211.919999999998</v>
      </c>
      <c r="L5" s="78">
        <f t="shared" si="3"/>
        <v>21.564465408805034</v>
      </c>
      <c r="M5" s="85">
        <f t="shared" si="4"/>
        <v>716197.3</v>
      </c>
    </row>
    <row r="6" spans="1:14" ht="15.75" x14ac:dyDescent="0.25">
      <c r="A6" s="104" t="s">
        <v>13</v>
      </c>
      <c r="B6" s="97">
        <v>49739</v>
      </c>
      <c r="C6" s="128">
        <f t="shared" si="5"/>
        <v>4144.916666666667</v>
      </c>
      <c r="D6" s="131">
        <v>0.4395</v>
      </c>
      <c r="E6" s="132">
        <f t="shared" si="0"/>
        <v>12251.941500000001</v>
      </c>
      <c r="F6" s="133">
        <f t="shared" si="1"/>
        <v>21860.290499999999</v>
      </c>
      <c r="G6" s="97">
        <v>27877</v>
      </c>
      <c r="H6" s="130" t="e">
        <f>(G6+G11)/(#REF!+#REF!)</f>
        <v>#REF!</v>
      </c>
      <c r="I6" s="98">
        <v>21.64</v>
      </c>
      <c r="J6" s="99"/>
      <c r="K6" s="95">
        <f t="shared" si="2"/>
        <v>35459.544000000002</v>
      </c>
      <c r="L6" s="94">
        <f t="shared" si="3"/>
        <v>17.012578616352201</v>
      </c>
      <c r="M6" s="96">
        <f t="shared" si="4"/>
        <v>603258.28</v>
      </c>
      <c r="N6" s="19"/>
    </row>
    <row r="7" spans="1:14" ht="15.75" x14ac:dyDescent="0.25">
      <c r="A7" s="105" t="s">
        <v>14</v>
      </c>
      <c r="B7" s="80">
        <v>1062</v>
      </c>
      <c r="C7" s="128">
        <f t="shared" si="5"/>
        <v>88.5</v>
      </c>
      <c r="D7" s="135">
        <v>0</v>
      </c>
      <c r="E7" s="67">
        <f t="shared" si="0"/>
        <v>0</v>
      </c>
      <c r="F7" s="82">
        <f t="shared" si="1"/>
        <v>0</v>
      </c>
      <c r="G7" s="80">
        <v>484</v>
      </c>
      <c r="H7" s="130" t="e">
        <f>(G7+G12)/(#REF!+#REF!)</f>
        <v>#REF!</v>
      </c>
      <c r="I7" s="86">
        <v>35.659999999999997</v>
      </c>
      <c r="J7" s="84"/>
      <c r="K7" s="88">
        <f t="shared" si="2"/>
        <v>615.64800000000002</v>
      </c>
      <c r="L7" s="78">
        <v>0</v>
      </c>
      <c r="M7" s="85">
        <f t="shared" si="4"/>
        <v>17259.439999999999</v>
      </c>
    </row>
    <row r="8" spans="1:14" ht="15.75" x14ac:dyDescent="0.25">
      <c r="A8" s="104" t="s">
        <v>51</v>
      </c>
      <c r="B8" s="97">
        <v>39172</v>
      </c>
      <c r="C8" s="128">
        <f t="shared" si="5"/>
        <v>3264.3333333333335</v>
      </c>
      <c r="D8" s="90">
        <v>0.33</v>
      </c>
      <c r="E8" s="91">
        <f t="shared" si="0"/>
        <v>8770.74</v>
      </c>
      <c r="F8" s="92">
        <f t="shared" si="1"/>
        <v>12926.76</v>
      </c>
      <c r="G8" s="97">
        <v>26578</v>
      </c>
      <c r="H8" s="130" t="e">
        <f>G8/#REF!</f>
        <v>#REF!</v>
      </c>
      <c r="I8" s="99">
        <v>28.7</v>
      </c>
      <c r="J8" s="99"/>
      <c r="K8" s="95">
        <f t="shared" si="2"/>
        <v>33807.216</v>
      </c>
      <c r="L8" s="94">
        <f t="shared" si="3"/>
        <v>22.562893081761004</v>
      </c>
      <c r="M8" s="96">
        <f t="shared" si="4"/>
        <v>762788.6</v>
      </c>
    </row>
    <row r="9" spans="1:14" ht="15.75" x14ac:dyDescent="0.25">
      <c r="A9" s="105" t="s">
        <v>16</v>
      </c>
      <c r="B9" s="80">
        <v>10049</v>
      </c>
      <c r="C9" s="128">
        <f t="shared" si="5"/>
        <v>837.41666666666663</v>
      </c>
      <c r="D9" s="135">
        <v>0.28000000000000003</v>
      </c>
      <c r="E9" s="67">
        <f t="shared" si="0"/>
        <v>1574.44</v>
      </c>
      <c r="F9" s="82">
        <f t="shared" si="1"/>
        <v>2813.7200000000003</v>
      </c>
      <c r="G9" s="80">
        <v>5623</v>
      </c>
      <c r="H9" s="76" t="e">
        <f>G9/#REF!</f>
        <v>#REF!</v>
      </c>
      <c r="I9" s="137">
        <v>21.43</v>
      </c>
      <c r="J9" s="137"/>
      <c r="K9" s="138">
        <f t="shared" si="2"/>
        <v>7152.4560000000001</v>
      </c>
      <c r="L9" s="136">
        <f t="shared" si="3"/>
        <v>16.84748427672956</v>
      </c>
      <c r="M9" s="85">
        <f t="shared" si="4"/>
        <v>120500.89</v>
      </c>
    </row>
    <row r="10" spans="1:14" ht="15.75" x14ac:dyDescent="0.25">
      <c r="A10" s="104" t="s">
        <v>5</v>
      </c>
      <c r="B10" s="97">
        <v>20308</v>
      </c>
      <c r="C10" s="128">
        <f t="shared" si="5"/>
        <v>1692.3333333333333</v>
      </c>
      <c r="D10" s="90">
        <v>0.29849999999999999</v>
      </c>
      <c r="E10" s="91">
        <f t="shared" si="0"/>
        <v>4252.4309999999996</v>
      </c>
      <c r="F10" s="92">
        <f t="shared" si="1"/>
        <v>6061.9380000000001</v>
      </c>
      <c r="G10" s="97">
        <v>14246</v>
      </c>
      <c r="H10" s="130" t="e">
        <f>G10/#REF!</f>
        <v>#REF!</v>
      </c>
      <c r="I10" s="99">
        <v>14.98</v>
      </c>
      <c r="J10" s="99"/>
      <c r="K10" s="89">
        <f t="shared" si="2"/>
        <v>18120.912</v>
      </c>
      <c r="L10" s="94">
        <f t="shared" si="3"/>
        <v>11.776729559748428</v>
      </c>
      <c r="M10" s="96">
        <f t="shared" si="4"/>
        <v>213405.08000000002</v>
      </c>
    </row>
    <row r="11" spans="1:14" ht="15.75" x14ac:dyDescent="0.25">
      <c r="A11" s="105" t="s">
        <v>15</v>
      </c>
      <c r="B11" s="134">
        <v>23424</v>
      </c>
      <c r="C11" s="128">
        <f t="shared" si="5"/>
        <v>1952</v>
      </c>
      <c r="D11" s="135">
        <v>0.4355</v>
      </c>
      <c r="E11" s="67">
        <f t="shared" si="0"/>
        <v>5759.0519999999997</v>
      </c>
      <c r="F11" s="82">
        <f t="shared" si="1"/>
        <v>10201.152</v>
      </c>
      <c r="G11" s="80">
        <v>13224</v>
      </c>
      <c r="H11" s="76">
        <v>0.67381720430107528</v>
      </c>
      <c r="I11" s="136">
        <v>28.2</v>
      </c>
      <c r="J11" s="136"/>
      <c r="K11" s="134">
        <f t="shared" si="2"/>
        <v>16820.928</v>
      </c>
      <c r="L11" s="136">
        <f t="shared" si="3"/>
        <v>22.169811320754718</v>
      </c>
      <c r="M11" s="85">
        <f t="shared" si="4"/>
        <v>372916.8</v>
      </c>
      <c r="N11" s="19"/>
    </row>
    <row r="12" spans="1:14" ht="15.75" x14ac:dyDescent="0.25">
      <c r="A12" s="104" t="s">
        <v>0</v>
      </c>
      <c r="B12" s="97">
        <v>25918</v>
      </c>
      <c r="C12" s="128">
        <f t="shared" si="5"/>
        <v>2159.8333333333335</v>
      </c>
      <c r="D12" s="90">
        <v>0.4829</v>
      </c>
      <c r="E12" s="91">
        <f t="shared" si="0"/>
        <v>6453.9584999999997</v>
      </c>
      <c r="F12" s="92">
        <f t="shared" si="1"/>
        <v>12515.8022</v>
      </c>
      <c r="G12" s="97">
        <v>13365</v>
      </c>
      <c r="H12" s="130" t="e">
        <f>G12/#REF!</f>
        <v>#REF!</v>
      </c>
      <c r="I12" s="96">
        <v>27.56</v>
      </c>
      <c r="J12" s="99"/>
      <c r="K12" s="89">
        <f t="shared" si="2"/>
        <v>17000.28</v>
      </c>
      <c r="L12" s="94">
        <f t="shared" si="3"/>
        <v>21.666666666666668</v>
      </c>
      <c r="M12" s="96">
        <f t="shared" si="4"/>
        <v>368339.39999999997</v>
      </c>
    </row>
    <row r="13" spans="1:14" ht="15.75" x14ac:dyDescent="0.25">
      <c r="A13" s="105" t="s">
        <v>136</v>
      </c>
      <c r="B13" s="80">
        <v>24143</v>
      </c>
      <c r="C13" s="128">
        <f t="shared" si="5"/>
        <v>2011.9166666666667</v>
      </c>
      <c r="D13" s="135">
        <v>0.41670000000000001</v>
      </c>
      <c r="E13" s="67">
        <f t="shared" si="0"/>
        <v>5868.8028000000004</v>
      </c>
      <c r="F13" s="82">
        <f t="shared" si="1"/>
        <v>10060.3881</v>
      </c>
      <c r="G13" s="80">
        <v>14084</v>
      </c>
      <c r="H13" s="311" t="e">
        <f>(G13+G14)/#REF!</f>
        <v>#REF!</v>
      </c>
      <c r="I13" s="84">
        <v>22.16</v>
      </c>
      <c r="J13" s="84"/>
      <c r="K13" s="79">
        <f t="shared" si="2"/>
        <v>17914.848000000002</v>
      </c>
      <c r="L13" s="78">
        <f t="shared" si="3"/>
        <v>17.421383647798741</v>
      </c>
      <c r="M13" s="85">
        <f t="shared" si="4"/>
        <v>312101.44</v>
      </c>
    </row>
    <row r="14" spans="1:14" ht="15.75" x14ac:dyDescent="0.25">
      <c r="A14" s="104" t="s">
        <v>2</v>
      </c>
      <c r="B14" s="97">
        <v>21445</v>
      </c>
      <c r="C14" s="128">
        <f t="shared" si="5"/>
        <v>1787.0833333333333</v>
      </c>
      <c r="D14" s="90">
        <f t="shared" ref="D14:D26" si="6">1-(G14/B14)</f>
        <v>0.46747493588249012</v>
      </c>
      <c r="E14" s="91">
        <f t="shared" si="0"/>
        <v>5338.5637677780369</v>
      </c>
      <c r="F14" s="92">
        <f t="shared" si="1"/>
        <v>10025</v>
      </c>
      <c r="G14" s="97">
        <v>11420</v>
      </c>
      <c r="H14" s="311"/>
      <c r="I14" s="99">
        <v>22.55</v>
      </c>
      <c r="J14" s="99"/>
      <c r="K14" s="89">
        <f t="shared" si="2"/>
        <v>14526.24</v>
      </c>
      <c r="L14" s="94">
        <f t="shared" si="3"/>
        <v>17.727987421383649</v>
      </c>
      <c r="M14" s="96">
        <f t="shared" si="4"/>
        <v>257521</v>
      </c>
    </row>
    <row r="15" spans="1:14" ht="15.75" x14ac:dyDescent="0.25">
      <c r="A15" s="105" t="s">
        <v>1</v>
      </c>
      <c r="B15" s="80">
        <v>27242</v>
      </c>
      <c r="C15" s="128">
        <f t="shared" si="5"/>
        <v>2270.1666666666665</v>
      </c>
      <c r="D15" s="135">
        <f t="shared" si="6"/>
        <v>0.28687321048381176</v>
      </c>
      <c r="E15" s="67">
        <f t="shared" si="0"/>
        <v>5573.0858600690108</v>
      </c>
      <c r="F15" s="82">
        <f t="shared" si="1"/>
        <v>7815</v>
      </c>
      <c r="G15" s="80">
        <v>19427</v>
      </c>
      <c r="H15" s="76" t="e">
        <f>G15/#REF!</f>
        <v>#REF!</v>
      </c>
      <c r="I15" s="84">
        <v>27.99</v>
      </c>
      <c r="J15" s="84"/>
      <c r="K15" s="79">
        <f t="shared" si="2"/>
        <v>24711.144</v>
      </c>
      <c r="L15" s="78">
        <f t="shared" si="3"/>
        <v>22.004716981132074</v>
      </c>
      <c r="M15" s="85">
        <f t="shared" si="4"/>
        <v>543761.73</v>
      </c>
    </row>
    <row r="16" spans="1:14" ht="15.75" x14ac:dyDescent="0.25">
      <c r="A16" s="104" t="s">
        <v>9</v>
      </c>
      <c r="B16" s="97">
        <v>23487</v>
      </c>
      <c r="C16" s="128">
        <f t="shared" si="5"/>
        <v>1957.25</v>
      </c>
      <c r="D16" s="90">
        <f t="shared" si="6"/>
        <v>0.59386043343125983</v>
      </c>
      <c r="E16" s="91">
        <f t="shared" si="0"/>
        <v>5664.8346745007875</v>
      </c>
      <c r="F16" s="92">
        <f t="shared" si="1"/>
        <v>13948</v>
      </c>
      <c r="G16" s="97">
        <v>9539</v>
      </c>
      <c r="H16" s="130">
        <v>0.85267999999999999</v>
      </c>
      <c r="I16" s="98">
        <v>23</v>
      </c>
      <c r="J16" s="99"/>
      <c r="K16" s="89">
        <f t="shared" si="2"/>
        <v>12133.608</v>
      </c>
      <c r="L16" s="94">
        <f t="shared" si="3"/>
        <v>18.081761006289309</v>
      </c>
      <c r="M16" s="96">
        <f t="shared" si="4"/>
        <v>219397</v>
      </c>
    </row>
    <row r="17" spans="1:13" ht="15.75" x14ac:dyDescent="0.25">
      <c r="A17" s="105" t="s">
        <v>192</v>
      </c>
      <c r="B17" s="80">
        <v>26334</v>
      </c>
      <c r="C17" s="128">
        <f t="shared" si="5"/>
        <v>2194.5</v>
      </c>
      <c r="D17" s="135">
        <f t="shared" si="6"/>
        <v>0.54146730462519943</v>
      </c>
      <c r="E17" s="67">
        <v>184.29849000000002</v>
      </c>
      <c r="F17" s="82">
        <f t="shared" si="1"/>
        <v>14259.000000000002</v>
      </c>
      <c r="G17" s="80">
        <v>12075</v>
      </c>
      <c r="H17" s="76" t="e">
        <f>G17/#REF!</f>
        <v>#REF!</v>
      </c>
      <c r="I17" s="85">
        <v>12.5</v>
      </c>
      <c r="J17" s="84"/>
      <c r="K17" s="79">
        <f t="shared" si="2"/>
        <v>15359.4</v>
      </c>
      <c r="L17" s="78">
        <f t="shared" si="3"/>
        <v>9.8270440251572335</v>
      </c>
      <c r="M17" s="85">
        <f t="shared" si="4"/>
        <v>150937.5</v>
      </c>
    </row>
    <row r="18" spans="1:13" ht="15.75" x14ac:dyDescent="0.25">
      <c r="A18" s="104" t="s">
        <v>4</v>
      </c>
      <c r="B18" s="97">
        <v>2683</v>
      </c>
      <c r="C18" s="128">
        <f t="shared" si="5"/>
        <v>223.58333333333334</v>
      </c>
      <c r="D18" s="90">
        <f t="shared" si="6"/>
        <v>0.12858740216175923</v>
      </c>
      <c r="E18" s="91">
        <f>D18*G18</f>
        <v>300.63734625419306</v>
      </c>
      <c r="F18" s="92">
        <f t="shared" si="1"/>
        <v>345</v>
      </c>
      <c r="G18" s="97">
        <v>2338</v>
      </c>
      <c r="H18" s="130" t="e">
        <f>G18/#REF!</f>
        <v>#REF!</v>
      </c>
      <c r="I18" s="99">
        <v>15</v>
      </c>
      <c r="J18" s="99"/>
      <c r="K18" s="89">
        <f t="shared" si="2"/>
        <v>2973.9360000000001</v>
      </c>
      <c r="L18" s="94">
        <f>(G18*I18)/K18</f>
        <v>11.79245283018868</v>
      </c>
      <c r="M18" s="96">
        <f t="shared" si="4"/>
        <v>35070</v>
      </c>
    </row>
    <row r="19" spans="1:13" ht="15.75" x14ac:dyDescent="0.25">
      <c r="A19" s="104" t="s">
        <v>158</v>
      </c>
      <c r="B19" s="89">
        <v>402</v>
      </c>
      <c r="C19" s="128">
        <f t="shared" si="5"/>
        <v>33.5</v>
      </c>
      <c r="D19" s="90">
        <f t="shared" si="6"/>
        <v>0.42537313432835822</v>
      </c>
      <c r="E19" s="91">
        <f>D19*G19</f>
        <v>98.261194029850742</v>
      </c>
      <c r="F19" s="92">
        <f t="shared" si="1"/>
        <v>171</v>
      </c>
      <c r="G19" s="89">
        <v>231</v>
      </c>
      <c r="H19" s="130" t="e">
        <f>G19/#REF!</f>
        <v>#REF!</v>
      </c>
      <c r="I19" s="91">
        <v>24.3</v>
      </c>
      <c r="J19" s="94"/>
      <c r="K19" s="89">
        <f t="shared" si="2"/>
        <v>293.83199999999999</v>
      </c>
      <c r="L19" s="94">
        <f>(G19*I19)/K19</f>
        <v>19.10377358490566</v>
      </c>
      <c r="M19" s="96">
        <f t="shared" si="4"/>
        <v>5613.3</v>
      </c>
    </row>
    <row r="20" spans="1:13" ht="15.75" x14ac:dyDescent="0.25">
      <c r="A20" s="105" t="s">
        <v>6</v>
      </c>
      <c r="B20" s="80">
        <v>2205</v>
      </c>
      <c r="C20" s="128">
        <f t="shared" si="5"/>
        <v>183.75</v>
      </c>
      <c r="D20" s="135">
        <f t="shared" si="6"/>
        <v>0.67845804988662128</v>
      </c>
      <c r="E20" s="67">
        <f>D20*G20</f>
        <v>481.02675736961447</v>
      </c>
      <c r="F20" s="82">
        <f t="shared" si="1"/>
        <v>1496</v>
      </c>
      <c r="G20" s="80">
        <v>709</v>
      </c>
      <c r="H20" s="76" t="e">
        <f>G20/#REF!</f>
        <v>#REF!</v>
      </c>
      <c r="I20" s="84">
        <v>4.96</v>
      </c>
      <c r="J20" s="84"/>
      <c r="K20" s="79">
        <f t="shared" si="2"/>
        <v>901.84800000000007</v>
      </c>
      <c r="L20" s="78">
        <f>(G20*I20)/K20</f>
        <v>3.8993710691823895</v>
      </c>
      <c r="M20" s="85">
        <f t="shared" si="4"/>
        <v>3516.64</v>
      </c>
    </row>
    <row r="21" spans="1:13" ht="15.75" x14ac:dyDescent="0.25">
      <c r="A21" s="105" t="s">
        <v>24</v>
      </c>
      <c r="B21" s="80">
        <v>7781</v>
      </c>
      <c r="C21" s="128">
        <f t="shared" si="5"/>
        <v>648.41666666666663</v>
      </c>
      <c r="D21" s="135">
        <f t="shared" si="6"/>
        <v>0.41459966585271812</v>
      </c>
      <c r="E21" s="67"/>
      <c r="F21" s="82"/>
      <c r="G21" s="80">
        <v>4555</v>
      </c>
      <c r="H21" s="76" t="e">
        <f>G21/#REF!</f>
        <v>#REF!</v>
      </c>
      <c r="I21" s="84"/>
      <c r="J21" s="84"/>
      <c r="K21" s="79">
        <f t="shared" si="2"/>
        <v>5793.96</v>
      </c>
      <c r="L21" s="78"/>
      <c r="M21" s="85"/>
    </row>
    <row r="22" spans="1:13" ht="15.75" x14ac:dyDescent="0.25">
      <c r="A22" s="105" t="s">
        <v>193</v>
      </c>
      <c r="B22" s="80">
        <v>2149</v>
      </c>
      <c r="C22" s="128">
        <f t="shared" si="5"/>
        <v>179.08333333333334</v>
      </c>
      <c r="D22" s="135">
        <f t="shared" si="6"/>
        <v>0.59469520707305723</v>
      </c>
      <c r="E22" s="67"/>
      <c r="F22" s="82"/>
      <c r="G22" s="80">
        <v>871</v>
      </c>
      <c r="H22" s="76"/>
      <c r="I22" s="84">
        <v>31.78</v>
      </c>
      <c r="J22" s="84"/>
      <c r="K22" s="79">
        <f t="shared" si="2"/>
        <v>1107.912</v>
      </c>
      <c r="L22" s="78"/>
      <c r="M22" s="85">
        <f t="shared" si="4"/>
        <v>27680.38</v>
      </c>
    </row>
    <row r="23" spans="1:13" ht="15.75" x14ac:dyDescent="0.25">
      <c r="A23" s="105" t="s">
        <v>194</v>
      </c>
      <c r="B23" s="80">
        <v>850</v>
      </c>
      <c r="C23" s="128">
        <f t="shared" si="5"/>
        <v>70.833333333333329</v>
      </c>
      <c r="D23" s="135">
        <f t="shared" si="6"/>
        <v>0.48588235294117643</v>
      </c>
      <c r="E23" s="67"/>
      <c r="F23" s="82"/>
      <c r="G23" s="80">
        <v>437</v>
      </c>
      <c r="H23" s="76"/>
      <c r="I23" s="84">
        <v>22.23</v>
      </c>
      <c r="J23" s="84"/>
      <c r="K23" s="79">
        <f t="shared" si="2"/>
        <v>555.86400000000003</v>
      </c>
      <c r="L23" s="78"/>
      <c r="M23" s="85">
        <f t="shared" si="4"/>
        <v>9714.51</v>
      </c>
    </row>
    <row r="24" spans="1:13" ht="15.75" x14ac:dyDescent="0.25">
      <c r="A24" s="105" t="s">
        <v>234</v>
      </c>
      <c r="B24" s="80">
        <v>1497</v>
      </c>
      <c r="C24" s="128">
        <f t="shared" si="5"/>
        <v>124.75</v>
      </c>
      <c r="D24" s="135">
        <f t="shared" si="6"/>
        <v>0.22311289245156984</v>
      </c>
      <c r="E24" s="67"/>
      <c r="F24" s="82"/>
      <c r="G24" s="80">
        <v>1163</v>
      </c>
      <c r="H24" s="76"/>
      <c r="I24" s="84">
        <v>20.56</v>
      </c>
      <c r="J24" s="84"/>
      <c r="K24" s="79">
        <f t="shared" si="2"/>
        <v>1479.336</v>
      </c>
      <c r="L24" s="78"/>
      <c r="M24" s="85">
        <f t="shared" si="4"/>
        <v>23911.279999999999</v>
      </c>
    </row>
    <row r="25" spans="1:13" ht="15.75" x14ac:dyDescent="0.25">
      <c r="A25" s="105" t="s">
        <v>196</v>
      </c>
      <c r="B25" s="80">
        <v>0</v>
      </c>
      <c r="C25" s="128">
        <f t="shared" si="5"/>
        <v>0</v>
      </c>
      <c r="D25" s="135" t="e">
        <f t="shared" si="6"/>
        <v>#DIV/0!</v>
      </c>
      <c r="E25" s="67"/>
      <c r="F25" s="82"/>
      <c r="G25" s="80">
        <v>0</v>
      </c>
      <c r="H25" s="76"/>
      <c r="I25" s="84">
        <v>0</v>
      </c>
      <c r="J25" s="84"/>
      <c r="K25" s="79">
        <f t="shared" si="2"/>
        <v>0</v>
      </c>
      <c r="L25" s="78"/>
      <c r="M25" s="85">
        <f t="shared" si="4"/>
        <v>0</v>
      </c>
    </row>
    <row r="26" spans="1:13" ht="16.5" thickBot="1" x14ac:dyDescent="0.3">
      <c r="A26" s="106" t="s">
        <v>148</v>
      </c>
      <c r="B26" s="100">
        <v>1650</v>
      </c>
      <c r="C26" s="128">
        <f t="shared" si="5"/>
        <v>137.5</v>
      </c>
      <c r="D26" s="135">
        <f t="shared" si="6"/>
        <v>0.5436363636363637</v>
      </c>
      <c r="E26" s="101"/>
      <c r="F26" s="92">
        <f t="shared" si="1"/>
        <v>897.00000000000011</v>
      </c>
      <c r="G26" s="100">
        <v>753</v>
      </c>
      <c r="H26" s="139" t="e">
        <f>G26/#REF!</f>
        <v>#REF!</v>
      </c>
      <c r="I26" s="102">
        <v>21.98</v>
      </c>
      <c r="J26" s="103"/>
      <c r="K26" s="100">
        <f t="shared" si="2"/>
        <v>957.81600000000003</v>
      </c>
      <c r="L26" s="103">
        <v>0</v>
      </c>
      <c r="M26" s="102">
        <f t="shared" si="4"/>
        <v>16550.939999999999</v>
      </c>
    </row>
    <row r="27" spans="1:13" x14ac:dyDescent="0.2">
      <c r="B27" s="80">
        <f>SUM(B4:B26)</f>
        <v>466975</v>
      </c>
      <c r="C27" s="80">
        <f>B27/6</f>
        <v>77829.166666666672</v>
      </c>
      <c r="D27" s="81">
        <f>F27/B27</f>
        <v>0.4316892124846084</v>
      </c>
      <c r="E27" s="87">
        <f>SUM(E4:E26)</f>
        <v>101401.12189000149</v>
      </c>
      <c r="F27" s="87">
        <f>SUM(F4:F26)</f>
        <v>201588.07</v>
      </c>
      <c r="G27" s="33">
        <f>SUM(G4:G26)</f>
        <v>258249</v>
      </c>
      <c r="H27" s="83"/>
      <c r="I27" s="84">
        <v>22.19</v>
      </c>
      <c r="J27" s="84"/>
      <c r="K27" s="33">
        <f>SUM(K4:K26)</f>
        <v>328492.72800000006</v>
      </c>
      <c r="L27" s="78">
        <f>(G27*I27)/K27</f>
        <v>17.444968553459116</v>
      </c>
      <c r="M27" s="107">
        <f t="shared" si="4"/>
        <v>5730545.3100000005</v>
      </c>
    </row>
  </sheetData>
  <mergeCells count="1">
    <mergeCell ref="H13:H14"/>
  </mergeCells>
  <pageMargins left="0.7" right="0.7" top="0.75" bottom="0.75" header="0.3" footer="0.3"/>
  <pageSetup scale="5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6D094-A64B-4FCF-AA49-E849DC0CDF39}">
  <sheetPr>
    <pageSetUpPr fitToPage="1"/>
  </sheetPr>
  <dimension ref="A1:AC28"/>
  <sheetViews>
    <sheetView zoomScaleNormal="100" zoomScaleSheetLayoutView="100" workbookViewId="0">
      <selection activeCell="E33" sqref="E33"/>
    </sheetView>
  </sheetViews>
  <sheetFormatPr defaultColWidth="9" defaultRowHeight="14.25" x14ac:dyDescent="0.2"/>
  <cols>
    <col min="1" max="1" width="29.25" customWidth="1"/>
    <col min="2" max="3" width="11" customWidth="1"/>
    <col min="4" max="4" width="11" hidden="1" customWidth="1"/>
    <col min="6" max="6" width="13" hidden="1" customWidth="1"/>
    <col min="7" max="7" width="15.625" hidden="1" customWidth="1"/>
    <col min="8" max="8" width="9.875" customWidth="1"/>
    <col min="10" max="10" width="8.75" hidden="1" customWidth="1"/>
    <col min="11" max="11" width="11" customWidth="1"/>
    <col min="13" max="13" width="13.875" customWidth="1"/>
    <col min="14" max="14" width="9" customWidth="1"/>
  </cols>
  <sheetData>
    <row r="1" spans="1:14" x14ac:dyDescent="0.2">
      <c r="I1" s="19"/>
      <c r="J1" s="19"/>
      <c r="K1" s="19"/>
      <c r="L1" s="19"/>
      <c r="M1" s="19"/>
    </row>
    <row r="2" spans="1:14" ht="14.25" customHeight="1" x14ac:dyDescent="0.2">
      <c r="A2" s="19" t="s">
        <v>39</v>
      </c>
      <c r="I2" s="76"/>
      <c r="J2" s="76"/>
      <c r="K2" s="76"/>
      <c r="L2" s="76"/>
      <c r="M2" s="76"/>
    </row>
    <row r="3" spans="1:14" ht="15" thickBot="1" x14ac:dyDescent="0.25">
      <c r="A3" s="11" t="s">
        <v>191</v>
      </c>
      <c r="B3" s="77" t="s">
        <v>19</v>
      </c>
      <c r="C3" s="77" t="s">
        <v>236</v>
      </c>
      <c r="D3" s="77" t="s">
        <v>181</v>
      </c>
      <c r="E3" s="77" t="s">
        <v>30</v>
      </c>
      <c r="F3" s="77"/>
      <c r="G3" s="77"/>
      <c r="H3" s="77" t="s">
        <v>29</v>
      </c>
      <c r="I3" s="77" t="s">
        <v>25</v>
      </c>
      <c r="J3" s="77" t="s">
        <v>160</v>
      </c>
      <c r="K3" s="77" t="s">
        <v>162</v>
      </c>
      <c r="L3" s="77" t="s">
        <v>161</v>
      </c>
      <c r="M3" s="77" t="s">
        <v>163</v>
      </c>
    </row>
    <row r="4" spans="1:14" s="19" customFormat="1" ht="16.5" thickTop="1" x14ac:dyDescent="0.25">
      <c r="A4" s="196" t="s">
        <v>8</v>
      </c>
      <c r="B4" s="197">
        <v>120000</v>
      </c>
      <c r="C4" s="197">
        <v>134275</v>
      </c>
      <c r="D4" s="198">
        <f>B4/12</f>
        <v>10000</v>
      </c>
      <c r="E4" s="199"/>
      <c r="F4" s="36"/>
      <c r="G4" s="200"/>
      <c r="H4" s="197"/>
      <c r="I4" s="201"/>
      <c r="J4" s="201"/>
      <c r="K4" s="202"/>
      <c r="L4" s="201"/>
      <c r="M4" s="203"/>
    </row>
    <row r="5" spans="1:14" s="19" customFormat="1" ht="15.75" x14ac:dyDescent="0.25">
      <c r="A5" s="204" t="s">
        <v>11</v>
      </c>
      <c r="B5" s="205">
        <v>50000</v>
      </c>
      <c r="C5" s="205">
        <v>55133</v>
      </c>
      <c r="D5" s="216">
        <f t="shared" ref="D5:D23" si="0">B5/12</f>
        <v>4166.666666666667</v>
      </c>
      <c r="E5" s="206"/>
      <c r="F5" s="55"/>
      <c r="G5" s="207"/>
      <c r="H5" s="208"/>
      <c r="I5" s="209"/>
      <c r="J5" s="209"/>
      <c r="K5" s="210"/>
      <c r="L5" s="211"/>
      <c r="M5" s="212"/>
    </row>
    <row r="6" spans="1:14" ht="15.75" x14ac:dyDescent="0.25">
      <c r="A6" s="104" t="s">
        <v>13</v>
      </c>
      <c r="B6" s="97">
        <v>50000</v>
      </c>
      <c r="C6" s="97">
        <v>48894</v>
      </c>
      <c r="D6" s="128">
        <f t="shared" si="0"/>
        <v>4166.666666666667</v>
      </c>
      <c r="E6" s="131"/>
      <c r="F6" s="132"/>
      <c r="G6" s="133"/>
      <c r="H6" s="97"/>
      <c r="I6" s="98"/>
      <c r="J6" s="99"/>
      <c r="K6" s="95"/>
      <c r="L6" s="94"/>
      <c r="M6" s="96"/>
      <c r="N6" s="19"/>
    </row>
    <row r="7" spans="1:14" s="19" customFormat="1" ht="15.75" x14ac:dyDescent="0.25">
      <c r="A7" s="204" t="s">
        <v>14</v>
      </c>
      <c r="B7" s="205">
        <v>0</v>
      </c>
      <c r="C7" s="205">
        <v>10179</v>
      </c>
      <c r="D7" s="216">
        <f t="shared" si="0"/>
        <v>0</v>
      </c>
      <c r="E7" s="206"/>
      <c r="F7" s="55"/>
      <c r="G7" s="207"/>
      <c r="H7" s="205"/>
      <c r="I7" s="209"/>
      <c r="J7" s="209"/>
      <c r="K7" s="210"/>
      <c r="L7" s="211"/>
      <c r="M7" s="212"/>
    </row>
    <row r="8" spans="1:14" s="19" customFormat="1" ht="15.75" x14ac:dyDescent="0.25">
      <c r="A8" s="196" t="s">
        <v>51</v>
      </c>
      <c r="B8" s="213">
        <v>34000</v>
      </c>
      <c r="C8" s="213">
        <v>33055</v>
      </c>
      <c r="D8" s="198">
        <f t="shared" si="0"/>
        <v>2833.3333333333335</v>
      </c>
      <c r="E8" s="199"/>
      <c r="F8" s="36"/>
      <c r="G8" s="200"/>
      <c r="H8" s="213"/>
      <c r="I8" s="214"/>
      <c r="J8" s="214"/>
      <c r="K8" s="202"/>
      <c r="L8" s="201"/>
      <c r="M8" s="203"/>
    </row>
    <row r="9" spans="1:14" ht="15.75" x14ac:dyDescent="0.25">
      <c r="A9" s="104" t="s">
        <v>5</v>
      </c>
      <c r="B9" s="97">
        <v>20000</v>
      </c>
      <c r="C9" s="97">
        <v>21819</v>
      </c>
      <c r="D9" s="128">
        <f t="shared" si="0"/>
        <v>1666.6666666666667</v>
      </c>
      <c r="E9" s="90"/>
      <c r="F9" s="91"/>
      <c r="G9" s="92"/>
      <c r="H9" s="97"/>
      <c r="I9" s="99"/>
      <c r="J9" s="99"/>
      <c r="K9" s="89"/>
      <c r="L9" s="94"/>
      <c r="M9" s="96"/>
    </row>
    <row r="10" spans="1:14" ht="15.75" x14ac:dyDescent="0.25">
      <c r="A10" s="105" t="s">
        <v>15</v>
      </c>
      <c r="B10" s="134">
        <v>0</v>
      </c>
      <c r="C10" s="134"/>
      <c r="D10" s="217">
        <f t="shared" si="0"/>
        <v>0</v>
      </c>
      <c r="E10" s="135"/>
      <c r="F10" s="67"/>
      <c r="G10" s="82"/>
      <c r="H10" s="80"/>
      <c r="I10" s="136"/>
      <c r="J10" s="136"/>
      <c r="K10" s="134"/>
      <c r="L10" s="136"/>
      <c r="M10" s="85"/>
      <c r="N10" s="19"/>
    </row>
    <row r="11" spans="1:14" s="19" customFormat="1" ht="15.75" x14ac:dyDescent="0.25">
      <c r="A11" s="196" t="s">
        <v>0</v>
      </c>
      <c r="B11" s="213">
        <v>26000</v>
      </c>
      <c r="C11" s="213">
        <v>27743</v>
      </c>
      <c r="D11" s="198">
        <f t="shared" si="0"/>
        <v>2166.6666666666665</v>
      </c>
      <c r="E11" s="199"/>
      <c r="F11" s="36"/>
      <c r="G11" s="200"/>
      <c r="H11" s="213"/>
      <c r="I11" s="203"/>
      <c r="J11" s="214"/>
      <c r="K11" s="197"/>
      <c r="L11" s="201"/>
      <c r="M11" s="203"/>
    </row>
    <row r="12" spans="1:14" ht="15.75" x14ac:dyDescent="0.25">
      <c r="A12" s="105" t="s">
        <v>136</v>
      </c>
      <c r="B12" s="80">
        <v>24000</v>
      </c>
      <c r="C12" s="80">
        <v>22547</v>
      </c>
      <c r="D12" s="217">
        <f t="shared" si="0"/>
        <v>2000</v>
      </c>
      <c r="E12" s="135"/>
      <c r="F12" s="67"/>
      <c r="G12" s="82"/>
      <c r="H12" s="80"/>
      <c r="I12" s="84"/>
      <c r="J12" s="84"/>
      <c r="K12" s="79"/>
      <c r="L12" s="78"/>
      <c r="M12" s="85"/>
    </row>
    <row r="13" spans="1:14" ht="15.75" x14ac:dyDescent="0.25">
      <c r="A13" s="104" t="s">
        <v>2</v>
      </c>
      <c r="B13" s="97">
        <v>24000</v>
      </c>
      <c r="C13" s="97">
        <v>22694</v>
      </c>
      <c r="D13" s="128">
        <f t="shared" si="0"/>
        <v>2000</v>
      </c>
      <c r="E13" s="90"/>
      <c r="F13" s="91"/>
      <c r="G13" s="92"/>
      <c r="H13" s="97"/>
      <c r="I13" s="99"/>
      <c r="J13" s="99"/>
      <c r="K13" s="89"/>
      <c r="L13" s="94"/>
      <c r="M13" s="96"/>
    </row>
    <row r="14" spans="1:14" ht="15.75" x14ac:dyDescent="0.25">
      <c r="A14" s="105" t="s">
        <v>1</v>
      </c>
      <c r="B14" s="80">
        <v>25000</v>
      </c>
      <c r="C14" s="80">
        <v>27493</v>
      </c>
      <c r="D14" s="217">
        <f t="shared" si="0"/>
        <v>2083.3333333333335</v>
      </c>
      <c r="E14" s="135"/>
      <c r="F14" s="67"/>
      <c r="G14" s="82"/>
      <c r="H14" s="80"/>
      <c r="I14" s="84"/>
      <c r="J14" s="84"/>
      <c r="K14" s="79"/>
      <c r="L14" s="78"/>
      <c r="M14" s="85"/>
    </row>
    <row r="15" spans="1:14" s="19" customFormat="1" ht="15.75" x14ac:dyDescent="0.25">
      <c r="A15" s="196" t="s">
        <v>9</v>
      </c>
      <c r="B15" s="213">
        <v>45000</v>
      </c>
      <c r="C15" s="213">
        <v>37673</v>
      </c>
      <c r="D15" s="198">
        <f t="shared" si="0"/>
        <v>3750</v>
      </c>
      <c r="E15" s="199"/>
      <c r="F15" s="36"/>
      <c r="G15" s="200"/>
      <c r="H15" s="213"/>
      <c r="I15" s="214"/>
      <c r="J15" s="214"/>
      <c r="K15" s="197"/>
      <c r="L15" s="201"/>
      <c r="M15" s="203"/>
    </row>
    <row r="16" spans="1:14" s="19" customFormat="1" ht="15.75" x14ac:dyDescent="0.25">
      <c r="A16" s="204" t="s">
        <v>192</v>
      </c>
      <c r="B16" s="205">
        <v>27500</v>
      </c>
      <c r="C16" s="205">
        <v>25750</v>
      </c>
      <c r="D16" s="216">
        <f t="shared" si="0"/>
        <v>2291.6666666666665</v>
      </c>
      <c r="E16" s="206"/>
      <c r="F16" s="55"/>
      <c r="G16" s="207"/>
      <c r="H16" s="205"/>
      <c r="I16" s="212"/>
      <c r="J16" s="209"/>
      <c r="K16" s="215"/>
      <c r="L16" s="211"/>
      <c r="M16" s="212"/>
    </row>
    <row r="17" spans="1:29" s="19" customFormat="1" ht="15.75" x14ac:dyDescent="0.25">
      <c r="A17" s="204" t="s">
        <v>237</v>
      </c>
      <c r="B17" s="205"/>
      <c r="C17" s="205">
        <v>9301</v>
      </c>
      <c r="D17" s="216"/>
      <c r="E17" s="206"/>
      <c r="F17" s="55"/>
      <c r="G17" s="207"/>
      <c r="H17" s="205"/>
      <c r="I17" s="212"/>
      <c r="J17" s="209"/>
      <c r="K17" s="215"/>
      <c r="L17" s="211"/>
      <c r="M17" s="212"/>
    </row>
    <row r="18" spans="1:29" ht="15.75" x14ac:dyDescent="0.25">
      <c r="A18" s="104" t="s">
        <v>4</v>
      </c>
      <c r="B18" s="97">
        <v>2000</v>
      </c>
      <c r="C18" s="97">
        <v>7612</v>
      </c>
      <c r="D18" s="128">
        <f t="shared" si="0"/>
        <v>166.66666666666666</v>
      </c>
      <c r="E18" s="90"/>
      <c r="F18" s="91"/>
      <c r="G18" s="92"/>
      <c r="H18" s="97"/>
      <c r="I18" s="99"/>
      <c r="J18" s="99"/>
      <c r="K18" s="89"/>
      <c r="L18" s="94"/>
      <c r="M18" s="96"/>
    </row>
    <row r="19" spans="1:29" ht="15.75" x14ac:dyDescent="0.25">
      <c r="A19" s="105" t="s">
        <v>6</v>
      </c>
      <c r="B19" s="80">
        <v>1000</v>
      </c>
      <c r="C19" s="80">
        <v>965</v>
      </c>
      <c r="D19" s="217">
        <f t="shared" si="0"/>
        <v>83.333333333333329</v>
      </c>
      <c r="E19" s="135"/>
      <c r="F19" s="67"/>
      <c r="G19" s="82"/>
      <c r="H19" s="80"/>
      <c r="I19" s="84"/>
      <c r="J19" s="84"/>
      <c r="K19" s="79"/>
      <c r="L19" s="78"/>
      <c r="M19" s="85"/>
    </row>
    <row r="20" spans="1:29" s="19" customFormat="1" ht="15.75" x14ac:dyDescent="0.25">
      <c r="A20" s="204" t="s">
        <v>193</v>
      </c>
      <c r="B20" s="205">
        <v>1000</v>
      </c>
      <c r="C20" s="205">
        <v>60</v>
      </c>
      <c r="D20" s="216">
        <f t="shared" si="0"/>
        <v>83.333333333333329</v>
      </c>
      <c r="E20" s="206"/>
      <c r="F20" s="55"/>
      <c r="G20" s="207"/>
      <c r="H20" s="205"/>
      <c r="I20" s="209"/>
      <c r="J20" s="209"/>
      <c r="K20" s="215"/>
      <c r="L20" s="211"/>
      <c r="M20" s="212"/>
    </row>
    <row r="21" spans="1:29" s="239" customFormat="1" ht="15.75" x14ac:dyDescent="0.25">
      <c r="A21" s="229" t="s">
        <v>194</v>
      </c>
      <c r="B21" s="230">
        <v>200</v>
      </c>
      <c r="C21" s="230">
        <v>174</v>
      </c>
      <c r="D21" s="231">
        <f t="shared" si="0"/>
        <v>16.666666666666668</v>
      </c>
      <c r="E21" s="232"/>
      <c r="F21" s="233"/>
      <c r="G21" s="234"/>
      <c r="H21" s="230"/>
      <c r="I21" s="235"/>
      <c r="J21" s="235"/>
      <c r="K21" s="236"/>
      <c r="L21" s="237"/>
      <c r="M21" s="238"/>
      <c r="N21" s="19"/>
      <c r="O21" s="19"/>
      <c r="P21" s="19"/>
      <c r="Q21" s="19"/>
      <c r="R21" s="19"/>
      <c r="S21" s="19"/>
      <c r="T21" s="19"/>
      <c r="U21" s="19"/>
      <c r="V21" s="19"/>
      <c r="W21" s="19"/>
      <c r="X21" s="19"/>
      <c r="Y21" s="19"/>
      <c r="Z21" s="19"/>
      <c r="AA21" s="19"/>
      <c r="AB21" s="19"/>
      <c r="AC21" s="19"/>
    </row>
    <row r="22" spans="1:29" s="239" customFormat="1" ht="15.75" x14ac:dyDescent="0.25">
      <c r="A22" s="229" t="s">
        <v>196</v>
      </c>
      <c r="B22" s="230">
        <v>0</v>
      </c>
      <c r="C22" s="230"/>
      <c r="D22" s="231">
        <f t="shared" si="0"/>
        <v>0</v>
      </c>
      <c r="E22" s="232"/>
      <c r="F22" s="233"/>
      <c r="G22" s="234"/>
      <c r="H22" s="230"/>
      <c r="I22" s="235"/>
      <c r="J22" s="235"/>
      <c r="K22" s="236"/>
      <c r="L22" s="237"/>
      <c r="M22" s="238"/>
      <c r="N22" s="19"/>
      <c r="O22" s="19"/>
      <c r="P22" s="19"/>
      <c r="Q22" s="19"/>
      <c r="R22" s="19"/>
      <c r="S22" s="19"/>
      <c r="T22" s="19"/>
      <c r="U22" s="19"/>
      <c r="V22" s="19"/>
      <c r="W22" s="19"/>
      <c r="X22" s="19"/>
      <c r="Y22" s="19"/>
      <c r="Z22" s="19"/>
      <c r="AA22" s="19"/>
      <c r="AB22" s="19"/>
      <c r="AC22" s="19"/>
    </row>
    <row r="23" spans="1:29" s="19" customFormat="1" ht="16.5" thickBot="1" x14ac:dyDescent="0.3">
      <c r="A23" s="240" t="s">
        <v>148</v>
      </c>
      <c r="B23" s="241">
        <v>300</v>
      </c>
      <c r="C23" s="241">
        <v>594</v>
      </c>
      <c r="D23" s="246">
        <f t="shared" si="0"/>
        <v>25</v>
      </c>
      <c r="E23" s="242"/>
      <c r="F23" s="243"/>
      <c r="G23" s="207"/>
      <c r="H23" s="241"/>
      <c r="I23" s="244"/>
      <c r="J23" s="245"/>
      <c r="K23" s="241"/>
      <c r="L23" s="245"/>
      <c r="M23" s="244"/>
    </row>
    <row r="24" spans="1:29" x14ac:dyDescent="0.2">
      <c r="B24" s="80">
        <f>SUM(B4:B23)</f>
        <v>450000</v>
      </c>
      <c r="C24" s="80">
        <f>SUM(C4:C23)</f>
        <v>485961</v>
      </c>
      <c r="D24" s="80">
        <f>B24/6</f>
        <v>75000</v>
      </c>
      <c r="E24" s="81">
        <f>G24/B24</f>
        <v>0</v>
      </c>
      <c r="F24" s="87">
        <f>SUM(F4:F23)</f>
        <v>0</v>
      </c>
      <c r="G24" s="87">
        <f>SUM(G4:G23)</f>
        <v>0</v>
      </c>
      <c r="H24" s="33">
        <f>SUM(H4:H23)</f>
        <v>0</v>
      </c>
      <c r="I24" s="84">
        <v>22.19</v>
      </c>
      <c r="J24" s="84"/>
      <c r="K24" s="33">
        <f>SUM(K4:K23)</f>
        <v>0</v>
      </c>
      <c r="L24" s="78" t="e">
        <f>(H24*I24)/K24</f>
        <v>#DIV/0!</v>
      </c>
      <c r="M24" s="107">
        <f>H24*I24</f>
        <v>0</v>
      </c>
    </row>
    <row r="27" spans="1:29" x14ac:dyDescent="0.2">
      <c r="A27" s="247" t="s">
        <v>235</v>
      </c>
      <c r="B27" s="248">
        <f>B4+B5+B7+B8+B11+B15+B16+B20+B21+B22+B23</f>
        <v>304000</v>
      </c>
      <c r="C27" s="248">
        <f>C4+C5+C7+C8+C11+C15+C16+C20+C21+C22+C23</f>
        <v>324636</v>
      </c>
      <c r="E27" s="1">
        <f>C27/C24</f>
        <v>0.66802891590065872</v>
      </c>
    </row>
    <row r="28" spans="1:29" x14ac:dyDescent="0.2">
      <c r="A28" s="40" t="s">
        <v>165</v>
      </c>
      <c r="B28" s="41">
        <f>B24-B27</f>
        <v>146000</v>
      </c>
      <c r="C28" s="41">
        <f>C24-C27</f>
        <v>161325</v>
      </c>
      <c r="E28" s="1">
        <f>C28/C24</f>
        <v>0.33197108409934128</v>
      </c>
    </row>
  </sheetData>
  <pageMargins left="0.7" right="0.7" top="0.75" bottom="0.75" header="0.3" footer="0.3"/>
  <pageSetup scale="5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36D9-5AAC-4F0E-93D0-FA4B050CC080}">
  <sheetPr>
    <pageSetUpPr fitToPage="1"/>
  </sheetPr>
  <dimension ref="A1:AC28"/>
  <sheetViews>
    <sheetView zoomScaleNormal="100" zoomScaleSheetLayoutView="100" workbookViewId="0">
      <selection activeCell="A31" sqref="A31"/>
    </sheetView>
  </sheetViews>
  <sheetFormatPr defaultColWidth="9" defaultRowHeight="14.25" x14ac:dyDescent="0.2"/>
  <cols>
    <col min="1" max="1" width="29.25" customWidth="1"/>
    <col min="2" max="3" width="11" customWidth="1"/>
    <col min="4" max="4" width="11" hidden="1" customWidth="1"/>
    <col min="6" max="6" width="13" hidden="1" customWidth="1"/>
    <col min="7" max="7" width="15.625" hidden="1" customWidth="1"/>
    <col min="8" max="8" width="9.875" customWidth="1"/>
    <col min="10" max="10" width="8.75" hidden="1" customWidth="1"/>
    <col min="11" max="11" width="11" customWidth="1"/>
    <col min="13" max="13" width="13.875" customWidth="1"/>
    <col min="14" max="14" width="9" customWidth="1"/>
  </cols>
  <sheetData>
    <row r="1" spans="1:14" x14ac:dyDescent="0.2">
      <c r="I1" s="19"/>
      <c r="J1" s="19"/>
      <c r="K1" s="19"/>
      <c r="L1" s="19"/>
      <c r="M1" s="19"/>
    </row>
    <row r="2" spans="1:14" ht="14.25" customHeight="1" x14ac:dyDescent="0.2">
      <c r="A2" s="19" t="s">
        <v>39</v>
      </c>
      <c r="I2" s="76"/>
      <c r="J2" s="76"/>
      <c r="K2" s="76"/>
      <c r="L2" s="76"/>
      <c r="M2" s="76"/>
    </row>
    <row r="3" spans="1:14" ht="15" thickBot="1" x14ac:dyDescent="0.25">
      <c r="A3" s="11" t="s">
        <v>191</v>
      </c>
      <c r="B3" s="77" t="s">
        <v>19</v>
      </c>
      <c r="C3" s="77" t="s">
        <v>236</v>
      </c>
      <c r="D3" s="77" t="s">
        <v>181</v>
      </c>
      <c r="E3" s="77" t="s">
        <v>30</v>
      </c>
      <c r="F3" s="77"/>
      <c r="G3" s="77"/>
      <c r="H3" s="77" t="s">
        <v>29</v>
      </c>
      <c r="I3" s="77" t="s">
        <v>25</v>
      </c>
      <c r="J3" s="77" t="s">
        <v>160</v>
      </c>
      <c r="K3" s="77" t="s">
        <v>162</v>
      </c>
      <c r="L3" s="77" t="s">
        <v>161</v>
      </c>
      <c r="M3" s="77" t="s">
        <v>163</v>
      </c>
    </row>
    <row r="4" spans="1:14" s="19" customFormat="1" ht="16.5" thickTop="1" x14ac:dyDescent="0.25">
      <c r="A4" s="196" t="s">
        <v>8</v>
      </c>
      <c r="B4" s="197">
        <v>135000</v>
      </c>
      <c r="C4" s="197">
        <v>134275</v>
      </c>
      <c r="D4" s="198">
        <f>B4/12</f>
        <v>11250</v>
      </c>
      <c r="E4" s="199"/>
      <c r="F4" s="36"/>
      <c r="G4" s="200"/>
      <c r="H4" s="197"/>
      <c r="I4" s="201"/>
      <c r="J4" s="201"/>
      <c r="K4" s="202"/>
      <c r="L4" s="201"/>
      <c r="M4" s="203"/>
    </row>
    <row r="5" spans="1:14" s="19" customFormat="1" ht="15.75" x14ac:dyDescent="0.25">
      <c r="A5" s="204" t="s">
        <v>11</v>
      </c>
      <c r="B5" s="205">
        <v>55000</v>
      </c>
      <c r="C5" s="205">
        <v>55133</v>
      </c>
      <c r="D5" s="216">
        <f t="shared" ref="D5:D23" si="0">B5/12</f>
        <v>4583.333333333333</v>
      </c>
      <c r="E5" s="206"/>
      <c r="F5" s="55"/>
      <c r="G5" s="207"/>
      <c r="H5" s="208"/>
      <c r="I5" s="209"/>
      <c r="J5" s="209"/>
      <c r="K5" s="210"/>
      <c r="L5" s="211"/>
      <c r="M5" s="212"/>
    </row>
    <row r="6" spans="1:14" ht="15.75" x14ac:dyDescent="0.25">
      <c r="A6" s="104" t="s">
        <v>13</v>
      </c>
      <c r="B6" s="97">
        <v>50000</v>
      </c>
      <c r="C6" s="97">
        <v>48894</v>
      </c>
      <c r="D6" s="128">
        <f t="shared" si="0"/>
        <v>4166.666666666667</v>
      </c>
      <c r="E6" s="131"/>
      <c r="F6" s="132"/>
      <c r="G6" s="133"/>
      <c r="H6" s="97"/>
      <c r="I6" s="98"/>
      <c r="J6" s="99"/>
      <c r="K6" s="95"/>
      <c r="L6" s="94"/>
      <c r="M6" s="96"/>
      <c r="N6" s="19"/>
    </row>
    <row r="7" spans="1:14" s="19" customFormat="1" ht="15.75" x14ac:dyDescent="0.25">
      <c r="A7" s="204" t="s">
        <v>14</v>
      </c>
      <c r="B7" s="205">
        <v>10000</v>
      </c>
      <c r="C7" s="205">
        <v>10179</v>
      </c>
      <c r="D7" s="216">
        <f t="shared" si="0"/>
        <v>833.33333333333337</v>
      </c>
      <c r="E7" s="206"/>
      <c r="F7" s="55"/>
      <c r="G7" s="207"/>
      <c r="H7" s="205"/>
      <c r="I7" s="209"/>
      <c r="J7" s="209"/>
      <c r="K7" s="210"/>
      <c r="L7" s="211"/>
      <c r="M7" s="212"/>
    </row>
    <row r="8" spans="1:14" s="19" customFormat="1" ht="15.75" x14ac:dyDescent="0.25">
      <c r="A8" s="196" t="s">
        <v>51</v>
      </c>
      <c r="B8" s="213">
        <v>33000</v>
      </c>
      <c r="C8" s="213">
        <v>33055</v>
      </c>
      <c r="D8" s="198">
        <f t="shared" si="0"/>
        <v>2750</v>
      </c>
      <c r="E8" s="199"/>
      <c r="F8" s="36"/>
      <c r="G8" s="200"/>
      <c r="H8" s="213"/>
      <c r="I8" s="214"/>
      <c r="J8" s="214"/>
      <c r="K8" s="202"/>
      <c r="L8" s="201"/>
      <c r="M8" s="203"/>
    </row>
    <row r="9" spans="1:14" ht="15.75" x14ac:dyDescent="0.25">
      <c r="A9" s="104" t="s">
        <v>5</v>
      </c>
      <c r="B9" s="97">
        <v>5000</v>
      </c>
      <c r="C9" s="97">
        <v>21819</v>
      </c>
      <c r="D9" s="128">
        <f t="shared" si="0"/>
        <v>416.66666666666669</v>
      </c>
      <c r="E9" s="90"/>
      <c r="F9" s="91"/>
      <c r="G9" s="92"/>
      <c r="H9" s="97"/>
      <c r="I9" s="99"/>
      <c r="J9" s="99"/>
      <c r="K9" s="89"/>
      <c r="L9" s="94"/>
      <c r="M9" s="96"/>
    </row>
    <row r="10" spans="1:14" ht="15.75" x14ac:dyDescent="0.25">
      <c r="A10" s="105" t="s">
        <v>15</v>
      </c>
      <c r="B10" s="134">
        <v>0</v>
      </c>
      <c r="C10" s="134"/>
      <c r="D10" s="217">
        <f t="shared" si="0"/>
        <v>0</v>
      </c>
      <c r="E10" s="135"/>
      <c r="F10" s="67"/>
      <c r="G10" s="82"/>
      <c r="H10" s="80"/>
      <c r="I10" s="136"/>
      <c r="J10" s="136"/>
      <c r="K10" s="134"/>
      <c r="L10" s="136"/>
      <c r="M10" s="85"/>
      <c r="N10" s="19"/>
    </row>
    <row r="11" spans="1:14" s="19" customFormat="1" ht="15.75" x14ac:dyDescent="0.25">
      <c r="A11" s="196" t="s">
        <v>0</v>
      </c>
      <c r="B11" s="213">
        <v>28000</v>
      </c>
      <c r="C11" s="213">
        <v>27743</v>
      </c>
      <c r="D11" s="198">
        <f t="shared" si="0"/>
        <v>2333.3333333333335</v>
      </c>
      <c r="E11" s="199"/>
      <c r="F11" s="36"/>
      <c r="G11" s="200"/>
      <c r="H11" s="213"/>
      <c r="I11" s="203"/>
      <c r="J11" s="214"/>
      <c r="K11" s="197"/>
      <c r="L11" s="201"/>
      <c r="M11" s="203"/>
    </row>
    <row r="12" spans="1:14" ht="15.75" x14ac:dyDescent="0.25">
      <c r="A12" s="105" t="s">
        <v>136</v>
      </c>
      <c r="B12" s="80">
        <v>23000</v>
      </c>
      <c r="C12" s="80">
        <v>22547</v>
      </c>
      <c r="D12" s="217">
        <f t="shared" si="0"/>
        <v>1916.6666666666667</v>
      </c>
      <c r="E12" s="135"/>
      <c r="F12" s="67"/>
      <c r="G12" s="82"/>
      <c r="H12" s="80"/>
      <c r="I12" s="84"/>
      <c r="J12" s="84"/>
      <c r="K12" s="79"/>
      <c r="L12" s="78"/>
      <c r="M12" s="85"/>
    </row>
    <row r="13" spans="1:14" ht="15.75" x14ac:dyDescent="0.25">
      <c r="A13" s="104" t="s">
        <v>2</v>
      </c>
      <c r="B13" s="97">
        <v>23000</v>
      </c>
      <c r="C13" s="97">
        <v>22694</v>
      </c>
      <c r="D13" s="128">
        <f t="shared" si="0"/>
        <v>1916.6666666666667</v>
      </c>
      <c r="E13" s="90"/>
      <c r="F13" s="91"/>
      <c r="G13" s="92"/>
      <c r="H13" s="97"/>
      <c r="I13" s="99"/>
      <c r="J13" s="99"/>
      <c r="K13" s="89"/>
      <c r="L13" s="94"/>
      <c r="M13" s="96"/>
    </row>
    <row r="14" spans="1:14" ht="15.75" x14ac:dyDescent="0.25">
      <c r="A14" s="105" t="s">
        <v>1</v>
      </c>
      <c r="B14" s="80">
        <v>27500</v>
      </c>
      <c r="C14" s="80">
        <v>27493</v>
      </c>
      <c r="D14" s="217">
        <f t="shared" si="0"/>
        <v>2291.6666666666665</v>
      </c>
      <c r="E14" s="135"/>
      <c r="F14" s="67"/>
      <c r="G14" s="82"/>
      <c r="H14" s="80"/>
      <c r="I14" s="84"/>
      <c r="J14" s="84"/>
      <c r="K14" s="79"/>
      <c r="L14" s="78"/>
      <c r="M14" s="85"/>
    </row>
    <row r="15" spans="1:14" s="19" customFormat="1" ht="15.75" x14ac:dyDescent="0.25">
      <c r="A15" s="196" t="s">
        <v>9</v>
      </c>
      <c r="B15" s="213">
        <v>45000</v>
      </c>
      <c r="C15" s="213">
        <v>37673</v>
      </c>
      <c r="D15" s="198">
        <f t="shared" si="0"/>
        <v>3750</v>
      </c>
      <c r="E15" s="199"/>
      <c r="F15" s="36"/>
      <c r="G15" s="200"/>
      <c r="H15" s="213"/>
      <c r="I15" s="214"/>
      <c r="J15" s="214"/>
      <c r="K15" s="197"/>
      <c r="L15" s="201"/>
      <c r="M15" s="203"/>
    </row>
    <row r="16" spans="1:14" s="19" customFormat="1" ht="15.75" x14ac:dyDescent="0.25">
      <c r="A16" s="204" t="s">
        <v>192</v>
      </c>
      <c r="B16" s="205">
        <v>30000</v>
      </c>
      <c r="C16" s="205">
        <v>25750</v>
      </c>
      <c r="D16" s="216">
        <f t="shared" si="0"/>
        <v>2500</v>
      </c>
      <c r="E16" s="206"/>
      <c r="F16" s="55"/>
      <c r="G16" s="207"/>
      <c r="H16" s="205"/>
      <c r="I16" s="212"/>
      <c r="J16" s="209"/>
      <c r="K16" s="215"/>
      <c r="L16" s="211"/>
      <c r="M16" s="212"/>
    </row>
    <row r="17" spans="1:29" s="19" customFormat="1" ht="15.75" x14ac:dyDescent="0.25">
      <c r="A17" s="204" t="s">
        <v>237</v>
      </c>
      <c r="B17" s="205">
        <v>0</v>
      </c>
      <c r="C17" s="205">
        <v>9301</v>
      </c>
      <c r="D17" s="216"/>
      <c r="E17" s="206"/>
      <c r="F17" s="55"/>
      <c r="G17" s="207"/>
      <c r="H17" s="205"/>
      <c r="I17" s="212"/>
      <c r="J17" s="209"/>
      <c r="K17" s="215"/>
      <c r="L17" s="211"/>
      <c r="M17" s="212"/>
    </row>
    <row r="18" spans="1:29" ht="15.75" x14ac:dyDescent="0.25">
      <c r="A18" s="104" t="s">
        <v>4</v>
      </c>
      <c r="B18" s="97">
        <v>500</v>
      </c>
      <c r="C18" s="97">
        <v>7612</v>
      </c>
      <c r="D18" s="128">
        <f t="shared" si="0"/>
        <v>41.666666666666664</v>
      </c>
      <c r="E18" s="90"/>
      <c r="F18" s="91"/>
      <c r="G18" s="92"/>
      <c r="H18" s="97"/>
      <c r="I18" s="99"/>
      <c r="J18" s="99"/>
      <c r="K18" s="89"/>
      <c r="L18" s="94"/>
      <c r="M18" s="96"/>
    </row>
    <row r="19" spans="1:29" ht="15.75" x14ac:dyDescent="0.25">
      <c r="A19" s="105" t="s">
        <v>6</v>
      </c>
      <c r="B19" s="80">
        <v>1000</v>
      </c>
      <c r="C19" s="80">
        <v>965</v>
      </c>
      <c r="D19" s="217">
        <f t="shared" si="0"/>
        <v>83.333333333333329</v>
      </c>
      <c r="E19" s="135"/>
      <c r="F19" s="67"/>
      <c r="G19" s="82"/>
      <c r="H19" s="80"/>
      <c r="I19" s="84"/>
      <c r="J19" s="84"/>
      <c r="K19" s="79"/>
      <c r="L19" s="78"/>
      <c r="M19" s="85"/>
    </row>
    <row r="20" spans="1:29" s="19" customFormat="1" ht="15.75" x14ac:dyDescent="0.25">
      <c r="A20" s="204" t="s">
        <v>193</v>
      </c>
      <c r="B20" s="205">
        <v>0</v>
      </c>
      <c r="C20" s="205">
        <v>60</v>
      </c>
      <c r="D20" s="216">
        <f t="shared" si="0"/>
        <v>0</v>
      </c>
      <c r="E20" s="206"/>
      <c r="F20" s="55"/>
      <c r="G20" s="207"/>
      <c r="H20" s="205"/>
      <c r="I20" s="209"/>
      <c r="J20" s="209"/>
      <c r="K20" s="215"/>
      <c r="L20" s="211"/>
      <c r="M20" s="212"/>
    </row>
    <row r="21" spans="1:29" s="239" customFormat="1" ht="15.75" x14ac:dyDescent="0.25">
      <c r="A21" s="229" t="s">
        <v>194</v>
      </c>
      <c r="B21" s="230">
        <v>0</v>
      </c>
      <c r="C21" s="230">
        <v>174</v>
      </c>
      <c r="D21" s="231">
        <f t="shared" si="0"/>
        <v>0</v>
      </c>
      <c r="E21" s="232"/>
      <c r="F21" s="233"/>
      <c r="G21" s="234"/>
      <c r="H21" s="230"/>
      <c r="I21" s="235"/>
      <c r="J21" s="235"/>
      <c r="K21" s="236"/>
      <c r="L21" s="237"/>
      <c r="M21" s="238"/>
      <c r="N21" s="19"/>
      <c r="O21" s="19"/>
      <c r="P21" s="19"/>
      <c r="Q21" s="19"/>
      <c r="R21" s="19"/>
      <c r="S21" s="19"/>
      <c r="T21" s="19"/>
      <c r="U21" s="19"/>
      <c r="V21" s="19"/>
      <c r="W21" s="19"/>
      <c r="X21" s="19"/>
      <c r="Y21" s="19"/>
      <c r="Z21" s="19"/>
      <c r="AA21" s="19"/>
      <c r="AB21" s="19"/>
      <c r="AC21" s="19"/>
    </row>
    <row r="22" spans="1:29" s="239" customFormat="1" ht="15.75" x14ac:dyDescent="0.25">
      <c r="A22" s="229" t="s">
        <v>196</v>
      </c>
      <c r="B22" s="230">
        <v>0</v>
      </c>
      <c r="C22" s="230"/>
      <c r="D22" s="231">
        <f t="shared" si="0"/>
        <v>0</v>
      </c>
      <c r="E22" s="232"/>
      <c r="F22" s="233"/>
      <c r="G22" s="234"/>
      <c r="H22" s="230"/>
      <c r="I22" s="235"/>
      <c r="J22" s="235"/>
      <c r="K22" s="236"/>
      <c r="L22" s="237"/>
      <c r="M22" s="238"/>
      <c r="N22" s="19"/>
      <c r="O22" s="19"/>
      <c r="P22" s="19"/>
      <c r="Q22" s="19"/>
      <c r="R22" s="19"/>
      <c r="S22" s="19"/>
      <c r="T22" s="19"/>
      <c r="U22" s="19"/>
      <c r="V22" s="19"/>
      <c r="W22" s="19"/>
      <c r="X22" s="19"/>
      <c r="Y22" s="19"/>
      <c r="Z22" s="19"/>
      <c r="AA22" s="19"/>
      <c r="AB22" s="19"/>
      <c r="AC22" s="19"/>
    </row>
    <row r="23" spans="1:29" s="19" customFormat="1" ht="16.5" thickBot="1" x14ac:dyDescent="0.3">
      <c r="A23" s="240" t="s">
        <v>148</v>
      </c>
      <c r="B23" s="241">
        <v>500</v>
      </c>
      <c r="C23" s="241">
        <v>594</v>
      </c>
      <c r="D23" s="246">
        <f t="shared" si="0"/>
        <v>41.666666666666664</v>
      </c>
      <c r="E23" s="242"/>
      <c r="F23" s="243"/>
      <c r="G23" s="207"/>
      <c r="H23" s="241"/>
      <c r="I23" s="244"/>
      <c r="J23" s="245"/>
      <c r="K23" s="241"/>
      <c r="L23" s="245"/>
      <c r="M23" s="244"/>
    </row>
    <row r="24" spans="1:29" x14ac:dyDescent="0.2">
      <c r="B24" s="80">
        <f>SUM(B4:B23)</f>
        <v>466500</v>
      </c>
      <c r="C24" s="80">
        <f>SUM(C4:C23)</f>
        <v>485961</v>
      </c>
      <c r="D24" s="80">
        <f>B24/6</f>
        <v>77750</v>
      </c>
      <c r="E24" s="81">
        <f>G24/B24</f>
        <v>0</v>
      </c>
      <c r="F24" s="87">
        <f>SUM(F4:F23)</f>
        <v>0</v>
      </c>
      <c r="G24" s="87">
        <f>SUM(G4:G23)</f>
        <v>0</v>
      </c>
      <c r="H24" s="33">
        <f>SUM(H4:H23)</f>
        <v>0</v>
      </c>
      <c r="I24" s="84">
        <v>22.19</v>
      </c>
      <c r="J24" s="84"/>
      <c r="K24" s="33">
        <f>SUM(K4:K23)</f>
        <v>0</v>
      </c>
      <c r="L24" s="78" t="e">
        <f>(H24*I24)/K24</f>
        <v>#DIV/0!</v>
      </c>
      <c r="M24" s="107">
        <f>H24*I24</f>
        <v>0</v>
      </c>
    </row>
    <row r="27" spans="1:29" x14ac:dyDescent="0.2">
      <c r="A27" s="247" t="s">
        <v>235</v>
      </c>
      <c r="B27" s="248">
        <f>B4+B5+B7+B8+B11+B15+B16+B20+B21+B22+B23</f>
        <v>336500</v>
      </c>
      <c r="C27" s="248">
        <f>C4+C5+C7+C8+C11+C15+C16+C20+C21+C22+C23</f>
        <v>324636</v>
      </c>
      <c r="E27" s="1">
        <f>C27/C24</f>
        <v>0.66802891590065872</v>
      </c>
    </row>
    <row r="28" spans="1:29" x14ac:dyDescent="0.2">
      <c r="A28" s="40" t="s">
        <v>165</v>
      </c>
      <c r="B28" s="41">
        <f>B24-B27</f>
        <v>130000</v>
      </c>
      <c r="C28" s="41">
        <f>C24-C27</f>
        <v>161325</v>
      </c>
      <c r="E28" s="1">
        <f>C28/C24</f>
        <v>0.33197108409934128</v>
      </c>
    </row>
  </sheetData>
  <pageMargins left="0.7" right="0.7" top="0.75" bottom="0.75" header="0.3" footer="0.3"/>
  <pageSetup scale="5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EBB7-BC43-4B76-AEF3-39B58DC104D1}">
  <sheetPr>
    <pageSetUpPr fitToPage="1"/>
  </sheetPr>
  <dimension ref="A1:AC27"/>
  <sheetViews>
    <sheetView zoomScaleNormal="100" zoomScaleSheetLayoutView="100" workbookViewId="0">
      <selection activeCell="O31" sqref="O31"/>
    </sheetView>
  </sheetViews>
  <sheetFormatPr defaultColWidth="9" defaultRowHeight="14.25" x14ac:dyDescent="0.2"/>
  <cols>
    <col min="1" max="1" width="29.25" customWidth="1"/>
    <col min="2" max="2" width="11" customWidth="1"/>
    <col min="3" max="3" width="13.5" customWidth="1"/>
    <col min="4" max="4" width="11" hidden="1" customWidth="1"/>
    <col min="6" max="6" width="13" hidden="1" customWidth="1"/>
    <col min="7" max="7" width="15.625" hidden="1" customWidth="1"/>
    <col min="8" max="8" width="9.875" customWidth="1"/>
    <col min="10" max="10" width="8.75" hidden="1" customWidth="1"/>
    <col min="11" max="11" width="11" customWidth="1"/>
    <col min="13" max="13" width="13.875" customWidth="1"/>
    <col min="14" max="14" width="9" customWidth="1"/>
  </cols>
  <sheetData>
    <row r="1" spans="1:14" x14ac:dyDescent="0.2">
      <c r="I1" s="19"/>
      <c r="J1" s="19"/>
      <c r="K1" s="19"/>
      <c r="L1" s="19"/>
      <c r="M1" s="19"/>
    </row>
    <row r="2" spans="1:14" ht="14.25" customHeight="1" x14ac:dyDescent="0.2">
      <c r="A2" s="19" t="s">
        <v>39</v>
      </c>
      <c r="I2" s="76"/>
      <c r="J2" s="76"/>
      <c r="K2" s="76"/>
      <c r="L2" s="76"/>
      <c r="M2" s="76"/>
    </row>
    <row r="3" spans="1:14" ht="15" thickBot="1" x14ac:dyDescent="0.25">
      <c r="A3" s="11" t="s">
        <v>238</v>
      </c>
      <c r="B3" s="77" t="s">
        <v>239</v>
      </c>
      <c r="C3" s="77" t="s">
        <v>240</v>
      </c>
      <c r="D3" s="77" t="s">
        <v>181</v>
      </c>
      <c r="E3" s="77" t="s">
        <v>30</v>
      </c>
      <c r="F3" s="77"/>
      <c r="G3" s="77"/>
      <c r="H3" s="77" t="s">
        <v>29</v>
      </c>
      <c r="I3" s="77" t="s">
        <v>25</v>
      </c>
      <c r="J3" s="77" t="s">
        <v>160</v>
      </c>
      <c r="K3" s="77" t="s">
        <v>162</v>
      </c>
      <c r="L3" s="77" t="s">
        <v>161</v>
      </c>
      <c r="M3" s="77" t="s">
        <v>163</v>
      </c>
    </row>
    <row r="4" spans="1:14" s="19" customFormat="1" ht="16.5" thickTop="1" x14ac:dyDescent="0.25">
      <c r="A4" s="262" t="s">
        <v>8</v>
      </c>
      <c r="B4" s="270">
        <v>135000</v>
      </c>
      <c r="C4" s="270">
        <v>121880</v>
      </c>
      <c r="D4" s="264">
        <f>B4/12</f>
        <v>11250</v>
      </c>
      <c r="E4" s="265"/>
      <c r="F4" s="266"/>
      <c r="G4" s="267"/>
      <c r="H4" s="270"/>
      <c r="I4" s="271"/>
      <c r="J4" s="271"/>
      <c r="K4" s="280"/>
      <c r="L4" s="271"/>
      <c r="M4" s="268"/>
    </row>
    <row r="5" spans="1:14" s="19" customFormat="1" ht="15.75" x14ac:dyDescent="0.25">
      <c r="A5" s="204" t="s">
        <v>11</v>
      </c>
      <c r="B5" s="205">
        <v>55000</v>
      </c>
      <c r="C5" s="205">
        <v>53824</v>
      </c>
      <c r="D5" s="216">
        <f t="shared" ref="D5:D22" si="0">B5/12</f>
        <v>4583.333333333333</v>
      </c>
      <c r="E5" s="206"/>
      <c r="F5" s="55"/>
      <c r="G5" s="207"/>
      <c r="H5" s="208"/>
      <c r="I5" s="209"/>
      <c r="J5" s="209"/>
      <c r="K5" s="210"/>
      <c r="L5" s="211"/>
      <c r="M5" s="212"/>
    </row>
    <row r="6" spans="1:14" ht="15.75" x14ac:dyDescent="0.25">
      <c r="A6" s="249" t="s">
        <v>13</v>
      </c>
      <c r="B6" s="255">
        <v>50000</v>
      </c>
      <c r="C6" s="255">
        <v>40383</v>
      </c>
      <c r="D6" s="251">
        <f t="shared" si="0"/>
        <v>4166.666666666667</v>
      </c>
      <c r="E6" s="252"/>
      <c r="F6" s="253"/>
      <c r="G6" s="254"/>
      <c r="H6" s="255"/>
      <c r="I6" s="281"/>
      <c r="J6" s="261"/>
      <c r="K6" s="282"/>
      <c r="L6" s="256"/>
      <c r="M6" s="257"/>
      <c r="N6" s="19"/>
    </row>
    <row r="7" spans="1:14" s="19" customFormat="1" ht="15.75" x14ac:dyDescent="0.25">
      <c r="A7" s="204" t="s">
        <v>14</v>
      </c>
      <c r="B7" s="205">
        <v>10000</v>
      </c>
      <c r="C7" s="205">
        <v>22570</v>
      </c>
      <c r="D7" s="216">
        <f t="shared" si="0"/>
        <v>833.33333333333337</v>
      </c>
      <c r="E7" s="206"/>
      <c r="F7" s="55"/>
      <c r="G7" s="207"/>
      <c r="H7" s="205"/>
      <c r="I7" s="209"/>
      <c r="J7" s="209"/>
      <c r="K7" s="210"/>
      <c r="L7" s="211"/>
      <c r="M7" s="212"/>
    </row>
    <row r="8" spans="1:14" s="19" customFormat="1" ht="15.75" x14ac:dyDescent="0.25">
      <c r="A8" s="262" t="s">
        <v>51</v>
      </c>
      <c r="B8" s="263">
        <v>33000</v>
      </c>
      <c r="C8" s="263">
        <v>27653</v>
      </c>
      <c r="D8" s="264">
        <f t="shared" si="0"/>
        <v>2750</v>
      </c>
      <c r="E8" s="265"/>
      <c r="F8" s="266"/>
      <c r="G8" s="267"/>
      <c r="H8" s="263"/>
      <c r="I8" s="269"/>
      <c r="J8" s="269"/>
      <c r="K8" s="280"/>
      <c r="L8" s="271"/>
      <c r="M8" s="268"/>
    </row>
    <row r="9" spans="1:14" ht="15.75" x14ac:dyDescent="0.25">
      <c r="A9" s="105" t="s">
        <v>5</v>
      </c>
      <c r="B9" s="80">
        <v>5000</v>
      </c>
      <c r="C9" s="80">
        <v>10762</v>
      </c>
      <c r="D9" s="217">
        <f t="shared" si="0"/>
        <v>416.66666666666669</v>
      </c>
      <c r="E9" s="135"/>
      <c r="F9" s="67"/>
      <c r="G9" s="82"/>
      <c r="H9" s="80"/>
      <c r="I9" s="137"/>
      <c r="J9" s="137"/>
      <c r="K9" s="134"/>
      <c r="L9" s="136"/>
      <c r="M9" s="85"/>
    </row>
    <row r="10" spans="1:14" ht="15.75" x14ac:dyDescent="0.25">
      <c r="A10" s="249" t="s">
        <v>15</v>
      </c>
      <c r="B10" s="250">
        <v>25000</v>
      </c>
      <c r="C10" s="250">
        <v>29747</v>
      </c>
      <c r="D10" s="251">
        <f t="shared" si="0"/>
        <v>2083.3333333333335</v>
      </c>
      <c r="E10" s="252"/>
      <c r="F10" s="253"/>
      <c r="G10" s="254"/>
      <c r="H10" s="255"/>
      <c r="I10" s="256"/>
      <c r="J10" s="256"/>
      <c r="K10" s="250"/>
      <c r="L10" s="256"/>
      <c r="M10" s="257"/>
      <c r="N10" s="19"/>
    </row>
    <row r="11" spans="1:14" s="19" customFormat="1" ht="15.75" x14ac:dyDescent="0.25">
      <c r="A11" s="204" t="s">
        <v>0</v>
      </c>
      <c r="B11" s="205">
        <v>28000</v>
      </c>
      <c r="C11" s="205">
        <v>29765</v>
      </c>
      <c r="D11" s="216">
        <f t="shared" si="0"/>
        <v>2333.3333333333335</v>
      </c>
      <c r="E11" s="206"/>
      <c r="F11" s="55"/>
      <c r="G11" s="207"/>
      <c r="H11" s="205"/>
      <c r="I11" s="212"/>
      <c r="J11" s="258"/>
      <c r="K11" s="259"/>
      <c r="L11" s="260"/>
      <c r="M11" s="212"/>
    </row>
    <row r="12" spans="1:14" ht="15.75" x14ac:dyDescent="0.25">
      <c r="A12" s="249" t="s">
        <v>136</v>
      </c>
      <c r="B12" s="255">
        <v>23000</v>
      </c>
      <c r="C12" s="255">
        <v>19858</v>
      </c>
      <c r="D12" s="251">
        <f t="shared" si="0"/>
        <v>1916.6666666666667</v>
      </c>
      <c r="E12" s="252"/>
      <c r="F12" s="253"/>
      <c r="G12" s="254"/>
      <c r="H12" s="255"/>
      <c r="I12" s="261"/>
      <c r="J12" s="261"/>
      <c r="K12" s="250"/>
      <c r="L12" s="256"/>
      <c r="M12" s="257"/>
    </row>
    <row r="13" spans="1:14" ht="15.75" x14ac:dyDescent="0.25">
      <c r="A13" s="105" t="s">
        <v>2</v>
      </c>
      <c r="B13" s="80">
        <v>23000</v>
      </c>
      <c r="C13" s="80">
        <v>17773</v>
      </c>
      <c r="D13" s="217">
        <f t="shared" si="0"/>
        <v>1916.6666666666667</v>
      </c>
      <c r="E13" s="135"/>
      <c r="F13" s="67"/>
      <c r="G13" s="82"/>
      <c r="H13" s="80"/>
      <c r="I13" s="137"/>
      <c r="J13" s="137"/>
      <c r="K13" s="134"/>
      <c r="L13" s="136"/>
      <c r="M13" s="85"/>
    </row>
    <row r="14" spans="1:14" ht="15.75" x14ac:dyDescent="0.25">
      <c r="A14" s="249" t="s">
        <v>1</v>
      </c>
      <c r="B14" s="255">
        <v>27500</v>
      </c>
      <c r="C14" s="255">
        <v>26066</v>
      </c>
      <c r="D14" s="251">
        <f t="shared" si="0"/>
        <v>2291.6666666666665</v>
      </c>
      <c r="E14" s="252"/>
      <c r="F14" s="253"/>
      <c r="G14" s="254"/>
      <c r="H14" s="255"/>
      <c r="I14" s="261"/>
      <c r="J14" s="261"/>
      <c r="K14" s="250"/>
      <c r="L14" s="256"/>
      <c r="M14" s="257"/>
    </row>
    <row r="15" spans="1:14" s="19" customFormat="1" ht="15.75" x14ac:dyDescent="0.25">
      <c r="A15" s="204" t="s">
        <v>9</v>
      </c>
      <c r="B15" s="205">
        <v>45000</v>
      </c>
      <c r="C15" s="205">
        <v>31234</v>
      </c>
      <c r="D15" s="216">
        <f t="shared" si="0"/>
        <v>3750</v>
      </c>
      <c r="E15" s="206"/>
      <c r="F15" s="55"/>
      <c r="G15" s="207"/>
      <c r="H15" s="205"/>
      <c r="I15" s="258"/>
      <c r="J15" s="258"/>
      <c r="K15" s="259"/>
      <c r="L15" s="260"/>
      <c r="M15" s="212"/>
    </row>
    <row r="16" spans="1:14" s="19" customFormat="1" ht="15.75" x14ac:dyDescent="0.25">
      <c r="A16" s="262" t="s">
        <v>192</v>
      </c>
      <c r="B16" s="263">
        <v>30000</v>
      </c>
      <c r="C16" s="263">
        <v>27856</v>
      </c>
      <c r="D16" s="264">
        <f t="shared" si="0"/>
        <v>2500</v>
      </c>
      <c r="E16" s="265"/>
      <c r="F16" s="266"/>
      <c r="G16" s="267"/>
      <c r="H16" s="263"/>
      <c r="I16" s="268"/>
      <c r="J16" s="269"/>
      <c r="K16" s="270"/>
      <c r="L16" s="271"/>
      <c r="M16" s="268"/>
    </row>
    <row r="17" spans="1:29" s="19" customFormat="1" ht="15.75" x14ac:dyDescent="0.25">
      <c r="A17" s="204" t="s">
        <v>237</v>
      </c>
      <c r="B17" s="205">
        <v>10000</v>
      </c>
      <c r="C17" s="205">
        <v>10373</v>
      </c>
      <c r="D17" s="216"/>
      <c r="E17" s="206"/>
      <c r="F17" s="55"/>
      <c r="G17" s="207"/>
      <c r="H17" s="205"/>
      <c r="I17" s="212"/>
      <c r="J17" s="209"/>
      <c r="K17" s="215"/>
      <c r="L17" s="211"/>
      <c r="M17" s="212"/>
    </row>
    <row r="18" spans="1:29" ht="15.75" x14ac:dyDescent="0.25">
      <c r="A18" s="249" t="s">
        <v>4</v>
      </c>
      <c r="B18" s="255">
        <v>500</v>
      </c>
      <c r="C18" s="255">
        <v>2069</v>
      </c>
      <c r="D18" s="251">
        <f t="shared" si="0"/>
        <v>41.666666666666664</v>
      </c>
      <c r="E18" s="252"/>
      <c r="F18" s="253"/>
      <c r="G18" s="254"/>
      <c r="H18" s="255"/>
      <c r="I18" s="261"/>
      <c r="J18" s="261"/>
      <c r="K18" s="250"/>
      <c r="L18" s="256"/>
      <c r="M18" s="257"/>
    </row>
    <row r="19" spans="1:29" ht="15.75" x14ac:dyDescent="0.25">
      <c r="A19" s="105" t="s">
        <v>6</v>
      </c>
      <c r="B19" s="80">
        <v>1000</v>
      </c>
      <c r="C19" s="80">
        <v>921</v>
      </c>
      <c r="D19" s="217">
        <f t="shared" si="0"/>
        <v>83.333333333333329</v>
      </c>
      <c r="E19" s="135"/>
      <c r="F19" s="67"/>
      <c r="G19" s="82"/>
      <c r="H19" s="80"/>
      <c r="I19" s="84"/>
      <c r="J19" s="84"/>
      <c r="K19" s="79"/>
      <c r="L19" s="78"/>
      <c r="M19" s="85"/>
    </row>
    <row r="20" spans="1:29" s="19" customFormat="1" ht="15.75" x14ac:dyDescent="0.25">
      <c r="A20" s="262" t="s">
        <v>193</v>
      </c>
      <c r="B20" s="263">
        <v>0</v>
      </c>
      <c r="C20" s="263">
        <v>942</v>
      </c>
      <c r="D20" s="264">
        <f t="shared" si="0"/>
        <v>0</v>
      </c>
      <c r="E20" s="265"/>
      <c r="F20" s="266"/>
      <c r="G20" s="267"/>
      <c r="H20" s="263"/>
      <c r="I20" s="269"/>
      <c r="J20" s="269"/>
      <c r="K20" s="270"/>
      <c r="L20" s="271"/>
      <c r="M20" s="268"/>
    </row>
    <row r="21" spans="1:29" s="239" customFormat="1" ht="15.75" x14ac:dyDescent="0.25">
      <c r="A21" s="204" t="s">
        <v>194</v>
      </c>
      <c r="B21" s="205">
        <v>0</v>
      </c>
      <c r="C21" s="205">
        <v>0</v>
      </c>
      <c r="D21" s="216">
        <f t="shared" si="0"/>
        <v>0</v>
      </c>
      <c r="E21" s="206"/>
      <c r="F21" s="55"/>
      <c r="G21" s="207"/>
      <c r="H21" s="205"/>
      <c r="I21" s="258"/>
      <c r="J21" s="258"/>
      <c r="K21" s="259"/>
      <c r="L21" s="260"/>
      <c r="M21" s="212"/>
      <c r="N21" s="19"/>
      <c r="O21" s="19"/>
      <c r="P21" s="19"/>
      <c r="Q21" s="19"/>
      <c r="R21" s="19"/>
      <c r="S21" s="19"/>
      <c r="T21" s="19"/>
      <c r="U21" s="19"/>
      <c r="V21" s="19"/>
      <c r="W21" s="19"/>
      <c r="X21" s="19"/>
      <c r="Y21" s="19"/>
      <c r="Z21" s="19"/>
      <c r="AA21" s="19"/>
      <c r="AB21" s="19"/>
      <c r="AC21" s="19"/>
    </row>
    <row r="22" spans="1:29" s="19" customFormat="1" ht="16.5" thickBot="1" x14ac:dyDescent="0.3">
      <c r="A22" s="272" t="s">
        <v>148</v>
      </c>
      <c r="B22" s="273">
        <v>500</v>
      </c>
      <c r="C22" s="273">
        <v>681</v>
      </c>
      <c r="D22" s="274">
        <f t="shared" si="0"/>
        <v>41.666666666666664</v>
      </c>
      <c r="E22" s="275"/>
      <c r="F22" s="276"/>
      <c r="G22" s="267"/>
      <c r="H22" s="273"/>
      <c r="I22" s="277"/>
      <c r="J22" s="278"/>
      <c r="K22" s="273"/>
      <c r="L22" s="278"/>
      <c r="M22" s="277"/>
    </row>
    <row r="23" spans="1:29" x14ac:dyDescent="0.2">
      <c r="B23" s="80">
        <f>SUM(B4:B22)</f>
        <v>501500</v>
      </c>
      <c r="C23" s="80">
        <f>SUM(C4:C22)</f>
        <v>474357</v>
      </c>
      <c r="D23" s="80">
        <f>B23/6</f>
        <v>83583.333333333328</v>
      </c>
      <c r="E23" s="81">
        <f>G23/B23</f>
        <v>0</v>
      </c>
      <c r="F23" s="87">
        <f>SUM(F4:F22)</f>
        <v>0</v>
      </c>
      <c r="G23" s="87">
        <f>SUM(G4:G22)</f>
        <v>0</v>
      </c>
      <c r="H23" s="33">
        <f>SUM(H4:H22)</f>
        <v>0</v>
      </c>
      <c r="I23" s="84">
        <v>22.19</v>
      </c>
      <c r="J23" s="84"/>
      <c r="K23" s="33">
        <f>SUM(K4:K22)</f>
        <v>0</v>
      </c>
      <c r="L23" s="78" t="e">
        <f>(H23*I23)/K23</f>
        <v>#DIV/0!</v>
      </c>
      <c r="M23" s="107">
        <f>H23*I23</f>
        <v>0</v>
      </c>
    </row>
    <row r="26" spans="1:29" x14ac:dyDescent="0.2">
      <c r="A26" s="247" t="s">
        <v>235</v>
      </c>
      <c r="B26" s="248">
        <f>B4+B5+B7+B8+B11+B15+B16+B17+B20+B21+B22</f>
        <v>346500</v>
      </c>
      <c r="C26" s="248">
        <f>C4+C5+C7+C8+C11+C15+C16+C17+C20+C21+C22</f>
        <v>326778</v>
      </c>
      <c r="E26" s="279">
        <f>C26/C23</f>
        <v>0.68888621860750443</v>
      </c>
    </row>
    <row r="27" spans="1:29" x14ac:dyDescent="0.2">
      <c r="A27" s="40" t="s">
        <v>165</v>
      </c>
      <c r="B27" s="41">
        <f>B23-B26</f>
        <v>155000</v>
      </c>
      <c r="C27" s="41">
        <f>C23-C26</f>
        <v>147579</v>
      </c>
      <c r="E27" s="1">
        <f>C27/C23</f>
        <v>0.31111378139249551</v>
      </c>
    </row>
  </sheetData>
  <pageMargins left="0.7" right="0.7" top="0.75" bottom="0.75" header="0.3" footer="0.3"/>
  <pageSetup scale="5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BE9F-49E4-4B5A-80EC-01F23ABA4AA1}">
  <sheetPr>
    <pageSetUpPr fitToPage="1"/>
  </sheetPr>
  <dimension ref="A1:N44"/>
  <sheetViews>
    <sheetView topLeftCell="A9" zoomScaleNormal="100" zoomScaleSheetLayoutView="100" workbookViewId="0">
      <selection activeCell="E11" sqref="E11"/>
    </sheetView>
  </sheetViews>
  <sheetFormatPr defaultColWidth="9" defaultRowHeight="14.25" x14ac:dyDescent="0.2"/>
  <cols>
    <col min="1" max="1" width="29.25" customWidth="1"/>
    <col min="2" max="2" width="11" customWidth="1"/>
    <col min="3" max="3" width="13.5" customWidth="1"/>
    <col min="4" max="4" width="11" hidden="1" customWidth="1"/>
    <col min="5" max="5" width="10.625" bestFit="1" customWidth="1"/>
    <col min="6" max="6" width="13" hidden="1" customWidth="1"/>
    <col min="7" max="7" width="15.625" hidden="1" customWidth="1"/>
    <col min="8" max="8" width="9.875" customWidth="1"/>
    <col min="10" max="10" width="8.75" hidden="1" customWidth="1"/>
    <col min="11" max="11" width="11" customWidth="1"/>
    <col min="13" max="13" width="13.875" customWidth="1"/>
    <col min="14" max="14" width="9" customWidth="1"/>
  </cols>
  <sheetData>
    <row r="1" spans="1:14" x14ac:dyDescent="0.2">
      <c r="I1" s="19"/>
      <c r="J1" s="19"/>
      <c r="K1" s="19"/>
      <c r="L1" s="19"/>
      <c r="M1" s="19"/>
    </row>
    <row r="2" spans="1:14" ht="14.25" customHeight="1" x14ac:dyDescent="0.2">
      <c r="A2" s="19" t="s">
        <v>39</v>
      </c>
      <c r="I2" s="76"/>
      <c r="J2" s="76"/>
      <c r="K2" s="76"/>
      <c r="L2" s="76"/>
      <c r="M2" s="76"/>
    </row>
    <row r="3" spans="1:14" ht="15" thickBot="1" x14ac:dyDescent="0.25">
      <c r="A3" s="11" t="s">
        <v>241</v>
      </c>
      <c r="B3" s="77" t="s">
        <v>239</v>
      </c>
      <c r="C3" s="77" t="s">
        <v>242</v>
      </c>
      <c r="D3" s="77" t="s">
        <v>181</v>
      </c>
      <c r="E3" s="77"/>
      <c r="F3" s="77"/>
      <c r="G3" s="77"/>
      <c r="H3" s="77"/>
      <c r="I3" s="77"/>
      <c r="J3" s="77"/>
      <c r="K3" s="77"/>
      <c r="L3" s="77"/>
      <c r="M3" s="77"/>
    </row>
    <row r="4" spans="1:14" ht="16.5" thickTop="1" x14ac:dyDescent="0.25">
      <c r="A4" s="204" t="s">
        <v>0</v>
      </c>
      <c r="B4" s="205">
        <v>28000</v>
      </c>
      <c r="C4" s="205">
        <v>27269</v>
      </c>
      <c r="D4" s="67"/>
      <c r="E4" s="67"/>
      <c r="F4" s="67"/>
      <c r="G4" s="67"/>
      <c r="H4" s="67"/>
      <c r="I4" s="67"/>
      <c r="J4" s="67"/>
      <c r="K4" s="67"/>
      <c r="L4" s="67"/>
      <c r="M4" s="67"/>
    </row>
    <row r="5" spans="1:14" ht="15.75" x14ac:dyDescent="0.25">
      <c r="A5" s="204" t="s">
        <v>243</v>
      </c>
      <c r="B5" s="205"/>
      <c r="C5" s="205">
        <v>12331</v>
      </c>
      <c r="D5" s="67"/>
      <c r="E5" s="67"/>
      <c r="F5" s="67"/>
      <c r="G5" s="67"/>
      <c r="H5" s="67"/>
      <c r="I5" s="67"/>
      <c r="J5" s="67"/>
      <c r="K5" s="67"/>
      <c r="L5" s="67"/>
      <c r="M5" s="67"/>
    </row>
    <row r="6" spans="1:14" s="19" customFormat="1" ht="15.75" x14ac:dyDescent="0.25">
      <c r="A6" s="204" t="s">
        <v>8</v>
      </c>
      <c r="B6" s="259">
        <v>135000</v>
      </c>
      <c r="C6" s="259">
        <v>119305</v>
      </c>
      <c r="D6" s="216">
        <f>B6/12</f>
        <v>11250</v>
      </c>
      <c r="E6" s="206"/>
      <c r="F6" s="55"/>
      <c r="G6" s="207"/>
      <c r="H6" s="259"/>
      <c r="I6" s="260"/>
      <c r="J6" s="260"/>
      <c r="K6" s="288"/>
      <c r="L6" s="260"/>
      <c r="M6" s="212"/>
    </row>
    <row r="7" spans="1:14" s="19" customFormat="1" ht="15.75" x14ac:dyDescent="0.25">
      <c r="A7" s="204" t="s">
        <v>11</v>
      </c>
      <c r="B7" s="205">
        <v>55000</v>
      </c>
      <c r="C7" s="205">
        <v>49841</v>
      </c>
      <c r="D7" s="216">
        <f t="shared" ref="D7" si="0">B7/12</f>
        <v>4583.333333333333</v>
      </c>
      <c r="E7" s="206"/>
      <c r="F7" s="55"/>
      <c r="G7" s="207"/>
      <c r="H7" s="205"/>
      <c r="I7" s="258"/>
      <c r="J7" s="258"/>
      <c r="K7" s="288"/>
      <c r="L7" s="260"/>
      <c r="M7" s="212"/>
    </row>
    <row r="8" spans="1:14" ht="15.75" x14ac:dyDescent="0.25">
      <c r="A8" s="204" t="s">
        <v>14</v>
      </c>
      <c r="B8" s="205">
        <v>10000</v>
      </c>
      <c r="C8" s="205">
        <v>11422</v>
      </c>
      <c r="D8" s="217">
        <f>B18/12</f>
        <v>4166.666666666667</v>
      </c>
      <c r="E8" s="135"/>
      <c r="F8" s="67"/>
      <c r="G8" s="82"/>
      <c r="H8" s="80"/>
      <c r="I8" s="289"/>
      <c r="J8" s="137"/>
      <c r="K8" s="138"/>
      <c r="L8" s="136"/>
      <c r="M8" s="85"/>
      <c r="N8" s="19"/>
    </row>
    <row r="9" spans="1:14" s="19" customFormat="1" ht="15.75" x14ac:dyDescent="0.25">
      <c r="A9" s="204" t="s">
        <v>51</v>
      </c>
      <c r="B9" s="205">
        <v>33000</v>
      </c>
      <c r="C9" s="205">
        <v>27849</v>
      </c>
      <c r="D9" s="216">
        <f>B8/12</f>
        <v>833.33333333333337</v>
      </c>
      <c r="E9" s="283"/>
      <c r="F9" s="55"/>
      <c r="G9" s="207"/>
      <c r="H9" s="205"/>
      <c r="I9" s="258"/>
      <c r="J9" s="258"/>
      <c r="K9" s="288"/>
      <c r="L9" s="260"/>
      <c r="M9" s="212"/>
    </row>
    <row r="10" spans="1:14" s="19" customFormat="1" ht="15.75" x14ac:dyDescent="0.25">
      <c r="A10" s="204" t="s">
        <v>9</v>
      </c>
      <c r="B10" s="205">
        <v>45000</v>
      </c>
      <c r="C10" s="205">
        <v>25066</v>
      </c>
      <c r="D10" s="216">
        <f>B9/12</f>
        <v>2750</v>
      </c>
      <c r="E10" s="206"/>
      <c r="F10" s="55"/>
      <c r="G10" s="207"/>
      <c r="H10" s="205"/>
      <c r="I10" s="258"/>
      <c r="J10" s="258"/>
      <c r="K10" s="288"/>
      <c r="L10" s="260"/>
      <c r="M10" s="212"/>
    </row>
    <row r="11" spans="1:14" ht="15.75" x14ac:dyDescent="0.25">
      <c r="A11" s="204" t="s">
        <v>192</v>
      </c>
      <c r="B11" s="205">
        <v>30000</v>
      </c>
      <c r="C11" s="205">
        <v>31750</v>
      </c>
      <c r="D11" s="217">
        <f>B16/12</f>
        <v>416.66666666666669</v>
      </c>
      <c r="E11" s="135"/>
      <c r="F11" s="67"/>
      <c r="G11" s="82"/>
      <c r="H11" s="80"/>
      <c r="I11" s="137"/>
      <c r="J11" s="137"/>
      <c r="K11" s="134"/>
      <c r="L11" s="136"/>
      <c r="M11" s="85"/>
    </row>
    <row r="12" spans="1:14" ht="15.75" x14ac:dyDescent="0.25">
      <c r="A12" s="204" t="s">
        <v>237</v>
      </c>
      <c r="B12" s="205">
        <v>10000</v>
      </c>
      <c r="C12" s="205">
        <v>7570</v>
      </c>
      <c r="D12" s="217">
        <f>B17/12</f>
        <v>2083.3333333333335</v>
      </c>
      <c r="E12" s="135"/>
      <c r="F12" s="67"/>
      <c r="G12" s="82"/>
      <c r="H12" s="80"/>
      <c r="I12" s="136"/>
      <c r="J12" s="136"/>
      <c r="K12" s="134"/>
      <c r="L12" s="136"/>
      <c r="M12" s="85"/>
      <c r="N12" s="19"/>
    </row>
    <row r="13" spans="1:14" ht="15.75" x14ac:dyDescent="0.25">
      <c r="A13" s="204" t="s">
        <v>193</v>
      </c>
      <c r="B13" s="205">
        <v>0</v>
      </c>
      <c r="C13" s="205">
        <v>11523</v>
      </c>
      <c r="D13" s="217"/>
      <c r="E13" s="135"/>
      <c r="F13" s="67"/>
      <c r="G13" s="82"/>
      <c r="H13" s="80"/>
      <c r="I13" s="136"/>
      <c r="J13" s="136"/>
      <c r="K13" s="134"/>
      <c r="L13" s="136"/>
      <c r="M13" s="85"/>
      <c r="N13" s="19"/>
    </row>
    <row r="14" spans="1:14" ht="15.75" x14ac:dyDescent="0.25">
      <c r="A14" s="204" t="s">
        <v>194</v>
      </c>
      <c r="B14" s="205">
        <v>0</v>
      </c>
      <c r="C14" s="205">
        <v>1145</v>
      </c>
      <c r="D14" s="217"/>
      <c r="E14" s="135"/>
      <c r="F14" s="67"/>
      <c r="G14" s="82"/>
      <c r="H14" s="80"/>
      <c r="I14" s="136"/>
      <c r="J14" s="136"/>
      <c r="K14" s="134"/>
      <c r="L14" s="136"/>
      <c r="M14" s="85"/>
      <c r="N14" s="19"/>
    </row>
    <row r="15" spans="1:14" ht="15.75" x14ac:dyDescent="0.25">
      <c r="A15" s="204" t="s">
        <v>148</v>
      </c>
      <c r="B15" s="259">
        <v>500</v>
      </c>
      <c r="C15" s="259">
        <v>4758</v>
      </c>
      <c r="D15" s="217"/>
      <c r="E15" s="135"/>
      <c r="F15" s="67"/>
      <c r="G15" s="82"/>
      <c r="H15" s="80"/>
      <c r="I15" s="136"/>
      <c r="J15" s="136"/>
      <c r="K15" s="134"/>
      <c r="L15" s="136"/>
      <c r="M15" s="85"/>
      <c r="N15" s="19"/>
    </row>
    <row r="16" spans="1:14" s="19" customFormat="1" ht="15.75" x14ac:dyDescent="0.25">
      <c r="A16" s="105" t="s">
        <v>5</v>
      </c>
      <c r="B16" s="80">
        <v>5000</v>
      </c>
      <c r="C16" s="80">
        <v>5948</v>
      </c>
      <c r="D16" s="216">
        <f>B4/12</f>
        <v>2333.3333333333335</v>
      </c>
      <c r="E16" s="206"/>
      <c r="F16" s="55"/>
      <c r="G16" s="207"/>
      <c r="H16" s="205"/>
      <c r="I16" s="212"/>
      <c r="J16" s="258"/>
      <c r="K16" s="259"/>
      <c r="L16" s="260"/>
      <c r="M16" s="212"/>
    </row>
    <row r="17" spans="1:13" s="19" customFormat="1" ht="15.75" x14ac:dyDescent="0.25">
      <c r="A17" s="105" t="s">
        <v>15</v>
      </c>
      <c r="B17" s="134">
        <v>25000</v>
      </c>
      <c r="C17" s="134">
        <v>33155</v>
      </c>
      <c r="D17" s="216"/>
      <c r="E17" s="206"/>
      <c r="F17" s="55"/>
      <c r="G17" s="207"/>
      <c r="H17" s="205"/>
      <c r="I17" s="212"/>
      <c r="J17" s="258"/>
      <c r="K17" s="259"/>
      <c r="L17" s="260"/>
      <c r="M17" s="212"/>
    </row>
    <row r="18" spans="1:13" s="19" customFormat="1" ht="15.75" x14ac:dyDescent="0.25">
      <c r="A18" s="105" t="s">
        <v>13</v>
      </c>
      <c r="B18" s="80">
        <v>50000</v>
      </c>
      <c r="C18" s="80">
        <v>49489</v>
      </c>
      <c r="D18" s="216"/>
      <c r="E18" s="206"/>
      <c r="F18" s="55"/>
      <c r="G18" s="207"/>
      <c r="H18" s="205"/>
      <c r="I18" s="212"/>
      <c r="J18" s="258"/>
      <c r="K18" s="259"/>
      <c r="L18" s="260"/>
      <c r="M18" s="212"/>
    </row>
    <row r="19" spans="1:13" ht="15.75" x14ac:dyDescent="0.25">
      <c r="A19" s="105" t="s">
        <v>136</v>
      </c>
      <c r="B19" s="80">
        <v>23000</v>
      </c>
      <c r="C19" s="80">
        <v>25260</v>
      </c>
      <c r="D19" s="217">
        <f>B19/12</f>
        <v>1916.6666666666667</v>
      </c>
      <c r="E19" s="135"/>
      <c r="F19" s="67"/>
      <c r="G19" s="82"/>
      <c r="H19" s="80"/>
      <c r="I19" s="137"/>
      <c r="J19" s="137"/>
      <c r="K19" s="134"/>
      <c r="L19" s="136"/>
      <c r="M19" s="85"/>
    </row>
    <row r="20" spans="1:13" ht="15.75" x14ac:dyDescent="0.25">
      <c r="A20" s="105" t="s">
        <v>245</v>
      </c>
      <c r="B20" s="80"/>
      <c r="C20" s="80">
        <v>9388</v>
      </c>
      <c r="D20" s="217"/>
      <c r="E20" s="135"/>
      <c r="F20" s="67"/>
      <c r="G20" s="82"/>
      <c r="H20" s="80"/>
      <c r="I20" s="137"/>
      <c r="J20" s="137"/>
      <c r="K20" s="134"/>
      <c r="L20" s="136"/>
      <c r="M20" s="85"/>
    </row>
    <row r="21" spans="1:13" ht="15.75" x14ac:dyDescent="0.25">
      <c r="A21" s="105" t="s">
        <v>246</v>
      </c>
      <c r="B21" s="80"/>
      <c r="C21" s="80">
        <v>1994</v>
      </c>
      <c r="D21" s="217"/>
      <c r="E21" s="135"/>
      <c r="F21" s="67"/>
      <c r="G21" s="82"/>
      <c r="H21" s="80"/>
      <c r="I21" s="137"/>
      <c r="J21" s="137"/>
      <c r="K21" s="134"/>
      <c r="L21" s="136"/>
      <c r="M21" s="85"/>
    </row>
    <row r="22" spans="1:13" ht="15.75" x14ac:dyDescent="0.25">
      <c r="A22" s="105" t="s">
        <v>2</v>
      </c>
      <c r="B22" s="80">
        <v>23000</v>
      </c>
      <c r="C22" s="80">
        <v>23862</v>
      </c>
      <c r="D22" s="217">
        <f>B22/12</f>
        <v>1916.6666666666667</v>
      </c>
      <c r="E22" s="135"/>
      <c r="F22" s="67"/>
      <c r="G22" s="82"/>
      <c r="H22" s="80"/>
      <c r="I22" s="137"/>
      <c r="J22" s="137"/>
      <c r="K22" s="134"/>
      <c r="L22" s="136"/>
      <c r="M22" s="85"/>
    </row>
    <row r="23" spans="1:13" ht="15.75" x14ac:dyDescent="0.25">
      <c r="A23" s="105" t="s">
        <v>244</v>
      </c>
      <c r="B23" s="80"/>
      <c r="C23" s="80">
        <v>3363</v>
      </c>
      <c r="D23" s="217"/>
      <c r="E23" s="135"/>
      <c r="F23" s="67"/>
      <c r="G23" s="82"/>
      <c r="H23" s="80"/>
      <c r="I23" s="137"/>
      <c r="J23" s="137"/>
      <c r="K23" s="134"/>
      <c r="L23" s="136"/>
      <c r="M23" s="85"/>
    </row>
    <row r="24" spans="1:13" ht="15.75" x14ac:dyDescent="0.25">
      <c r="A24" s="105" t="s">
        <v>1</v>
      </c>
      <c r="B24" s="80">
        <v>27500</v>
      </c>
      <c r="C24" s="80">
        <v>19087</v>
      </c>
      <c r="D24" s="217">
        <f>B24/12</f>
        <v>2291.6666666666665</v>
      </c>
      <c r="E24" s="135"/>
      <c r="F24" s="67"/>
      <c r="G24" s="82"/>
      <c r="H24" s="80"/>
      <c r="I24" s="137"/>
      <c r="J24" s="137"/>
      <c r="K24" s="134"/>
      <c r="L24" s="136"/>
      <c r="M24" s="85"/>
    </row>
    <row r="25" spans="1:13" ht="15.75" x14ac:dyDescent="0.25">
      <c r="A25" s="105" t="s">
        <v>24</v>
      </c>
      <c r="B25" s="80">
        <v>5000</v>
      </c>
      <c r="C25" s="80">
        <v>9269</v>
      </c>
      <c r="D25" s="217"/>
      <c r="E25" s="135"/>
      <c r="F25" s="67"/>
      <c r="G25" s="82"/>
      <c r="H25" s="80"/>
      <c r="I25" s="137"/>
      <c r="J25" s="137"/>
      <c r="K25" s="134"/>
      <c r="L25" s="136"/>
      <c r="M25" s="85"/>
    </row>
    <row r="26" spans="1:13" ht="15.75" x14ac:dyDescent="0.25">
      <c r="A26" s="105" t="s">
        <v>248</v>
      </c>
      <c r="B26" s="80"/>
      <c r="C26" s="80">
        <v>1388</v>
      </c>
      <c r="D26" s="217"/>
      <c r="E26" s="135"/>
      <c r="F26" s="67"/>
      <c r="G26" s="82"/>
      <c r="H26" s="80"/>
      <c r="I26" s="137"/>
      <c r="J26" s="137"/>
      <c r="K26" s="134"/>
      <c r="L26" s="136"/>
      <c r="M26" s="85"/>
    </row>
    <row r="27" spans="1:13" ht="15.75" x14ac:dyDescent="0.25">
      <c r="A27" s="105" t="s">
        <v>249</v>
      </c>
      <c r="B27" s="80"/>
      <c r="C27" s="80">
        <v>2389</v>
      </c>
      <c r="D27" s="217"/>
      <c r="E27" s="135"/>
      <c r="F27" s="67"/>
      <c r="G27" s="82"/>
      <c r="H27" s="80"/>
      <c r="I27" s="137"/>
      <c r="J27" s="137"/>
      <c r="K27" s="134"/>
      <c r="L27" s="136"/>
      <c r="M27" s="85"/>
    </row>
    <row r="28" spans="1:13" ht="15.75" x14ac:dyDescent="0.25">
      <c r="A28" s="105" t="s">
        <v>195</v>
      </c>
      <c r="B28" s="80"/>
      <c r="C28" s="80">
        <v>905</v>
      </c>
      <c r="D28" s="217"/>
      <c r="E28" s="135"/>
      <c r="F28" s="67"/>
      <c r="G28" s="82"/>
      <c r="H28" s="80"/>
      <c r="I28" s="137"/>
      <c r="J28" s="137"/>
      <c r="K28" s="134"/>
      <c r="L28" s="136"/>
      <c r="M28" s="85"/>
    </row>
    <row r="29" spans="1:13" ht="15.75" x14ac:dyDescent="0.25">
      <c r="A29" s="105" t="s">
        <v>250</v>
      </c>
      <c r="B29" s="80"/>
      <c r="C29" s="80">
        <v>6982</v>
      </c>
      <c r="D29" s="217"/>
      <c r="E29" s="135"/>
      <c r="F29" s="67"/>
      <c r="G29" s="82"/>
      <c r="H29" s="80"/>
      <c r="I29" s="137"/>
      <c r="J29" s="137"/>
      <c r="K29" s="134"/>
      <c r="L29" s="136"/>
      <c r="M29" s="85"/>
    </row>
    <row r="30" spans="1:13" ht="15.75" x14ac:dyDescent="0.25">
      <c r="A30" s="105" t="s">
        <v>4</v>
      </c>
      <c r="B30" s="80">
        <v>500</v>
      </c>
      <c r="C30" s="80">
        <v>51</v>
      </c>
      <c r="D30" s="217">
        <f>B30/12</f>
        <v>41.666666666666664</v>
      </c>
      <c r="E30" s="135"/>
      <c r="F30" s="67"/>
      <c r="G30" s="82"/>
      <c r="H30" s="80"/>
      <c r="I30" s="137"/>
      <c r="J30" s="137"/>
      <c r="K30" s="134"/>
      <c r="L30" s="136"/>
      <c r="M30" s="85"/>
    </row>
    <row r="31" spans="1:13" ht="16.5" thickBot="1" x14ac:dyDescent="0.3">
      <c r="A31" s="290" t="s">
        <v>6</v>
      </c>
      <c r="B31" s="291">
        <v>1000</v>
      </c>
      <c r="C31" s="291">
        <v>1357</v>
      </c>
      <c r="D31" s="292">
        <f>B31/12</f>
        <v>83.333333333333329</v>
      </c>
      <c r="E31" s="293"/>
      <c r="F31" s="186"/>
      <c r="G31" s="294"/>
      <c r="H31" s="291"/>
      <c r="I31" s="295"/>
      <c r="J31" s="295"/>
      <c r="K31" s="291"/>
      <c r="L31" s="295"/>
      <c r="M31" s="296"/>
    </row>
    <row r="32" spans="1:13" x14ac:dyDescent="0.2">
      <c r="B32" s="80">
        <f>SUM(B6:B31)</f>
        <v>478500</v>
      </c>
      <c r="C32" s="80">
        <f>SUM(C4:C31)</f>
        <v>523716</v>
      </c>
      <c r="D32" s="80">
        <f>B32/6</f>
        <v>79750</v>
      </c>
      <c r="E32" s="81"/>
      <c r="F32" s="87"/>
      <c r="G32" s="87"/>
      <c r="H32" s="33"/>
      <c r="I32" s="84"/>
      <c r="J32" s="84"/>
      <c r="K32" s="33"/>
      <c r="L32" s="78"/>
      <c r="M32" s="107"/>
    </row>
    <row r="35" spans="1:9" x14ac:dyDescent="0.2">
      <c r="A35" s="284" t="s">
        <v>235</v>
      </c>
      <c r="B35" s="285">
        <f>SUM(C4:C15)</f>
        <v>329829</v>
      </c>
      <c r="C35" s="285">
        <f>C6+C7+C8+C9+C4+C10+C11+C12+C13+C14+C15</f>
        <v>317498</v>
      </c>
      <c r="D35" s="286"/>
      <c r="E35" s="287">
        <f>C35/C32</f>
        <v>0.60624078699142281</v>
      </c>
      <c r="F35" s="286"/>
      <c r="G35" s="286"/>
      <c r="H35" s="286"/>
      <c r="I35" s="286"/>
    </row>
    <row r="36" spans="1:9" x14ac:dyDescent="0.2">
      <c r="A36" s="40" t="s">
        <v>165</v>
      </c>
      <c r="B36" s="41">
        <f>B32-B35</f>
        <v>148671</v>
      </c>
      <c r="C36" s="41">
        <f>C32-C35</f>
        <v>206218</v>
      </c>
      <c r="E36" s="1">
        <f>C36/C32</f>
        <v>0.39375921300857719</v>
      </c>
      <c r="I36" t="s">
        <v>247</v>
      </c>
    </row>
    <row r="37" spans="1:9" x14ac:dyDescent="0.2">
      <c r="C37" s="41">
        <f>SUM(C35:C36)</f>
        <v>523716</v>
      </c>
    </row>
    <row r="40" spans="1:9" x14ac:dyDescent="0.2">
      <c r="E40" s="34">
        <f>C35*0.924</f>
        <v>293368.152</v>
      </c>
    </row>
    <row r="41" spans="1:9" x14ac:dyDescent="0.2">
      <c r="E41" s="41">
        <f>C36</f>
        <v>206218</v>
      </c>
    </row>
    <row r="42" spans="1:9" x14ac:dyDescent="0.2">
      <c r="E42" s="34">
        <f>SUM(E40:E41)</f>
        <v>499586.152</v>
      </c>
    </row>
    <row r="44" spans="1:9" x14ac:dyDescent="0.2">
      <c r="E44" s="297">
        <f>E42/C37</f>
        <v>0.95392570018865186</v>
      </c>
    </row>
  </sheetData>
  <pageMargins left="0.7" right="0.7" top="0.75" bottom="0.75" header="0.3" footer="0.3"/>
  <pageSetup scale="5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549F-E88F-4445-A1A2-582CF1430A3D}">
  <sheetPr>
    <pageSetUpPr fitToPage="1"/>
  </sheetPr>
  <dimension ref="A1:N42"/>
  <sheetViews>
    <sheetView tabSelected="1" topLeftCell="A14" zoomScaleNormal="100" zoomScaleSheetLayoutView="100" workbookViewId="0">
      <selection activeCell="C41" sqref="C41"/>
    </sheetView>
  </sheetViews>
  <sheetFormatPr defaultColWidth="9" defaultRowHeight="14.25" x14ac:dyDescent="0.2"/>
  <cols>
    <col min="1" max="1" width="29.25" customWidth="1"/>
    <col min="2" max="2" width="11" customWidth="1"/>
    <col min="3" max="3" width="13.5" customWidth="1"/>
    <col min="4" max="4" width="11" hidden="1" customWidth="1"/>
    <col min="5" max="5" width="10.625" bestFit="1" customWidth="1"/>
    <col min="6" max="6" width="13" hidden="1" customWidth="1"/>
    <col min="7" max="7" width="15.625" hidden="1" customWidth="1"/>
    <col min="8" max="8" width="9.875" customWidth="1"/>
    <col min="10" max="10" width="8.75" hidden="1" customWidth="1"/>
    <col min="11" max="11" width="11" customWidth="1"/>
    <col min="13" max="13" width="13.875" customWidth="1"/>
    <col min="14" max="14" width="9" customWidth="1"/>
  </cols>
  <sheetData>
    <row r="1" spans="1:14" x14ac:dyDescent="0.2">
      <c r="I1" s="19"/>
      <c r="J1" s="19"/>
      <c r="K1" s="19"/>
      <c r="L1" s="19"/>
      <c r="M1" s="19"/>
    </row>
    <row r="2" spans="1:14" ht="14.25" customHeight="1" x14ac:dyDescent="0.2">
      <c r="A2" s="19" t="s">
        <v>39</v>
      </c>
      <c r="I2" s="76"/>
      <c r="J2" s="76"/>
      <c r="K2" s="76"/>
      <c r="L2" s="76"/>
      <c r="M2" s="76"/>
    </row>
    <row r="3" spans="1:14" ht="15" thickBot="1" x14ac:dyDescent="0.25">
      <c r="A3" s="11" t="s">
        <v>254</v>
      </c>
      <c r="B3" s="77" t="s">
        <v>239</v>
      </c>
      <c r="C3" s="77">
        <v>2024</v>
      </c>
      <c r="D3" s="77" t="s">
        <v>181</v>
      </c>
      <c r="E3" s="77"/>
      <c r="F3" s="77"/>
      <c r="G3" s="77"/>
      <c r="H3" s="77"/>
      <c r="I3" s="77"/>
      <c r="J3" s="77"/>
      <c r="K3" s="77"/>
      <c r="L3" s="77"/>
      <c r="M3" s="77"/>
    </row>
    <row r="4" spans="1:14" ht="16.5" thickTop="1" x14ac:dyDescent="0.25">
      <c r="A4" s="204" t="s">
        <v>0</v>
      </c>
      <c r="B4" s="205">
        <v>28000</v>
      </c>
      <c r="C4" s="205">
        <v>28388</v>
      </c>
      <c r="D4" s="67"/>
      <c r="E4" s="67"/>
      <c r="F4" s="67"/>
      <c r="G4" s="67"/>
      <c r="H4" s="67"/>
      <c r="I4" s="67"/>
      <c r="J4" s="67"/>
      <c r="K4" s="67"/>
      <c r="L4" s="67"/>
      <c r="M4" s="67"/>
    </row>
    <row r="5" spans="1:14" ht="15.75" x14ac:dyDescent="0.25">
      <c r="A5" s="204" t="s">
        <v>243</v>
      </c>
      <c r="B5" s="205"/>
      <c r="C5" s="205">
        <v>1514</v>
      </c>
      <c r="D5" s="67"/>
      <c r="E5" s="67"/>
      <c r="F5" s="67"/>
      <c r="G5" s="67"/>
      <c r="H5" s="67"/>
      <c r="I5" s="67"/>
      <c r="J5" s="67"/>
      <c r="K5" s="67"/>
      <c r="L5" s="67"/>
      <c r="M5" s="67"/>
    </row>
    <row r="6" spans="1:14" s="19" customFormat="1" ht="15.75" x14ac:dyDescent="0.25">
      <c r="A6" s="204" t="s">
        <v>8</v>
      </c>
      <c r="B6" s="259">
        <v>89100</v>
      </c>
      <c r="C6" s="259">
        <v>76634</v>
      </c>
      <c r="D6" s="216">
        <f>B6/12</f>
        <v>7425</v>
      </c>
      <c r="E6" s="206"/>
      <c r="F6" s="55"/>
      <c r="G6" s="207"/>
      <c r="H6" s="259"/>
      <c r="I6" s="260"/>
      <c r="J6" s="260"/>
      <c r="K6" s="288"/>
      <c r="L6" s="260"/>
      <c r="M6" s="212"/>
    </row>
    <row r="7" spans="1:14" s="19" customFormat="1" ht="15.75" x14ac:dyDescent="0.25">
      <c r="A7" s="204" t="s">
        <v>251</v>
      </c>
      <c r="B7" s="259">
        <v>45900</v>
      </c>
      <c r="C7" s="259">
        <v>38831</v>
      </c>
      <c r="D7" s="216"/>
      <c r="E7" s="206"/>
      <c r="F7" s="55"/>
      <c r="G7" s="207"/>
      <c r="H7" s="259"/>
      <c r="I7" s="260"/>
      <c r="J7" s="260"/>
      <c r="K7" s="288"/>
      <c r="L7" s="260"/>
      <c r="M7" s="212"/>
    </row>
    <row r="8" spans="1:14" s="19" customFormat="1" ht="15.75" x14ac:dyDescent="0.25">
      <c r="A8" s="204" t="s">
        <v>11</v>
      </c>
      <c r="B8" s="205">
        <v>55000</v>
      </c>
      <c r="C8" s="205">
        <v>54077</v>
      </c>
      <c r="D8" s="216">
        <f t="shared" ref="D8" si="0">B8/12</f>
        <v>4583.333333333333</v>
      </c>
      <c r="E8" s="206"/>
      <c r="F8" s="55"/>
      <c r="G8" s="207"/>
      <c r="H8" s="205"/>
      <c r="I8" s="258"/>
      <c r="J8" s="258"/>
      <c r="K8" s="288"/>
      <c r="L8" s="260"/>
      <c r="M8" s="212"/>
    </row>
    <row r="9" spans="1:14" s="19" customFormat="1" ht="15.75" x14ac:dyDescent="0.25">
      <c r="A9" s="204" t="s">
        <v>51</v>
      </c>
      <c r="B9" s="205">
        <v>33000</v>
      </c>
      <c r="C9" s="205">
        <v>29444</v>
      </c>
      <c r="D9" s="216" t="e">
        <f>#REF!/12</f>
        <v>#REF!</v>
      </c>
      <c r="E9" s="283"/>
      <c r="F9" s="55"/>
      <c r="G9" s="207"/>
      <c r="H9" s="205"/>
      <c r="I9" s="258"/>
      <c r="J9" s="258"/>
      <c r="K9" s="288"/>
      <c r="L9" s="260"/>
      <c r="M9" s="212"/>
    </row>
    <row r="10" spans="1:14" s="19" customFormat="1" ht="15.75" x14ac:dyDescent="0.25">
      <c r="A10" s="204" t="s">
        <v>9</v>
      </c>
      <c r="B10" s="205">
        <v>45000</v>
      </c>
      <c r="C10" s="205">
        <v>31385</v>
      </c>
      <c r="D10" s="216">
        <f>B9/12</f>
        <v>2750</v>
      </c>
      <c r="E10" s="206"/>
      <c r="F10" s="55"/>
      <c r="G10" s="207"/>
      <c r="H10" s="205"/>
      <c r="I10" s="258"/>
      <c r="J10" s="258"/>
      <c r="K10" s="288"/>
      <c r="L10" s="260"/>
      <c r="M10" s="212"/>
    </row>
    <row r="11" spans="1:14" ht="15.75" x14ac:dyDescent="0.25">
      <c r="A11" s="204" t="s">
        <v>192</v>
      </c>
      <c r="B11" s="205">
        <v>30000</v>
      </c>
      <c r="C11" s="205">
        <v>28038</v>
      </c>
      <c r="D11" s="217">
        <f>B17/12</f>
        <v>416.66666666666669</v>
      </c>
      <c r="E11" s="135"/>
      <c r="F11" s="67"/>
      <c r="G11" s="82"/>
      <c r="H11" s="80"/>
      <c r="I11" s="137"/>
      <c r="J11" s="137"/>
      <c r="K11" s="134"/>
      <c r="L11" s="136"/>
      <c r="M11" s="85"/>
    </row>
    <row r="12" spans="1:14" ht="15.75" x14ac:dyDescent="0.25">
      <c r="A12" s="204" t="s">
        <v>237</v>
      </c>
      <c r="B12" s="205">
        <v>10000</v>
      </c>
      <c r="C12" s="205">
        <v>9562</v>
      </c>
      <c r="D12" s="217">
        <f>B18/12</f>
        <v>2083.3333333333335</v>
      </c>
      <c r="E12" s="135"/>
      <c r="F12" s="67"/>
      <c r="G12" s="82"/>
      <c r="H12" s="80"/>
      <c r="I12" s="136"/>
      <c r="J12" s="136"/>
      <c r="K12" s="134"/>
      <c r="L12" s="136"/>
      <c r="M12" s="85"/>
      <c r="N12" s="19"/>
    </row>
    <row r="13" spans="1:14" ht="15.75" x14ac:dyDescent="0.25">
      <c r="A13" s="204" t="s">
        <v>193</v>
      </c>
      <c r="B13" s="205">
        <v>0</v>
      </c>
      <c r="C13" s="205">
        <v>17775</v>
      </c>
      <c r="D13" s="217"/>
      <c r="E13" s="135"/>
      <c r="F13" s="67"/>
      <c r="G13" s="82"/>
      <c r="H13" s="80"/>
      <c r="I13" s="136"/>
      <c r="J13" s="136"/>
      <c r="K13" s="134"/>
      <c r="L13" s="136"/>
      <c r="M13" s="85"/>
      <c r="N13" s="19"/>
    </row>
    <row r="14" spans="1:14" ht="15.75" x14ac:dyDescent="0.25">
      <c r="A14" s="204" t="s">
        <v>194</v>
      </c>
      <c r="B14" s="205">
        <v>0</v>
      </c>
      <c r="C14" s="205">
        <v>693</v>
      </c>
      <c r="D14" s="217"/>
      <c r="E14" s="135"/>
      <c r="F14" s="67"/>
      <c r="G14" s="82"/>
      <c r="H14" s="80"/>
      <c r="I14" s="136"/>
      <c r="J14" s="136"/>
      <c r="K14" s="134"/>
      <c r="L14" s="136"/>
      <c r="M14" s="85"/>
      <c r="N14" s="19"/>
    </row>
    <row r="15" spans="1:14" ht="15.75" x14ac:dyDescent="0.25">
      <c r="A15" s="204" t="s">
        <v>148</v>
      </c>
      <c r="B15" s="259">
        <v>500</v>
      </c>
      <c r="C15" s="259">
        <v>2017</v>
      </c>
      <c r="D15" s="217"/>
      <c r="E15" s="135"/>
      <c r="F15" s="67"/>
      <c r="G15" s="82"/>
      <c r="H15" s="80"/>
      <c r="I15" s="136"/>
      <c r="J15" s="136"/>
      <c r="K15" s="134"/>
      <c r="L15" s="136"/>
      <c r="M15" s="85"/>
      <c r="N15" s="19"/>
    </row>
    <row r="16" spans="1:14" ht="15.75" x14ac:dyDescent="0.25">
      <c r="A16" s="204" t="s">
        <v>253</v>
      </c>
      <c r="B16" s="259"/>
      <c r="C16" s="259">
        <v>1495</v>
      </c>
      <c r="D16" s="217"/>
      <c r="E16" s="135"/>
      <c r="F16" s="67"/>
      <c r="G16" s="82"/>
      <c r="H16" s="80"/>
      <c r="I16" s="136"/>
      <c r="J16" s="136"/>
      <c r="K16" s="134"/>
      <c r="L16" s="136"/>
      <c r="M16" s="85"/>
      <c r="N16" s="19"/>
    </row>
    <row r="17" spans="1:13" s="19" customFormat="1" ht="15.75" x14ac:dyDescent="0.25">
      <c r="A17" s="105" t="s">
        <v>5</v>
      </c>
      <c r="B17" s="80">
        <v>5000</v>
      </c>
      <c r="C17" s="80">
        <v>3270</v>
      </c>
      <c r="D17" s="216">
        <f>B4/12</f>
        <v>2333.3333333333335</v>
      </c>
      <c r="E17" s="206"/>
      <c r="F17" s="55"/>
      <c r="G17" s="207"/>
      <c r="H17" s="205"/>
      <c r="I17" s="212"/>
      <c r="J17" s="258"/>
      <c r="K17" s="259"/>
      <c r="L17" s="260"/>
      <c r="M17" s="212"/>
    </row>
    <row r="18" spans="1:13" s="19" customFormat="1" ht="15.75" x14ac:dyDescent="0.25">
      <c r="A18" s="105" t="s">
        <v>15</v>
      </c>
      <c r="B18" s="134">
        <v>25000</v>
      </c>
      <c r="C18" s="134">
        <v>20831</v>
      </c>
      <c r="D18" s="216"/>
      <c r="E18" s="206"/>
      <c r="F18" s="55"/>
      <c r="G18" s="207"/>
      <c r="H18" s="205"/>
      <c r="I18" s="212"/>
      <c r="J18" s="258"/>
      <c r="K18" s="259"/>
      <c r="L18" s="260"/>
      <c r="M18" s="212"/>
    </row>
    <row r="19" spans="1:13" s="19" customFormat="1" ht="15.75" x14ac:dyDescent="0.25">
      <c r="A19" s="105" t="s">
        <v>13</v>
      </c>
      <c r="B19" s="80">
        <v>50000</v>
      </c>
      <c r="C19" s="80">
        <v>58050</v>
      </c>
      <c r="D19" s="216"/>
      <c r="E19" s="206"/>
      <c r="F19" s="55"/>
      <c r="G19" s="207"/>
      <c r="H19" s="205"/>
      <c r="I19" s="212"/>
      <c r="J19" s="258"/>
      <c r="K19" s="259"/>
      <c r="L19" s="260"/>
      <c r="M19" s="212"/>
    </row>
    <row r="20" spans="1:13" ht="15.75" x14ac:dyDescent="0.25">
      <c r="A20" s="105" t="s">
        <v>136</v>
      </c>
      <c r="B20" s="80">
        <v>23000</v>
      </c>
      <c r="C20" s="80">
        <v>35683</v>
      </c>
      <c r="D20" s="217">
        <f>B20/12</f>
        <v>1916.6666666666667</v>
      </c>
      <c r="E20" s="135"/>
      <c r="F20" s="67"/>
      <c r="G20" s="82"/>
      <c r="H20" s="80"/>
      <c r="I20" s="137"/>
      <c r="J20" s="137"/>
      <c r="K20" s="134"/>
      <c r="L20" s="136"/>
      <c r="M20" s="85"/>
    </row>
    <row r="21" spans="1:13" ht="15.75" x14ac:dyDescent="0.25">
      <c r="A21" s="105" t="s">
        <v>2</v>
      </c>
      <c r="B21" s="80">
        <v>23000</v>
      </c>
      <c r="C21" s="80">
        <v>35339</v>
      </c>
      <c r="D21" s="217">
        <f>B21/12</f>
        <v>1916.6666666666667</v>
      </c>
      <c r="E21" s="135"/>
      <c r="F21" s="67"/>
      <c r="G21" s="82"/>
      <c r="H21" s="80"/>
      <c r="I21" s="137"/>
      <c r="J21" s="137"/>
      <c r="K21" s="134"/>
      <c r="L21" s="136"/>
      <c r="M21" s="85"/>
    </row>
    <row r="22" spans="1:13" ht="15.75" x14ac:dyDescent="0.25">
      <c r="A22" s="105" t="s">
        <v>1</v>
      </c>
      <c r="B22" s="80">
        <v>27500</v>
      </c>
      <c r="C22" s="80">
        <v>18532</v>
      </c>
      <c r="D22" s="217">
        <f>B22/12</f>
        <v>2291.6666666666665</v>
      </c>
      <c r="E22" s="135"/>
      <c r="F22" s="67"/>
      <c r="G22" s="82"/>
      <c r="H22" s="80"/>
      <c r="I22" s="137"/>
      <c r="J22" s="137"/>
      <c r="K22" s="134"/>
      <c r="L22" s="136"/>
      <c r="M22" s="85"/>
    </row>
    <row r="23" spans="1:13" ht="15.75" x14ac:dyDescent="0.25">
      <c r="A23" s="105" t="s">
        <v>252</v>
      </c>
      <c r="B23" s="80"/>
      <c r="C23" s="80">
        <v>40956</v>
      </c>
      <c r="D23" s="217"/>
      <c r="E23" s="135"/>
      <c r="F23" s="67"/>
      <c r="G23" s="82"/>
      <c r="H23" s="80"/>
      <c r="I23" s="137"/>
      <c r="J23" s="137"/>
      <c r="K23" s="134"/>
      <c r="L23" s="136"/>
      <c r="M23" s="85"/>
    </row>
    <row r="24" spans="1:13" ht="15.75" x14ac:dyDescent="0.25">
      <c r="A24" s="105" t="s">
        <v>24</v>
      </c>
      <c r="B24" s="80">
        <v>5000</v>
      </c>
      <c r="C24" s="80">
        <v>6986</v>
      </c>
      <c r="D24" s="217"/>
      <c r="E24" s="135"/>
      <c r="F24" s="67"/>
      <c r="G24" s="82"/>
      <c r="H24" s="80"/>
      <c r="I24" s="137"/>
      <c r="J24" s="137"/>
      <c r="K24" s="134"/>
      <c r="L24" s="136"/>
      <c r="M24" s="85"/>
    </row>
    <row r="25" spans="1:13" ht="15.75" x14ac:dyDescent="0.25">
      <c r="A25" s="105" t="s">
        <v>249</v>
      </c>
      <c r="B25" s="80"/>
      <c r="C25" s="80">
        <v>1091</v>
      </c>
      <c r="D25" s="217"/>
      <c r="E25" s="135"/>
      <c r="F25" s="67"/>
      <c r="G25" s="82"/>
      <c r="H25" s="80"/>
      <c r="I25" s="137"/>
      <c r="J25" s="137"/>
      <c r="K25" s="134"/>
      <c r="L25" s="136"/>
      <c r="M25" s="85"/>
    </row>
    <row r="26" spans="1:13" ht="15.75" x14ac:dyDescent="0.25">
      <c r="A26" s="105" t="s">
        <v>195</v>
      </c>
      <c r="B26" s="80"/>
      <c r="C26" s="80">
        <v>9550</v>
      </c>
      <c r="D26" s="217"/>
      <c r="E26" s="135"/>
      <c r="F26" s="67"/>
      <c r="G26" s="82"/>
      <c r="H26" s="80"/>
      <c r="I26" s="137"/>
      <c r="J26" s="137"/>
      <c r="K26" s="134"/>
      <c r="L26" s="136"/>
      <c r="M26" s="85"/>
    </row>
    <row r="27" spans="1:13" ht="15.75" x14ac:dyDescent="0.25">
      <c r="A27" s="105" t="s">
        <v>250</v>
      </c>
      <c r="B27" s="80"/>
      <c r="C27" s="80">
        <v>5428</v>
      </c>
      <c r="D27" s="217"/>
      <c r="E27" s="135"/>
      <c r="F27" s="67"/>
      <c r="G27" s="82"/>
      <c r="H27" s="80"/>
      <c r="I27" s="137"/>
      <c r="J27" s="137"/>
      <c r="K27" s="134"/>
      <c r="L27" s="136"/>
      <c r="M27" s="85"/>
    </row>
    <row r="28" spans="1:13" ht="15.75" x14ac:dyDescent="0.25">
      <c r="A28" s="105" t="s">
        <v>4</v>
      </c>
      <c r="B28" s="80">
        <v>500</v>
      </c>
      <c r="C28" s="80">
        <v>351</v>
      </c>
      <c r="D28" s="217">
        <f>B28/12</f>
        <v>41.666666666666664</v>
      </c>
      <c r="E28" s="135"/>
      <c r="F28" s="67"/>
      <c r="G28" s="82"/>
      <c r="H28" s="80"/>
      <c r="I28" s="137"/>
      <c r="J28" s="137"/>
      <c r="K28" s="134"/>
      <c r="L28" s="136"/>
      <c r="M28" s="85"/>
    </row>
    <row r="29" spans="1:13" ht="16.5" thickBot="1" x14ac:dyDescent="0.3">
      <c r="A29" s="290" t="s">
        <v>6</v>
      </c>
      <c r="B29" s="291">
        <v>1000</v>
      </c>
      <c r="C29" s="291">
        <v>112</v>
      </c>
      <c r="D29" s="292">
        <f>B29/12</f>
        <v>83.333333333333329</v>
      </c>
      <c r="E29" s="293"/>
      <c r="F29" s="186"/>
      <c r="G29" s="294"/>
      <c r="H29" s="291"/>
      <c r="I29" s="295"/>
      <c r="J29" s="295"/>
      <c r="K29" s="291"/>
      <c r="L29" s="295"/>
      <c r="M29" s="296"/>
    </row>
    <row r="30" spans="1:13" x14ac:dyDescent="0.2">
      <c r="B30" s="80">
        <f>SUM(B6:B29)</f>
        <v>468500</v>
      </c>
      <c r="C30" s="80">
        <f>SUM(C4:C29)</f>
        <v>556032</v>
      </c>
      <c r="D30" s="80">
        <f>B30/6</f>
        <v>78083.333333333328</v>
      </c>
      <c r="E30" s="81"/>
      <c r="F30" s="87"/>
      <c r="G30" s="87"/>
      <c r="H30" s="33"/>
      <c r="I30" s="84"/>
      <c r="J30" s="84"/>
      <c r="K30" s="33"/>
      <c r="L30" s="78"/>
      <c r="M30" s="107"/>
    </row>
    <row r="33" spans="1:9" x14ac:dyDescent="0.2">
      <c r="A33" s="284" t="s">
        <v>235</v>
      </c>
      <c r="B33" s="285"/>
      <c r="C33" s="285">
        <f>SUM(C4:C16)</f>
        <v>319853</v>
      </c>
      <c r="D33" s="286"/>
      <c r="E33" s="287">
        <f>C33/C30</f>
        <v>0.57524207239871084</v>
      </c>
      <c r="F33" s="286"/>
      <c r="G33" s="286"/>
      <c r="H33" s="286"/>
      <c r="I33" s="286"/>
    </row>
    <row r="34" spans="1:9" x14ac:dyDescent="0.2">
      <c r="A34" s="40" t="s">
        <v>165</v>
      </c>
      <c r="B34" s="41"/>
      <c r="C34" s="41">
        <f>SUM(C17:C29)</f>
        <v>236179</v>
      </c>
      <c r="E34" s="1">
        <f>C34/C30</f>
        <v>0.42475792760128911</v>
      </c>
    </row>
    <row r="35" spans="1:9" x14ac:dyDescent="0.2">
      <c r="B35" s="41"/>
      <c r="C35" s="41"/>
    </row>
    <row r="37" spans="1:9" x14ac:dyDescent="0.2">
      <c r="C37" s="34">
        <f>C33*0.924</f>
        <v>295544.17200000002</v>
      </c>
    </row>
    <row r="38" spans="1:9" x14ac:dyDescent="0.2">
      <c r="C38" s="41">
        <f>C34</f>
        <v>236179</v>
      </c>
      <c r="E38" s="34"/>
    </row>
    <row r="39" spans="1:9" x14ac:dyDescent="0.2">
      <c r="C39" s="34">
        <f>SUM(C37:C38)</f>
        <v>531723.17200000002</v>
      </c>
      <c r="E39" s="41"/>
    </row>
    <row r="40" spans="1:9" x14ac:dyDescent="0.2">
      <c r="E40" s="34"/>
    </row>
    <row r="41" spans="1:9" x14ac:dyDescent="0.2">
      <c r="C41" s="297">
        <f>C39/C30</f>
        <v>0.956281602497698</v>
      </c>
    </row>
    <row r="42" spans="1:9" x14ac:dyDescent="0.2">
      <c r="E42" s="297"/>
    </row>
  </sheetData>
  <pageMargins left="0.7" right="0.7"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36"/>
  <sheetViews>
    <sheetView workbookViewId="0">
      <selection activeCell="P26" sqref="P26"/>
    </sheetView>
  </sheetViews>
  <sheetFormatPr defaultRowHeight="14.25" x14ac:dyDescent="0.2"/>
  <cols>
    <col min="1" max="1" width="23.25" customWidth="1"/>
    <col min="2" max="2" width="9.75" customWidth="1"/>
    <col min="3" max="3" width="8.75" customWidth="1"/>
    <col min="4" max="4" width="8.75" hidden="1" customWidth="1"/>
    <col min="5" max="7" width="8.75" customWidth="1"/>
    <col min="8" max="8" width="19.25" customWidth="1"/>
    <col min="10" max="10" width="10.5" customWidth="1"/>
    <col min="11" max="11" width="11.375" customWidth="1"/>
    <col min="12" max="12" width="13" customWidth="1"/>
    <col min="13" max="14" width="10.75" customWidth="1"/>
    <col min="15" max="15" width="12.25" customWidth="1"/>
  </cols>
  <sheetData>
    <row r="1" spans="1:15" x14ac:dyDescent="0.2">
      <c r="J1" t="s">
        <v>49</v>
      </c>
      <c r="K1" s="7" t="s">
        <v>22</v>
      </c>
      <c r="L1" s="7" t="s">
        <v>23</v>
      </c>
    </row>
    <row r="2" spans="1:15" ht="15" thickBot="1" x14ac:dyDescent="0.25">
      <c r="A2" s="19" t="s">
        <v>39</v>
      </c>
      <c r="C2" t="s">
        <v>48</v>
      </c>
      <c r="K2" s="18">
        <f>21/21</f>
        <v>1</v>
      </c>
      <c r="L2" s="18">
        <f>H24/B24</f>
        <v>1.0243845252051582</v>
      </c>
      <c r="N2" s="313" t="s">
        <v>44</v>
      </c>
      <c r="O2" s="313"/>
    </row>
    <row r="3" spans="1:15" ht="15" thickBot="1" x14ac:dyDescent="0.25">
      <c r="A3" s="11" t="s">
        <v>18</v>
      </c>
      <c r="B3" s="12" t="s">
        <v>19</v>
      </c>
      <c r="C3" s="12" t="s">
        <v>30</v>
      </c>
      <c r="D3" s="12"/>
      <c r="E3" s="12" t="s">
        <v>28</v>
      </c>
      <c r="F3" s="12" t="s">
        <v>27</v>
      </c>
      <c r="G3" s="12" t="s">
        <v>29</v>
      </c>
      <c r="H3" s="13" t="s">
        <v>47</v>
      </c>
      <c r="I3" s="12" t="s">
        <v>20</v>
      </c>
      <c r="J3" s="12" t="s">
        <v>21</v>
      </c>
      <c r="K3" s="12" t="s">
        <v>25</v>
      </c>
      <c r="L3" s="12" t="s">
        <v>26</v>
      </c>
      <c r="N3" s="21" t="s">
        <v>28</v>
      </c>
      <c r="O3" s="21" t="s">
        <v>43</v>
      </c>
    </row>
    <row r="4" spans="1:15" ht="15" thickTop="1" x14ac:dyDescent="0.2">
      <c r="A4" t="s">
        <v>0</v>
      </c>
      <c r="B4">
        <v>1200</v>
      </c>
      <c r="C4">
        <v>0.54279999999999995</v>
      </c>
      <c r="D4">
        <f>B4*C4</f>
        <v>651.3599999999999</v>
      </c>
      <c r="E4">
        <f>1-C4</f>
        <v>0.45720000000000005</v>
      </c>
      <c r="F4" s="15">
        <f>B4/21</f>
        <v>57.142857142857146</v>
      </c>
      <c r="G4" s="15">
        <f>B4*E4</f>
        <v>548.6400000000001</v>
      </c>
      <c r="H4" s="2">
        <v>1137</v>
      </c>
      <c r="I4">
        <f t="shared" ref="I4:I24" si="0">H4-B4</f>
        <v>-63</v>
      </c>
      <c r="J4" s="1">
        <f t="shared" ref="J4:J24" si="1">H4/B4</f>
        <v>0.94750000000000001</v>
      </c>
      <c r="K4" s="8">
        <v>18.5</v>
      </c>
      <c r="L4" s="8">
        <f>(B4*E4)*K4</f>
        <v>10149.840000000002</v>
      </c>
      <c r="N4" s="21">
        <f>H4*E4</f>
        <v>519.83640000000003</v>
      </c>
      <c r="O4" s="22">
        <f>(H4*E4)*K4</f>
        <v>9616.9734000000008</v>
      </c>
    </row>
    <row r="5" spans="1:15" x14ac:dyDescent="0.2">
      <c r="A5" t="s">
        <v>1</v>
      </c>
      <c r="B5">
        <v>1500</v>
      </c>
      <c r="C5">
        <v>0.2394</v>
      </c>
      <c r="D5">
        <f t="shared" ref="D5:D23" si="2">B5*C5</f>
        <v>359.1</v>
      </c>
      <c r="E5">
        <f t="shared" ref="E5:E23" si="3">1-C5</f>
        <v>0.76059999999999994</v>
      </c>
      <c r="F5" s="15">
        <f t="shared" ref="F5:F24" si="4">B5/21</f>
        <v>71.428571428571431</v>
      </c>
      <c r="G5" s="15">
        <f t="shared" ref="G5:G23" si="5">B5*E5</f>
        <v>1140.8999999999999</v>
      </c>
      <c r="H5" s="2">
        <v>1718</v>
      </c>
      <c r="I5">
        <f t="shared" si="0"/>
        <v>218</v>
      </c>
      <c r="J5" s="1">
        <f t="shared" si="1"/>
        <v>1.1453333333333333</v>
      </c>
      <c r="K5" s="9">
        <v>28</v>
      </c>
      <c r="L5" s="8">
        <f t="shared" ref="L5:L23" si="6">(B5*E5)*K5</f>
        <v>31945.199999999997</v>
      </c>
      <c r="N5" s="21">
        <f t="shared" ref="N5:N23" si="7">H5*E5</f>
        <v>1306.7107999999998</v>
      </c>
      <c r="O5" s="22">
        <f t="shared" ref="O5:O23" si="8">(H5*E5)*K5</f>
        <v>36587.902399999992</v>
      </c>
    </row>
    <row r="6" spans="1:15" x14ac:dyDescent="0.2">
      <c r="A6" t="s">
        <v>2</v>
      </c>
      <c r="B6">
        <v>1100</v>
      </c>
      <c r="C6">
        <v>0.49990000000000001</v>
      </c>
      <c r="D6">
        <f t="shared" si="2"/>
        <v>549.89</v>
      </c>
      <c r="E6">
        <f t="shared" si="3"/>
        <v>0.50009999999999999</v>
      </c>
      <c r="F6" s="15">
        <f t="shared" si="4"/>
        <v>52.38095238095238</v>
      </c>
      <c r="G6" s="15">
        <f t="shared" si="5"/>
        <v>550.11</v>
      </c>
      <c r="H6" s="2">
        <v>765</v>
      </c>
      <c r="I6">
        <f t="shared" si="0"/>
        <v>-335</v>
      </c>
      <c r="J6" s="1">
        <f t="shared" si="1"/>
        <v>0.69545454545454544</v>
      </c>
      <c r="K6" s="9">
        <v>26</v>
      </c>
      <c r="L6" s="8">
        <f t="shared" si="6"/>
        <v>14302.86</v>
      </c>
      <c r="N6" s="21">
        <f t="shared" si="7"/>
        <v>382.57650000000001</v>
      </c>
      <c r="O6" s="22">
        <f t="shared" si="8"/>
        <v>9946.9889999999996</v>
      </c>
    </row>
    <row r="7" spans="1:15" x14ac:dyDescent="0.2">
      <c r="A7" t="s">
        <v>3</v>
      </c>
      <c r="B7">
        <v>1850</v>
      </c>
      <c r="C7">
        <v>0.48159999999999997</v>
      </c>
      <c r="D7">
        <f t="shared" si="2"/>
        <v>890.95999999999992</v>
      </c>
      <c r="E7">
        <f t="shared" si="3"/>
        <v>0.51839999999999997</v>
      </c>
      <c r="F7" s="15">
        <f t="shared" si="4"/>
        <v>88.095238095238102</v>
      </c>
      <c r="G7" s="15">
        <f t="shared" si="5"/>
        <v>959.04</v>
      </c>
      <c r="H7" s="2">
        <v>1809</v>
      </c>
      <c r="I7">
        <f t="shared" si="0"/>
        <v>-41</v>
      </c>
      <c r="J7" s="1">
        <f t="shared" si="1"/>
        <v>0.97783783783783784</v>
      </c>
      <c r="K7" s="9">
        <v>20</v>
      </c>
      <c r="L7" s="8">
        <f t="shared" si="6"/>
        <v>19180.8</v>
      </c>
      <c r="N7" s="21">
        <f t="shared" si="7"/>
        <v>937.78559999999993</v>
      </c>
      <c r="O7" s="22">
        <f t="shared" si="8"/>
        <v>18755.712</v>
      </c>
    </row>
    <row r="8" spans="1:15" x14ac:dyDescent="0.2">
      <c r="A8" t="s">
        <v>5</v>
      </c>
      <c r="B8">
        <v>2500</v>
      </c>
      <c r="C8">
        <v>0.3896</v>
      </c>
      <c r="D8">
        <f t="shared" si="2"/>
        <v>974</v>
      </c>
      <c r="E8">
        <f>1-C8</f>
        <v>0.61040000000000005</v>
      </c>
      <c r="F8" s="15">
        <f>B8/21</f>
        <v>119.04761904761905</v>
      </c>
      <c r="G8" s="15">
        <f>B8*E8</f>
        <v>1526.0000000000002</v>
      </c>
      <c r="H8" s="2">
        <v>2498</v>
      </c>
      <c r="I8">
        <f>H8-B8</f>
        <v>-2</v>
      </c>
      <c r="J8" s="1">
        <f>H8/B8</f>
        <v>0.99919999999999998</v>
      </c>
      <c r="K8" s="9">
        <v>12</v>
      </c>
      <c r="L8" s="8">
        <f>(B8*E8)*K8</f>
        <v>18312.000000000004</v>
      </c>
      <c r="N8" s="21">
        <f>H8*E8</f>
        <v>1524.7792000000002</v>
      </c>
      <c r="O8" s="22">
        <f>(H8*E8)*K8</f>
        <v>18297.350400000003</v>
      </c>
    </row>
    <row r="9" spans="1:15" x14ac:dyDescent="0.2">
      <c r="A9" t="s">
        <v>4</v>
      </c>
      <c r="B9">
        <v>400</v>
      </c>
      <c r="C9">
        <v>0.1449</v>
      </c>
      <c r="D9">
        <f t="shared" si="2"/>
        <v>57.96</v>
      </c>
      <c r="E9">
        <f t="shared" si="3"/>
        <v>0.85509999999999997</v>
      </c>
      <c r="F9" s="15">
        <f t="shared" si="4"/>
        <v>19.047619047619047</v>
      </c>
      <c r="G9" s="15">
        <f t="shared" si="5"/>
        <v>342.03999999999996</v>
      </c>
      <c r="H9" s="2">
        <v>206</v>
      </c>
      <c r="I9">
        <f t="shared" si="0"/>
        <v>-194</v>
      </c>
      <c r="J9" s="1">
        <f t="shared" si="1"/>
        <v>0.51500000000000001</v>
      </c>
      <c r="K9" s="9">
        <v>0</v>
      </c>
      <c r="L9" s="8">
        <f t="shared" si="6"/>
        <v>0</v>
      </c>
      <c r="N9" s="21">
        <f t="shared" si="7"/>
        <v>176.1506</v>
      </c>
      <c r="O9" s="22">
        <f t="shared" si="8"/>
        <v>0</v>
      </c>
    </row>
    <row r="10" spans="1:15" x14ac:dyDescent="0.2">
      <c r="A10" t="s">
        <v>6</v>
      </c>
      <c r="B10">
        <v>300</v>
      </c>
      <c r="C10">
        <v>0.66579999999999995</v>
      </c>
      <c r="D10">
        <f t="shared" si="2"/>
        <v>199.73999999999998</v>
      </c>
      <c r="E10">
        <f t="shared" si="3"/>
        <v>0.33420000000000005</v>
      </c>
      <c r="F10" s="15">
        <f t="shared" si="4"/>
        <v>14.285714285714286</v>
      </c>
      <c r="G10" s="15">
        <f t="shared" si="5"/>
        <v>100.26000000000002</v>
      </c>
      <c r="H10" s="2">
        <v>31</v>
      </c>
      <c r="I10">
        <f t="shared" si="0"/>
        <v>-269</v>
      </c>
      <c r="J10" s="1">
        <f t="shared" si="1"/>
        <v>0.10333333333333333</v>
      </c>
      <c r="K10" s="9">
        <v>0</v>
      </c>
      <c r="L10" s="8">
        <f t="shared" si="6"/>
        <v>0</v>
      </c>
      <c r="N10" s="21">
        <f t="shared" si="7"/>
        <v>10.360200000000003</v>
      </c>
      <c r="O10" s="22">
        <f t="shared" si="8"/>
        <v>0</v>
      </c>
    </row>
    <row r="11" spans="1:15" x14ac:dyDescent="0.2">
      <c r="A11" t="s">
        <v>7</v>
      </c>
      <c r="B11">
        <v>650</v>
      </c>
      <c r="C11">
        <v>0.43090000000000001</v>
      </c>
      <c r="D11">
        <f t="shared" si="2"/>
        <v>280.08499999999998</v>
      </c>
      <c r="E11">
        <f t="shared" si="3"/>
        <v>0.56909999999999994</v>
      </c>
      <c r="F11" s="15">
        <f t="shared" si="4"/>
        <v>30.952380952380953</v>
      </c>
      <c r="G11" s="15">
        <f t="shared" si="5"/>
        <v>369.91499999999996</v>
      </c>
      <c r="H11" s="2">
        <v>814</v>
      </c>
      <c r="I11">
        <f t="shared" si="0"/>
        <v>164</v>
      </c>
      <c r="J11" s="1">
        <f t="shared" si="1"/>
        <v>1.2523076923076923</v>
      </c>
      <c r="K11" s="9">
        <v>0</v>
      </c>
      <c r="L11" s="8">
        <f t="shared" si="6"/>
        <v>0</v>
      </c>
      <c r="N11" s="21">
        <f t="shared" si="7"/>
        <v>463.24739999999997</v>
      </c>
      <c r="O11" s="22">
        <f t="shared" si="8"/>
        <v>0</v>
      </c>
    </row>
    <row r="12" spans="1:15" x14ac:dyDescent="0.2">
      <c r="A12" t="s">
        <v>9</v>
      </c>
      <c r="B12">
        <v>500</v>
      </c>
      <c r="C12">
        <v>0.61019999999999996</v>
      </c>
      <c r="D12">
        <f t="shared" si="2"/>
        <v>305.09999999999997</v>
      </c>
      <c r="E12">
        <v>0.53</v>
      </c>
      <c r="F12" s="15">
        <f>B12/21</f>
        <v>23.80952380952381</v>
      </c>
      <c r="G12" s="15">
        <f>B12*E12</f>
        <v>265</v>
      </c>
      <c r="H12" s="2">
        <v>313</v>
      </c>
      <c r="I12">
        <f>H12-B12</f>
        <v>-187</v>
      </c>
      <c r="J12" s="1">
        <f>H12/B12</f>
        <v>0.626</v>
      </c>
      <c r="K12" s="9">
        <v>0</v>
      </c>
      <c r="L12" s="8">
        <f>(B12*E12)*K12</f>
        <v>0</v>
      </c>
      <c r="N12" s="21">
        <f>H12*E12</f>
        <v>165.89000000000001</v>
      </c>
      <c r="O12" s="22">
        <f>(H12*E12)*K12</f>
        <v>0</v>
      </c>
    </row>
    <row r="13" spans="1:15" x14ac:dyDescent="0.2">
      <c r="A13" t="s">
        <v>8</v>
      </c>
      <c r="B13">
        <v>9500</v>
      </c>
      <c r="C13">
        <v>0.53810000000000002</v>
      </c>
      <c r="D13">
        <f t="shared" si="2"/>
        <v>5111.95</v>
      </c>
      <c r="E13">
        <f t="shared" si="3"/>
        <v>0.46189999999999998</v>
      </c>
      <c r="F13" s="15">
        <f t="shared" si="4"/>
        <v>452.38095238095241</v>
      </c>
      <c r="G13" s="15">
        <f t="shared" si="5"/>
        <v>4388.05</v>
      </c>
      <c r="H13" s="2">
        <v>10575</v>
      </c>
      <c r="I13">
        <f t="shared" si="0"/>
        <v>1075</v>
      </c>
      <c r="J13" s="1">
        <f t="shared" si="1"/>
        <v>1.1131578947368421</v>
      </c>
      <c r="K13" s="9">
        <v>20</v>
      </c>
      <c r="L13" s="8">
        <f t="shared" si="6"/>
        <v>87761</v>
      </c>
      <c r="N13" s="21">
        <f t="shared" si="7"/>
        <v>4884.5924999999997</v>
      </c>
      <c r="O13" s="22">
        <f t="shared" si="8"/>
        <v>97691.849999999991</v>
      </c>
    </row>
    <row r="14" spans="1:15" x14ac:dyDescent="0.2">
      <c r="A14" t="s">
        <v>10</v>
      </c>
      <c r="B14">
        <v>0</v>
      </c>
      <c r="D14">
        <f t="shared" si="2"/>
        <v>0</v>
      </c>
      <c r="F14" s="15">
        <f t="shared" si="4"/>
        <v>0</v>
      </c>
      <c r="G14" s="15">
        <f t="shared" si="5"/>
        <v>0</v>
      </c>
      <c r="H14" s="2">
        <v>0</v>
      </c>
      <c r="I14">
        <f t="shared" si="0"/>
        <v>0</v>
      </c>
      <c r="J14" s="1"/>
      <c r="K14" s="9">
        <v>0</v>
      </c>
      <c r="L14" s="8">
        <f t="shared" si="6"/>
        <v>0</v>
      </c>
      <c r="N14" s="21">
        <f t="shared" si="7"/>
        <v>0</v>
      </c>
      <c r="O14" s="22">
        <f t="shared" si="8"/>
        <v>0</v>
      </c>
    </row>
    <row r="15" spans="1:15" x14ac:dyDescent="0.2">
      <c r="A15" t="s">
        <v>11</v>
      </c>
      <c r="B15">
        <v>5000</v>
      </c>
      <c r="C15">
        <v>0.51419999999999999</v>
      </c>
      <c r="D15">
        <f t="shared" si="2"/>
        <v>2571</v>
      </c>
      <c r="E15">
        <f t="shared" si="3"/>
        <v>0.48580000000000001</v>
      </c>
      <c r="F15" s="15">
        <f t="shared" si="4"/>
        <v>238.0952380952381</v>
      </c>
      <c r="G15" s="15">
        <f t="shared" si="5"/>
        <v>2429</v>
      </c>
      <c r="H15" s="2">
        <v>6269</v>
      </c>
      <c r="I15">
        <f t="shared" si="0"/>
        <v>1269</v>
      </c>
      <c r="J15" s="1">
        <f t="shared" si="1"/>
        <v>1.2538</v>
      </c>
      <c r="K15" s="9">
        <v>27.5</v>
      </c>
      <c r="L15" s="8">
        <f t="shared" si="6"/>
        <v>66797.5</v>
      </c>
      <c r="N15" s="21">
        <f t="shared" si="7"/>
        <v>3045.4802</v>
      </c>
      <c r="O15" s="22">
        <f t="shared" si="8"/>
        <v>83750.705499999996</v>
      </c>
    </row>
    <row r="16" spans="1:15" x14ac:dyDescent="0.2">
      <c r="A16" t="s">
        <v>16</v>
      </c>
      <c r="B16">
        <v>1300</v>
      </c>
      <c r="C16">
        <v>0.45550000000000002</v>
      </c>
      <c r="D16">
        <f t="shared" si="2"/>
        <v>592.15</v>
      </c>
      <c r="E16">
        <f>1-C16</f>
        <v>0.54449999999999998</v>
      </c>
      <c r="F16" s="15">
        <f>B16/21</f>
        <v>61.904761904761905</v>
      </c>
      <c r="G16" s="15">
        <f>B16*E16</f>
        <v>707.85</v>
      </c>
      <c r="H16" s="2">
        <v>1795</v>
      </c>
      <c r="I16">
        <f>H16-B16</f>
        <v>495</v>
      </c>
      <c r="J16" s="1">
        <f>H16/B16</f>
        <v>1.3807692307692307</v>
      </c>
      <c r="K16" s="9">
        <v>16</v>
      </c>
      <c r="L16" s="8">
        <f>(B16*E16)*K16</f>
        <v>11325.6</v>
      </c>
      <c r="N16" s="21">
        <f t="shared" si="7"/>
        <v>977.37749999999994</v>
      </c>
      <c r="O16" s="22">
        <f t="shared" si="8"/>
        <v>15638.039999999999</v>
      </c>
    </row>
    <row r="17" spans="1:16" x14ac:dyDescent="0.2">
      <c r="A17" t="s">
        <v>12</v>
      </c>
      <c r="B17">
        <v>3750</v>
      </c>
      <c r="C17">
        <v>0.4461</v>
      </c>
      <c r="D17">
        <f t="shared" si="2"/>
        <v>1672.875</v>
      </c>
      <c r="E17">
        <f t="shared" si="3"/>
        <v>0.55390000000000006</v>
      </c>
      <c r="F17" s="15">
        <f t="shared" si="4"/>
        <v>178.57142857142858</v>
      </c>
      <c r="G17" s="15">
        <f t="shared" si="5"/>
        <v>2077.125</v>
      </c>
      <c r="H17" s="2">
        <v>2274</v>
      </c>
      <c r="I17">
        <f t="shared" si="0"/>
        <v>-1476</v>
      </c>
      <c r="J17" s="1">
        <f t="shared" si="1"/>
        <v>0.60640000000000005</v>
      </c>
      <c r="K17" s="9">
        <v>25</v>
      </c>
      <c r="L17" s="8">
        <f t="shared" si="6"/>
        <v>51928.125</v>
      </c>
      <c r="N17" s="21">
        <f t="shared" si="7"/>
        <v>1259.5686000000001</v>
      </c>
      <c r="O17" s="22">
        <f t="shared" si="8"/>
        <v>31489.215</v>
      </c>
    </row>
    <row r="18" spans="1:16" x14ac:dyDescent="0.2">
      <c r="A18" t="s">
        <v>13</v>
      </c>
      <c r="B18">
        <v>3900</v>
      </c>
      <c r="C18">
        <v>0.43930000000000002</v>
      </c>
      <c r="D18">
        <f t="shared" si="2"/>
        <v>1713.27</v>
      </c>
      <c r="E18">
        <f t="shared" si="3"/>
        <v>0.56069999999999998</v>
      </c>
      <c r="F18" s="15">
        <f t="shared" si="4"/>
        <v>185.71428571428572</v>
      </c>
      <c r="G18" s="15">
        <f t="shared" si="5"/>
        <v>2186.73</v>
      </c>
      <c r="H18" s="2">
        <v>4381</v>
      </c>
      <c r="I18">
        <f t="shared" si="0"/>
        <v>481</v>
      </c>
      <c r="J18" s="1">
        <f t="shared" si="1"/>
        <v>1.1233333333333333</v>
      </c>
      <c r="K18" s="9">
        <v>18</v>
      </c>
      <c r="L18" s="8">
        <f t="shared" si="6"/>
        <v>39361.14</v>
      </c>
      <c r="N18" s="21">
        <f t="shared" si="7"/>
        <v>2456.4267</v>
      </c>
      <c r="O18" s="22">
        <f t="shared" si="8"/>
        <v>44215.6806</v>
      </c>
    </row>
    <row r="19" spans="1:16" x14ac:dyDescent="0.2">
      <c r="A19" t="s">
        <v>14</v>
      </c>
      <c r="B19">
        <v>5810</v>
      </c>
      <c r="C19">
        <v>0.38919999999999999</v>
      </c>
      <c r="D19">
        <f t="shared" si="2"/>
        <v>2261.252</v>
      </c>
      <c r="E19">
        <f t="shared" si="3"/>
        <v>0.61080000000000001</v>
      </c>
      <c r="F19" s="15">
        <f t="shared" si="4"/>
        <v>276.66666666666669</v>
      </c>
      <c r="G19" s="15">
        <f t="shared" si="5"/>
        <v>3548.748</v>
      </c>
      <c r="H19" s="2">
        <v>4927</v>
      </c>
      <c r="I19">
        <f t="shared" si="0"/>
        <v>-883</v>
      </c>
      <c r="J19" s="1">
        <f t="shared" si="1"/>
        <v>0.84802065404475047</v>
      </c>
      <c r="K19" s="9">
        <v>23</v>
      </c>
      <c r="L19" s="8">
        <f t="shared" si="6"/>
        <v>81621.203999999998</v>
      </c>
      <c r="N19" s="21">
        <f t="shared" si="7"/>
        <v>3009.4115999999999</v>
      </c>
      <c r="O19" s="22">
        <f t="shared" si="8"/>
        <v>69216.466799999995</v>
      </c>
    </row>
    <row r="20" spans="1:16" x14ac:dyDescent="0.2">
      <c r="A20" t="s">
        <v>15</v>
      </c>
      <c r="B20">
        <v>1700</v>
      </c>
      <c r="C20">
        <v>0.49669999999999997</v>
      </c>
      <c r="D20">
        <f t="shared" si="2"/>
        <v>844.39</v>
      </c>
      <c r="E20">
        <f t="shared" si="3"/>
        <v>0.50330000000000008</v>
      </c>
      <c r="F20" s="15">
        <f t="shared" si="4"/>
        <v>80.952380952380949</v>
      </c>
      <c r="G20" s="15">
        <f t="shared" si="5"/>
        <v>855.61000000000013</v>
      </c>
      <c r="H20" s="2">
        <v>2529</v>
      </c>
      <c r="I20">
        <f t="shared" si="0"/>
        <v>829</v>
      </c>
      <c r="J20" s="1">
        <f t="shared" si="1"/>
        <v>1.4876470588235293</v>
      </c>
      <c r="K20" s="9">
        <v>20</v>
      </c>
      <c r="L20" s="8">
        <f t="shared" si="6"/>
        <v>17112.200000000004</v>
      </c>
      <c r="N20" s="21">
        <f t="shared" si="7"/>
        <v>1272.8457000000003</v>
      </c>
      <c r="O20" s="22">
        <f t="shared" si="8"/>
        <v>25456.914000000004</v>
      </c>
    </row>
    <row r="21" spans="1:16" x14ac:dyDescent="0.2">
      <c r="A21" t="s">
        <v>17</v>
      </c>
      <c r="B21">
        <v>0</v>
      </c>
      <c r="D21">
        <f t="shared" si="2"/>
        <v>0</v>
      </c>
      <c r="E21">
        <f t="shared" si="3"/>
        <v>1</v>
      </c>
      <c r="F21" s="15">
        <f t="shared" si="4"/>
        <v>0</v>
      </c>
      <c r="G21" s="15">
        <f t="shared" si="5"/>
        <v>0</v>
      </c>
      <c r="H21" s="2">
        <v>0</v>
      </c>
      <c r="I21">
        <f t="shared" si="0"/>
        <v>0</v>
      </c>
      <c r="J21" s="1"/>
      <c r="K21" s="9">
        <v>0</v>
      </c>
      <c r="L21" s="8">
        <f t="shared" si="6"/>
        <v>0</v>
      </c>
      <c r="N21" s="21">
        <f t="shared" si="7"/>
        <v>0</v>
      </c>
      <c r="O21" s="22">
        <f t="shared" si="8"/>
        <v>0</v>
      </c>
    </row>
    <row r="22" spans="1:16" x14ac:dyDescent="0.2">
      <c r="A22" s="27" t="s">
        <v>45</v>
      </c>
      <c r="B22">
        <v>250</v>
      </c>
      <c r="C22">
        <v>0.5282</v>
      </c>
      <c r="D22">
        <f t="shared" si="2"/>
        <v>132.05000000000001</v>
      </c>
      <c r="E22">
        <f t="shared" si="3"/>
        <v>0.4718</v>
      </c>
      <c r="F22" s="15">
        <f t="shared" si="4"/>
        <v>11.904761904761905</v>
      </c>
      <c r="G22" s="15">
        <v>140</v>
      </c>
      <c r="H22" s="2">
        <v>713</v>
      </c>
      <c r="I22">
        <f t="shared" si="0"/>
        <v>463</v>
      </c>
      <c r="J22" s="1">
        <f t="shared" si="1"/>
        <v>2.8519999999999999</v>
      </c>
      <c r="K22" s="9">
        <v>5</v>
      </c>
      <c r="L22" s="8">
        <f t="shared" si="6"/>
        <v>589.75</v>
      </c>
      <c r="N22" s="21">
        <f t="shared" si="7"/>
        <v>336.39339999999999</v>
      </c>
      <c r="O22" s="22">
        <f t="shared" si="8"/>
        <v>1681.9669999999999</v>
      </c>
    </row>
    <row r="23" spans="1:16" ht="15" thickBot="1" x14ac:dyDescent="0.25">
      <c r="A23" s="3" t="s">
        <v>24</v>
      </c>
      <c r="B23" s="3">
        <v>1440</v>
      </c>
      <c r="C23" s="5">
        <v>0.2555</v>
      </c>
      <c r="D23">
        <f t="shared" si="2"/>
        <v>367.92</v>
      </c>
      <c r="E23" s="5">
        <f t="shared" si="3"/>
        <v>0.74449999999999994</v>
      </c>
      <c r="F23" s="16">
        <f t="shared" si="4"/>
        <v>68.571428571428569</v>
      </c>
      <c r="G23" s="16">
        <f t="shared" si="5"/>
        <v>1072.08</v>
      </c>
      <c r="H23" s="4">
        <v>936</v>
      </c>
      <c r="I23" s="5">
        <f t="shared" si="0"/>
        <v>-504</v>
      </c>
      <c r="J23" s="6">
        <f t="shared" si="1"/>
        <v>0.65</v>
      </c>
      <c r="K23" s="10">
        <v>25</v>
      </c>
      <c r="L23" s="14">
        <f t="shared" si="6"/>
        <v>26802</v>
      </c>
      <c r="N23" s="24">
        <f t="shared" si="7"/>
        <v>696.85199999999998</v>
      </c>
      <c r="O23" s="25">
        <f t="shared" si="8"/>
        <v>17421.3</v>
      </c>
    </row>
    <row r="24" spans="1:16" x14ac:dyDescent="0.2">
      <c r="B24">
        <f>SUM(B4:B23)</f>
        <v>42650</v>
      </c>
      <c r="C24" s="1">
        <f>D24/B24</f>
        <v>0.4580316998827666</v>
      </c>
      <c r="D24">
        <f>SUM(D4:D23)</f>
        <v>19535.051999999996</v>
      </c>
      <c r="F24" s="15">
        <f t="shared" si="4"/>
        <v>2030.952380952381</v>
      </c>
      <c r="G24" s="15">
        <f>SUM(G4:G23)</f>
        <v>23207.098000000005</v>
      </c>
      <c r="H24" s="2">
        <f>SUM(H4:H23)</f>
        <v>43690</v>
      </c>
      <c r="I24">
        <f t="shared" si="0"/>
        <v>1040</v>
      </c>
      <c r="J24" s="1">
        <f t="shared" si="1"/>
        <v>1.0243845252051582</v>
      </c>
      <c r="K24" s="9"/>
      <c r="L24" s="8">
        <f>SUM(L4:L23)</f>
        <v>477189.2190000001</v>
      </c>
      <c r="M24" s="8"/>
      <c r="N24" s="23">
        <f>SUM(N4:N23)</f>
        <v>23426.284900000002</v>
      </c>
      <c r="O24" s="22">
        <f>SUM(O4:O23)</f>
        <v>479767.0661</v>
      </c>
      <c r="P24" s="17"/>
    </row>
    <row r="25" spans="1:16" x14ac:dyDescent="0.2">
      <c r="A25" t="s">
        <v>41</v>
      </c>
      <c r="B25" s="20">
        <f>B24/21</f>
        <v>2030.952380952381</v>
      </c>
      <c r="E25" s="20">
        <f>B25/33</f>
        <v>61.544011544011546</v>
      </c>
      <c r="F25" s="15"/>
      <c r="H25" t="s">
        <v>42</v>
      </c>
      <c r="L25" s="8">
        <f>L24/G24</f>
        <v>20.562209846315124</v>
      </c>
      <c r="M25" s="8" t="s">
        <v>29</v>
      </c>
      <c r="N25" s="26">
        <f>N24/G24</f>
        <v>1.0094448215800182</v>
      </c>
      <c r="O25" s="22">
        <f>O24/N24</f>
        <v>20.479861324490251</v>
      </c>
      <c r="P25" s="8">
        <f>O24/H24</f>
        <v>10.98116425040055</v>
      </c>
    </row>
    <row r="27" spans="1:16" x14ac:dyDescent="0.2">
      <c r="A27" t="s">
        <v>35</v>
      </c>
      <c r="B27" t="s">
        <v>40</v>
      </c>
    </row>
    <row r="28" spans="1:16" x14ac:dyDescent="0.2">
      <c r="B28" t="s">
        <v>31</v>
      </c>
      <c r="K28">
        <f>(B24-H24)/3</f>
        <v>-346.66666666666669</v>
      </c>
    </row>
    <row r="29" spans="1:16" x14ac:dyDescent="0.2">
      <c r="B29" t="s">
        <v>32</v>
      </c>
      <c r="K29">
        <f>K28/31.8</f>
        <v>-10.90146750524109</v>
      </c>
    </row>
    <row r="30" spans="1:16" x14ac:dyDescent="0.2">
      <c r="B30" t="s">
        <v>33</v>
      </c>
    </row>
    <row r="31" spans="1:16" x14ac:dyDescent="0.2">
      <c r="B31" t="s">
        <v>46</v>
      </c>
    </row>
    <row r="32" spans="1:16" x14ac:dyDescent="0.2">
      <c r="B32" t="s">
        <v>38</v>
      </c>
    </row>
    <row r="33" spans="2:5" x14ac:dyDescent="0.2">
      <c r="B33" t="s">
        <v>34</v>
      </c>
    </row>
    <row r="35" spans="2:5" x14ac:dyDescent="0.2">
      <c r="B35" t="s">
        <v>37</v>
      </c>
    </row>
    <row r="36" spans="2:5" x14ac:dyDescent="0.2">
      <c r="E36" t="s">
        <v>36</v>
      </c>
    </row>
  </sheetData>
  <mergeCells count="1">
    <mergeCell ref="N2:O2"/>
  </mergeCells>
  <pageMargins left="0.7" right="0.7" top="0.75" bottom="0.75" header="0.3" footer="0.3"/>
  <pageSetup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Q35"/>
  <sheetViews>
    <sheetView workbookViewId="0">
      <selection activeCell="K4" sqref="K4:K21"/>
    </sheetView>
  </sheetViews>
  <sheetFormatPr defaultRowHeight="14.25" x14ac:dyDescent="0.2"/>
  <cols>
    <col min="1" max="1" width="23.25" customWidth="1"/>
    <col min="2" max="2" width="9.75" customWidth="1"/>
    <col min="3" max="3" width="8.75" customWidth="1"/>
    <col min="4" max="4" width="8.75" hidden="1" customWidth="1"/>
    <col min="5" max="7" width="8.75" customWidth="1"/>
    <col min="8" max="8" width="19.25" customWidth="1"/>
    <col min="10" max="10" width="10.5" customWidth="1"/>
    <col min="11" max="11" width="11.375" customWidth="1"/>
    <col min="12" max="12" width="13" customWidth="1"/>
    <col min="13" max="14" width="10.75" customWidth="1"/>
    <col min="15" max="15" width="12.25" customWidth="1"/>
    <col min="16" max="16" width="10.25" customWidth="1"/>
  </cols>
  <sheetData>
    <row r="1" spans="1:15" x14ac:dyDescent="0.2">
      <c r="J1">
        <v>20</v>
      </c>
      <c r="K1" s="7" t="s">
        <v>22</v>
      </c>
      <c r="L1" s="7" t="s">
        <v>23</v>
      </c>
    </row>
    <row r="2" spans="1:15" ht="15" thickBot="1" x14ac:dyDescent="0.25">
      <c r="A2" s="19" t="s">
        <v>39</v>
      </c>
      <c r="C2" t="s">
        <v>63</v>
      </c>
      <c r="K2" s="18">
        <f>22/22</f>
        <v>1</v>
      </c>
      <c r="L2" s="18">
        <f>H23/B23</f>
        <v>1.2915712046304111</v>
      </c>
      <c r="N2" s="313" t="s">
        <v>44</v>
      </c>
      <c r="O2" s="313"/>
    </row>
    <row r="3" spans="1:15" ht="15" thickBot="1" x14ac:dyDescent="0.25">
      <c r="A3" s="11" t="s">
        <v>50</v>
      </c>
      <c r="B3" s="12" t="s">
        <v>19</v>
      </c>
      <c r="C3" s="12" t="s">
        <v>30</v>
      </c>
      <c r="D3" s="12"/>
      <c r="E3" s="12" t="s">
        <v>28</v>
      </c>
      <c r="F3" s="12" t="s">
        <v>27</v>
      </c>
      <c r="G3" s="12" t="s">
        <v>29</v>
      </c>
      <c r="H3" s="13" t="s">
        <v>66</v>
      </c>
      <c r="I3" s="12" t="s">
        <v>20</v>
      </c>
      <c r="J3" s="12" t="s">
        <v>21</v>
      </c>
      <c r="K3" s="12" t="s">
        <v>25</v>
      </c>
      <c r="L3" s="12" t="s">
        <v>26</v>
      </c>
      <c r="N3" s="21" t="s">
        <v>28</v>
      </c>
      <c r="O3" s="21" t="s">
        <v>43</v>
      </c>
    </row>
    <row r="4" spans="1:15" ht="15" thickTop="1" x14ac:dyDescent="0.2">
      <c r="A4" t="s">
        <v>0</v>
      </c>
      <c r="B4">
        <v>1200</v>
      </c>
      <c r="C4">
        <v>0.53690000000000004</v>
      </c>
      <c r="D4">
        <f>B4*C4</f>
        <v>644.28000000000009</v>
      </c>
      <c r="E4">
        <f>1-C4</f>
        <v>0.46309999999999996</v>
      </c>
      <c r="F4" s="15">
        <f>B4/21</f>
        <v>57.142857142857146</v>
      </c>
      <c r="G4" s="15">
        <f>B4*E4</f>
        <v>555.71999999999991</v>
      </c>
      <c r="H4" s="2">
        <v>2600</v>
      </c>
      <c r="I4">
        <f t="shared" ref="I4:I22" si="0">H4-B4</f>
        <v>1400</v>
      </c>
      <c r="J4" s="1">
        <f t="shared" ref="J4:J13" si="1">H4/B4</f>
        <v>2.1666666666666665</v>
      </c>
      <c r="K4" s="8">
        <v>23.83</v>
      </c>
      <c r="L4" s="30">
        <f>(B4*E4)*K4</f>
        <v>13242.807599999996</v>
      </c>
      <c r="N4" s="21">
        <f>H4*E4</f>
        <v>1204.06</v>
      </c>
      <c r="O4" s="22">
        <f>(H4*E4)*K4</f>
        <v>28692.749799999998</v>
      </c>
    </row>
    <row r="5" spans="1:15" x14ac:dyDescent="0.2">
      <c r="A5" t="s">
        <v>1</v>
      </c>
      <c r="B5">
        <v>1500</v>
      </c>
      <c r="C5">
        <v>0.39400000000000002</v>
      </c>
      <c r="D5">
        <f t="shared" ref="D5:D22" si="2">B5*C5</f>
        <v>591</v>
      </c>
      <c r="E5">
        <f t="shared" ref="E5:E22" si="3">1-C5</f>
        <v>0.60599999999999998</v>
      </c>
      <c r="F5" s="15">
        <f t="shared" ref="F5:F23" si="4">B5/21</f>
        <v>71.428571428571431</v>
      </c>
      <c r="G5" s="15">
        <f t="shared" ref="G5:G22" si="5">B5*E5</f>
        <v>909</v>
      </c>
      <c r="H5" s="2">
        <v>1087</v>
      </c>
      <c r="I5">
        <f t="shared" si="0"/>
        <v>-413</v>
      </c>
      <c r="J5" s="1">
        <f t="shared" si="1"/>
        <v>0.72466666666666668</v>
      </c>
      <c r="K5" s="9">
        <v>27.92</v>
      </c>
      <c r="L5" s="8">
        <f t="shared" ref="L5:L22" si="6">(B5*E5)*K5</f>
        <v>25379.280000000002</v>
      </c>
      <c r="N5" s="21">
        <f t="shared" ref="N5:N22" si="7">H5*E5</f>
        <v>658.72199999999998</v>
      </c>
      <c r="O5" s="22">
        <f t="shared" ref="O5:O22" si="8">(H5*E5)*K5</f>
        <v>18391.518240000001</v>
      </c>
    </row>
    <row r="6" spans="1:15" x14ac:dyDescent="0.2">
      <c r="A6" t="s">
        <v>2</v>
      </c>
      <c r="B6">
        <v>750</v>
      </c>
      <c r="C6">
        <v>0.58530000000000004</v>
      </c>
      <c r="D6">
        <f t="shared" si="2"/>
        <v>438.97500000000002</v>
      </c>
      <c r="E6">
        <f t="shared" si="3"/>
        <v>0.41469999999999996</v>
      </c>
      <c r="F6" s="15">
        <f t="shared" si="4"/>
        <v>35.714285714285715</v>
      </c>
      <c r="G6" s="15">
        <f t="shared" si="5"/>
        <v>311.02499999999998</v>
      </c>
      <c r="H6" s="2">
        <v>2622</v>
      </c>
      <c r="I6">
        <f t="shared" si="0"/>
        <v>1872</v>
      </c>
      <c r="J6" s="1">
        <f t="shared" si="1"/>
        <v>3.496</v>
      </c>
      <c r="K6" s="9">
        <v>28.37</v>
      </c>
      <c r="L6" s="8">
        <f t="shared" si="6"/>
        <v>8823.7792499999996</v>
      </c>
      <c r="N6" s="21">
        <f t="shared" si="7"/>
        <v>1087.3434</v>
      </c>
      <c r="O6" s="22">
        <f t="shared" si="8"/>
        <v>30847.932258000001</v>
      </c>
    </row>
    <row r="7" spans="1:15" x14ac:dyDescent="0.2">
      <c r="A7" t="s">
        <v>3</v>
      </c>
      <c r="B7">
        <v>1750</v>
      </c>
      <c r="C7">
        <v>0.499</v>
      </c>
      <c r="D7">
        <f t="shared" si="2"/>
        <v>873.25</v>
      </c>
      <c r="E7">
        <f t="shared" si="3"/>
        <v>0.501</v>
      </c>
      <c r="F7" s="15">
        <f t="shared" si="4"/>
        <v>83.333333333333329</v>
      </c>
      <c r="G7" s="15">
        <f t="shared" si="5"/>
        <v>876.75</v>
      </c>
      <c r="H7" s="2">
        <v>1551</v>
      </c>
      <c r="I7">
        <f t="shared" si="0"/>
        <v>-199</v>
      </c>
      <c r="J7" s="1">
        <f t="shared" si="1"/>
        <v>0.88628571428571423</v>
      </c>
      <c r="K7" s="9">
        <v>22.21</v>
      </c>
      <c r="L7" s="8">
        <f t="shared" si="6"/>
        <v>19472.6175</v>
      </c>
      <c r="N7" s="21">
        <f t="shared" si="7"/>
        <v>777.05100000000004</v>
      </c>
      <c r="O7" s="22">
        <f t="shared" si="8"/>
        <v>17258.30271</v>
      </c>
    </row>
    <row r="8" spans="1:15" x14ac:dyDescent="0.2">
      <c r="A8" t="s">
        <v>5</v>
      </c>
      <c r="B8">
        <v>2500</v>
      </c>
      <c r="C8">
        <v>0.4698</v>
      </c>
      <c r="D8">
        <f t="shared" si="2"/>
        <v>1174.5</v>
      </c>
      <c r="E8">
        <f>1-C8</f>
        <v>0.5302</v>
      </c>
      <c r="F8" s="15">
        <f>B8/21</f>
        <v>119.04761904761905</v>
      </c>
      <c r="G8" s="15">
        <f>B8*E8</f>
        <v>1325.5</v>
      </c>
      <c r="H8" s="2">
        <v>2477</v>
      </c>
      <c r="I8">
        <f>H8-B8</f>
        <v>-23</v>
      </c>
      <c r="J8" s="1">
        <f t="shared" si="1"/>
        <v>0.99080000000000001</v>
      </c>
      <c r="K8" s="9">
        <v>12</v>
      </c>
      <c r="L8" s="8">
        <f>(B8*E8)*K8</f>
        <v>15906</v>
      </c>
      <c r="N8" s="21">
        <f>H8*E8</f>
        <v>1313.3054</v>
      </c>
      <c r="O8" s="22">
        <f>(H8*E8)*K8</f>
        <v>15759.664799999999</v>
      </c>
    </row>
    <row r="9" spans="1:15" x14ac:dyDescent="0.2">
      <c r="A9" t="s">
        <v>4</v>
      </c>
      <c r="B9">
        <v>100</v>
      </c>
      <c r="C9">
        <v>0.17330000000000001</v>
      </c>
      <c r="D9">
        <f t="shared" si="2"/>
        <v>17.330000000000002</v>
      </c>
      <c r="E9">
        <f t="shared" si="3"/>
        <v>0.82669999999999999</v>
      </c>
      <c r="F9" s="15">
        <f t="shared" si="4"/>
        <v>4.7619047619047619</v>
      </c>
      <c r="G9" s="15">
        <f t="shared" si="5"/>
        <v>82.67</v>
      </c>
      <c r="H9" s="2">
        <v>185</v>
      </c>
      <c r="I9">
        <f t="shared" si="0"/>
        <v>85</v>
      </c>
      <c r="J9" s="1">
        <f t="shared" si="1"/>
        <v>1.85</v>
      </c>
      <c r="K9" s="9">
        <v>0</v>
      </c>
      <c r="L9" s="8">
        <f t="shared" si="6"/>
        <v>0</v>
      </c>
      <c r="N9" s="21">
        <f t="shared" si="7"/>
        <v>152.93950000000001</v>
      </c>
      <c r="O9" s="22">
        <f t="shared" si="8"/>
        <v>0</v>
      </c>
    </row>
    <row r="10" spans="1:15" x14ac:dyDescent="0.2">
      <c r="A10" t="s">
        <v>6</v>
      </c>
      <c r="B10">
        <v>65</v>
      </c>
      <c r="C10">
        <v>0.69679999999999997</v>
      </c>
      <c r="D10">
        <f t="shared" si="2"/>
        <v>45.292000000000002</v>
      </c>
      <c r="E10">
        <f t="shared" si="3"/>
        <v>0.30320000000000003</v>
      </c>
      <c r="F10" s="15">
        <f t="shared" si="4"/>
        <v>3.0952380952380953</v>
      </c>
      <c r="G10" s="15">
        <f t="shared" si="5"/>
        <v>19.708000000000002</v>
      </c>
      <c r="H10" s="2">
        <v>58</v>
      </c>
      <c r="I10">
        <f t="shared" si="0"/>
        <v>-7</v>
      </c>
      <c r="J10" s="1">
        <f t="shared" si="1"/>
        <v>0.89230769230769236</v>
      </c>
      <c r="K10" s="9">
        <v>0</v>
      </c>
      <c r="L10" s="8">
        <f t="shared" si="6"/>
        <v>0</v>
      </c>
      <c r="N10" s="21">
        <f t="shared" si="7"/>
        <v>17.585600000000003</v>
      </c>
      <c r="O10" s="22">
        <f t="shared" si="8"/>
        <v>0</v>
      </c>
    </row>
    <row r="11" spans="1:15" x14ac:dyDescent="0.2">
      <c r="A11" t="s">
        <v>7</v>
      </c>
      <c r="B11">
        <v>1200</v>
      </c>
      <c r="C11">
        <v>0.54210000000000003</v>
      </c>
      <c r="D11">
        <f t="shared" si="2"/>
        <v>650.52</v>
      </c>
      <c r="E11">
        <f t="shared" si="3"/>
        <v>0.45789999999999997</v>
      </c>
      <c r="F11" s="15">
        <f t="shared" si="4"/>
        <v>57.142857142857146</v>
      </c>
      <c r="G11" s="15">
        <f t="shared" si="5"/>
        <v>549.48</v>
      </c>
      <c r="H11" s="2">
        <v>1449</v>
      </c>
      <c r="I11">
        <f t="shared" si="0"/>
        <v>249</v>
      </c>
      <c r="J11" s="1">
        <f t="shared" si="1"/>
        <v>1.2075</v>
      </c>
      <c r="K11" s="9">
        <v>0</v>
      </c>
      <c r="L11" s="8">
        <f t="shared" si="6"/>
        <v>0</v>
      </c>
      <c r="N11" s="21">
        <f t="shared" si="7"/>
        <v>663.49709999999993</v>
      </c>
      <c r="O11" s="22">
        <f t="shared" si="8"/>
        <v>0</v>
      </c>
    </row>
    <row r="12" spans="1:15" x14ac:dyDescent="0.2">
      <c r="A12" t="s">
        <v>9</v>
      </c>
      <c r="B12">
        <v>500</v>
      </c>
      <c r="C12">
        <v>0.62409999999999999</v>
      </c>
      <c r="D12">
        <f t="shared" si="2"/>
        <v>312.05</v>
      </c>
      <c r="E12">
        <v>0.53</v>
      </c>
      <c r="F12" s="15">
        <f>B12/21</f>
        <v>23.80952380952381</v>
      </c>
      <c r="G12" s="15">
        <f>B12*E12</f>
        <v>265</v>
      </c>
      <c r="H12" s="2">
        <v>2339</v>
      </c>
      <c r="I12">
        <f>H12-B12</f>
        <v>1839</v>
      </c>
      <c r="J12" s="1">
        <f t="shared" si="1"/>
        <v>4.6779999999999999</v>
      </c>
      <c r="K12" s="9">
        <v>0</v>
      </c>
      <c r="L12" s="8">
        <f>(B12*E12)*K12</f>
        <v>0</v>
      </c>
      <c r="N12" s="21">
        <f>H12*E12</f>
        <v>1239.67</v>
      </c>
      <c r="O12" s="22">
        <f>(H12*E12)*K12</f>
        <v>0</v>
      </c>
    </row>
    <row r="13" spans="1:15" x14ac:dyDescent="0.2">
      <c r="A13" t="s">
        <v>8</v>
      </c>
      <c r="B13">
        <v>10500</v>
      </c>
      <c r="C13">
        <v>0.57020000000000004</v>
      </c>
      <c r="D13">
        <f t="shared" si="2"/>
        <v>5987.1</v>
      </c>
      <c r="E13">
        <f t="shared" si="3"/>
        <v>0.42979999999999996</v>
      </c>
      <c r="F13" s="15">
        <f t="shared" si="4"/>
        <v>500</v>
      </c>
      <c r="G13" s="15">
        <f t="shared" si="5"/>
        <v>4512.8999999999996</v>
      </c>
      <c r="H13" s="2">
        <v>12726</v>
      </c>
      <c r="I13">
        <f t="shared" si="0"/>
        <v>2226</v>
      </c>
      <c r="J13" s="1">
        <f t="shared" si="1"/>
        <v>1.212</v>
      </c>
      <c r="K13" s="9">
        <v>24.68</v>
      </c>
      <c r="L13" s="8">
        <f t="shared" si="6"/>
        <v>111378.37199999999</v>
      </c>
      <c r="N13" s="21">
        <f t="shared" si="7"/>
        <v>5469.6347999999998</v>
      </c>
      <c r="O13" s="22">
        <f t="shared" si="8"/>
        <v>134990.58686399998</v>
      </c>
    </row>
    <row r="14" spans="1:15" hidden="1" x14ac:dyDescent="0.2">
      <c r="A14" t="s">
        <v>10</v>
      </c>
      <c r="B14">
        <v>0</v>
      </c>
      <c r="D14">
        <f t="shared" si="2"/>
        <v>0</v>
      </c>
      <c r="F14" s="15">
        <f t="shared" si="4"/>
        <v>0</v>
      </c>
      <c r="G14" s="15">
        <f t="shared" si="5"/>
        <v>0</v>
      </c>
      <c r="H14" s="2"/>
      <c r="I14">
        <f t="shared" si="0"/>
        <v>0</v>
      </c>
      <c r="J14" s="1"/>
      <c r="K14" s="9">
        <v>0</v>
      </c>
      <c r="L14" s="8">
        <f t="shared" si="6"/>
        <v>0</v>
      </c>
      <c r="N14" s="21">
        <f t="shared" si="7"/>
        <v>0</v>
      </c>
      <c r="O14" s="22">
        <f t="shared" si="8"/>
        <v>0</v>
      </c>
    </row>
    <row r="15" spans="1:15" x14ac:dyDescent="0.2">
      <c r="A15" t="s">
        <v>11</v>
      </c>
      <c r="B15">
        <v>5000</v>
      </c>
      <c r="C15">
        <v>0.54190000000000005</v>
      </c>
      <c r="D15">
        <f t="shared" si="2"/>
        <v>2709.5000000000005</v>
      </c>
      <c r="E15">
        <f t="shared" si="3"/>
        <v>0.45809999999999995</v>
      </c>
      <c r="F15" s="15">
        <f t="shared" si="4"/>
        <v>238.0952380952381</v>
      </c>
      <c r="G15" s="15">
        <f t="shared" si="5"/>
        <v>2290.4999999999995</v>
      </c>
      <c r="H15" s="2">
        <v>7068</v>
      </c>
      <c r="I15">
        <f t="shared" si="0"/>
        <v>2068</v>
      </c>
      <c r="J15" s="1">
        <f t="shared" ref="J15:J21" si="9">H15/B15</f>
        <v>1.4136</v>
      </c>
      <c r="K15" s="9">
        <v>27.36</v>
      </c>
      <c r="L15" s="8">
        <f t="shared" si="6"/>
        <v>62668.079999999987</v>
      </c>
      <c r="N15" s="21">
        <f t="shared" si="7"/>
        <v>3237.8507999999997</v>
      </c>
      <c r="O15" s="22">
        <f t="shared" si="8"/>
        <v>88587.597887999989</v>
      </c>
    </row>
    <row r="16" spans="1:15" x14ac:dyDescent="0.2">
      <c r="A16" t="s">
        <v>16</v>
      </c>
      <c r="B16">
        <v>1500</v>
      </c>
      <c r="C16">
        <v>0.496</v>
      </c>
      <c r="D16">
        <f t="shared" si="2"/>
        <v>744</v>
      </c>
      <c r="E16">
        <f>1-C16</f>
        <v>0.504</v>
      </c>
      <c r="F16" s="15">
        <f>B16/21</f>
        <v>71.428571428571431</v>
      </c>
      <c r="G16" s="15">
        <f>B16*E16</f>
        <v>756</v>
      </c>
      <c r="H16" s="2">
        <v>2151</v>
      </c>
      <c r="I16">
        <f>H16-B16</f>
        <v>651</v>
      </c>
      <c r="J16" s="1">
        <f t="shared" si="9"/>
        <v>1.4339999999999999</v>
      </c>
      <c r="K16" s="9">
        <v>18.04</v>
      </c>
      <c r="L16" s="8">
        <f>(B16*E16)*K16</f>
        <v>13638.24</v>
      </c>
      <c r="N16" s="21">
        <f t="shared" si="7"/>
        <v>1084.104</v>
      </c>
      <c r="O16" s="22">
        <f t="shared" si="8"/>
        <v>19557.23616</v>
      </c>
    </row>
    <row r="17" spans="1:17" x14ac:dyDescent="0.2">
      <c r="A17" t="s">
        <v>51</v>
      </c>
      <c r="B17">
        <v>2500</v>
      </c>
      <c r="C17">
        <v>0.55410000000000004</v>
      </c>
      <c r="D17">
        <f t="shared" si="2"/>
        <v>1385.25</v>
      </c>
      <c r="E17">
        <f t="shared" si="3"/>
        <v>0.44589999999999996</v>
      </c>
      <c r="F17" s="15">
        <f t="shared" si="4"/>
        <v>119.04761904761905</v>
      </c>
      <c r="G17" s="15">
        <f t="shared" si="5"/>
        <v>1114.75</v>
      </c>
      <c r="H17" s="2">
        <v>2967</v>
      </c>
      <c r="I17">
        <f t="shared" si="0"/>
        <v>467</v>
      </c>
      <c r="J17" s="1">
        <f t="shared" si="9"/>
        <v>1.1868000000000001</v>
      </c>
      <c r="K17" s="9">
        <v>24.94</v>
      </c>
      <c r="L17" s="8">
        <f t="shared" si="6"/>
        <v>27801.865000000002</v>
      </c>
      <c r="N17" s="21">
        <f t="shared" si="7"/>
        <v>1322.9852999999998</v>
      </c>
      <c r="O17" s="22">
        <f t="shared" si="8"/>
        <v>32995.253381999995</v>
      </c>
    </row>
    <row r="18" spans="1:17" x14ac:dyDescent="0.2">
      <c r="A18" t="s">
        <v>13</v>
      </c>
      <c r="B18">
        <v>3900</v>
      </c>
      <c r="C18">
        <v>0.5262</v>
      </c>
      <c r="D18">
        <f t="shared" si="2"/>
        <v>2052.1799999999998</v>
      </c>
      <c r="E18">
        <f t="shared" si="3"/>
        <v>0.4738</v>
      </c>
      <c r="F18" s="15">
        <f t="shared" si="4"/>
        <v>185.71428571428572</v>
      </c>
      <c r="G18" s="15">
        <f t="shared" si="5"/>
        <v>1847.82</v>
      </c>
      <c r="H18" s="2">
        <v>4098</v>
      </c>
      <c r="I18">
        <f t="shared" si="0"/>
        <v>198</v>
      </c>
      <c r="J18" s="1">
        <f t="shared" si="9"/>
        <v>1.0507692307692307</v>
      </c>
      <c r="K18" s="9">
        <v>21.68</v>
      </c>
      <c r="L18" s="8">
        <f t="shared" si="6"/>
        <v>40060.7376</v>
      </c>
      <c r="N18" s="21">
        <f t="shared" si="7"/>
        <v>1941.6324</v>
      </c>
      <c r="O18" s="22">
        <f t="shared" si="8"/>
        <v>42094.590431999997</v>
      </c>
    </row>
    <row r="19" spans="1:17" x14ac:dyDescent="0.2">
      <c r="A19" t="s">
        <v>14</v>
      </c>
      <c r="B19">
        <v>5800</v>
      </c>
      <c r="C19">
        <v>0.45300000000000001</v>
      </c>
      <c r="D19">
        <f t="shared" si="2"/>
        <v>2627.4</v>
      </c>
      <c r="E19">
        <f t="shared" si="3"/>
        <v>0.54699999999999993</v>
      </c>
      <c r="F19" s="15">
        <f t="shared" si="4"/>
        <v>276.1904761904762</v>
      </c>
      <c r="G19" s="15">
        <f t="shared" si="5"/>
        <v>3172.5999999999995</v>
      </c>
      <c r="H19" s="2">
        <v>8138</v>
      </c>
      <c r="I19">
        <f t="shared" si="0"/>
        <v>2338</v>
      </c>
      <c r="J19" s="1">
        <f t="shared" si="9"/>
        <v>1.403103448275862</v>
      </c>
      <c r="K19" s="9">
        <v>24.93</v>
      </c>
      <c r="L19" s="8">
        <f t="shared" si="6"/>
        <v>79092.917999999991</v>
      </c>
      <c r="N19" s="21">
        <f t="shared" si="7"/>
        <v>4451.4859999999999</v>
      </c>
      <c r="O19" s="22">
        <f t="shared" si="8"/>
        <v>110975.54598</v>
      </c>
    </row>
    <row r="20" spans="1:17" x14ac:dyDescent="0.2">
      <c r="A20" t="s">
        <v>15</v>
      </c>
      <c r="B20">
        <v>1700</v>
      </c>
      <c r="C20">
        <v>0.50660000000000005</v>
      </c>
      <c r="D20">
        <f t="shared" si="2"/>
        <v>861.22000000000014</v>
      </c>
      <c r="E20">
        <f t="shared" si="3"/>
        <v>0.49339999999999995</v>
      </c>
      <c r="F20" s="15">
        <f t="shared" si="4"/>
        <v>80.952380952380949</v>
      </c>
      <c r="G20" s="15">
        <f t="shared" si="5"/>
        <v>838.77999999999986</v>
      </c>
      <c r="H20" s="2">
        <v>1973</v>
      </c>
      <c r="I20">
        <f t="shared" si="0"/>
        <v>273</v>
      </c>
      <c r="J20" s="1">
        <f t="shared" si="9"/>
        <v>1.1605882352941177</v>
      </c>
      <c r="K20" s="9">
        <v>22.62</v>
      </c>
      <c r="L20" s="8">
        <f t="shared" si="6"/>
        <v>18973.203599999997</v>
      </c>
      <c r="N20" s="21">
        <f t="shared" si="7"/>
        <v>973.4781999999999</v>
      </c>
      <c r="O20" s="22">
        <f t="shared" si="8"/>
        <v>22020.076883999998</v>
      </c>
    </row>
    <row r="21" spans="1:17" x14ac:dyDescent="0.2">
      <c r="A21" t="s">
        <v>17</v>
      </c>
      <c r="B21">
        <v>1000</v>
      </c>
      <c r="D21">
        <f t="shared" si="2"/>
        <v>0</v>
      </c>
      <c r="E21">
        <f t="shared" si="3"/>
        <v>1</v>
      </c>
      <c r="F21" s="15">
        <f t="shared" si="4"/>
        <v>47.61904761904762</v>
      </c>
      <c r="G21" s="15">
        <f t="shared" si="5"/>
        <v>1000</v>
      </c>
      <c r="H21" s="2">
        <v>66</v>
      </c>
      <c r="I21">
        <f t="shared" si="0"/>
        <v>-934</v>
      </c>
      <c r="J21" s="1">
        <f t="shared" si="9"/>
        <v>6.6000000000000003E-2</v>
      </c>
      <c r="K21" s="9">
        <v>19</v>
      </c>
      <c r="L21" s="8">
        <f t="shared" si="6"/>
        <v>19000</v>
      </c>
      <c r="N21" s="21">
        <f t="shared" si="7"/>
        <v>66</v>
      </c>
      <c r="O21" s="22">
        <f t="shared" si="8"/>
        <v>1254</v>
      </c>
    </row>
    <row r="22" spans="1:17" ht="15" hidden="1" thickBot="1" x14ac:dyDescent="0.25">
      <c r="A22" s="3" t="s">
        <v>24</v>
      </c>
      <c r="B22" s="3">
        <v>0</v>
      </c>
      <c r="C22" s="5">
        <v>0.2555</v>
      </c>
      <c r="D22">
        <f t="shared" si="2"/>
        <v>0</v>
      </c>
      <c r="E22" s="5">
        <f t="shared" si="3"/>
        <v>0.74449999999999994</v>
      </c>
      <c r="F22" s="16">
        <f t="shared" si="4"/>
        <v>0</v>
      </c>
      <c r="G22" s="16">
        <f t="shared" si="5"/>
        <v>0</v>
      </c>
      <c r="H22" s="4"/>
      <c r="I22" s="5">
        <f t="shared" si="0"/>
        <v>0</v>
      </c>
      <c r="J22" s="6" t="e">
        <f>H22/B22</f>
        <v>#DIV/0!</v>
      </c>
      <c r="K22" s="10">
        <v>25</v>
      </c>
      <c r="L22" s="14">
        <f t="shared" si="6"/>
        <v>0</v>
      </c>
      <c r="N22" s="24">
        <f t="shared" si="7"/>
        <v>0</v>
      </c>
      <c r="O22" s="25">
        <f t="shared" si="8"/>
        <v>0</v>
      </c>
    </row>
    <row r="23" spans="1:17" x14ac:dyDescent="0.2">
      <c r="B23">
        <f>SUM(B4:B22)</f>
        <v>41465</v>
      </c>
      <c r="C23" s="1">
        <f>D23/B23</f>
        <v>0.50919684070903171</v>
      </c>
      <c r="D23">
        <f>SUM(D4:D22)</f>
        <v>21113.847000000002</v>
      </c>
      <c r="F23" s="15">
        <f t="shared" si="4"/>
        <v>1974.5238095238096</v>
      </c>
      <c r="G23" s="15">
        <f>SUM(G4:G22)</f>
        <v>20428.202999999998</v>
      </c>
      <c r="H23" s="2">
        <f>SUM($H$4:$H$22)</f>
        <v>53555</v>
      </c>
      <c r="I23">
        <f>H23-B23</f>
        <v>12090</v>
      </c>
      <c r="J23" s="1">
        <f>H23/B23</f>
        <v>1.2915712046304111</v>
      </c>
      <c r="K23" s="9"/>
      <c r="L23" s="8">
        <f>SUM(L4:L22)</f>
        <v>455437.90054999996</v>
      </c>
      <c r="M23" s="8"/>
      <c r="N23" s="23">
        <f>SUM(N4:N22)</f>
        <v>25661.345499999999</v>
      </c>
      <c r="O23" s="22">
        <f>SUM(O4:O22)</f>
        <v>563425.05539800005</v>
      </c>
      <c r="P23" s="17"/>
    </row>
    <row r="24" spans="1:17" x14ac:dyDescent="0.2">
      <c r="A24" t="s">
        <v>41</v>
      </c>
      <c r="B24" s="20">
        <f>B23/21</f>
        <v>1974.5238095238096</v>
      </c>
      <c r="E24" s="20">
        <f>B24/33</f>
        <v>59.834054834054839</v>
      </c>
      <c r="F24" s="15"/>
      <c r="H24" t="s">
        <v>42</v>
      </c>
      <c r="L24" s="8">
        <f>L23/G23</f>
        <v>22.294565045687083</v>
      </c>
      <c r="M24" s="8" t="s">
        <v>29</v>
      </c>
      <c r="N24" s="26">
        <f>N23/G23</f>
        <v>1.2561724347462184</v>
      </c>
      <c r="O24" s="22">
        <f>O23/N23</f>
        <v>21.956177449775581</v>
      </c>
      <c r="P24" t="s">
        <v>53</v>
      </c>
      <c r="Q24">
        <v>12.14</v>
      </c>
    </row>
    <row r="26" spans="1:17" x14ac:dyDescent="0.2">
      <c r="A26" t="s">
        <v>56</v>
      </c>
    </row>
    <row r="27" spans="1:17" hidden="1" x14ac:dyDescent="0.2">
      <c r="B27" t="s">
        <v>52</v>
      </c>
    </row>
    <row r="28" spans="1:17" x14ac:dyDescent="0.2">
      <c r="B28" t="s">
        <v>62</v>
      </c>
    </row>
    <row r="29" spans="1:17" x14ac:dyDescent="0.2">
      <c r="B29" t="s">
        <v>57</v>
      </c>
    </row>
    <row r="30" spans="1:17" x14ac:dyDescent="0.2">
      <c r="B30" t="s">
        <v>54</v>
      </c>
    </row>
    <row r="31" spans="1:17" x14ac:dyDescent="0.2">
      <c r="B31" t="s">
        <v>61</v>
      </c>
    </row>
    <row r="32" spans="1:17" x14ac:dyDescent="0.2">
      <c r="B32" t="s">
        <v>55</v>
      </c>
    </row>
    <row r="33" spans="2:5" x14ac:dyDescent="0.2">
      <c r="B33" t="s">
        <v>60</v>
      </c>
    </row>
    <row r="34" spans="2:5" x14ac:dyDescent="0.2">
      <c r="B34" t="s">
        <v>59</v>
      </c>
    </row>
    <row r="35" spans="2:5" x14ac:dyDescent="0.2">
      <c r="E35" t="s">
        <v>58</v>
      </c>
    </row>
  </sheetData>
  <mergeCells count="1">
    <mergeCell ref="N2:O2"/>
  </mergeCells>
  <pageMargins left="0.7" right="0.7" top="0.75" bottom="0.75" header="0.3" footer="0.3"/>
  <pageSetup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34"/>
  <sheetViews>
    <sheetView workbookViewId="0">
      <selection activeCell="C24" sqref="C24"/>
    </sheetView>
  </sheetViews>
  <sheetFormatPr defaultRowHeight="14.25" x14ac:dyDescent="0.2"/>
  <cols>
    <col min="1" max="1" width="25.25" customWidth="1"/>
    <col min="2" max="2" width="10" customWidth="1"/>
    <col min="4" max="4" width="10" hidden="1" customWidth="1"/>
    <col min="6" max="6" width="8.75" customWidth="1"/>
    <col min="7" max="7" width="10" customWidth="1"/>
    <col min="8" max="8" width="15.75" customWidth="1"/>
    <col min="9" max="9" width="10.625" customWidth="1"/>
    <col min="12" max="12" width="12.25" customWidth="1"/>
    <col min="15" max="15" width="12.75" customWidth="1"/>
    <col min="16" max="16" width="11.25" customWidth="1"/>
  </cols>
  <sheetData>
    <row r="1" spans="1:15" x14ac:dyDescent="0.2">
      <c r="C1">
        <v>21</v>
      </c>
      <c r="J1">
        <v>21</v>
      </c>
      <c r="K1" s="7" t="s">
        <v>22</v>
      </c>
      <c r="L1" s="7" t="s">
        <v>23</v>
      </c>
    </row>
    <row r="2" spans="1:15" ht="15" thickBot="1" x14ac:dyDescent="0.25">
      <c r="A2" s="19" t="s">
        <v>39</v>
      </c>
      <c r="B2" t="s">
        <v>65</v>
      </c>
      <c r="C2" t="s">
        <v>67</v>
      </c>
      <c r="K2" s="18">
        <f>22/22</f>
        <v>1</v>
      </c>
      <c r="L2" s="18">
        <f>H23/B23</f>
        <v>0.91229220852651816</v>
      </c>
      <c r="N2" s="36" t="s">
        <v>44</v>
      </c>
      <c r="O2" s="36"/>
    </row>
    <row r="3" spans="1:15" ht="15" thickBot="1" x14ac:dyDescent="0.25">
      <c r="A3" s="11" t="s">
        <v>64</v>
      </c>
      <c r="B3" s="12" t="s">
        <v>19</v>
      </c>
      <c r="C3" s="12" t="s">
        <v>30</v>
      </c>
      <c r="D3" s="12" t="s">
        <v>29</v>
      </c>
      <c r="E3" s="12" t="s">
        <v>28</v>
      </c>
      <c r="F3" s="12" t="s">
        <v>27</v>
      </c>
      <c r="G3" s="12" t="s">
        <v>29</v>
      </c>
      <c r="H3" s="13" t="s">
        <v>79</v>
      </c>
      <c r="I3" s="12" t="s">
        <v>20</v>
      </c>
      <c r="J3" s="12" t="s">
        <v>21</v>
      </c>
      <c r="K3" s="12" t="s">
        <v>25</v>
      </c>
      <c r="L3" s="12" t="s">
        <v>26</v>
      </c>
      <c r="N3" s="21" t="s">
        <v>28</v>
      </c>
      <c r="O3" s="21" t="s">
        <v>43</v>
      </c>
    </row>
    <row r="4" spans="1:15" ht="15" thickTop="1" x14ac:dyDescent="0.2">
      <c r="A4" t="s">
        <v>0</v>
      </c>
      <c r="B4" s="28">
        <v>1750</v>
      </c>
      <c r="C4">
        <v>0.50839999999999996</v>
      </c>
      <c r="D4">
        <f t="shared" ref="D4:D22" si="0">B4*C4</f>
        <v>889.69999999999993</v>
      </c>
      <c r="E4">
        <f>1-C4</f>
        <v>0.49160000000000004</v>
      </c>
      <c r="F4" s="15">
        <f t="shared" ref="F4:F23" si="1">B4/21</f>
        <v>83.333333333333329</v>
      </c>
      <c r="G4" s="15">
        <f t="shared" ref="G4:G22" si="2">B4*E4</f>
        <v>860.30000000000007</v>
      </c>
      <c r="H4" s="2">
        <v>1778</v>
      </c>
      <c r="I4">
        <f t="shared" ref="I4:I23" si="3">H4-B4</f>
        <v>28</v>
      </c>
      <c r="J4" s="1">
        <f t="shared" ref="J4:J13" si="4">H4/B4</f>
        <v>1.016</v>
      </c>
      <c r="K4" s="8">
        <v>23.83</v>
      </c>
      <c r="L4" s="8">
        <f t="shared" ref="L4:L22" si="5">(B4*E4)*K4</f>
        <v>20500.949000000001</v>
      </c>
      <c r="N4" s="21">
        <f>H4*E4</f>
        <v>874.0648000000001</v>
      </c>
      <c r="O4" s="22">
        <f>(H4*E4)*K4</f>
        <v>20828.964184</v>
      </c>
    </row>
    <row r="5" spans="1:15" x14ac:dyDescent="0.2">
      <c r="A5" t="s">
        <v>1</v>
      </c>
      <c r="B5" s="28">
        <v>1000</v>
      </c>
      <c r="C5">
        <v>0.40989999999999999</v>
      </c>
      <c r="D5">
        <f t="shared" si="0"/>
        <v>409.9</v>
      </c>
      <c r="E5">
        <f t="shared" ref="E5:E22" si="6">1-C5</f>
        <v>0.59010000000000007</v>
      </c>
      <c r="F5" s="15">
        <f t="shared" si="1"/>
        <v>47.61904761904762</v>
      </c>
      <c r="G5" s="15">
        <f t="shared" si="2"/>
        <v>590.1</v>
      </c>
      <c r="H5" s="2">
        <v>777</v>
      </c>
      <c r="I5">
        <f t="shared" si="3"/>
        <v>-223</v>
      </c>
      <c r="J5" s="1">
        <f t="shared" si="4"/>
        <v>0.77700000000000002</v>
      </c>
      <c r="K5" s="9">
        <v>27.92</v>
      </c>
      <c r="L5" s="8">
        <f t="shared" si="5"/>
        <v>16475.592000000001</v>
      </c>
      <c r="N5" s="21">
        <f t="shared" ref="N5:N22" si="7">H5*E5</f>
        <v>458.50770000000006</v>
      </c>
      <c r="O5" s="22">
        <f t="shared" ref="O5:O22" si="8">(H5*E5)*K5</f>
        <v>12801.534984000002</v>
      </c>
    </row>
    <row r="6" spans="1:15" x14ac:dyDescent="0.2">
      <c r="A6" t="s">
        <v>2</v>
      </c>
      <c r="B6" s="28">
        <v>500</v>
      </c>
      <c r="C6">
        <v>0.58360000000000001</v>
      </c>
      <c r="D6">
        <f t="shared" si="0"/>
        <v>291.8</v>
      </c>
      <c r="E6">
        <f t="shared" si="6"/>
        <v>0.41639999999999999</v>
      </c>
      <c r="F6" s="15">
        <f t="shared" si="1"/>
        <v>23.80952380952381</v>
      </c>
      <c r="G6" s="15">
        <f t="shared" si="2"/>
        <v>208.2</v>
      </c>
      <c r="H6" s="2">
        <v>749</v>
      </c>
      <c r="I6">
        <f t="shared" si="3"/>
        <v>249</v>
      </c>
      <c r="J6" s="1">
        <f t="shared" si="4"/>
        <v>1.498</v>
      </c>
      <c r="K6" s="9">
        <v>28.37</v>
      </c>
      <c r="L6" s="8">
        <f t="shared" si="5"/>
        <v>5906.634</v>
      </c>
      <c r="N6" s="21">
        <f t="shared" si="7"/>
        <v>311.8836</v>
      </c>
      <c r="O6" s="22">
        <f t="shared" si="8"/>
        <v>8848.1377320000011</v>
      </c>
    </row>
    <row r="7" spans="1:15" x14ac:dyDescent="0.2">
      <c r="A7" t="s">
        <v>68</v>
      </c>
      <c r="B7" s="28">
        <v>1500</v>
      </c>
      <c r="C7">
        <v>0.53810000000000002</v>
      </c>
      <c r="D7">
        <f t="shared" si="0"/>
        <v>807.15000000000009</v>
      </c>
      <c r="E7">
        <f t="shared" si="6"/>
        <v>0.46189999999999998</v>
      </c>
      <c r="F7" s="15">
        <f t="shared" si="1"/>
        <v>71.428571428571431</v>
      </c>
      <c r="G7" s="15">
        <f t="shared" si="2"/>
        <v>692.84999999999991</v>
      </c>
      <c r="H7" s="2">
        <v>981</v>
      </c>
      <c r="I7">
        <f t="shared" si="3"/>
        <v>-519</v>
      </c>
      <c r="J7" s="1">
        <f t="shared" si="4"/>
        <v>0.65400000000000003</v>
      </c>
      <c r="K7" s="9">
        <v>22.21</v>
      </c>
      <c r="L7" s="8">
        <f t="shared" si="5"/>
        <v>15388.198499999999</v>
      </c>
      <c r="N7" s="21">
        <f t="shared" si="7"/>
        <v>453.12389999999999</v>
      </c>
      <c r="O7" s="22">
        <f t="shared" si="8"/>
        <v>10063.881819</v>
      </c>
    </row>
    <row r="8" spans="1:15" x14ac:dyDescent="0.2">
      <c r="A8" t="s">
        <v>5</v>
      </c>
      <c r="B8" s="28">
        <v>2100</v>
      </c>
      <c r="C8">
        <v>0.35489999999999999</v>
      </c>
      <c r="D8">
        <f t="shared" si="0"/>
        <v>745.29</v>
      </c>
      <c r="E8">
        <f>1-C8</f>
        <v>0.64510000000000001</v>
      </c>
      <c r="F8" s="15">
        <f t="shared" si="1"/>
        <v>100</v>
      </c>
      <c r="G8" s="15">
        <f t="shared" si="2"/>
        <v>1354.71</v>
      </c>
      <c r="H8" s="2">
        <v>2475</v>
      </c>
      <c r="I8">
        <f t="shared" si="3"/>
        <v>375</v>
      </c>
      <c r="J8" s="1">
        <f t="shared" si="4"/>
        <v>1.1785714285714286</v>
      </c>
      <c r="K8" s="9">
        <v>12</v>
      </c>
      <c r="L8" s="8">
        <f t="shared" si="5"/>
        <v>16256.52</v>
      </c>
      <c r="N8" s="21">
        <f>H8*E8</f>
        <v>1596.6224999999999</v>
      </c>
      <c r="O8" s="22">
        <f>(H8*E8)*K8</f>
        <v>19159.47</v>
      </c>
    </row>
    <row r="9" spans="1:15" x14ac:dyDescent="0.2">
      <c r="A9" t="s">
        <v>4</v>
      </c>
      <c r="B9" s="28">
        <v>100</v>
      </c>
      <c r="C9">
        <v>0.15629999999999999</v>
      </c>
      <c r="D9">
        <f t="shared" si="0"/>
        <v>15.629999999999999</v>
      </c>
      <c r="E9">
        <f t="shared" si="6"/>
        <v>0.84370000000000001</v>
      </c>
      <c r="F9" s="15">
        <f t="shared" si="1"/>
        <v>4.7619047619047619</v>
      </c>
      <c r="G9" s="15">
        <f t="shared" si="2"/>
        <v>84.37</v>
      </c>
      <c r="H9" s="2">
        <v>164</v>
      </c>
      <c r="I9">
        <f t="shared" si="3"/>
        <v>64</v>
      </c>
      <c r="J9" s="1">
        <f t="shared" si="4"/>
        <v>1.64</v>
      </c>
      <c r="K9" s="9">
        <v>0</v>
      </c>
      <c r="L9" s="8">
        <f t="shared" si="5"/>
        <v>0</v>
      </c>
      <c r="N9" s="21">
        <f t="shared" si="7"/>
        <v>138.36680000000001</v>
      </c>
      <c r="O9" s="22">
        <f t="shared" si="8"/>
        <v>0</v>
      </c>
    </row>
    <row r="10" spans="1:15" x14ac:dyDescent="0.2">
      <c r="A10" t="s">
        <v>6</v>
      </c>
      <c r="B10" s="28">
        <v>65</v>
      </c>
      <c r="C10">
        <v>0.69679999999999997</v>
      </c>
      <c r="D10">
        <f t="shared" si="0"/>
        <v>45.292000000000002</v>
      </c>
      <c r="E10">
        <f t="shared" si="6"/>
        <v>0.30320000000000003</v>
      </c>
      <c r="F10" s="15">
        <f t="shared" si="1"/>
        <v>3.0952380952380953</v>
      </c>
      <c r="G10" s="15">
        <f t="shared" si="2"/>
        <v>19.708000000000002</v>
      </c>
      <c r="H10" s="2">
        <v>0</v>
      </c>
      <c r="I10">
        <f t="shared" si="3"/>
        <v>-65</v>
      </c>
      <c r="J10" s="1">
        <f t="shared" si="4"/>
        <v>0</v>
      </c>
      <c r="K10" s="9">
        <v>0</v>
      </c>
      <c r="L10" s="8">
        <f t="shared" si="5"/>
        <v>0</v>
      </c>
      <c r="N10" s="21">
        <f t="shared" si="7"/>
        <v>0</v>
      </c>
      <c r="O10" s="22">
        <f t="shared" si="8"/>
        <v>0</v>
      </c>
    </row>
    <row r="11" spans="1:15" x14ac:dyDescent="0.2">
      <c r="A11" t="s">
        <v>7</v>
      </c>
      <c r="B11" s="28">
        <v>1200</v>
      </c>
      <c r="C11">
        <v>0.56010000000000004</v>
      </c>
      <c r="D11">
        <f t="shared" si="0"/>
        <v>672.12</v>
      </c>
      <c r="E11">
        <f t="shared" si="6"/>
        <v>0.43989999999999996</v>
      </c>
      <c r="F11" s="15">
        <f t="shared" si="1"/>
        <v>57.142857142857146</v>
      </c>
      <c r="G11" s="15">
        <f t="shared" si="2"/>
        <v>527.88</v>
      </c>
      <c r="H11" s="2">
        <v>1010</v>
      </c>
      <c r="I11">
        <f t="shared" si="3"/>
        <v>-190</v>
      </c>
      <c r="J11" s="1">
        <f t="shared" si="4"/>
        <v>0.84166666666666667</v>
      </c>
      <c r="K11" s="9">
        <v>0</v>
      </c>
      <c r="L11" s="8">
        <f t="shared" si="5"/>
        <v>0</v>
      </c>
      <c r="N11" s="21">
        <f t="shared" si="7"/>
        <v>444.29899999999998</v>
      </c>
      <c r="O11" s="22">
        <f t="shared" si="8"/>
        <v>0</v>
      </c>
    </row>
    <row r="12" spans="1:15" x14ac:dyDescent="0.2">
      <c r="A12" t="s">
        <v>9</v>
      </c>
      <c r="B12" s="28">
        <v>750</v>
      </c>
      <c r="C12">
        <v>0.62109999999999999</v>
      </c>
      <c r="D12">
        <f t="shared" si="0"/>
        <v>465.82499999999999</v>
      </c>
      <c r="E12">
        <v>0.53</v>
      </c>
      <c r="F12" s="15">
        <f t="shared" si="1"/>
        <v>35.714285714285715</v>
      </c>
      <c r="G12" s="15">
        <f t="shared" si="2"/>
        <v>397.5</v>
      </c>
      <c r="H12" s="2">
        <v>311</v>
      </c>
      <c r="I12">
        <f t="shared" si="3"/>
        <v>-439</v>
      </c>
      <c r="J12" s="1">
        <f t="shared" si="4"/>
        <v>0.41466666666666668</v>
      </c>
      <c r="K12" s="9">
        <v>0</v>
      </c>
      <c r="L12" s="8">
        <f t="shared" si="5"/>
        <v>0</v>
      </c>
      <c r="N12" s="21">
        <f>H12*E12</f>
        <v>164.83</v>
      </c>
      <c r="O12" s="22">
        <f>(H12*E12)*K12</f>
        <v>0</v>
      </c>
    </row>
    <row r="13" spans="1:15" x14ac:dyDescent="0.2">
      <c r="A13" t="s">
        <v>8</v>
      </c>
      <c r="B13" s="28">
        <v>10500</v>
      </c>
      <c r="C13">
        <v>0.54959999999999998</v>
      </c>
      <c r="D13">
        <f t="shared" si="0"/>
        <v>5770.8</v>
      </c>
      <c r="E13">
        <f t="shared" si="6"/>
        <v>0.45040000000000002</v>
      </c>
      <c r="F13" s="15">
        <f t="shared" si="1"/>
        <v>500</v>
      </c>
      <c r="G13" s="15">
        <f t="shared" si="2"/>
        <v>4729.2</v>
      </c>
      <c r="H13" s="2">
        <v>10704</v>
      </c>
      <c r="I13">
        <f t="shared" si="3"/>
        <v>204</v>
      </c>
      <c r="J13" s="1">
        <f t="shared" si="4"/>
        <v>1.0194285714285714</v>
      </c>
      <c r="K13" s="35">
        <v>24.68</v>
      </c>
      <c r="L13" s="8">
        <f t="shared" si="5"/>
        <v>116716.65599999999</v>
      </c>
      <c r="N13" s="21">
        <f t="shared" si="7"/>
        <v>4821.0816000000004</v>
      </c>
      <c r="O13" s="22">
        <f t="shared" si="8"/>
        <v>118984.29388800001</v>
      </c>
    </row>
    <row r="14" spans="1:15" ht="14.45" hidden="1" customHeight="1" x14ac:dyDescent="0.2">
      <c r="A14" t="s">
        <v>10</v>
      </c>
      <c r="B14" s="28">
        <v>0</v>
      </c>
      <c r="D14">
        <f t="shared" si="0"/>
        <v>0</v>
      </c>
      <c r="F14" s="15">
        <f t="shared" si="1"/>
        <v>0</v>
      </c>
      <c r="G14" s="15">
        <f t="shared" si="2"/>
        <v>0</v>
      </c>
      <c r="H14" s="2"/>
      <c r="I14">
        <f t="shared" si="3"/>
        <v>0</v>
      </c>
      <c r="J14" s="1"/>
      <c r="K14" s="9">
        <v>0</v>
      </c>
      <c r="L14" s="8">
        <f t="shared" si="5"/>
        <v>0</v>
      </c>
      <c r="N14" s="21">
        <f t="shared" si="7"/>
        <v>0</v>
      </c>
      <c r="O14" s="22">
        <f t="shared" si="8"/>
        <v>0</v>
      </c>
    </row>
    <row r="15" spans="1:15" x14ac:dyDescent="0.2">
      <c r="A15" t="s">
        <v>11</v>
      </c>
      <c r="B15" s="28">
        <v>6250</v>
      </c>
      <c r="C15">
        <v>0.51280000000000003</v>
      </c>
      <c r="D15">
        <f t="shared" si="0"/>
        <v>3205</v>
      </c>
      <c r="E15">
        <f t="shared" si="6"/>
        <v>0.48719999999999997</v>
      </c>
      <c r="F15" s="15">
        <f t="shared" si="1"/>
        <v>297.61904761904759</v>
      </c>
      <c r="G15" s="15">
        <f t="shared" si="2"/>
        <v>3045</v>
      </c>
      <c r="H15" s="2">
        <v>4443</v>
      </c>
      <c r="I15">
        <f t="shared" si="3"/>
        <v>-1807</v>
      </c>
      <c r="J15" s="1">
        <f t="shared" ref="J15:J21" si="9">H15/B15</f>
        <v>0.71087999999999996</v>
      </c>
      <c r="K15" s="9">
        <v>27.36</v>
      </c>
      <c r="L15" s="8">
        <f t="shared" si="5"/>
        <v>83311.199999999997</v>
      </c>
      <c r="N15" s="21">
        <f t="shared" si="7"/>
        <v>2164.6295999999998</v>
      </c>
      <c r="O15" s="22">
        <f t="shared" si="8"/>
        <v>59224.265855999991</v>
      </c>
    </row>
    <row r="16" spans="1:15" x14ac:dyDescent="0.2">
      <c r="A16" t="s">
        <v>16</v>
      </c>
      <c r="B16" s="28">
        <v>1500</v>
      </c>
      <c r="C16">
        <v>0.50949999999999995</v>
      </c>
      <c r="D16">
        <f t="shared" si="0"/>
        <v>764.24999999999989</v>
      </c>
      <c r="E16">
        <f>1-C16</f>
        <v>0.49050000000000005</v>
      </c>
      <c r="F16" s="15">
        <f t="shared" si="1"/>
        <v>71.428571428571431</v>
      </c>
      <c r="G16" s="15">
        <f t="shared" si="2"/>
        <v>735.75000000000011</v>
      </c>
      <c r="H16" s="2">
        <v>1040</v>
      </c>
      <c r="I16">
        <f t="shared" si="3"/>
        <v>-460</v>
      </c>
      <c r="J16" s="1">
        <f t="shared" si="9"/>
        <v>0.69333333333333336</v>
      </c>
      <c r="K16" s="9">
        <v>18.04</v>
      </c>
      <c r="L16" s="8">
        <f t="shared" si="5"/>
        <v>13272.930000000002</v>
      </c>
      <c r="N16" s="21">
        <f t="shared" si="7"/>
        <v>510.12000000000006</v>
      </c>
      <c r="O16" s="22">
        <f t="shared" si="8"/>
        <v>9202.5648000000001</v>
      </c>
    </row>
    <row r="17" spans="1:17" x14ac:dyDescent="0.2">
      <c r="A17" t="s">
        <v>51</v>
      </c>
      <c r="B17" s="28">
        <v>2800</v>
      </c>
      <c r="C17">
        <v>0.55630000000000002</v>
      </c>
      <c r="D17">
        <f t="shared" si="0"/>
        <v>1557.64</v>
      </c>
      <c r="E17">
        <f t="shared" si="6"/>
        <v>0.44369999999999998</v>
      </c>
      <c r="F17" s="15">
        <f t="shared" si="1"/>
        <v>133.33333333333334</v>
      </c>
      <c r="G17" s="15">
        <f t="shared" si="2"/>
        <v>1242.3599999999999</v>
      </c>
      <c r="H17" s="2">
        <v>2027</v>
      </c>
      <c r="I17">
        <f t="shared" si="3"/>
        <v>-773</v>
      </c>
      <c r="J17" s="1">
        <f t="shared" si="9"/>
        <v>0.72392857142857148</v>
      </c>
      <c r="K17" s="9">
        <v>24.94</v>
      </c>
      <c r="L17" s="8">
        <f t="shared" si="5"/>
        <v>30984.4584</v>
      </c>
      <c r="N17" s="21">
        <f t="shared" si="7"/>
        <v>899.37990000000002</v>
      </c>
      <c r="O17" s="22">
        <f t="shared" si="8"/>
        <v>22430.534706000002</v>
      </c>
    </row>
    <row r="18" spans="1:17" x14ac:dyDescent="0.2">
      <c r="A18" t="s">
        <v>13</v>
      </c>
      <c r="B18" s="28">
        <v>3500</v>
      </c>
      <c r="C18">
        <v>0.52629999999999999</v>
      </c>
      <c r="D18">
        <f t="shared" si="0"/>
        <v>1842.05</v>
      </c>
      <c r="E18">
        <f t="shared" si="6"/>
        <v>0.47370000000000001</v>
      </c>
      <c r="F18" s="15">
        <f t="shared" si="1"/>
        <v>166.66666666666666</v>
      </c>
      <c r="G18" s="15">
        <f t="shared" si="2"/>
        <v>1657.95</v>
      </c>
      <c r="H18" s="2">
        <v>2417</v>
      </c>
      <c r="I18">
        <f t="shared" si="3"/>
        <v>-1083</v>
      </c>
      <c r="J18" s="1">
        <f t="shared" si="9"/>
        <v>0.69057142857142861</v>
      </c>
      <c r="K18" s="35">
        <v>21.68</v>
      </c>
      <c r="L18" s="8">
        <f t="shared" si="5"/>
        <v>35944.356</v>
      </c>
      <c r="N18" s="21">
        <f t="shared" si="7"/>
        <v>1144.9329</v>
      </c>
      <c r="O18" s="22">
        <f t="shared" si="8"/>
        <v>24822.145272000002</v>
      </c>
    </row>
    <row r="19" spans="1:17" x14ac:dyDescent="0.2">
      <c r="A19" t="s">
        <v>14</v>
      </c>
      <c r="B19" s="28">
        <v>6500</v>
      </c>
      <c r="C19">
        <v>0.4829</v>
      </c>
      <c r="D19">
        <f t="shared" si="0"/>
        <v>3138.85</v>
      </c>
      <c r="E19">
        <f t="shared" si="6"/>
        <v>0.5171</v>
      </c>
      <c r="F19" s="15">
        <f t="shared" si="1"/>
        <v>309.52380952380952</v>
      </c>
      <c r="G19" s="15">
        <f t="shared" si="2"/>
        <v>3361.15</v>
      </c>
      <c r="H19" s="2">
        <v>5379</v>
      </c>
      <c r="I19">
        <f t="shared" si="3"/>
        <v>-1121</v>
      </c>
      <c r="J19" s="1">
        <f t="shared" si="9"/>
        <v>0.82753846153846156</v>
      </c>
      <c r="K19" s="9">
        <v>24.93</v>
      </c>
      <c r="L19" s="8">
        <f t="shared" si="5"/>
        <v>83793.469500000007</v>
      </c>
      <c r="N19" s="21">
        <f t="shared" si="7"/>
        <v>2781.4809</v>
      </c>
      <c r="O19" s="22">
        <f t="shared" si="8"/>
        <v>69342.318836999999</v>
      </c>
    </row>
    <row r="20" spans="1:17" x14ac:dyDescent="0.2">
      <c r="A20" t="s">
        <v>15</v>
      </c>
      <c r="B20" s="28">
        <v>1700</v>
      </c>
      <c r="C20">
        <v>0.47370000000000001</v>
      </c>
      <c r="D20">
        <f t="shared" si="0"/>
        <v>805.29</v>
      </c>
      <c r="E20">
        <f t="shared" si="6"/>
        <v>0.52629999999999999</v>
      </c>
      <c r="F20" s="15">
        <f t="shared" si="1"/>
        <v>80.952380952380949</v>
      </c>
      <c r="G20" s="15">
        <f t="shared" si="2"/>
        <v>894.71</v>
      </c>
      <c r="H20" s="2">
        <v>2080</v>
      </c>
      <c r="I20">
        <f t="shared" si="3"/>
        <v>380</v>
      </c>
      <c r="J20" s="1">
        <f t="shared" si="9"/>
        <v>1.223529411764706</v>
      </c>
      <c r="K20" s="9">
        <v>22.62</v>
      </c>
      <c r="L20" s="8">
        <f t="shared" si="5"/>
        <v>20238.340200000002</v>
      </c>
      <c r="N20" s="21">
        <f t="shared" si="7"/>
        <v>1094.704</v>
      </c>
      <c r="O20" s="22">
        <f t="shared" si="8"/>
        <v>24762.20448</v>
      </c>
    </row>
    <row r="21" spans="1:17" ht="13.9" customHeight="1" x14ac:dyDescent="0.2">
      <c r="A21" t="s">
        <v>17</v>
      </c>
      <c r="B21" s="28">
        <v>2500</v>
      </c>
      <c r="C21">
        <v>0.38650000000000001</v>
      </c>
      <c r="D21">
        <f t="shared" si="0"/>
        <v>966.25</v>
      </c>
      <c r="E21">
        <f t="shared" si="6"/>
        <v>0.61349999999999993</v>
      </c>
      <c r="F21" s="15">
        <f t="shared" si="1"/>
        <v>119.04761904761905</v>
      </c>
      <c r="G21" s="15">
        <f t="shared" si="2"/>
        <v>1533.7499999999998</v>
      </c>
      <c r="H21" s="2">
        <v>4002</v>
      </c>
      <c r="I21">
        <f t="shared" si="3"/>
        <v>1502</v>
      </c>
      <c r="J21" s="1">
        <f t="shared" si="9"/>
        <v>1.6008</v>
      </c>
      <c r="K21" s="9">
        <v>19</v>
      </c>
      <c r="L21" s="8">
        <f t="shared" si="5"/>
        <v>29141.249999999996</v>
      </c>
      <c r="N21" s="21">
        <f t="shared" si="7"/>
        <v>2455.2269999999999</v>
      </c>
      <c r="O21" s="22">
        <f t="shared" si="8"/>
        <v>46649.312999999995</v>
      </c>
    </row>
    <row r="22" spans="1:17" ht="15" hidden="1" customHeight="1" thickBot="1" x14ac:dyDescent="0.25">
      <c r="A22" s="3" t="s">
        <v>24</v>
      </c>
      <c r="B22" s="29"/>
      <c r="C22" s="5">
        <v>0.2555</v>
      </c>
      <c r="D22">
        <f t="shared" si="0"/>
        <v>0</v>
      </c>
      <c r="E22" s="5">
        <f t="shared" si="6"/>
        <v>0.74449999999999994</v>
      </c>
      <c r="F22" s="16">
        <f t="shared" si="1"/>
        <v>0</v>
      </c>
      <c r="G22" s="16">
        <f t="shared" si="2"/>
        <v>0</v>
      </c>
      <c r="H22" s="4"/>
      <c r="I22" s="5">
        <f t="shared" si="3"/>
        <v>0</v>
      </c>
      <c r="J22" s="6" t="e">
        <f>H22/B22</f>
        <v>#DIV/0!</v>
      </c>
      <c r="K22" s="10">
        <v>25</v>
      </c>
      <c r="L22" s="14">
        <f t="shared" si="5"/>
        <v>0</v>
      </c>
      <c r="N22" s="24">
        <f t="shared" si="7"/>
        <v>0</v>
      </c>
      <c r="O22" s="25">
        <f t="shared" si="8"/>
        <v>0</v>
      </c>
    </row>
    <row r="23" spans="1:17" x14ac:dyDescent="0.2">
      <c r="B23" s="28">
        <f>SUM(B4:B22)</f>
        <v>44215</v>
      </c>
      <c r="C23" s="31">
        <f>D23/B23</f>
        <v>0.50645339816804247</v>
      </c>
      <c r="D23" s="28">
        <f>SUM(D4:D22)</f>
        <v>22392.837</v>
      </c>
      <c r="F23" s="33">
        <f t="shared" si="1"/>
        <v>2105.4761904761904</v>
      </c>
      <c r="G23" s="33">
        <f>SUM(G4:G22)</f>
        <v>21935.488000000001</v>
      </c>
      <c r="H23" s="32">
        <v>40337</v>
      </c>
      <c r="I23" s="28">
        <f t="shared" si="3"/>
        <v>-3878</v>
      </c>
      <c r="J23" s="1">
        <f>H23/B23</f>
        <v>0.91229220852651816</v>
      </c>
      <c r="K23" s="9"/>
      <c r="L23" s="8">
        <f>SUM(L4:L22)</f>
        <v>487930.55359999998</v>
      </c>
      <c r="M23" s="8"/>
      <c r="N23" s="23">
        <f>SUM(N4:N22)</f>
        <v>20313.254200000003</v>
      </c>
      <c r="O23" s="22">
        <f>SUM(O4:O22)</f>
        <v>447119.62955800002</v>
      </c>
      <c r="P23" s="17"/>
    </row>
    <row r="24" spans="1:17" x14ac:dyDescent="0.2">
      <c r="A24" t="s">
        <v>80</v>
      </c>
      <c r="B24" s="28">
        <f>B23/22</f>
        <v>2009.7727272727273</v>
      </c>
      <c r="E24" s="20">
        <f>B24/33</f>
        <v>60.90220385674931</v>
      </c>
      <c r="F24" s="15"/>
      <c r="G24" s="34">
        <f>G23/22</f>
        <v>997.06763636363644</v>
      </c>
      <c r="H24" s="34">
        <f>H23/22</f>
        <v>1833.5</v>
      </c>
      <c r="L24" s="8">
        <f>L23/G23</f>
        <v>22.24388869762095</v>
      </c>
      <c r="M24" s="8" t="s">
        <v>29</v>
      </c>
      <c r="N24" s="26">
        <f>N23/G23</f>
        <v>0.92604523774442593</v>
      </c>
      <c r="O24" s="22">
        <f>O23/N23</f>
        <v>22.011226027880848</v>
      </c>
      <c r="P24" t="s">
        <v>53</v>
      </c>
      <c r="Q24">
        <v>12.14</v>
      </c>
    </row>
    <row r="26" spans="1:17" x14ac:dyDescent="0.2">
      <c r="A26" t="s">
        <v>74</v>
      </c>
      <c r="B26" t="s">
        <v>73</v>
      </c>
    </row>
    <row r="27" spans="1:17" x14ac:dyDescent="0.2">
      <c r="B27" t="s">
        <v>72</v>
      </c>
    </row>
    <row r="28" spans="1:17" x14ac:dyDescent="0.2">
      <c r="B28" t="s">
        <v>75</v>
      </c>
    </row>
    <row r="29" spans="1:17" x14ac:dyDescent="0.2">
      <c r="B29" t="s">
        <v>55</v>
      </c>
      <c r="N29" t="s">
        <v>69</v>
      </c>
    </row>
    <row r="30" spans="1:17" x14ac:dyDescent="0.2">
      <c r="C30" t="s">
        <v>70</v>
      </c>
    </row>
    <row r="31" spans="1:17" x14ac:dyDescent="0.2">
      <c r="B31" t="s">
        <v>76</v>
      </c>
    </row>
    <row r="32" spans="1:17" x14ac:dyDescent="0.2">
      <c r="B32" t="s">
        <v>77</v>
      </c>
    </row>
    <row r="33" spans="2:2" x14ac:dyDescent="0.2">
      <c r="B33" t="s">
        <v>71</v>
      </c>
    </row>
    <row r="34" spans="2:2" x14ac:dyDescent="0.2">
      <c r="B34" t="s">
        <v>78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R31"/>
  <sheetViews>
    <sheetView workbookViewId="0">
      <selection activeCell="L4" sqref="L4:L21"/>
    </sheetView>
  </sheetViews>
  <sheetFormatPr defaultRowHeight="14.25" x14ac:dyDescent="0.2"/>
  <cols>
    <col min="1" max="1" width="26.625" customWidth="1"/>
    <col min="4" max="4" width="13" hidden="1" customWidth="1"/>
    <col min="7" max="7" width="9.5" customWidth="1"/>
    <col min="9" max="9" width="13.625" customWidth="1"/>
    <col min="10" max="10" width="9.625" customWidth="1"/>
    <col min="13" max="13" width="13.875" customWidth="1"/>
    <col min="16" max="16" width="11.75" customWidth="1"/>
  </cols>
  <sheetData>
    <row r="1" spans="1:16" x14ac:dyDescent="0.2">
      <c r="C1">
        <v>21</v>
      </c>
      <c r="L1" s="57" t="s">
        <v>22</v>
      </c>
      <c r="M1" s="57" t="s">
        <v>23</v>
      </c>
    </row>
    <row r="2" spans="1:16" ht="15" thickBot="1" x14ac:dyDescent="0.25">
      <c r="A2" s="19" t="s">
        <v>39</v>
      </c>
      <c r="B2" t="s">
        <v>65</v>
      </c>
      <c r="C2" t="s">
        <v>95</v>
      </c>
      <c r="L2" s="58">
        <f>21/21</f>
        <v>1</v>
      </c>
      <c r="M2" s="58">
        <f>I23/B23</f>
        <v>0.97071628359479512</v>
      </c>
      <c r="N2" s="17">
        <f>M2-L2</f>
        <v>-2.9283716405204885E-2</v>
      </c>
      <c r="O2" s="36" t="s">
        <v>44</v>
      </c>
      <c r="P2" s="36"/>
    </row>
    <row r="3" spans="1:16" ht="15" thickBot="1" x14ac:dyDescent="0.25">
      <c r="A3" s="11" t="s">
        <v>88</v>
      </c>
      <c r="B3" s="12" t="s">
        <v>19</v>
      </c>
      <c r="C3" s="12" t="s">
        <v>30</v>
      </c>
      <c r="D3" s="12"/>
      <c r="E3" s="12" t="s">
        <v>29</v>
      </c>
      <c r="F3" s="12" t="s">
        <v>28</v>
      </c>
      <c r="G3" s="12" t="s">
        <v>27</v>
      </c>
      <c r="H3" s="12" t="s">
        <v>29</v>
      </c>
      <c r="I3" s="13" t="s">
        <v>94</v>
      </c>
      <c r="J3" s="12" t="s">
        <v>20</v>
      </c>
      <c r="K3" s="12" t="s">
        <v>21</v>
      </c>
      <c r="L3" s="12" t="s">
        <v>25</v>
      </c>
      <c r="M3" s="12" t="s">
        <v>26</v>
      </c>
      <c r="N3" s="12"/>
      <c r="O3" s="51" t="s">
        <v>28</v>
      </c>
      <c r="P3" s="51" t="s">
        <v>43</v>
      </c>
    </row>
    <row r="4" spans="1:16" ht="15" thickTop="1" x14ac:dyDescent="0.2">
      <c r="A4" t="s">
        <v>0</v>
      </c>
      <c r="B4" s="28">
        <v>1500</v>
      </c>
      <c r="C4">
        <v>0.54510000000000003</v>
      </c>
      <c r="D4">
        <f>C4*E4</f>
        <v>445.7010150000001</v>
      </c>
      <c r="E4">
        <f t="shared" ref="E4:E22" si="0">B4*C4</f>
        <v>817.65000000000009</v>
      </c>
      <c r="F4">
        <f>1-C4</f>
        <v>0.45489999999999997</v>
      </c>
      <c r="G4" s="15">
        <f t="shared" ref="G4:G23" si="1">B4/21</f>
        <v>71.428571428571431</v>
      </c>
      <c r="H4" s="15">
        <f t="shared" ref="H4:H22" si="2">B4*F4</f>
        <v>682.34999999999991</v>
      </c>
      <c r="I4" s="2">
        <v>2757</v>
      </c>
      <c r="J4">
        <f t="shared" ref="J4:J23" si="3">I4-B4</f>
        <v>1257</v>
      </c>
      <c r="K4" s="1">
        <f t="shared" ref="K4:K14" si="4">I4/B4</f>
        <v>1.8380000000000001</v>
      </c>
      <c r="L4" s="8">
        <v>23.67</v>
      </c>
      <c r="M4" s="8">
        <f t="shared" ref="M4:M22" si="5">(B4*F4)*L4</f>
        <v>16151.224499999998</v>
      </c>
      <c r="O4" s="42">
        <f>I4*F4</f>
        <v>1254.1593</v>
      </c>
      <c r="P4" s="22">
        <f>(I4*F4)*L4</f>
        <v>29685.950631000003</v>
      </c>
    </row>
    <row r="5" spans="1:16" x14ac:dyDescent="0.2">
      <c r="A5" t="s">
        <v>17</v>
      </c>
      <c r="B5" s="28">
        <v>1000</v>
      </c>
      <c r="C5">
        <v>0.42430000000000001</v>
      </c>
      <c r="D5">
        <v>184.29849000000002</v>
      </c>
      <c r="E5">
        <v>429.3</v>
      </c>
      <c r="F5">
        <v>0.57069999999999999</v>
      </c>
      <c r="G5" s="15">
        <v>47.61904761904762</v>
      </c>
      <c r="H5" s="15">
        <v>570.69999999999993</v>
      </c>
      <c r="I5" s="2">
        <v>769</v>
      </c>
      <c r="J5">
        <v>-334</v>
      </c>
      <c r="K5" s="1">
        <v>0.66600000000000004</v>
      </c>
      <c r="L5" s="8">
        <v>18.98</v>
      </c>
      <c r="M5" s="8">
        <v>10843.3</v>
      </c>
      <c r="O5" s="42">
        <v>380.08619999999996</v>
      </c>
      <c r="P5" s="22">
        <v>7221.6377999999995</v>
      </c>
    </row>
    <row r="6" spans="1:16" x14ac:dyDescent="0.2">
      <c r="A6" t="s">
        <v>1</v>
      </c>
      <c r="B6" s="28">
        <v>1000</v>
      </c>
      <c r="C6">
        <v>0.4536</v>
      </c>
      <c r="D6">
        <f t="shared" ref="D6:D21" si="6">C6*E6</f>
        <v>205.75296</v>
      </c>
      <c r="E6">
        <f t="shared" si="0"/>
        <v>453.6</v>
      </c>
      <c r="F6">
        <f t="shared" ref="F6:F22" si="7">1-C6</f>
        <v>0.5464</v>
      </c>
      <c r="G6" s="15">
        <f t="shared" si="1"/>
        <v>47.61904761904762</v>
      </c>
      <c r="H6" s="15">
        <f t="shared" si="2"/>
        <v>546.4</v>
      </c>
      <c r="I6" s="2">
        <v>632</v>
      </c>
      <c r="J6">
        <f t="shared" si="3"/>
        <v>-368</v>
      </c>
      <c r="K6" s="1">
        <f t="shared" si="4"/>
        <v>0.63200000000000001</v>
      </c>
      <c r="L6" s="9">
        <v>28</v>
      </c>
      <c r="M6" s="8">
        <f t="shared" si="5"/>
        <v>15299.199999999999</v>
      </c>
      <c r="O6" s="42">
        <f t="shared" ref="O6:O22" si="8">I6*F6</f>
        <v>345.32479999999998</v>
      </c>
      <c r="P6" s="22">
        <f t="shared" ref="P6:P22" si="9">(I6*F6)*L6</f>
        <v>9669.0944</v>
      </c>
    </row>
    <row r="7" spans="1:16" x14ac:dyDescent="0.2">
      <c r="A7" t="s">
        <v>2</v>
      </c>
      <c r="B7" s="28">
        <v>600</v>
      </c>
      <c r="C7">
        <v>0.54310000000000003</v>
      </c>
      <c r="D7">
        <f t="shared" si="6"/>
        <v>176.97456600000001</v>
      </c>
      <c r="E7">
        <f t="shared" si="0"/>
        <v>325.86</v>
      </c>
      <c r="F7">
        <f t="shared" si="7"/>
        <v>0.45689999999999997</v>
      </c>
      <c r="G7" s="15">
        <f t="shared" si="1"/>
        <v>28.571428571428573</v>
      </c>
      <c r="H7" s="15">
        <f t="shared" si="2"/>
        <v>274.14</v>
      </c>
      <c r="I7" s="2">
        <v>2236</v>
      </c>
      <c r="J7">
        <f t="shared" si="3"/>
        <v>1636</v>
      </c>
      <c r="K7" s="1">
        <f t="shared" si="4"/>
        <v>3.7266666666666666</v>
      </c>
      <c r="L7" s="9">
        <v>23.46</v>
      </c>
      <c r="M7" s="8">
        <f t="shared" si="5"/>
        <v>6431.3243999999995</v>
      </c>
      <c r="O7" s="42">
        <f t="shared" si="8"/>
        <v>1021.6283999999999</v>
      </c>
      <c r="P7" s="22">
        <f t="shared" si="9"/>
        <v>23967.402264</v>
      </c>
    </row>
    <row r="8" spans="1:16" x14ac:dyDescent="0.2">
      <c r="A8" t="s">
        <v>68</v>
      </c>
      <c r="B8" s="28">
        <v>1250</v>
      </c>
      <c r="C8">
        <v>0.55889999999999995</v>
      </c>
      <c r="D8">
        <f t="shared" si="6"/>
        <v>390.46151249999991</v>
      </c>
      <c r="E8">
        <f t="shared" si="0"/>
        <v>698.62499999999989</v>
      </c>
      <c r="F8">
        <f t="shared" si="7"/>
        <v>0.44110000000000005</v>
      </c>
      <c r="G8" s="15">
        <f t="shared" si="1"/>
        <v>59.523809523809526</v>
      </c>
      <c r="H8" s="15">
        <f t="shared" si="2"/>
        <v>551.37500000000011</v>
      </c>
      <c r="I8" s="2">
        <v>2617</v>
      </c>
      <c r="J8">
        <f t="shared" si="3"/>
        <v>1367</v>
      </c>
      <c r="K8" s="1">
        <f t="shared" si="4"/>
        <v>2.0935999999999999</v>
      </c>
      <c r="L8" s="9">
        <v>23.09</v>
      </c>
      <c r="M8" s="8">
        <f t="shared" si="5"/>
        <v>12731.248750000002</v>
      </c>
      <c r="O8" s="42">
        <f t="shared" si="8"/>
        <v>1154.3587000000002</v>
      </c>
      <c r="P8" s="22">
        <f t="shared" si="9"/>
        <v>26654.142383000006</v>
      </c>
    </row>
    <row r="9" spans="1:16" x14ac:dyDescent="0.2">
      <c r="A9" t="s">
        <v>5</v>
      </c>
      <c r="B9" s="28">
        <v>2100</v>
      </c>
      <c r="C9">
        <v>0.47089999999999999</v>
      </c>
      <c r="D9">
        <f t="shared" si="6"/>
        <v>465.66830099999999</v>
      </c>
      <c r="E9">
        <f t="shared" si="0"/>
        <v>988.89</v>
      </c>
      <c r="F9">
        <f>1-C9</f>
        <v>0.52910000000000001</v>
      </c>
      <c r="G9" s="15">
        <f t="shared" si="1"/>
        <v>100</v>
      </c>
      <c r="H9" s="15">
        <f t="shared" si="2"/>
        <v>1111.1100000000001</v>
      </c>
      <c r="I9" s="2">
        <v>2582</v>
      </c>
      <c r="J9">
        <f t="shared" si="3"/>
        <v>482</v>
      </c>
      <c r="K9" s="1">
        <f t="shared" si="4"/>
        <v>1.2295238095238095</v>
      </c>
      <c r="L9" s="9">
        <v>11.99</v>
      </c>
      <c r="M9" s="8">
        <f t="shared" si="5"/>
        <v>13322.208900000001</v>
      </c>
      <c r="O9" s="42">
        <f>I9*F9</f>
        <v>1366.1362000000001</v>
      </c>
      <c r="P9" s="22">
        <f>(I9*F9)*L9</f>
        <v>16379.973038000002</v>
      </c>
    </row>
    <row r="10" spans="1:16" x14ac:dyDescent="0.2">
      <c r="A10" t="s">
        <v>4</v>
      </c>
      <c r="B10" s="28">
        <v>100</v>
      </c>
      <c r="C10">
        <v>0.1643</v>
      </c>
      <c r="D10">
        <f t="shared" si="6"/>
        <v>2.699449</v>
      </c>
      <c r="E10">
        <f t="shared" si="0"/>
        <v>16.43</v>
      </c>
      <c r="F10">
        <f t="shared" si="7"/>
        <v>0.8357</v>
      </c>
      <c r="G10" s="15">
        <f t="shared" si="1"/>
        <v>4.7619047619047619</v>
      </c>
      <c r="H10" s="15">
        <f t="shared" si="2"/>
        <v>83.57</v>
      </c>
      <c r="I10" s="2">
        <v>110</v>
      </c>
      <c r="J10">
        <f t="shared" si="3"/>
        <v>10</v>
      </c>
      <c r="K10" s="1">
        <f t="shared" si="4"/>
        <v>1.1000000000000001</v>
      </c>
      <c r="L10" s="9">
        <v>0</v>
      </c>
      <c r="M10" s="8">
        <f t="shared" si="5"/>
        <v>0</v>
      </c>
      <c r="O10" s="42">
        <f t="shared" si="8"/>
        <v>91.927000000000007</v>
      </c>
      <c r="P10" s="22">
        <f t="shared" si="9"/>
        <v>0</v>
      </c>
    </row>
    <row r="11" spans="1:16" hidden="1" x14ac:dyDescent="0.2">
      <c r="A11" t="s">
        <v>6</v>
      </c>
      <c r="B11" s="28">
        <v>65</v>
      </c>
      <c r="C11">
        <v>0.69679999999999997</v>
      </c>
      <c r="D11">
        <f t="shared" si="6"/>
        <v>31.559465599999999</v>
      </c>
      <c r="E11">
        <f t="shared" si="0"/>
        <v>45.292000000000002</v>
      </c>
      <c r="F11">
        <f t="shared" si="7"/>
        <v>0.30320000000000003</v>
      </c>
      <c r="G11" s="15">
        <f t="shared" si="1"/>
        <v>3.0952380952380953</v>
      </c>
      <c r="H11" s="15">
        <f t="shared" si="2"/>
        <v>19.708000000000002</v>
      </c>
      <c r="I11" s="2"/>
      <c r="J11">
        <f t="shared" si="3"/>
        <v>-65</v>
      </c>
      <c r="K11" s="1">
        <f t="shared" si="4"/>
        <v>0</v>
      </c>
      <c r="L11" s="9">
        <v>0</v>
      </c>
      <c r="M11" s="8">
        <f t="shared" si="5"/>
        <v>0</v>
      </c>
      <c r="O11" s="42">
        <f t="shared" si="8"/>
        <v>0</v>
      </c>
      <c r="P11" s="22">
        <f t="shared" si="9"/>
        <v>0</v>
      </c>
    </row>
    <row r="12" spans="1:16" x14ac:dyDescent="0.2">
      <c r="A12" s="19" t="s">
        <v>7</v>
      </c>
      <c r="B12" s="28">
        <v>1100</v>
      </c>
      <c r="C12">
        <v>0.59619999999999995</v>
      </c>
      <c r="D12">
        <f t="shared" si="6"/>
        <v>390.99988399999995</v>
      </c>
      <c r="E12">
        <f t="shared" si="0"/>
        <v>655.81999999999994</v>
      </c>
      <c r="F12">
        <f t="shared" si="7"/>
        <v>0.40380000000000005</v>
      </c>
      <c r="G12" s="15">
        <f t="shared" si="1"/>
        <v>52.38095238095238</v>
      </c>
      <c r="H12" s="15">
        <f t="shared" si="2"/>
        <v>444.18000000000006</v>
      </c>
      <c r="I12" s="2">
        <v>864</v>
      </c>
      <c r="J12">
        <f t="shared" si="3"/>
        <v>-236</v>
      </c>
      <c r="K12" s="1">
        <f t="shared" si="4"/>
        <v>0.78545454545454541</v>
      </c>
      <c r="L12" s="35">
        <v>12</v>
      </c>
      <c r="M12" s="8">
        <f t="shared" si="5"/>
        <v>5330.1600000000008</v>
      </c>
      <c r="O12" s="42">
        <f t="shared" si="8"/>
        <v>348.88320000000004</v>
      </c>
      <c r="P12" s="22">
        <f t="shared" si="9"/>
        <v>4186.5984000000008</v>
      </c>
    </row>
    <row r="13" spans="1:16" x14ac:dyDescent="0.2">
      <c r="A13" t="s">
        <v>9</v>
      </c>
      <c r="B13" s="28">
        <v>300</v>
      </c>
      <c r="C13">
        <v>0.62180000000000002</v>
      </c>
      <c r="D13">
        <f t="shared" si="6"/>
        <v>115.990572</v>
      </c>
      <c r="E13">
        <f t="shared" si="0"/>
        <v>186.54</v>
      </c>
      <c r="F13">
        <v>0.53</v>
      </c>
      <c r="G13" s="15">
        <f t="shared" si="1"/>
        <v>14.285714285714286</v>
      </c>
      <c r="H13" s="15">
        <f t="shared" si="2"/>
        <v>159</v>
      </c>
      <c r="I13" s="2">
        <v>1359</v>
      </c>
      <c r="J13">
        <f t="shared" si="3"/>
        <v>1059</v>
      </c>
      <c r="K13" s="1">
        <f t="shared" si="4"/>
        <v>4.53</v>
      </c>
      <c r="L13" s="9">
        <v>0</v>
      </c>
      <c r="M13" s="8">
        <f t="shared" si="5"/>
        <v>0</v>
      </c>
      <c r="O13" s="42">
        <f>I13*F13</f>
        <v>720.27</v>
      </c>
      <c r="P13" s="22">
        <f>(I13*F13)*L13</f>
        <v>0</v>
      </c>
    </row>
    <row r="14" spans="1:16" x14ac:dyDescent="0.2">
      <c r="A14" t="s">
        <v>8</v>
      </c>
      <c r="B14" s="28">
        <v>11000</v>
      </c>
      <c r="C14">
        <v>0.5675</v>
      </c>
      <c r="D14">
        <f t="shared" si="6"/>
        <v>3542.6187500000001</v>
      </c>
      <c r="E14">
        <f t="shared" si="0"/>
        <v>6242.5</v>
      </c>
      <c r="F14">
        <f t="shared" si="7"/>
        <v>0.4325</v>
      </c>
      <c r="G14" s="15">
        <f t="shared" si="1"/>
        <v>523.80952380952385</v>
      </c>
      <c r="H14" s="15">
        <f t="shared" si="2"/>
        <v>4757.5</v>
      </c>
      <c r="I14" s="2">
        <v>10932</v>
      </c>
      <c r="J14">
        <f t="shared" si="3"/>
        <v>-68</v>
      </c>
      <c r="K14" s="1">
        <f t="shared" si="4"/>
        <v>0.99381818181818182</v>
      </c>
      <c r="L14" s="35">
        <v>26.65</v>
      </c>
      <c r="M14" s="8">
        <f t="shared" si="5"/>
        <v>126787.375</v>
      </c>
      <c r="O14" s="42">
        <f t="shared" si="8"/>
        <v>4728.09</v>
      </c>
      <c r="P14" s="22">
        <f t="shared" si="9"/>
        <v>126003.59849999999</v>
      </c>
    </row>
    <row r="15" spans="1:16" hidden="1" x14ac:dyDescent="0.2">
      <c r="A15" t="s">
        <v>10</v>
      </c>
      <c r="B15" s="28">
        <v>0</v>
      </c>
      <c r="D15">
        <f t="shared" si="6"/>
        <v>0</v>
      </c>
      <c r="E15">
        <f t="shared" si="0"/>
        <v>0</v>
      </c>
      <c r="G15" s="15">
        <f t="shared" si="1"/>
        <v>0</v>
      </c>
      <c r="H15" s="15">
        <f t="shared" si="2"/>
        <v>0</v>
      </c>
      <c r="I15" s="2"/>
      <c r="J15">
        <f t="shared" si="3"/>
        <v>0</v>
      </c>
      <c r="K15" s="1"/>
      <c r="L15" s="9">
        <v>0</v>
      </c>
      <c r="M15" s="8">
        <f t="shared" si="5"/>
        <v>0</v>
      </c>
      <c r="O15" s="42">
        <f t="shared" si="8"/>
        <v>0</v>
      </c>
      <c r="P15" s="22">
        <f t="shared" si="9"/>
        <v>0</v>
      </c>
    </row>
    <row r="16" spans="1:16" x14ac:dyDescent="0.2">
      <c r="A16" t="s">
        <v>11</v>
      </c>
      <c r="B16" s="28">
        <v>6000</v>
      </c>
      <c r="C16">
        <v>0.4995</v>
      </c>
      <c r="D16">
        <f t="shared" si="6"/>
        <v>1497.0015000000001</v>
      </c>
      <c r="E16">
        <f t="shared" si="0"/>
        <v>2997</v>
      </c>
      <c r="F16">
        <f t="shared" si="7"/>
        <v>0.50049999999999994</v>
      </c>
      <c r="G16" s="15">
        <f t="shared" si="1"/>
        <v>285.71428571428572</v>
      </c>
      <c r="H16" s="15">
        <f t="shared" si="2"/>
        <v>3002.9999999999995</v>
      </c>
      <c r="I16" s="2">
        <v>3618</v>
      </c>
      <c r="J16">
        <f t="shared" si="3"/>
        <v>-2382</v>
      </c>
      <c r="K16" s="1">
        <f t="shared" ref="K16:K21" si="10">I16/B16</f>
        <v>0.60299999999999998</v>
      </c>
      <c r="L16" s="9">
        <v>27.41</v>
      </c>
      <c r="M16" s="8">
        <f t="shared" si="5"/>
        <v>82312.229999999981</v>
      </c>
      <c r="O16" s="42">
        <f t="shared" si="8"/>
        <v>1810.8089999999997</v>
      </c>
      <c r="P16" s="22">
        <f t="shared" si="9"/>
        <v>49634.274689999991</v>
      </c>
    </row>
    <row r="17" spans="1:18" x14ac:dyDescent="0.2">
      <c r="A17" t="s">
        <v>16</v>
      </c>
      <c r="B17" s="28">
        <v>1250</v>
      </c>
      <c r="C17">
        <v>0.56189999999999996</v>
      </c>
      <c r="D17">
        <f t="shared" si="6"/>
        <v>394.66451249999994</v>
      </c>
      <c r="E17">
        <f t="shared" si="0"/>
        <v>702.375</v>
      </c>
      <c r="F17">
        <f>1-C17</f>
        <v>0.43810000000000004</v>
      </c>
      <c r="G17" s="15">
        <f t="shared" si="1"/>
        <v>59.523809523809526</v>
      </c>
      <c r="H17" s="15">
        <f t="shared" si="2"/>
        <v>547.625</v>
      </c>
      <c r="I17" s="2">
        <v>1326</v>
      </c>
      <c r="J17">
        <f t="shared" si="3"/>
        <v>76</v>
      </c>
      <c r="K17" s="1">
        <f t="shared" si="10"/>
        <v>1.0608</v>
      </c>
      <c r="L17" s="9">
        <v>20.6</v>
      </c>
      <c r="M17" s="8">
        <f t="shared" si="5"/>
        <v>11281.075000000001</v>
      </c>
      <c r="O17" s="42">
        <f t="shared" si="8"/>
        <v>580.92060000000004</v>
      </c>
      <c r="P17" s="22">
        <f t="shared" si="9"/>
        <v>11966.964360000002</v>
      </c>
    </row>
    <row r="18" spans="1:18" x14ac:dyDescent="0.2">
      <c r="A18" t="s">
        <v>51</v>
      </c>
      <c r="B18" s="28">
        <v>2200</v>
      </c>
      <c r="C18">
        <v>0.51349999999999996</v>
      </c>
      <c r="D18">
        <f t="shared" si="6"/>
        <v>580.1009499999999</v>
      </c>
      <c r="E18">
        <f t="shared" si="0"/>
        <v>1129.6999999999998</v>
      </c>
      <c r="F18">
        <f t="shared" si="7"/>
        <v>0.48650000000000004</v>
      </c>
      <c r="G18" s="15">
        <f t="shared" si="1"/>
        <v>104.76190476190476</v>
      </c>
      <c r="H18" s="15">
        <f t="shared" si="2"/>
        <v>1070.3000000000002</v>
      </c>
      <c r="I18" s="2">
        <v>2098</v>
      </c>
      <c r="J18">
        <f t="shared" si="3"/>
        <v>-102</v>
      </c>
      <c r="K18" s="1">
        <f t="shared" si="10"/>
        <v>0.95363636363636362</v>
      </c>
      <c r="L18" s="9">
        <v>25</v>
      </c>
      <c r="M18" s="8">
        <f t="shared" si="5"/>
        <v>26757.500000000004</v>
      </c>
      <c r="O18" s="42">
        <f t="shared" si="8"/>
        <v>1020.6770000000001</v>
      </c>
      <c r="P18" s="22">
        <f t="shared" si="9"/>
        <v>25516.925000000003</v>
      </c>
    </row>
    <row r="19" spans="1:18" x14ac:dyDescent="0.2">
      <c r="A19" t="s">
        <v>13</v>
      </c>
      <c r="B19" s="28">
        <v>3750</v>
      </c>
      <c r="C19">
        <v>0.54920000000000002</v>
      </c>
      <c r="D19">
        <f t="shared" si="6"/>
        <v>1131.0774000000001</v>
      </c>
      <c r="E19">
        <f t="shared" si="0"/>
        <v>2059.5</v>
      </c>
      <c r="F19">
        <f t="shared" si="7"/>
        <v>0.45079999999999998</v>
      </c>
      <c r="G19" s="15">
        <f t="shared" si="1"/>
        <v>178.57142857142858</v>
      </c>
      <c r="H19" s="15">
        <f t="shared" si="2"/>
        <v>1690.5</v>
      </c>
      <c r="I19" s="2">
        <v>1830</v>
      </c>
      <c r="J19">
        <f t="shared" si="3"/>
        <v>-1920</v>
      </c>
      <c r="K19" s="1">
        <f t="shared" si="10"/>
        <v>0.48799999999999999</v>
      </c>
      <c r="L19" s="35">
        <v>31.15</v>
      </c>
      <c r="M19" s="8">
        <f t="shared" si="5"/>
        <v>52659.074999999997</v>
      </c>
      <c r="O19" s="42">
        <f t="shared" si="8"/>
        <v>824.96399999999994</v>
      </c>
      <c r="P19" s="22">
        <f t="shared" si="9"/>
        <v>25697.628599999996</v>
      </c>
    </row>
    <row r="20" spans="1:18" x14ac:dyDescent="0.2">
      <c r="A20" s="19" t="s">
        <v>14</v>
      </c>
      <c r="B20" s="28">
        <v>5900</v>
      </c>
      <c r="C20">
        <v>0.48649999999999999</v>
      </c>
      <c r="D20">
        <f t="shared" si="6"/>
        <v>1396.4252749999998</v>
      </c>
      <c r="E20">
        <f t="shared" si="0"/>
        <v>2870.35</v>
      </c>
      <c r="F20">
        <f t="shared" si="7"/>
        <v>0.51350000000000007</v>
      </c>
      <c r="G20" s="15">
        <f t="shared" si="1"/>
        <v>280.95238095238096</v>
      </c>
      <c r="H20" s="15">
        <f t="shared" si="2"/>
        <v>3029.6500000000005</v>
      </c>
      <c r="I20" s="2">
        <v>4106</v>
      </c>
      <c r="J20">
        <f t="shared" si="3"/>
        <v>-1794</v>
      </c>
      <c r="K20" s="1">
        <f t="shared" si="10"/>
        <v>0.69593220338983053</v>
      </c>
      <c r="L20" s="35">
        <v>28.78</v>
      </c>
      <c r="M20" s="8">
        <f t="shared" si="5"/>
        <v>87193.327000000019</v>
      </c>
      <c r="O20" s="42">
        <f t="shared" si="8"/>
        <v>2108.4310000000005</v>
      </c>
      <c r="P20" s="22">
        <f t="shared" si="9"/>
        <v>60680.644180000018</v>
      </c>
    </row>
    <row r="21" spans="1:18" ht="15" thickBot="1" x14ac:dyDescent="0.25">
      <c r="A21" s="5" t="s">
        <v>15</v>
      </c>
      <c r="B21" s="37">
        <v>2000</v>
      </c>
      <c r="C21" s="5">
        <v>0.51739999999999997</v>
      </c>
      <c r="D21" s="5">
        <f t="shared" si="6"/>
        <v>535.40551999999991</v>
      </c>
      <c r="E21" s="5">
        <f t="shared" si="0"/>
        <v>1034.8</v>
      </c>
      <c r="F21" s="5">
        <f t="shared" si="7"/>
        <v>0.48260000000000003</v>
      </c>
      <c r="G21" s="16">
        <f t="shared" si="1"/>
        <v>95.238095238095241</v>
      </c>
      <c r="H21" s="16">
        <f t="shared" si="2"/>
        <v>965.2</v>
      </c>
      <c r="I21" s="38">
        <v>2075</v>
      </c>
      <c r="J21" s="5">
        <f t="shared" si="3"/>
        <v>75</v>
      </c>
      <c r="K21" s="6">
        <f t="shared" si="10"/>
        <v>1.0375000000000001</v>
      </c>
      <c r="L21" s="10">
        <v>23.24</v>
      </c>
      <c r="M21" s="14">
        <f t="shared" si="5"/>
        <v>22431.248</v>
      </c>
      <c r="N21" s="5"/>
      <c r="O21" s="43">
        <f t="shared" si="8"/>
        <v>1001.3950000000001</v>
      </c>
      <c r="P21" s="25">
        <f t="shared" si="9"/>
        <v>23272.4198</v>
      </c>
    </row>
    <row r="22" spans="1:18" ht="15" hidden="1" thickBot="1" x14ac:dyDescent="0.25">
      <c r="A22" s="3" t="s">
        <v>24</v>
      </c>
      <c r="B22" s="29"/>
      <c r="C22" s="5">
        <v>0.2555</v>
      </c>
      <c r="E22">
        <f t="shared" si="0"/>
        <v>0</v>
      </c>
      <c r="F22" s="5">
        <f t="shared" si="7"/>
        <v>0.74449999999999994</v>
      </c>
      <c r="G22" s="16">
        <f t="shared" si="1"/>
        <v>0</v>
      </c>
      <c r="H22" s="16">
        <f t="shared" si="2"/>
        <v>0</v>
      </c>
      <c r="I22" s="4"/>
      <c r="J22" s="5">
        <f t="shared" si="3"/>
        <v>0</v>
      </c>
      <c r="K22" s="6" t="e">
        <f>I22/B22</f>
        <v>#DIV/0!</v>
      </c>
      <c r="L22" s="10">
        <v>25</v>
      </c>
      <c r="M22" s="14">
        <f t="shared" si="5"/>
        <v>0</v>
      </c>
      <c r="O22" s="43">
        <f t="shared" si="8"/>
        <v>0</v>
      </c>
      <c r="P22" s="25">
        <f t="shared" si="9"/>
        <v>0</v>
      </c>
    </row>
    <row r="23" spans="1:18" ht="15" thickBot="1" x14ac:dyDescent="0.25">
      <c r="B23" s="28">
        <f>SUM(B4:B22)</f>
        <v>41115</v>
      </c>
      <c r="C23" s="39">
        <f>D23/E23</f>
        <v>0.53049215149260442</v>
      </c>
      <c r="D23" s="31">
        <f>SUM(D4:D21)</f>
        <v>11487.4001226</v>
      </c>
      <c r="E23" s="28">
        <f>SUM(E4:E22)</f>
        <v>21654.231999999996</v>
      </c>
      <c r="G23" s="33">
        <f t="shared" si="1"/>
        <v>1957.8571428571429</v>
      </c>
      <c r="H23" s="33">
        <f>SUM(H4:H22)</f>
        <v>19506.308000000001</v>
      </c>
      <c r="I23" s="32">
        <f>SUM(I$4:I$21)</f>
        <v>39911</v>
      </c>
      <c r="J23" s="28">
        <f t="shared" si="3"/>
        <v>-1204</v>
      </c>
      <c r="K23" s="1">
        <f>I23/B23</f>
        <v>0.97071628359479512</v>
      </c>
      <c r="L23" s="9"/>
      <c r="M23" s="8">
        <f>SUM(M4:M22)</f>
        <v>489530.49655000004</v>
      </c>
      <c r="N23" s="8"/>
      <c r="O23" s="44">
        <f>SUM(O4:O22)</f>
        <v>18758.060399999998</v>
      </c>
      <c r="P23" s="22">
        <f>SUM(P4:P22)</f>
        <v>440537.25404599996</v>
      </c>
      <c r="Q23" s="17"/>
    </row>
    <row r="24" spans="1:18" ht="15" thickBot="1" x14ac:dyDescent="0.25">
      <c r="A24" t="s">
        <v>41</v>
      </c>
      <c r="B24" s="56">
        <f>B23/21</f>
        <v>1957.8571428571429</v>
      </c>
      <c r="C24" s="54" t="s">
        <v>87</v>
      </c>
      <c r="F24" s="20">
        <f>B24/31</f>
        <v>63.156682027649772</v>
      </c>
      <c r="G24" s="15"/>
      <c r="H24" s="34">
        <f>H23/22</f>
        <v>886.65036363636364</v>
      </c>
      <c r="I24" s="52">
        <f>I23/21</f>
        <v>1900.5238095238096</v>
      </c>
      <c r="J24" s="53" t="s">
        <v>86</v>
      </c>
      <c r="K24" s="54"/>
      <c r="M24" s="8">
        <f>M23/H23</f>
        <v>25.096009790781526</v>
      </c>
      <c r="N24" s="8" t="s">
        <v>29</v>
      </c>
      <c r="O24" s="45">
        <f>O23/H23</f>
        <v>0.96164073693494423</v>
      </c>
      <c r="P24" s="47">
        <f>P23/O23</f>
        <v>23.485224199725895</v>
      </c>
      <c r="Q24" s="48" t="s">
        <v>84</v>
      </c>
    </row>
    <row r="25" spans="1:18" ht="15" thickBot="1" x14ac:dyDescent="0.25">
      <c r="B25" s="55"/>
      <c r="H25" s="40" t="s">
        <v>81</v>
      </c>
      <c r="I25" s="41">
        <f>I24-B24</f>
        <v>-57.333333333333258</v>
      </c>
      <c r="J25" s="59">
        <f>I25/B24</f>
        <v>-2.9283716405204874E-2</v>
      </c>
      <c r="P25" s="49">
        <f>P23/I23</f>
        <v>11.037990880859912</v>
      </c>
      <c r="Q25" s="50" t="s">
        <v>85</v>
      </c>
      <c r="R25">
        <v>11.57</v>
      </c>
    </row>
    <row r="27" spans="1:18" x14ac:dyDescent="0.2">
      <c r="G27" s="46">
        <v>42766</v>
      </c>
      <c r="H27">
        <v>0</v>
      </c>
      <c r="I27" t="s">
        <v>82</v>
      </c>
      <c r="J27" s="41">
        <f>I24</f>
        <v>1900.5238095238096</v>
      </c>
      <c r="K27">
        <f>H27*J27</f>
        <v>0</v>
      </c>
      <c r="L27" s="41">
        <f>K27+I23</f>
        <v>39911</v>
      </c>
      <c r="M27" t="s">
        <v>83</v>
      </c>
    </row>
    <row r="28" spans="1:18" x14ac:dyDescent="0.2">
      <c r="A28" t="s">
        <v>89</v>
      </c>
      <c r="I28" t="s">
        <v>92</v>
      </c>
      <c r="J28" s="34" t="e">
        <f>K28/H27</f>
        <v>#DIV/0!</v>
      </c>
      <c r="K28" s="41">
        <f>J23</f>
        <v>-1204</v>
      </c>
    </row>
    <row r="29" spans="1:18" x14ac:dyDescent="0.2">
      <c r="A29" t="s">
        <v>90</v>
      </c>
    </row>
    <row r="30" spans="1:18" x14ac:dyDescent="0.2">
      <c r="A30" t="s">
        <v>91</v>
      </c>
    </row>
    <row r="31" spans="1:18" x14ac:dyDescent="0.2">
      <c r="A31" t="s">
        <v>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R35"/>
  <sheetViews>
    <sheetView zoomScaleNormal="100" zoomScaleSheetLayoutView="100" workbookViewId="0">
      <selection activeCell="C26" sqref="C26"/>
    </sheetView>
  </sheetViews>
  <sheetFormatPr defaultRowHeight="14.25" x14ac:dyDescent="0.2"/>
  <cols>
    <col min="1" max="1" width="26.625" customWidth="1"/>
    <col min="4" max="4" width="13" hidden="1" customWidth="1"/>
    <col min="7" max="7" width="9.5" customWidth="1"/>
    <col min="9" max="9" width="13.625" customWidth="1"/>
    <col min="10" max="10" width="9.625" customWidth="1"/>
    <col min="13" max="13" width="13.875" customWidth="1"/>
    <col min="16" max="16" width="11.75" customWidth="1"/>
  </cols>
  <sheetData>
    <row r="1" spans="1:16" x14ac:dyDescent="0.2">
      <c r="C1">
        <v>21</v>
      </c>
      <c r="L1" s="57" t="s">
        <v>22</v>
      </c>
      <c r="M1" s="57" t="s">
        <v>23</v>
      </c>
    </row>
    <row r="2" spans="1:16" ht="15" thickBot="1" x14ac:dyDescent="0.25">
      <c r="A2" s="19" t="s">
        <v>39</v>
      </c>
      <c r="B2" t="s">
        <v>65</v>
      </c>
      <c r="C2" t="s">
        <v>98</v>
      </c>
      <c r="L2" s="58">
        <f>18/20</f>
        <v>0.9</v>
      </c>
      <c r="M2" s="58">
        <f>I23/B23</f>
        <v>0.94359036144578312</v>
      </c>
      <c r="N2" s="17">
        <f>M2-L2</f>
        <v>4.3590361445783099E-2</v>
      </c>
      <c r="O2" s="36" t="s">
        <v>44</v>
      </c>
      <c r="P2" s="36"/>
    </row>
    <row r="3" spans="1:16" ht="15" thickBot="1" x14ac:dyDescent="0.25">
      <c r="A3" s="11" t="s">
        <v>88</v>
      </c>
      <c r="B3" s="12" t="s">
        <v>19</v>
      </c>
      <c r="C3" s="12" t="s">
        <v>30</v>
      </c>
      <c r="D3" s="12"/>
      <c r="E3" s="12" t="s">
        <v>29</v>
      </c>
      <c r="F3" s="12" t="s">
        <v>28</v>
      </c>
      <c r="G3" s="12" t="s">
        <v>27</v>
      </c>
      <c r="H3" s="12" t="s">
        <v>29</v>
      </c>
      <c r="I3" s="64">
        <v>42794</v>
      </c>
      <c r="J3" s="12" t="s">
        <v>20</v>
      </c>
      <c r="K3" s="12" t="s">
        <v>21</v>
      </c>
      <c r="L3" s="12" t="s">
        <v>25</v>
      </c>
      <c r="M3" s="12" t="s">
        <v>26</v>
      </c>
      <c r="N3" s="12"/>
      <c r="O3" s="51" t="s">
        <v>28</v>
      </c>
      <c r="P3" s="51" t="s">
        <v>43</v>
      </c>
    </row>
    <row r="4" spans="1:16" ht="15" thickTop="1" x14ac:dyDescent="0.2">
      <c r="A4" t="s">
        <v>0</v>
      </c>
      <c r="B4" s="60">
        <v>2500</v>
      </c>
      <c r="C4">
        <v>0.54349999999999998</v>
      </c>
      <c r="D4">
        <f>C4*E4</f>
        <v>738.48062500000003</v>
      </c>
      <c r="E4">
        <f t="shared" ref="E4:E22" si="0">B4*C4</f>
        <v>1358.75</v>
      </c>
      <c r="F4">
        <f>1-C4</f>
        <v>0.45650000000000002</v>
      </c>
      <c r="G4" s="15">
        <f t="shared" ref="G4:G23" si="1">B4/21</f>
        <v>119.04761904761905</v>
      </c>
      <c r="H4" s="15">
        <f t="shared" ref="H4:H22" si="2">B4*F4</f>
        <v>1141.25</v>
      </c>
      <c r="I4" s="2">
        <v>3290</v>
      </c>
      <c r="J4">
        <f t="shared" ref="J4:J23" si="3">I4-B4</f>
        <v>790</v>
      </c>
      <c r="K4" s="1">
        <f t="shared" ref="K4:K15" si="4">I4/B4</f>
        <v>1.3160000000000001</v>
      </c>
      <c r="L4" s="8">
        <v>23.67</v>
      </c>
      <c r="M4" s="8">
        <f t="shared" ref="M4:M22" si="5">(B4*F4)*L4</f>
        <v>27013.387500000001</v>
      </c>
      <c r="O4" s="42">
        <f>I4*F4</f>
        <v>1501.885</v>
      </c>
      <c r="P4" s="22">
        <f>(I4*F4)*L4</f>
        <v>35549.61795</v>
      </c>
    </row>
    <row r="5" spans="1:16" x14ac:dyDescent="0.2">
      <c r="A5" t="s">
        <v>17</v>
      </c>
      <c r="B5" s="60">
        <v>700</v>
      </c>
      <c r="C5">
        <v>0.43130000000000002</v>
      </c>
      <c r="D5">
        <v>184.29849000000002</v>
      </c>
      <c r="E5">
        <v>429.3</v>
      </c>
      <c r="F5">
        <v>0.57069999999999999</v>
      </c>
      <c r="G5" s="15">
        <v>47.61904761904762</v>
      </c>
      <c r="H5" s="15">
        <v>570.69999999999993</v>
      </c>
      <c r="I5" s="2">
        <v>493</v>
      </c>
      <c r="J5">
        <v>-334</v>
      </c>
      <c r="K5" s="1">
        <v>0.66600000000000004</v>
      </c>
      <c r="L5" s="8">
        <v>18.98</v>
      </c>
      <c r="M5" s="8">
        <v>10843.3</v>
      </c>
      <c r="O5" s="42">
        <v>380.08619999999996</v>
      </c>
      <c r="P5" s="22">
        <v>7221.6377999999995</v>
      </c>
    </row>
    <row r="6" spans="1:16" x14ac:dyDescent="0.2">
      <c r="A6" t="s">
        <v>1</v>
      </c>
      <c r="B6" s="60">
        <v>600</v>
      </c>
      <c r="C6">
        <v>0.4536</v>
      </c>
      <c r="D6">
        <f t="shared" ref="D6:D21" si="6">C6*E6</f>
        <v>123.45177600000001</v>
      </c>
      <c r="E6">
        <f t="shared" si="0"/>
        <v>272.16000000000003</v>
      </c>
      <c r="F6">
        <f t="shared" ref="F6:F22" si="7">1-C6</f>
        <v>0.5464</v>
      </c>
      <c r="G6" s="15">
        <f t="shared" si="1"/>
        <v>28.571428571428573</v>
      </c>
      <c r="H6" s="15">
        <f t="shared" si="2"/>
        <v>327.84</v>
      </c>
      <c r="I6" s="2">
        <v>44</v>
      </c>
      <c r="J6">
        <f t="shared" si="3"/>
        <v>-556</v>
      </c>
      <c r="K6" s="1">
        <f t="shared" si="4"/>
        <v>7.3333333333333334E-2</v>
      </c>
      <c r="L6" s="9">
        <v>28</v>
      </c>
      <c r="M6" s="8">
        <f t="shared" si="5"/>
        <v>9179.5199999999986</v>
      </c>
      <c r="O6" s="42">
        <f t="shared" ref="O6:O22" si="8">I6*F6</f>
        <v>24.041599999999999</v>
      </c>
      <c r="P6" s="22">
        <f t="shared" ref="P6:P22" si="9">(I6*F6)*L6</f>
        <v>673.16480000000001</v>
      </c>
    </row>
    <row r="7" spans="1:16" x14ac:dyDescent="0.2">
      <c r="A7" t="s">
        <v>2</v>
      </c>
      <c r="B7" s="60">
        <v>1750</v>
      </c>
      <c r="C7">
        <v>0.55220000000000002</v>
      </c>
      <c r="D7">
        <f t="shared" si="6"/>
        <v>533.61847</v>
      </c>
      <c r="E7">
        <f t="shared" si="0"/>
        <v>966.35</v>
      </c>
      <c r="F7">
        <f t="shared" si="7"/>
        <v>0.44779999999999998</v>
      </c>
      <c r="G7" s="15">
        <f t="shared" si="1"/>
        <v>83.333333333333329</v>
      </c>
      <c r="H7" s="15">
        <f t="shared" si="2"/>
        <v>783.65</v>
      </c>
      <c r="I7" s="2">
        <v>3206</v>
      </c>
      <c r="J7">
        <f t="shared" si="3"/>
        <v>1456</v>
      </c>
      <c r="K7" s="1">
        <f t="shared" si="4"/>
        <v>1.8320000000000001</v>
      </c>
      <c r="L7" s="9">
        <v>23.46</v>
      </c>
      <c r="M7" s="8">
        <f t="shared" si="5"/>
        <v>18384.429</v>
      </c>
      <c r="O7" s="42">
        <f t="shared" si="8"/>
        <v>1435.6468</v>
      </c>
      <c r="P7" s="22">
        <f t="shared" si="9"/>
        <v>33680.273928000002</v>
      </c>
    </row>
    <row r="8" spans="1:16" x14ac:dyDescent="0.2">
      <c r="A8" t="s">
        <v>68</v>
      </c>
      <c r="B8" s="60">
        <v>1750</v>
      </c>
      <c r="C8">
        <v>0.58489999999999998</v>
      </c>
      <c r="D8">
        <f t="shared" si="6"/>
        <v>598.68901749999998</v>
      </c>
      <c r="E8">
        <f t="shared" si="0"/>
        <v>1023.5749999999999</v>
      </c>
      <c r="F8">
        <f t="shared" si="7"/>
        <v>0.41510000000000002</v>
      </c>
      <c r="G8" s="15">
        <f t="shared" si="1"/>
        <v>83.333333333333329</v>
      </c>
      <c r="H8" s="15">
        <f t="shared" si="2"/>
        <v>726.42500000000007</v>
      </c>
      <c r="I8" s="2">
        <v>2242</v>
      </c>
      <c r="J8">
        <f t="shared" si="3"/>
        <v>492</v>
      </c>
      <c r="K8" s="1">
        <f t="shared" si="4"/>
        <v>1.2811428571428571</v>
      </c>
      <c r="L8" s="9">
        <v>23.09</v>
      </c>
      <c r="M8" s="8">
        <f t="shared" si="5"/>
        <v>16773.153250000003</v>
      </c>
      <c r="O8" s="42">
        <f t="shared" si="8"/>
        <v>930.65420000000006</v>
      </c>
      <c r="P8" s="22">
        <f t="shared" si="9"/>
        <v>21488.805478000002</v>
      </c>
    </row>
    <row r="9" spans="1:16" x14ac:dyDescent="0.2">
      <c r="A9" t="s">
        <v>5</v>
      </c>
      <c r="B9" s="60">
        <v>2100</v>
      </c>
      <c r="C9">
        <v>0.47139999999999999</v>
      </c>
      <c r="D9">
        <f t="shared" si="6"/>
        <v>466.65771599999994</v>
      </c>
      <c r="E9">
        <f t="shared" si="0"/>
        <v>989.93999999999994</v>
      </c>
      <c r="F9">
        <f>1-C9</f>
        <v>0.52859999999999996</v>
      </c>
      <c r="G9" s="15">
        <f t="shared" si="1"/>
        <v>100</v>
      </c>
      <c r="H9" s="15">
        <f t="shared" si="2"/>
        <v>1110.06</v>
      </c>
      <c r="I9" s="2">
        <v>2612</v>
      </c>
      <c r="J9">
        <f t="shared" si="3"/>
        <v>512</v>
      </c>
      <c r="K9" s="1">
        <f t="shared" si="4"/>
        <v>1.2438095238095239</v>
      </c>
      <c r="L9" s="9">
        <v>11.99</v>
      </c>
      <c r="M9" s="8">
        <f t="shared" si="5"/>
        <v>13309.6194</v>
      </c>
      <c r="O9" s="42">
        <f>I9*F9</f>
        <v>1380.7031999999999</v>
      </c>
      <c r="P9" s="22">
        <f>(I9*F9)*L9</f>
        <v>16554.631367999998</v>
      </c>
    </row>
    <row r="10" spans="1:16" x14ac:dyDescent="0.2">
      <c r="A10" t="s">
        <v>4</v>
      </c>
      <c r="B10" s="60">
        <v>100</v>
      </c>
      <c r="C10">
        <v>0.1769</v>
      </c>
      <c r="D10">
        <f t="shared" si="6"/>
        <v>3.1293610000000003</v>
      </c>
      <c r="E10">
        <f t="shared" si="0"/>
        <v>17.690000000000001</v>
      </c>
      <c r="F10">
        <f t="shared" si="7"/>
        <v>0.82309999999999994</v>
      </c>
      <c r="G10" s="15">
        <f t="shared" si="1"/>
        <v>4.7619047619047619</v>
      </c>
      <c r="H10" s="15">
        <f t="shared" si="2"/>
        <v>82.309999999999988</v>
      </c>
      <c r="I10" s="2">
        <v>111</v>
      </c>
      <c r="J10">
        <f t="shared" si="3"/>
        <v>11</v>
      </c>
      <c r="K10" s="1">
        <f t="shared" si="4"/>
        <v>1.1100000000000001</v>
      </c>
      <c r="L10" s="9">
        <v>0</v>
      </c>
      <c r="M10" s="8">
        <f t="shared" si="5"/>
        <v>0</v>
      </c>
      <c r="O10" s="42">
        <f t="shared" si="8"/>
        <v>91.364099999999993</v>
      </c>
      <c r="P10" s="22">
        <f t="shared" si="9"/>
        <v>0</v>
      </c>
    </row>
    <row r="11" spans="1:16" hidden="1" x14ac:dyDescent="0.2">
      <c r="A11" t="s">
        <v>6</v>
      </c>
      <c r="B11" s="60">
        <v>0</v>
      </c>
      <c r="C11">
        <v>0.69679999999999997</v>
      </c>
      <c r="D11">
        <f t="shared" si="6"/>
        <v>0</v>
      </c>
      <c r="E11">
        <f t="shared" si="0"/>
        <v>0</v>
      </c>
      <c r="F11">
        <f t="shared" si="7"/>
        <v>0.30320000000000003</v>
      </c>
      <c r="G11" s="15">
        <f t="shared" si="1"/>
        <v>0</v>
      </c>
      <c r="H11" s="15">
        <f t="shared" si="2"/>
        <v>0</v>
      </c>
      <c r="I11" s="2"/>
      <c r="J11">
        <f t="shared" si="3"/>
        <v>0</v>
      </c>
      <c r="K11" s="1" t="e">
        <f t="shared" si="4"/>
        <v>#DIV/0!</v>
      </c>
      <c r="L11" s="9">
        <v>0</v>
      </c>
      <c r="M11" s="8">
        <f t="shared" si="5"/>
        <v>0</v>
      </c>
      <c r="O11" s="42">
        <f t="shared" si="8"/>
        <v>0</v>
      </c>
      <c r="P11" s="22">
        <f t="shared" si="9"/>
        <v>0</v>
      </c>
    </row>
    <row r="12" spans="1:16" x14ac:dyDescent="0.2">
      <c r="A12" t="s">
        <v>7</v>
      </c>
      <c r="B12" s="60">
        <v>1000</v>
      </c>
      <c r="C12">
        <v>0.4365</v>
      </c>
      <c r="D12">
        <f t="shared" si="6"/>
        <v>190.53225</v>
      </c>
      <c r="E12">
        <f t="shared" si="0"/>
        <v>436.5</v>
      </c>
      <c r="F12">
        <f t="shared" si="7"/>
        <v>0.5635</v>
      </c>
      <c r="G12" s="15">
        <f t="shared" si="1"/>
        <v>47.61904761904762</v>
      </c>
      <c r="H12" s="15">
        <f t="shared" si="2"/>
        <v>563.5</v>
      </c>
      <c r="I12" s="2">
        <v>736</v>
      </c>
      <c r="J12">
        <f t="shared" si="3"/>
        <v>-264</v>
      </c>
      <c r="K12" s="1">
        <f t="shared" si="4"/>
        <v>0.73599999999999999</v>
      </c>
      <c r="L12" s="35">
        <v>12</v>
      </c>
      <c r="M12" s="8">
        <f t="shared" si="5"/>
        <v>6762</v>
      </c>
      <c r="O12" s="42">
        <f t="shared" si="8"/>
        <v>414.73599999999999</v>
      </c>
      <c r="P12" s="22">
        <f t="shared" si="9"/>
        <v>4976.8320000000003</v>
      </c>
    </row>
    <row r="13" spans="1:16" x14ac:dyDescent="0.2">
      <c r="A13" t="s">
        <v>9</v>
      </c>
      <c r="B13" s="60">
        <v>800</v>
      </c>
      <c r="C13">
        <v>0.61350000000000005</v>
      </c>
      <c r="D13">
        <f t="shared" si="6"/>
        <v>301.10580000000004</v>
      </c>
      <c r="E13">
        <f t="shared" si="0"/>
        <v>490.8</v>
      </c>
      <c r="F13">
        <v>0.53</v>
      </c>
      <c r="G13" s="15">
        <f t="shared" si="1"/>
        <v>38.095238095238095</v>
      </c>
      <c r="H13" s="15">
        <f t="shared" si="2"/>
        <v>424</v>
      </c>
      <c r="I13" s="2">
        <v>1010</v>
      </c>
      <c r="J13">
        <f t="shared" si="3"/>
        <v>210</v>
      </c>
      <c r="K13" s="1">
        <f t="shared" si="4"/>
        <v>1.2625</v>
      </c>
      <c r="L13" s="9">
        <v>0</v>
      </c>
      <c r="M13" s="8">
        <f t="shared" si="5"/>
        <v>0</v>
      </c>
      <c r="O13" s="42">
        <f>I13*F13</f>
        <v>535.30000000000007</v>
      </c>
      <c r="P13" s="22">
        <f>(I13*F13)*L13</f>
        <v>0</v>
      </c>
    </row>
    <row r="14" spans="1:16" x14ac:dyDescent="0.2">
      <c r="A14" t="s">
        <v>8</v>
      </c>
      <c r="B14" s="60">
        <v>12000</v>
      </c>
      <c r="C14">
        <v>0.58209999999999995</v>
      </c>
      <c r="D14">
        <f t="shared" si="6"/>
        <v>4066.0849199999993</v>
      </c>
      <c r="E14">
        <f t="shared" si="0"/>
        <v>6985.2</v>
      </c>
      <c r="F14">
        <f t="shared" si="7"/>
        <v>0.41790000000000005</v>
      </c>
      <c r="G14" s="15">
        <f t="shared" si="1"/>
        <v>571.42857142857144</v>
      </c>
      <c r="H14" s="15">
        <f t="shared" si="2"/>
        <v>5014.8</v>
      </c>
      <c r="I14" s="2">
        <v>9961</v>
      </c>
      <c r="J14">
        <f t="shared" si="3"/>
        <v>-2039</v>
      </c>
      <c r="K14" s="1">
        <f t="shared" si="4"/>
        <v>0.83008333333333328</v>
      </c>
      <c r="L14" s="35">
        <v>26.65</v>
      </c>
      <c r="M14" s="8">
        <f t="shared" si="5"/>
        <v>133644.41999999998</v>
      </c>
      <c r="O14" s="42">
        <f t="shared" si="8"/>
        <v>4162.7019000000009</v>
      </c>
      <c r="P14" s="22">
        <f t="shared" si="9"/>
        <v>110936.00563500002</v>
      </c>
    </row>
    <row r="15" spans="1:16" hidden="1" x14ac:dyDescent="0.2">
      <c r="A15" t="s">
        <v>10</v>
      </c>
      <c r="B15" s="60"/>
      <c r="D15">
        <f t="shared" si="6"/>
        <v>0</v>
      </c>
      <c r="E15">
        <f t="shared" si="0"/>
        <v>0</v>
      </c>
      <c r="G15" s="15">
        <f t="shared" si="1"/>
        <v>0</v>
      </c>
      <c r="H15" s="15">
        <f t="shared" si="2"/>
        <v>0</v>
      </c>
      <c r="I15" s="2"/>
      <c r="J15">
        <f t="shared" si="3"/>
        <v>0</v>
      </c>
      <c r="K15" s="1" t="e">
        <f t="shared" si="4"/>
        <v>#DIV/0!</v>
      </c>
      <c r="L15" s="9"/>
      <c r="M15" s="8">
        <f t="shared" si="5"/>
        <v>0</v>
      </c>
      <c r="O15" s="42">
        <f t="shared" si="8"/>
        <v>0</v>
      </c>
      <c r="P15" s="22">
        <f t="shared" si="9"/>
        <v>0</v>
      </c>
    </row>
    <row r="16" spans="1:16" x14ac:dyDescent="0.2">
      <c r="A16" t="s">
        <v>11</v>
      </c>
      <c r="B16" s="60">
        <v>5000</v>
      </c>
      <c r="C16">
        <v>0.59540000000000004</v>
      </c>
      <c r="D16">
        <f t="shared" si="6"/>
        <v>1772.5058000000001</v>
      </c>
      <c r="E16">
        <f t="shared" si="0"/>
        <v>2977</v>
      </c>
      <c r="F16">
        <f t="shared" si="7"/>
        <v>0.40459999999999996</v>
      </c>
      <c r="G16" s="15">
        <f t="shared" si="1"/>
        <v>238.0952380952381</v>
      </c>
      <c r="H16" s="15">
        <f t="shared" si="2"/>
        <v>2022.9999999999998</v>
      </c>
      <c r="I16" s="2">
        <v>3678</v>
      </c>
      <c r="J16">
        <f t="shared" si="3"/>
        <v>-1322</v>
      </c>
      <c r="K16" s="1">
        <f t="shared" ref="K16:K21" si="10">I16/B16</f>
        <v>0.73560000000000003</v>
      </c>
      <c r="L16" s="9">
        <v>27.41</v>
      </c>
      <c r="M16" s="8">
        <f t="shared" si="5"/>
        <v>55450.429999999993</v>
      </c>
      <c r="O16" s="42">
        <f t="shared" si="8"/>
        <v>1488.1188</v>
      </c>
      <c r="P16" s="22">
        <f t="shared" si="9"/>
        <v>40789.336307999998</v>
      </c>
    </row>
    <row r="17" spans="1:18" x14ac:dyDescent="0.2">
      <c r="A17" t="s">
        <v>16</v>
      </c>
      <c r="B17" s="60">
        <v>1100</v>
      </c>
      <c r="C17">
        <v>0.57479999999999998</v>
      </c>
      <c r="D17">
        <f t="shared" si="6"/>
        <v>363.43454399999996</v>
      </c>
      <c r="E17">
        <f t="shared" si="0"/>
        <v>632.28</v>
      </c>
      <c r="F17">
        <f>1-C17</f>
        <v>0.42520000000000002</v>
      </c>
      <c r="G17" s="15">
        <f t="shared" si="1"/>
        <v>52.38095238095238</v>
      </c>
      <c r="H17" s="15">
        <f t="shared" si="2"/>
        <v>467.72</v>
      </c>
      <c r="I17" s="2">
        <v>1083</v>
      </c>
      <c r="J17">
        <f t="shared" si="3"/>
        <v>-17</v>
      </c>
      <c r="K17" s="1">
        <f t="shared" si="10"/>
        <v>0.9845454545454545</v>
      </c>
      <c r="L17" s="9">
        <v>20.6</v>
      </c>
      <c r="M17" s="8">
        <f t="shared" si="5"/>
        <v>9635.0320000000011</v>
      </c>
      <c r="O17" s="42">
        <f t="shared" si="8"/>
        <v>460.49160000000001</v>
      </c>
      <c r="P17" s="22">
        <f t="shared" si="9"/>
        <v>9486.1269600000014</v>
      </c>
    </row>
    <row r="18" spans="1:18" x14ac:dyDescent="0.2">
      <c r="A18" t="s">
        <v>51</v>
      </c>
      <c r="B18" s="60">
        <v>2000</v>
      </c>
      <c r="C18">
        <v>0.59650000000000003</v>
      </c>
      <c r="D18">
        <f t="shared" si="6"/>
        <v>711.62450000000001</v>
      </c>
      <c r="E18">
        <f t="shared" si="0"/>
        <v>1193</v>
      </c>
      <c r="F18">
        <f t="shared" si="7"/>
        <v>0.40349999999999997</v>
      </c>
      <c r="G18" s="15">
        <f t="shared" si="1"/>
        <v>95.238095238095241</v>
      </c>
      <c r="H18" s="15">
        <f t="shared" si="2"/>
        <v>806.99999999999989</v>
      </c>
      <c r="I18" s="2">
        <v>1586</v>
      </c>
      <c r="J18">
        <f t="shared" si="3"/>
        <v>-414</v>
      </c>
      <c r="K18" s="1">
        <f t="shared" si="10"/>
        <v>0.79300000000000004</v>
      </c>
      <c r="L18" s="9">
        <v>25</v>
      </c>
      <c r="M18" s="8">
        <f t="shared" si="5"/>
        <v>20174.999999999996</v>
      </c>
      <c r="O18" s="42">
        <f t="shared" si="8"/>
        <v>639.95099999999991</v>
      </c>
      <c r="P18" s="22">
        <f t="shared" si="9"/>
        <v>15998.774999999998</v>
      </c>
    </row>
    <row r="19" spans="1:18" x14ac:dyDescent="0.2">
      <c r="A19" t="s">
        <v>13</v>
      </c>
      <c r="B19" s="60">
        <v>3500</v>
      </c>
      <c r="C19">
        <v>0.56459999999999999</v>
      </c>
      <c r="D19">
        <f t="shared" si="6"/>
        <v>1115.70606</v>
      </c>
      <c r="E19">
        <f t="shared" si="0"/>
        <v>1976.1</v>
      </c>
      <c r="F19">
        <f t="shared" si="7"/>
        <v>0.43540000000000001</v>
      </c>
      <c r="G19" s="15">
        <f t="shared" si="1"/>
        <v>166.66666666666666</v>
      </c>
      <c r="H19" s="15">
        <f t="shared" si="2"/>
        <v>1523.9</v>
      </c>
      <c r="I19" s="2">
        <v>3729</v>
      </c>
      <c r="J19">
        <f t="shared" si="3"/>
        <v>229</v>
      </c>
      <c r="K19" s="1">
        <f t="shared" si="10"/>
        <v>1.0654285714285714</v>
      </c>
      <c r="L19" s="35">
        <v>31.15</v>
      </c>
      <c r="M19" s="8">
        <f t="shared" si="5"/>
        <v>47469.485000000001</v>
      </c>
      <c r="O19" s="42">
        <f t="shared" si="8"/>
        <v>1623.6066000000001</v>
      </c>
      <c r="P19" s="22">
        <f t="shared" si="9"/>
        <v>50575.345589999997</v>
      </c>
    </row>
    <row r="20" spans="1:18" x14ac:dyDescent="0.2">
      <c r="A20" t="s">
        <v>14</v>
      </c>
      <c r="B20" s="60">
        <v>4600</v>
      </c>
      <c r="C20">
        <v>0.498</v>
      </c>
      <c r="D20">
        <f t="shared" si="6"/>
        <v>1140.8184000000001</v>
      </c>
      <c r="E20">
        <f t="shared" si="0"/>
        <v>2290.8000000000002</v>
      </c>
      <c r="F20">
        <f t="shared" si="7"/>
        <v>0.502</v>
      </c>
      <c r="G20" s="15">
        <f t="shared" si="1"/>
        <v>219.04761904761904</v>
      </c>
      <c r="H20" s="15">
        <f t="shared" si="2"/>
        <v>2309.1999999999998</v>
      </c>
      <c r="I20" s="2">
        <v>2787</v>
      </c>
      <c r="J20">
        <f t="shared" si="3"/>
        <v>-1813</v>
      </c>
      <c r="K20" s="1">
        <f t="shared" si="10"/>
        <v>0.60586956521739133</v>
      </c>
      <c r="L20" s="35">
        <v>28.78</v>
      </c>
      <c r="M20" s="8">
        <f t="shared" si="5"/>
        <v>66458.775999999998</v>
      </c>
      <c r="O20" s="42">
        <f t="shared" si="8"/>
        <v>1399.0740000000001</v>
      </c>
      <c r="P20" s="22">
        <f t="shared" si="9"/>
        <v>40265.349720000006</v>
      </c>
    </row>
    <row r="21" spans="1:18" ht="15" thickBot="1" x14ac:dyDescent="0.25">
      <c r="A21" s="5" t="s">
        <v>15</v>
      </c>
      <c r="B21" s="61">
        <v>2000</v>
      </c>
      <c r="C21" s="5">
        <v>0.53259999999999996</v>
      </c>
      <c r="D21" s="5">
        <f t="shared" si="6"/>
        <v>567.32551999999987</v>
      </c>
      <c r="E21" s="5">
        <f t="shared" si="0"/>
        <v>1065.1999999999998</v>
      </c>
      <c r="F21" s="5">
        <f t="shared" si="7"/>
        <v>0.46740000000000004</v>
      </c>
      <c r="G21" s="16">
        <f t="shared" si="1"/>
        <v>95.238095238095241</v>
      </c>
      <c r="H21" s="16">
        <f t="shared" si="2"/>
        <v>934.80000000000007</v>
      </c>
      <c r="I21" s="38">
        <v>2591</v>
      </c>
      <c r="J21" s="5">
        <f t="shared" si="3"/>
        <v>591</v>
      </c>
      <c r="K21" s="6">
        <f t="shared" si="10"/>
        <v>1.2955000000000001</v>
      </c>
      <c r="L21" s="10">
        <v>23.24</v>
      </c>
      <c r="M21" s="14">
        <f t="shared" si="5"/>
        <v>21724.752</v>
      </c>
      <c r="N21" s="5"/>
      <c r="O21" s="43">
        <f t="shared" si="8"/>
        <v>1211.0334</v>
      </c>
      <c r="P21" s="25">
        <f t="shared" si="9"/>
        <v>28144.416215999998</v>
      </c>
    </row>
    <row r="22" spans="1:18" ht="15" hidden="1" thickBot="1" x14ac:dyDescent="0.25">
      <c r="A22" s="3" t="s">
        <v>24</v>
      </c>
      <c r="B22" s="62"/>
      <c r="C22" s="5">
        <v>0.2555</v>
      </c>
      <c r="E22">
        <f t="shared" si="0"/>
        <v>0</v>
      </c>
      <c r="F22" s="5">
        <f t="shared" si="7"/>
        <v>0.74449999999999994</v>
      </c>
      <c r="G22" s="16">
        <f t="shared" si="1"/>
        <v>0</v>
      </c>
      <c r="H22" s="16">
        <f t="shared" si="2"/>
        <v>0</v>
      </c>
      <c r="I22" s="4"/>
      <c r="J22" s="5">
        <f t="shared" si="3"/>
        <v>0</v>
      </c>
      <c r="K22" s="6" t="e">
        <f>I22/B22</f>
        <v>#DIV/0!</v>
      </c>
      <c r="L22" s="10">
        <v>25</v>
      </c>
      <c r="M22" s="14">
        <f t="shared" si="5"/>
        <v>0</v>
      </c>
      <c r="O22" s="43">
        <f t="shared" si="8"/>
        <v>0</v>
      </c>
      <c r="P22" s="25">
        <f t="shared" si="9"/>
        <v>0</v>
      </c>
    </row>
    <row r="23" spans="1:18" ht="15" thickBot="1" x14ac:dyDescent="0.25">
      <c r="B23" s="60">
        <f>SUM(B4:B22)</f>
        <v>41500</v>
      </c>
      <c r="C23" s="39">
        <f>D23/E23</f>
        <v>0.557353867566457</v>
      </c>
      <c r="D23" s="31">
        <f>SUM(D4:D21)</f>
        <v>12877.463249500001</v>
      </c>
      <c r="E23" s="28">
        <f>SUM(E4:E22)</f>
        <v>23104.644999999997</v>
      </c>
      <c r="G23" s="33">
        <f t="shared" si="1"/>
        <v>1976.1904761904761</v>
      </c>
      <c r="H23" s="33">
        <f>SUM(H4:H22)</f>
        <v>18810.154999999999</v>
      </c>
      <c r="I23" s="32">
        <f>SUM(I$4:I$21)</f>
        <v>39159</v>
      </c>
      <c r="J23" s="28">
        <f t="shared" si="3"/>
        <v>-2341</v>
      </c>
      <c r="K23" s="1">
        <f>I23/B23</f>
        <v>0.94359036144578312</v>
      </c>
      <c r="L23" s="9"/>
      <c r="M23" s="8">
        <f>SUM(M4:M22)</f>
        <v>456823.30414999992</v>
      </c>
      <c r="N23" s="8"/>
      <c r="O23" s="44">
        <f>SUM(O4:O22)</f>
        <v>17679.394400000001</v>
      </c>
      <c r="P23" s="22">
        <f>SUM(P4:P22)</f>
        <v>416340.318753</v>
      </c>
      <c r="Q23" s="17"/>
    </row>
    <row r="24" spans="1:18" ht="15" thickBot="1" x14ac:dyDescent="0.25">
      <c r="A24" t="s">
        <v>41</v>
      </c>
      <c r="B24" s="63">
        <f>B23/20</f>
        <v>2075</v>
      </c>
      <c r="C24" s="54" t="s">
        <v>87</v>
      </c>
      <c r="F24" s="20">
        <f>B24/31</f>
        <v>66.935483870967744</v>
      </c>
      <c r="G24" s="15"/>
      <c r="H24" s="34">
        <f>H23/22</f>
        <v>855.00704545454539</v>
      </c>
      <c r="I24" s="52">
        <f>I23/20</f>
        <v>1957.95</v>
      </c>
      <c r="J24" s="53" t="s">
        <v>86</v>
      </c>
      <c r="K24" s="54"/>
      <c r="M24" s="8">
        <f>M23/H23</f>
        <v>24.28599361089794</v>
      </c>
      <c r="N24" s="8" t="s">
        <v>29</v>
      </c>
      <c r="O24" s="45">
        <f>O23/H23</f>
        <v>0.93988563092648636</v>
      </c>
      <c r="P24" s="47">
        <f>P23/O23</f>
        <v>23.54946721212351</v>
      </c>
      <c r="Q24" s="48" t="s">
        <v>84</v>
      </c>
    </row>
    <row r="25" spans="1:18" ht="15" thickBot="1" x14ac:dyDescent="0.25">
      <c r="B25" s="55"/>
      <c r="H25" s="40" t="s">
        <v>81</v>
      </c>
      <c r="I25" s="41">
        <f>I24-B24</f>
        <v>-117.04999999999995</v>
      </c>
      <c r="J25" s="59">
        <f>I25/B24</f>
        <v>-5.6409638554216844E-2</v>
      </c>
      <c r="P25" s="49">
        <f>P23/I23</f>
        <v>10.6320467517812</v>
      </c>
      <c r="Q25" s="50" t="s">
        <v>85</v>
      </c>
      <c r="R25">
        <v>11.57</v>
      </c>
    </row>
    <row r="27" spans="1:18" x14ac:dyDescent="0.2">
      <c r="G27" s="46">
        <v>42794</v>
      </c>
      <c r="H27">
        <v>0</v>
      </c>
      <c r="I27" t="s">
        <v>82</v>
      </c>
      <c r="J27" s="41">
        <f>I24</f>
        <v>1957.95</v>
      </c>
      <c r="K27">
        <f>H27*J27</f>
        <v>0</v>
      </c>
      <c r="L27" s="41">
        <f>K27+I23</f>
        <v>39159</v>
      </c>
      <c r="M27" t="s">
        <v>83</v>
      </c>
    </row>
    <row r="28" spans="1:18" x14ac:dyDescent="0.2">
      <c r="A28" t="s">
        <v>89</v>
      </c>
      <c r="I28" t="s">
        <v>92</v>
      </c>
      <c r="J28" s="34" t="e">
        <f>K28/H27</f>
        <v>#DIV/0!</v>
      </c>
      <c r="K28" s="41">
        <f>J23</f>
        <v>-2341</v>
      </c>
    </row>
    <row r="29" spans="1:18" x14ac:dyDescent="0.2">
      <c r="A29" t="s">
        <v>90</v>
      </c>
    </row>
    <row r="30" spans="1:18" x14ac:dyDescent="0.2">
      <c r="A30" t="s">
        <v>91</v>
      </c>
    </row>
    <row r="31" spans="1:18" x14ac:dyDescent="0.2">
      <c r="A31" t="s">
        <v>93</v>
      </c>
    </row>
    <row r="32" spans="1:18" x14ac:dyDescent="0.2">
      <c r="A32" t="s">
        <v>96</v>
      </c>
    </row>
    <row r="33" spans="1:1" x14ac:dyDescent="0.2">
      <c r="A33" t="s">
        <v>97</v>
      </c>
    </row>
    <row r="34" spans="1:1" x14ac:dyDescent="0.2">
      <c r="A34" t="s">
        <v>99</v>
      </c>
    </row>
    <row r="35" spans="1:1" x14ac:dyDescent="0.2">
      <c r="A35" t="s">
        <v>100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0"/>
  <sheetViews>
    <sheetView zoomScaleNormal="100" zoomScaleSheetLayoutView="100" workbookViewId="0">
      <selection activeCell="M25" sqref="M25"/>
    </sheetView>
  </sheetViews>
  <sheetFormatPr defaultRowHeight="14.25" x14ac:dyDescent="0.2"/>
  <cols>
    <col min="1" max="1" width="26.625" customWidth="1"/>
    <col min="4" max="4" width="13" hidden="1" customWidth="1"/>
    <col min="7" max="7" width="9.5" customWidth="1"/>
    <col min="9" max="9" width="13.625" customWidth="1"/>
    <col min="10" max="10" width="10.375" customWidth="1"/>
    <col min="14" max="14" width="13.875" customWidth="1"/>
    <col min="17" max="17" width="11.75" customWidth="1"/>
  </cols>
  <sheetData>
    <row r="1" spans="1:17" x14ac:dyDescent="0.2">
      <c r="C1">
        <v>23</v>
      </c>
      <c r="M1" s="57" t="s">
        <v>22</v>
      </c>
      <c r="N1" s="57" t="s">
        <v>23</v>
      </c>
    </row>
    <row r="2" spans="1:17" ht="15" thickBot="1" x14ac:dyDescent="0.25">
      <c r="A2" s="19" t="s">
        <v>39</v>
      </c>
      <c r="B2" t="s">
        <v>65</v>
      </c>
      <c r="C2" t="s">
        <v>101</v>
      </c>
      <c r="I2" s="2" t="s">
        <v>102</v>
      </c>
      <c r="K2" s="40" t="s">
        <v>111</v>
      </c>
      <c r="L2" s="67">
        <v>23</v>
      </c>
      <c r="M2" s="58">
        <f>23/23</f>
        <v>1</v>
      </c>
      <c r="N2" s="58">
        <f>I23/B23</f>
        <v>1.4166987951807228</v>
      </c>
      <c r="O2" s="17">
        <f>N2-M2</f>
        <v>0.41669879518072284</v>
      </c>
      <c r="P2" s="36" t="s">
        <v>44</v>
      </c>
      <c r="Q2" s="36"/>
    </row>
    <row r="3" spans="1:17" ht="15" thickBot="1" x14ac:dyDescent="0.25">
      <c r="A3" s="11" t="s">
        <v>108</v>
      </c>
      <c r="B3" s="12" t="s">
        <v>19</v>
      </c>
      <c r="C3" s="12" t="s">
        <v>30</v>
      </c>
      <c r="D3" s="12"/>
      <c r="E3" s="12" t="s">
        <v>29</v>
      </c>
      <c r="F3" s="12" t="s">
        <v>28</v>
      </c>
      <c r="G3" s="12" t="s">
        <v>27</v>
      </c>
      <c r="H3" s="12" t="s">
        <v>29</v>
      </c>
      <c r="I3" s="64">
        <v>42824</v>
      </c>
      <c r="J3" s="12" t="s">
        <v>20</v>
      </c>
      <c r="K3" s="12" t="s">
        <v>21</v>
      </c>
      <c r="L3" s="12" t="s">
        <v>110</v>
      </c>
      <c r="M3" s="12" t="s">
        <v>25</v>
      </c>
      <c r="N3" s="12" t="s">
        <v>26</v>
      </c>
      <c r="O3" s="12"/>
      <c r="P3" s="51" t="s">
        <v>28</v>
      </c>
      <c r="Q3" s="51" t="s">
        <v>43</v>
      </c>
    </row>
    <row r="4" spans="1:17" ht="15" thickTop="1" x14ac:dyDescent="0.2">
      <c r="A4" t="s">
        <v>0</v>
      </c>
      <c r="B4" s="60">
        <v>3000</v>
      </c>
      <c r="C4">
        <v>0.56779999999999997</v>
      </c>
      <c r="D4">
        <f>C4*E4</f>
        <v>967.19051999999988</v>
      </c>
      <c r="E4">
        <f t="shared" ref="E4:E22" si="0">B4*C4</f>
        <v>1703.3999999999999</v>
      </c>
      <c r="F4">
        <f>1-C4</f>
        <v>0.43220000000000003</v>
      </c>
      <c r="G4" s="15">
        <f>B4/C1</f>
        <v>130.43478260869566</v>
      </c>
      <c r="H4" s="15">
        <f t="shared" ref="H4:H22" si="1">B4*F4</f>
        <v>1296.6000000000001</v>
      </c>
      <c r="I4" s="2">
        <v>4874</v>
      </c>
      <c r="J4">
        <f t="shared" ref="J4:J23" si="2">I4-B4</f>
        <v>1874</v>
      </c>
      <c r="K4" s="1">
        <f t="shared" ref="K4:K21" si="3">I4/B4</f>
        <v>1.6246666666666667</v>
      </c>
      <c r="L4" s="68">
        <f>I4/L2</f>
        <v>211.91304347826087</v>
      </c>
      <c r="M4" s="8">
        <v>23.67</v>
      </c>
      <c r="N4" s="8">
        <f t="shared" ref="N4:N22" si="4">(B4*F4)*M4</f>
        <v>30690.522000000004</v>
      </c>
      <c r="P4" s="42">
        <f>I4*F4</f>
        <v>2106.5428000000002</v>
      </c>
      <c r="Q4" s="22">
        <f>(I4*F4)*M4</f>
        <v>49861.868076000006</v>
      </c>
    </row>
    <row r="5" spans="1:17" x14ac:dyDescent="0.2">
      <c r="A5" t="s">
        <v>17</v>
      </c>
      <c r="B5" s="60">
        <v>100</v>
      </c>
      <c r="C5">
        <v>0.43130000000000002</v>
      </c>
      <c r="D5">
        <v>184.29849000000002</v>
      </c>
      <c r="E5">
        <v>429.3</v>
      </c>
      <c r="F5">
        <v>0.57069999999999999</v>
      </c>
      <c r="G5" s="15">
        <f>B5/C1</f>
        <v>4.3478260869565215</v>
      </c>
      <c r="H5" s="15">
        <v>570.69999999999993</v>
      </c>
      <c r="I5" s="2"/>
      <c r="J5">
        <v>-334</v>
      </c>
      <c r="K5" s="1">
        <f t="shared" si="3"/>
        <v>0</v>
      </c>
      <c r="L5" s="68">
        <f>I5/L2</f>
        <v>0</v>
      </c>
      <c r="M5" s="8">
        <v>18.98</v>
      </c>
      <c r="N5" s="8">
        <v>10843.3</v>
      </c>
      <c r="P5" s="42">
        <f>I5*F5</f>
        <v>0</v>
      </c>
      <c r="Q5" s="22">
        <f>(I5*F5)*M5</f>
        <v>0</v>
      </c>
    </row>
    <row r="6" spans="1:17" x14ac:dyDescent="0.2">
      <c r="A6" t="s">
        <v>1</v>
      </c>
      <c r="B6" s="60">
        <v>600</v>
      </c>
      <c r="C6">
        <v>0.51100000000000001</v>
      </c>
      <c r="D6">
        <f t="shared" ref="D6:D21" si="5">C6*E6</f>
        <v>156.67260000000002</v>
      </c>
      <c r="E6">
        <f t="shared" si="0"/>
        <v>306.60000000000002</v>
      </c>
      <c r="F6">
        <f t="shared" ref="F6:F22" si="6">1-C6</f>
        <v>0.48899999999999999</v>
      </c>
      <c r="G6" s="15">
        <f>B6/C1</f>
        <v>26.086956521739129</v>
      </c>
      <c r="H6" s="15">
        <f t="shared" si="1"/>
        <v>293.39999999999998</v>
      </c>
      <c r="I6" s="2">
        <v>251</v>
      </c>
      <c r="J6">
        <f t="shared" si="2"/>
        <v>-349</v>
      </c>
      <c r="K6" s="1">
        <f t="shared" si="3"/>
        <v>0.41833333333333333</v>
      </c>
      <c r="L6" s="68">
        <f>I6/L2</f>
        <v>10.913043478260869</v>
      </c>
      <c r="M6" s="9">
        <v>28</v>
      </c>
      <c r="N6" s="8">
        <f t="shared" si="4"/>
        <v>8215.1999999999989</v>
      </c>
      <c r="P6" s="42">
        <f t="shared" ref="P6:P22" si="7">I6*F6</f>
        <v>122.739</v>
      </c>
      <c r="Q6" s="22">
        <f t="shared" ref="Q6:Q22" si="8">(I6*F6)*M6</f>
        <v>3436.692</v>
      </c>
    </row>
    <row r="7" spans="1:17" x14ac:dyDescent="0.2">
      <c r="A7" t="s">
        <v>2</v>
      </c>
      <c r="B7" s="60">
        <v>2500</v>
      </c>
      <c r="C7">
        <v>0.57189999999999996</v>
      </c>
      <c r="D7">
        <f t="shared" si="5"/>
        <v>817.67402499999992</v>
      </c>
      <c r="E7">
        <f t="shared" si="0"/>
        <v>1429.75</v>
      </c>
      <c r="F7">
        <f t="shared" si="6"/>
        <v>0.42810000000000004</v>
      </c>
      <c r="G7" s="15">
        <f>B7/C1</f>
        <v>108.69565217391305</v>
      </c>
      <c r="H7" s="15">
        <f t="shared" si="1"/>
        <v>1070.25</v>
      </c>
      <c r="I7" s="2">
        <v>3489</v>
      </c>
      <c r="J7">
        <f t="shared" si="2"/>
        <v>989</v>
      </c>
      <c r="K7" s="1">
        <f t="shared" si="3"/>
        <v>1.3956</v>
      </c>
      <c r="L7" s="68">
        <f>I7/L2</f>
        <v>151.69565217391303</v>
      </c>
      <c r="M7" s="9">
        <v>23.46</v>
      </c>
      <c r="N7" s="8">
        <f t="shared" si="4"/>
        <v>25108.065000000002</v>
      </c>
      <c r="P7" s="42">
        <f t="shared" si="7"/>
        <v>1493.6409000000001</v>
      </c>
      <c r="Q7" s="22">
        <f t="shared" si="8"/>
        <v>35040.815514000002</v>
      </c>
    </row>
    <row r="8" spans="1:17" x14ac:dyDescent="0.2">
      <c r="A8" t="s">
        <v>68</v>
      </c>
      <c r="B8" s="60">
        <v>2000</v>
      </c>
      <c r="C8">
        <v>0.52029999999999998</v>
      </c>
      <c r="D8">
        <f t="shared" si="5"/>
        <v>541.42417999999998</v>
      </c>
      <c r="E8">
        <f t="shared" si="0"/>
        <v>1040.5999999999999</v>
      </c>
      <c r="F8">
        <f t="shared" si="6"/>
        <v>0.47970000000000002</v>
      </c>
      <c r="G8" s="15">
        <f>B8/C1</f>
        <v>86.956521739130437</v>
      </c>
      <c r="H8" s="15">
        <f t="shared" si="1"/>
        <v>959.4</v>
      </c>
      <c r="I8" s="2">
        <v>3018</v>
      </c>
      <c r="J8">
        <f t="shared" si="2"/>
        <v>1018</v>
      </c>
      <c r="K8" s="1">
        <f t="shared" si="3"/>
        <v>1.5089999999999999</v>
      </c>
      <c r="L8" s="68">
        <f>I8/L2</f>
        <v>131.21739130434781</v>
      </c>
      <c r="M8" s="9">
        <v>23.09</v>
      </c>
      <c r="N8" s="8">
        <f t="shared" si="4"/>
        <v>22152.545999999998</v>
      </c>
      <c r="P8" s="42">
        <f t="shared" si="7"/>
        <v>1447.7346</v>
      </c>
      <c r="Q8" s="22">
        <f t="shared" si="8"/>
        <v>33428.191914000003</v>
      </c>
    </row>
    <row r="9" spans="1:17" x14ac:dyDescent="0.2">
      <c r="A9" t="s">
        <v>5</v>
      </c>
      <c r="B9" s="60">
        <v>2500</v>
      </c>
      <c r="C9">
        <v>0.57040000000000002</v>
      </c>
      <c r="D9">
        <f t="shared" si="5"/>
        <v>813.3904</v>
      </c>
      <c r="E9">
        <f t="shared" si="0"/>
        <v>1426</v>
      </c>
      <c r="F9">
        <f>1-C9</f>
        <v>0.42959999999999998</v>
      </c>
      <c r="G9" s="15">
        <f>B9/C1</f>
        <v>108.69565217391305</v>
      </c>
      <c r="H9" s="15">
        <f t="shared" si="1"/>
        <v>1074</v>
      </c>
      <c r="I9" s="2">
        <v>3945</v>
      </c>
      <c r="J9">
        <f t="shared" si="2"/>
        <v>1445</v>
      </c>
      <c r="K9" s="1">
        <f t="shared" si="3"/>
        <v>1.5780000000000001</v>
      </c>
      <c r="L9" s="68">
        <f>I9/L2</f>
        <v>171.52173913043478</v>
      </c>
      <c r="M9" s="9">
        <v>11.99</v>
      </c>
      <c r="N9" s="8">
        <f t="shared" si="4"/>
        <v>12877.26</v>
      </c>
      <c r="P9" s="42">
        <f>I9*F9</f>
        <v>1694.7719999999999</v>
      </c>
      <c r="Q9" s="22">
        <f>(I9*F9)*M9</f>
        <v>20320.316279999999</v>
      </c>
    </row>
    <row r="10" spans="1:17" x14ac:dyDescent="0.2">
      <c r="A10" t="s">
        <v>4</v>
      </c>
      <c r="B10" s="60">
        <v>100</v>
      </c>
      <c r="C10">
        <v>0.1447</v>
      </c>
      <c r="D10">
        <f t="shared" si="5"/>
        <v>2.0938089999999998</v>
      </c>
      <c r="E10">
        <f t="shared" si="0"/>
        <v>14.469999999999999</v>
      </c>
      <c r="F10">
        <f t="shared" si="6"/>
        <v>0.85529999999999995</v>
      </c>
      <c r="G10" s="15">
        <f>B10/C1</f>
        <v>4.3478260869565215</v>
      </c>
      <c r="H10" s="15">
        <f t="shared" si="1"/>
        <v>85.53</v>
      </c>
      <c r="I10" s="2">
        <v>137</v>
      </c>
      <c r="J10">
        <f t="shared" si="2"/>
        <v>37</v>
      </c>
      <c r="K10" s="1">
        <f t="shared" si="3"/>
        <v>1.37</v>
      </c>
      <c r="L10" s="68">
        <f>I10/L2</f>
        <v>5.9565217391304346</v>
      </c>
      <c r="M10" s="9">
        <v>0</v>
      </c>
      <c r="N10" s="8">
        <f t="shared" si="4"/>
        <v>0</v>
      </c>
      <c r="P10" s="42">
        <f t="shared" si="7"/>
        <v>117.17609999999999</v>
      </c>
      <c r="Q10" s="22">
        <f t="shared" si="8"/>
        <v>0</v>
      </c>
    </row>
    <row r="11" spans="1:17" hidden="1" x14ac:dyDescent="0.2">
      <c r="A11" t="s">
        <v>6</v>
      </c>
      <c r="B11" s="60">
        <v>0</v>
      </c>
      <c r="C11">
        <v>0.69679999999999997</v>
      </c>
      <c r="D11">
        <f t="shared" si="5"/>
        <v>0</v>
      </c>
      <c r="E11">
        <f t="shared" si="0"/>
        <v>0</v>
      </c>
      <c r="F11">
        <f t="shared" si="6"/>
        <v>0.30320000000000003</v>
      </c>
      <c r="G11" s="15">
        <f>B11/C8</f>
        <v>0</v>
      </c>
      <c r="H11" s="15">
        <f t="shared" si="1"/>
        <v>0</v>
      </c>
      <c r="I11" s="2"/>
      <c r="J11">
        <f t="shared" si="2"/>
        <v>0</v>
      </c>
      <c r="K11" s="1" t="e">
        <f t="shared" si="3"/>
        <v>#DIV/0!</v>
      </c>
      <c r="L11" s="68"/>
      <c r="M11" s="9">
        <v>0</v>
      </c>
      <c r="N11" s="8">
        <f t="shared" si="4"/>
        <v>0</v>
      </c>
      <c r="P11" s="42">
        <f t="shared" si="7"/>
        <v>0</v>
      </c>
      <c r="Q11" s="22">
        <f t="shared" si="8"/>
        <v>0</v>
      </c>
    </row>
    <row r="12" spans="1:17" x14ac:dyDescent="0.2">
      <c r="A12" t="s">
        <v>7</v>
      </c>
      <c r="B12" s="60">
        <v>800</v>
      </c>
      <c r="C12">
        <v>0.64129999999999998</v>
      </c>
      <c r="D12">
        <f t="shared" si="5"/>
        <v>329.01255199999997</v>
      </c>
      <c r="E12">
        <f t="shared" si="0"/>
        <v>513.04</v>
      </c>
      <c r="F12">
        <f t="shared" si="6"/>
        <v>0.35870000000000002</v>
      </c>
      <c r="G12" s="15">
        <f>B12/C1</f>
        <v>34.782608695652172</v>
      </c>
      <c r="H12" s="15">
        <f t="shared" si="1"/>
        <v>286.96000000000004</v>
      </c>
      <c r="I12" s="2">
        <v>331</v>
      </c>
      <c r="J12">
        <f t="shared" si="2"/>
        <v>-469</v>
      </c>
      <c r="K12" s="1">
        <f t="shared" si="3"/>
        <v>0.41375000000000001</v>
      </c>
      <c r="L12" s="68">
        <f>I12/L2</f>
        <v>14.391304347826088</v>
      </c>
      <c r="M12" s="65">
        <v>12</v>
      </c>
      <c r="N12" s="8">
        <f t="shared" si="4"/>
        <v>3443.5200000000004</v>
      </c>
      <c r="P12" s="42">
        <f t="shared" si="7"/>
        <v>118.72970000000001</v>
      </c>
      <c r="Q12" s="22">
        <f t="shared" si="8"/>
        <v>1424.7564000000002</v>
      </c>
    </row>
    <row r="13" spans="1:17" x14ac:dyDescent="0.2">
      <c r="A13" t="s">
        <v>9</v>
      </c>
      <c r="B13" s="60">
        <v>800</v>
      </c>
      <c r="C13" s="66">
        <v>0.63500000000000001</v>
      </c>
      <c r="D13">
        <f t="shared" si="5"/>
        <v>322.58</v>
      </c>
      <c r="E13">
        <f t="shared" si="0"/>
        <v>508</v>
      </c>
      <c r="F13">
        <v>0.53</v>
      </c>
      <c r="G13" s="15">
        <f>B13/C1</f>
        <v>34.782608695652172</v>
      </c>
      <c r="H13" s="15">
        <f t="shared" si="1"/>
        <v>424</v>
      </c>
      <c r="I13" s="2">
        <v>824</v>
      </c>
      <c r="J13">
        <f t="shared" si="2"/>
        <v>24</v>
      </c>
      <c r="K13" s="1">
        <f t="shared" si="3"/>
        <v>1.03</v>
      </c>
      <c r="L13" s="68">
        <f>I13/L2</f>
        <v>35.826086956521742</v>
      </c>
      <c r="M13" s="9">
        <v>0</v>
      </c>
      <c r="N13" s="8">
        <f t="shared" si="4"/>
        <v>0</v>
      </c>
      <c r="P13" s="42">
        <f>I13*F13</f>
        <v>436.72</v>
      </c>
      <c r="Q13" s="22">
        <f>(I13*F13)*M13</f>
        <v>0</v>
      </c>
    </row>
    <row r="14" spans="1:17" x14ac:dyDescent="0.2">
      <c r="A14" t="s">
        <v>8</v>
      </c>
      <c r="B14" s="60">
        <v>11000</v>
      </c>
      <c r="C14">
        <v>0.57509999999999994</v>
      </c>
      <c r="D14">
        <f t="shared" si="5"/>
        <v>3638.1401099999994</v>
      </c>
      <c r="E14">
        <f t="shared" si="0"/>
        <v>6326.0999999999995</v>
      </c>
      <c r="F14">
        <f t="shared" si="6"/>
        <v>0.42490000000000006</v>
      </c>
      <c r="G14" s="15">
        <f>B14/C1</f>
        <v>478.26086956521738</v>
      </c>
      <c r="H14" s="15">
        <f t="shared" si="1"/>
        <v>4673.9000000000005</v>
      </c>
      <c r="I14" s="2">
        <v>12792</v>
      </c>
      <c r="J14">
        <f t="shared" si="2"/>
        <v>1792</v>
      </c>
      <c r="K14" s="1">
        <f t="shared" si="3"/>
        <v>1.1629090909090909</v>
      </c>
      <c r="L14" s="68">
        <f>I14/L2</f>
        <v>556.17391304347825</v>
      </c>
      <c r="M14" s="35">
        <v>23.41</v>
      </c>
      <c r="N14" s="8">
        <f t="shared" si="4"/>
        <v>109415.99900000001</v>
      </c>
      <c r="P14" s="42">
        <f t="shared" si="7"/>
        <v>5435.3208000000004</v>
      </c>
      <c r="Q14" s="22">
        <f t="shared" si="8"/>
        <v>127240.85992800001</v>
      </c>
    </row>
    <row r="15" spans="1:17" hidden="1" x14ac:dyDescent="0.2">
      <c r="A15" t="s">
        <v>10</v>
      </c>
      <c r="B15" s="60"/>
      <c r="D15">
        <f t="shared" si="5"/>
        <v>0</v>
      </c>
      <c r="E15">
        <f t="shared" si="0"/>
        <v>0</v>
      </c>
      <c r="G15" s="15">
        <f>B15/C12</f>
        <v>0</v>
      </c>
      <c r="H15" s="15">
        <f t="shared" si="1"/>
        <v>0</v>
      </c>
      <c r="I15" s="2"/>
      <c r="J15">
        <f t="shared" si="2"/>
        <v>0</v>
      </c>
      <c r="K15" s="1" t="e">
        <f t="shared" si="3"/>
        <v>#DIV/0!</v>
      </c>
      <c r="L15" s="68"/>
      <c r="M15" s="9"/>
      <c r="N15" s="8">
        <f t="shared" si="4"/>
        <v>0</v>
      </c>
      <c r="P15" s="42">
        <f t="shared" si="7"/>
        <v>0</v>
      </c>
      <c r="Q15" s="22">
        <f t="shared" si="8"/>
        <v>0</v>
      </c>
    </row>
    <row r="16" spans="1:17" x14ac:dyDescent="0.2">
      <c r="A16" t="s">
        <v>11</v>
      </c>
      <c r="B16" s="60">
        <v>4800</v>
      </c>
      <c r="C16">
        <v>0.58099999999999996</v>
      </c>
      <c r="D16">
        <f t="shared" si="5"/>
        <v>1620.2927999999997</v>
      </c>
      <c r="E16">
        <f t="shared" si="0"/>
        <v>2788.7999999999997</v>
      </c>
      <c r="F16">
        <f t="shared" si="6"/>
        <v>0.41900000000000004</v>
      </c>
      <c r="G16" s="15">
        <f>B16/C1</f>
        <v>208.69565217391303</v>
      </c>
      <c r="H16" s="15">
        <f t="shared" si="1"/>
        <v>2011.2000000000003</v>
      </c>
      <c r="I16" s="2">
        <v>7841</v>
      </c>
      <c r="J16">
        <f t="shared" si="2"/>
        <v>3041</v>
      </c>
      <c r="K16" s="1">
        <f t="shared" si="3"/>
        <v>1.6335416666666667</v>
      </c>
      <c r="L16" s="68">
        <f>I16/L2</f>
        <v>340.91304347826087</v>
      </c>
      <c r="M16" s="9">
        <v>27.41</v>
      </c>
      <c r="N16" s="8">
        <f t="shared" si="4"/>
        <v>55126.992000000006</v>
      </c>
      <c r="P16" s="42">
        <f t="shared" si="7"/>
        <v>3285.3790000000004</v>
      </c>
      <c r="Q16" s="22">
        <f t="shared" si="8"/>
        <v>90052.238390000013</v>
      </c>
    </row>
    <row r="17" spans="1:19" x14ac:dyDescent="0.2">
      <c r="A17" t="s">
        <v>16</v>
      </c>
      <c r="B17" s="60">
        <v>1100</v>
      </c>
      <c r="C17">
        <v>0.58099999999999996</v>
      </c>
      <c r="D17">
        <f t="shared" si="5"/>
        <v>371.31709999999993</v>
      </c>
      <c r="E17">
        <f t="shared" si="0"/>
        <v>639.09999999999991</v>
      </c>
      <c r="F17">
        <f>1-C17</f>
        <v>0.41900000000000004</v>
      </c>
      <c r="G17" s="15">
        <f>B17/C1</f>
        <v>47.826086956521742</v>
      </c>
      <c r="H17" s="15">
        <f t="shared" si="1"/>
        <v>460.90000000000003</v>
      </c>
      <c r="I17" s="2">
        <v>3236</v>
      </c>
      <c r="J17">
        <f t="shared" si="2"/>
        <v>2136</v>
      </c>
      <c r="K17" s="1">
        <f t="shared" si="3"/>
        <v>2.9418181818181819</v>
      </c>
      <c r="L17" s="68">
        <f>I17/L2</f>
        <v>140.69565217391303</v>
      </c>
      <c r="M17" s="9">
        <v>20.6</v>
      </c>
      <c r="N17" s="8">
        <f t="shared" si="4"/>
        <v>9494.5400000000009</v>
      </c>
      <c r="P17" s="42">
        <f t="shared" si="7"/>
        <v>1355.884</v>
      </c>
      <c r="Q17" s="22">
        <f t="shared" si="8"/>
        <v>27931.210400000004</v>
      </c>
    </row>
    <row r="18" spans="1:19" x14ac:dyDescent="0.2">
      <c r="A18" t="s">
        <v>51</v>
      </c>
      <c r="B18" s="60">
        <v>2000</v>
      </c>
      <c r="C18">
        <v>0.50019999999999998</v>
      </c>
      <c r="D18">
        <f t="shared" si="5"/>
        <v>500.40007999999995</v>
      </c>
      <c r="E18">
        <f t="shared" si="0"/>
        <v>1000.4</v>
      </c>
      <c r="F18">
        <f t="shared" si="6"/>
        <v>0.49980000000000002</v>
      </c>
      <c r="G18" s="15">
        <f>B18/C1</f>
        <v>86.956521739130437</v>
      </c>
      <c r="H18" s="15">
        <f t="shared" si="1"/>
        <v>999.6</v>
      </c>
      <c r="I18" s="2">
        <v>4635</v>
      </c>
      <c r="J18">
        <f t="shared" si="2"/>
        <v>2635</v>
      </c>
      <c r="K18" s="1">
        <f t="shared" si="3"/>
        <v>2.3174999999999999</v>
      </c>
      <c r="L18" s="68">
        <f>I18/L2</f>
        <v>201.52173913043478</v>
      </c>
      <c r="M18" s="9">
        <v>25</v>
      </c>
      <c r="N18" s="8">
        <f t="shared" si="4"/>
        <v>24990</v>
      </c>
      <c r="P18" s="42">
        <f t="shared" si="7"/>
        <v>2316.5730000000003</v>
      </c>
      <c r="Q18" s="22">
        <f t="shared" si="8"/>
        <v>57914.325000000012</v>
      </c>
    </row>
    <row r="19" spans="1:19" x14ac:dyDescent="0.2">
      <c r="A19" t="s">
        <v>13</v>
      </c>
      <c r="B19" s="60">
        <v>3500</v>
      </c>
      <c r="C19">
        <v>0.58109999999999995</v>
      </c>
      <c r="D19">
        <f t="shared" si="5"/>
        <v>1181.8702349999999</v>
      </c>
      <c r="E19">
        <f t="shared" si="0"/>
        <v>2033.85</v>
      </c>
      <c r="F19">
        <f t="shared" si="6"/>
        <v>0.41890000000000005</v>
      </c>
      <c r="G19" s="15">
        <f>B19/C1</f>
        <v>152.17391304347825</v>
      </c>
      <c r="H19" s="15">
        <f t="shared" si="1"/>
        <v>1466.15</v>
      </c>
      <c r="I19" s="2">
        <v>5900</v>
      </c>
      <c r="J19">
        <f t="shared" si="2"/>
        <v>2400</v>
      </c>
      <c r="K19" s="1">
        <f t="shared" si="3"/>
        <v>1.6857142857142857</v>
      </c>
      <c r="L19" s="68">
        <f>I19/L2</f>
        <v>256.52173913043481</v>
      </c>
      <c r="M19" s="35">
        <v>20.86</v>
      </c>
      <c r="N19" s="8">
        <f t="shared" si="4"/>
        <v>30583.889000000003</v>
      </c>
      <c r="P19" s="42">
        <f t="shared" si="7"/>
        <v>2471.5100000000002</v>
      </c>
      <c r="Q19" s="22">
        <f t="shared" si="8"/>
        <v>51555.698600000003</v>
      </c>
    </row>
    <row r="20" spans="1:19" x14ac:dyDescent="0.2">
      <c r="A20" t="s">
        <v>14</v>
      </c>
      <c r="B20" s="60">
        <v>4500</v>
      </c>
      <c r="C20">
        <v>0.50819999999999999</v>
      </c>
      <c r="D20">
        <f t="shared" si="5"/>
        <v>1162.2025800000001</v>
      </c>
      <c r="E20">
        <f t="shared" si="0"/>
        <v>2286.9</v>
      </c>
      <c r="F20">
        <f t="shared" si="6"/>
        <v>0.49180000000000001</v>
      </c>
      <c r="G20" s="15">
        <f>B20/C1</f>
        <v>195.65217391304347</v>
      </c>
      <c r="H20" s="15">
        <f t="shared" si="1"/>
        <v>2213.1</v>
      </c>
      <c r="I20" s="2">
        <v>4089</v>
      </c>
      <c r="J20">
        <f t="shared" si="2"/>
        <v>-411</v>
      </c>
      <c r="K20" s="1">
        <f t="shared" si="3"/>
        <v>0.90866666666666662</v>
      </c>
      <c r="L20" s="68">
        <f>I20/L2</f>
        <v>177.78260869565219</v>
      </c>
      <c r="M20" s="65">
        <v>28.78</v>
      </c>
      <c r="N20" s="8">
        <f t="shared" si="4"/>
        <v>63693.017999999996</v>
      </c>
      <c r="P20" s="42">
        <f t="shared" si="7"/>
        <v>2010.9702</v>
      </c>
      <c r="Q20" s="22">
        <f t="shared" si="8"/>
        <v>57875.722355999998</v>
      </c>
    </row>
    <row r="21" spans="1:19" ht="15" thickBot="1" x14ac:dyDescent="0.25">
      <c r="A21" s="5" t="s">
        <v>15</v>
      </c>
      <c r="B21" s="61">
        <v>2200</v>
      </c>
      <c r="C21" s="5">
        <v>0.5413</v>
      </c>
      <c r="D21" s="5">
        <f t="shared" si="5"/>
        <v>644.61251799999991</v>
      </c>
      <c r="E21" s="5">
        <f t="shared" si="0"/>
        <v>1190.8599999999999</v>
      </c>
      <c r="F21" s="5">
        <f t="shared" si="6"/>
        <v>0.4587</v>
      </c>
      <c r="G21" s="16">
        <f>B21/C1</f>
        <v>95.652173913043484</v>
      </c>
      <c r="H21" s="16">
        <f t="shared" si="1"/>
        <v>1009.14</v>
      </c>
      <c r="I21" s="38">
        <v>3431</v>
      </c>
      <c r="J21" s="5">
        <f t="shared" si="2"/>
        <v>1231</v>
      </c>
      <c r="K21" s="6">
        <f t="shared" si="3"/>
        <v>1.5595454545454546</v>
      </c>
      <c r="L21" s="69">
        <f>I21/L2</f>
        <v>149.17391304347825</v>
      </c>
      <c r="M21" s="10">
        <v>23.24</v>
      </c>
      <c r="N21" s="14">
        <f t="shared" si="4"/>
        <v>23452.4136</v>
      </c>
      <c r="O21" s="5"/>
      <c r="P21" s="43">
        <f t="shared" si="7"/>
        <v>1573.7997</v>
      </c>
      <c r="Q21" s="25">
        <f t="shared" si="8"/>
        <v>36575.105027999998</v>
      </c>
    </row>
    <row r="22" spans="1:19" ht="15" hidden="1" thickBot="1" x14ac:dyDescent="0.25">
      <c r="A22" s="3" t="s">
        <v>24</v>
      </c>
      <c r="B22" s="62"/>
      <c r="C22" s="5">
        <v>0.2555</v>
      </c>
      <c r="E22">
        <f t="shared" si="0"/>
        <v>0</v>
      </c>
      <c r="F22" s="5">
        <f t="shared" si="6"/>
        <v>0.74449999999999994</v>
      </c>
      <c r="G22" s="16">
        <f>B22/21</f>
        <v>0</v>
      </c>
      <c r="H22" s="16">
        <f t="shared" si="1"/>
        <v>0</v>
      </c>
      <c r="I22" s="4"/>
      <c r="J22" s="5">
        <f t="shared" si="2"/>
        <v>0</v>
      </c>
      <c r="K22" s="6" t="e">
        <f>I22/B22</f>
        <v>#DIV/0!</v>
      </c>
      <c r="L22" s="6"/>
      <c r="M22" s="10">
        <v>25</v>
      </c>
      <c r="N22" s="14">
        <f t="shared" si="4"/>
        <v>0</v>
      </c>
      <c r="P22" s="43">
        <f t="shared" si="7"/>
        <v>0</v>
      </c>
      <c r="Q22" s="25">
        <f t="shared" si="8"/>
        <v>0</v>
      </c>
    </row>
    <row r="23" spans="1:19" ht="15" thickBot="1" x14ac:dyDescent="0.25">
      <c r="B23" s="60">
        <f>SUM(B4:B22)</f>
        <v>41500</v>
      </c>
      <c r="C23" s="39">
        <f>D23/E23</f>
        <v>0.56069199481156162</v>
      </c>
      <c r="D23" s="31">
        <f>SUM(D4:D21)</f>
        <v>13253.171999</v>
      </c>
      <c r="E23" s="28">
        <f>SUM(E4:E22)</f>
        <v>23637.17</v>
      </c>
      <c r="G23" s="33">
        <f>SUM(G4:G22)</f>
        <v>1804.3478260869567</v>
      </c>
      <c r="H23" s="33">
        <f>SUM(H4:H22)</f>
        <v>18894.830000000002</v>
      </c>
      <c r="I23" s="32">
        <f>SUM(I$4:I$21)</f>
        <v>58793</v>
      </c>
      <c r="J23" s="28">
        <f t="shared" si="2"/>
        <v>17293</v>
      </c>
      <c r="K23" s="1">
        <f>I23/B23</f>
        <v>1.4166987951807228</v>
      </c>
      <c r="L23" s="68">
        <f>SUM(L4:L21)</f>
        <v>2556.217391304348</v>
      </c>
      <c r="M23" s="9"/>
      <c r="N23" s="8">
        <f>SUM(N4:N22)</f>
        <v>430087.26459999999</v>
      </c>
      <c r="O23" s="8"/>
      <c r="P23" s="44">
        <f>SUM(P4:P22)</f>
        <v>25987.491799999996</v>
      </c>
      <c r="Q23" s="22">
        <f>SUM(Q4:Q22)</f>
        <v>592657.79988599999</v>
      </c>
      <c r="R23" s="17"/>
    </row>
    <row r="24" spans="1:19" ht="15" thickBot="1" x14ac:dyDescent="0.25">
      <c r="A24" t="s">
        <v>104</v>
      </c>
      <c r="B24" s="63">
        <f>B23/23</f>
        <v>1804.3478260869565</v>
      </c>
      <c r="C24" s="54" t="s">
        <v>87</v>
      </c>
      <c r="F24" s="20">
        <f>B24/31</f>
        <v>58.20476858345021</v>
      </c>
      <c r="G24" s="15"/>
      <c r="H24" s="34">
        <f>H23/22</f>
        <v>858.85590909090922</v>
      </c>
      <c r="I24" s="52">
        <f>I23/23</f>
        <v>2556.217391304348</v>
      </c>
      <c r="J24" s="53" t="s">
        <v>86</v>
      </c>
      <c r="K24" s="54"/>
      <c r="L24" s="19"/>
      <c r="N24" s="8">
        <f>N23/H23</f>
        <v>22.76216640213222</v>
      </c>
      <c r="O24" s="8" t="s">
        <v>29</v>
      </c>
      <c r="P24" s="45">
        <f>P23/H23</f>
        <v>1.375375793272551</v>
      </c>
      <c r="Q24" s="47">
        <f>Q23/P23</f>
        <v>22.805502141072349</v>
      </c>
      <c r="R24" s="48" t="s">
        <v>84</v>
      </c>
    </row>
    <row r="25" spans="1:19" ht="15" thickBot="1" x14ac:dyDescent="0.25">
      <c r="B25" s="55"/>
      <c r="H25" s="40" t="s">
        <v>81</v>
      </c>
      <c r="I25" s="41">
        <f>I24-B24</f>
        <v>751.86956521739148</v>
      </c>
      <c r="J25" s="59">
        <f>I25/B24</f>
        <v>0.416698795180723</v>
      </c>
      <c r="Q25" s="49">
        <f>Q23/I23</f>
        <v>10.08041433310088</v>
      </c>
      <c r="R25" s="50" t="s">
        <v>85</v>
      </c>
      <c r="S25">
        <v>11.57</v>
      </c>
    </row>
    <row r="27" spans="1:19" x14ac:dyDescent="0.2">
      <c r="G27" s="46"/>
      <c r="H27">
        <v>1</v>
      </c>
      <c r="I27" t="s">
        <v>106</v>
      </c>
      <c r="J27" s="41">
        <f>I24</f>
        <v>2556.217391304348</v>
      </c>
      <c r="K27">
        <f>H27*J27</f>
        <v>2556.217391304348</v>
      </c>
      <c r="M27" s="41">
        <f>K27+I23</f>
        <v>61349.217391304352</v>
      </c>
      <c r="N27" t="s">
        <v>83</v>
      </c>
    </row>
    <row r="28" spans="1:19" x14ac:dyDescent="0.2">
      <c r="A28" t="s">
        <v>89</v>
      </c>
      <c r="I28" t="s">
        <v>92</v>
      </c>
      <c r="J28" s="41">
        <f>K28/H27</f>
        <v>17293</v>
      </c>
      <c r="K28" s="41">
        <f>J23</f>
        <v>17293</v>
      </c>
      <c r="L28" s="41"/>
    </row>
    <row r="29" spans="1:19" x14ac:dyDescent="0.2">
      <c r="A29" t="s">
        <v>105</v>
      </c>
    </row>
    <row r="30" spans="1:19" x14ac:dyDescent="0.2">
      <c r="A30" t="s">
        <v>103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1"/>
  <sheetViews>
    <sheetView zoomScaleNormal="100" zoomScaleSheetLayoutView="100" workbookViewId="0">
      <selection activeCell="J1" sqref="J1"/>
    </sheetView>
  </sheetViews>
  <sheetFormatPr defaultRowHeight="14.25" x14ac:dyDescent="0.2"/>
  <cols>
    <col min="1" max="1" width="26.625" customWidth="1"/>
    <col min="4" max="4" width="13" hidden="1" customWidth="1"/>
    <col min="7" max="7" width="9.5" customWidth="1"/>
    <col min="9" max="9" width="13.625" customWidth="1"/>
    <col min="10" max="10" width="9.625" customWidth="1"/>
    <col min="13" max="13" width="13.875" customWidth="1"/>
    <col min="16" max="16" width="11.75" customWidth="1"/>
  </cols>
  <sheetData>
    <row r="1" spans="1:16" x14ac:dyDescent="0.2">
      <c r="B1" t="s">
        <v>112</v>
      </c>
      <c r="C1">
        <v>20</v>
      </c>
      <c r="L1" s="57" t="s">
        <v>22</v>
      </c>
      <c r="M1" s="57" t="s">
        <v>23</v>
      </c>
    </row>
    <row r="2" spans="1:16" ht="15" thickBot="1" x14ac:dyDescent="0.25">
      <c r="A2" s="19" t="s">
        <v>39</v>
      </c>
      <c r="B2" t="s">
        <v>65</v>
      </c>
      <c r="C2" t="s">
        <v>115</v>
      </c>
      <c r="I2" s="2" t="s">
        <v>102</v>
      </c>
      <c r="L2" s="58">
        <f>(C1-H27)/20</f>
        <v>1</v>
      </c>
      <c r="M2" s="58">
        <f>I23/B23</f>
        <v>1.0806511627906976</v>
      </c>
      <c r="N2" s="17">
        <f>M2-L2</f>
        <v>8.0651162790697617E-2</v>
      </c>
      <c r="O2" s="36" t="s">
        <v>44</v>
      </c>
      <c r="P2" s="36"/>
    </row>
    <row r="3" spans="1:16" ht="15" thickBot="1" x14ac:dyDescent="0.25">
      <c r="A3" s="11" t="s">
        <v>107</v>
      </c>
      <c r="B3" s="12" t="s">
        <v>19</v>
      </c>
      <c r="C3" s="12" t="s">
        <v>30</v>
      </c>
      <c r="D3" s="12"/>
      <c r="E3" s="12" t="s">
        <v>29</v>
      </c>
      <c r="F3" s="12" t="s">
        <v>28</v>
      </c>
      <c r="G3" s="12" t="s">
        <v>27</v>
      </c>
      <c r="H3" s="12" t="s">
        <v>29</v>
      </c>
      <c r="I3" s="64">
        <v>42850</v>
      </c>
      <c r="J3" s="12" t="s">
        <v>20</v>
      </c>
      <c r="K3" s="12" t="s">
        <v>21</v>
      </c>
      <c r="L3" s="12" t="s">
        <v>25</v>
      </c>
      <c r="M3" s="12" t="s">
        <v>26</v>
      </c>
      <c r="N3" s="12"/>
      <c r="O3" s="51" t="s">
        <v>28</v>
      </c>
      <c r="P3" s="51" t="s">
        <v>43</v>
      </c>
    </row>
    <row r="4" spans="1:16" ht="15" thickTop="1" x14ac:dyDescent="0.2">
      <c r="A4" t="s">
        <v>0</v>
      </c>
      <c r="B4" s="60">
        <v>3500</v>
      </c>
      <c r="C4">
        <v>0.54669999999999996</v>
      </c>
      <c r="D4">
        <f>C4*E4</f>
        <v>1046.0831149999999</v>
      </c>
      <c r="E4">
        <f t="shared" ref="E4:E22" si="0">B4*C4</f>
        <v>1913.4499999999998</v>
      </c>
      <c r="F4">
        <f>1-C4</f>
        <v>0.45330000000000004</v>
      </c>
      <c r="G4" s="15">
        <f>B4/C1</f>
        <v>175</v>
      </c>
      <c r="H4" s="15">
        <f t="shared" ref="H4:H22" si="1">B4*F4</f>
        <v>1586.5500000000002</v>
      </c>
      <c r="I4" s="2">
        <v>2707</v>
      </c>
      <c r="J4">
        <f t="shared" ref="J4:J23" si="2">I4-B4</f>
        <v>-793</v>
      </c>
      <c r="K4" s="1">
        <f t="shared" ref="K4:K21" si="3">I4/B4</f>
        <v>0.77342857142857147</v>
      </c>
      <c r="L4" s="8">
        <v>23.67</v>
      </c>
      <c r="M4" s="8">
        <f t="shared" ref="M4:M22" si="4">(B4*F4)*L4</f>
        <v>37553.638500000008</v>
      </c>
      <c r="O4" s="42">
        <f>I4*F4</f>
        <v>1227.0831000000001</v>
      </c>
      <c r="P4" s="22">
        <f>(I4*F4)*L4</f>
        <v>29045.056977000004</v>
      </c>
    </row>
    <row r="5" spans="1:16" x14ac:dyDescent="0.2">
      <c r="A5" t="s">
        <v>17</v>
      </c>
      <c r="B5" s="60">
        <v>0</v>
      </c>
      <c r="C5">
        <v>0.43130000000000002</v>
      </c>
      <c r="D5">
        <v>184.29849000000002</v>
      </c>
      <c r="E5">
        <v>429.3</v>
      </c>
      <c r="F5">
        <v>0.57069999999999999</v>
      </c>
      <c r="G5" s="15">
        <f>B5/C1</f>
        <v>0</v>
      </c>
      <c r="H5" s="15">
        <v>570.69999999999993</v>
      </c>
      <c r="I5" s="2"/>
      <c r="J5">
        <v>-334</v>
      </c>
      <c r="K5" s="1" t="e">
        <f t="shared" si="3"/>
        <v>#DIV/0!</v>
      </c>
      <c r="L5" s="8">
        <v>18.98</v>
      </c>
      <c r="M5" s="8">
        <v>10843.3</v>
      </c>
      <c r="O5" s="42">
        <f>I5*F5</f>
        <v>0</v>
      </c>
      <c r="P5" s="22">
        <f>(I5*F5)*L5</f>
        <v>0</v>
      </c>
    </row>
    <row r="6" spans="1:16" x14ac:dyDescent="0.2">
      <c r="A6" t="s">
        <v>1</v>
      </c>
      <c r="B6" s="60">
        <v>100</v>
      </c>
      <c r="C6">
        <v>0.51100000000000001</v>
      </c>
      <c r="D6">
        <f t="shared" ref="D6:D21" si="5">C6*E6</f>
        <v>26.112100000000002</v>
      </c>
      <c r="E6">
        <f t="shared" si="0"/>
        <v>51.1</v>
      </c>
      <c r="F6">
        <f t="shared" ref="F6:F22" si="6">1-C6</f>
        <v>0.48899999999999999</v>
      </c>
      <c r="G6" s="15">
        <f>B6/C1</f>
        <v>5</v>
      </c>
      <c r="H6" s="15">
        <f t="shared" si="1"/>
        <v>48.9</v>
      </c>
      <c r="I6" s="2">
        <v>63</v>
      </c>
      <c r="J6">
        <f t="shared" si="2"/>
        <v>-37</v>
      </c>
      <c r="K6" s="1">
        <f t="shared" si="3"/>
        <v>0.63</v>
      </c>
      <c r="L6" s="9">
        <v>28</v>
      </c>
      <c r="M6" s="8">
        <f t="shared" si="4"/>
        <v>1369.2</v>
      </c>
      <c r="O6" s="42">
        <f t="shared" ref="O6:O22" si="7">I6*F6</f>
        <v>30.806999999999999</v>
      </c>
      <c r="P6" s="22">
        <f t="shared" ref="P6:P22" si="8">(I6*F6)*L6</f>
        <v>862.596</v>
      </c>
    </row>
    <row r="7" spans="1:16" x14ac:dyDescent="0.2">
      <c r="A7" t="s">
        <v>2</v>
      </c>
      <c r="B7" s="60">
        <v>3000</v>
      </c>
      <c r="C7">
        <v>0.49980000000000002</v>
      </c>
      <c r="D7">
        <f t="shared" si="5"/>
        <v>749.40012000000013</v>
      </c>
      <c r="E7">
        <f t="shared" si="0"/>
        <v>1499.4</v>
      </c>
      <c r="F7">
        <f t="shared" si="6"/>
        <v>0.50019999999999998</v>
      </c>
      <c r="G7" s="15">
        <f>B7/C1</f>
        <v>150</v>
      </c>
      <c r="H7" s="15">
        <f t="shared" si="1"/>
        <v>1500.6</v>
      </c>
      <c r="I7" s="2">
        <v>1166</v>
      </c>
      <c r="J7">
        <f t="shared" si="2"/>
        <v>-1834</v>
      </c>
      <c r="K7" s="1">
        <f t="shared" si="3"/>
        <v>0.38866666666666666</v>
      </c>
      <c r="L7" s="9">
        <v>23.46</v>
      </c>
      <c r="M7" s="8">
        <f t="shared" si="4"/>
        <v>35204.076000000001</v>
      </c>
      <c r="O7" s="42">
        <f t="shared" si="7"/>
        <v>583.23320000000001</v>
      </c>
      <c r="P7" s="22">
        <f t="shared" si="8"/>
        <v>13682.650872</v>
      </c>
    </row>
    <row r="8" spans="1:16" x14ac:dyDescent="0.2">
      <c r="A8" t="s">
        <v>68</v>
      </c>
      <c r="B8" s="60">
        <v>2000</v>
      </c>
      <c r="C8">
        <v>0.4758</v>
      </c>
      <c r="D8">
        <f t="shared" si="5"/>
        <v>452.77127999999999</v>
      </c>
      <c r="E8">
        <f t="shared" si="0"/>
        <v>951.6</v>
      </c>
      <c r="F8">
        <f t="shared" si="6"/>
        <v>0.5242</v>
      </c>
      <c r="G8" s="15">
        <f>B8/C1</f>
        <v>100</v>
      </c>
      <c r="H8" s="15">
        <f t="shared" si="1"/>
        <v>1048.4000000000001</v>
      </c>
      <c r="I8" s="2">
        <v>2744</v>
      </c>
      <c r="J8">
        <f t="shared" si="2"/>
        <v>744</v>
      </c>
      <c r="K8" s="1">
        <f t="shared" si="3"/>
        <v>1.3720000000000001</v>
      </c>
      <c r="L8" s="9">
        <v>23.09</v>
      </c>
      <c r="M8" s="8">
        <f t="shared" si="4"/>
        <v>24207.556</v>
      </c>
      <c r="O8" s="42">
        <f t="shared" si="7"/>
        <v>1438.4048</v>
      </c>
      <c r="P8" s="22">
        <f t="shared" si="8"/>
        <v>33212.766832000001</v>
      </c>
    </row>
    <row r="9" spans="1:16" x14ac:dyDescent="0.2">
      <c r="A9" t="s">
        <v>5</v>
      </c>
      <c r="B9" s="60">
        <v>3000</v>
      </c>
      <c r="C9">
        <v>0.53220000000000001</v>
      </c>
      <c r="D9">
        <f t="shared" si="5"/>
        <v>849.71051999999997</v>
      </c>
      <c r="E9">
        <f t="shared" si="0"/>
        <v>1596.6</v>
      </c>
      <c r="F9">
        <f>1-C9</f>
        <v>0.46779999999999999</v>
      </c>
      <c r="G9" s="15">
        <f>B9/C1</f>
        <v>150</v>
      </c>
      <c r="H9" s="15">
        <f t="shared" si="1"/>
        <v>1403.4</v>
      </c>
      <c r="I9" s="2">
        <v>2443</v>
      </c>
      <c r="J9">
        <f t="shared" si="2"/>
        <v>-557</v>
      </c>
      <c r="K9" s="1">
        <f t="shared" si="3"/>
        <v>0.81433333333333335</v>
      </c>
      <c r="L9" s="9">
        <v>11.99</v>
      </c>
      <c r="M9" s="8">
        <f t="shared" si="4"/>
        <v>16826.766</v>
      </c>
      <c r="O9" s="42">
        <f>I9*F9</f>
        <v>1142.8353999999999</v>
      </c>
      <c r="P9" s="22">
        <f>(I9*F9)*L9</f>
        <v>13702.596446</v>
      </c>
    </row>
    <row r="10" spans="1:16" x14ac:dyDescent="0.2">
      <c r="A10" t="s">
        <v>4</v>
      </c>
      <c r="B10" s="60">
        <v>100</v>
      </c>
      <c r="C10">
        <v>0.13020000000000001</v>
      </c>
      <c r="D10">
        <f t="shared" si="5"/>
        <v>1.6952040000000004</v>
      </c>
      <c r="E10">
        <f t="shared" si="0"/>
        <v>13.020000000000001</v>
      </c>
      <c r="F10">
        <f t="shared" si="6"/>
        <v>0.86980000000000002</v>
      </c>
      <c r="G10" s="15">
        <f>B10/C1</f>
        <v>5</v>
      </c>
      <c r="H10" s="15">
        <f t="shared" si="1"/>
        <v>86.98</v>
      </c>
      <c r="I10" s="2">
        <v>154</v>
      </c>
      <c r="J10">
        <f t="shared" si="2"/>
        <v>54</v>
      </c>
      <c r="K10" s="1">
        <f t="shared" si="3"/>
        <v>1.54</v>
      </c>
      <c r="L10" s="9">
        <v>0</v>
      </c>
      <c r="M10" s="8">
        <f t="shared" si="4"/>
        <v>0</v>
      </c>
      <c r="O10" s="42">
        <f t="shared" si="7"/>
        <v>133.94919999999999</v>
      </c>
      <c r="P10" s="22">
        <f t="shared" si="8"/>
        <v>0</v>
      </c>
    </row>
    <row r="11" spans="1:16" x14ac:dyDescent="0.2">
      <c r="A11" t="s">
        <v>6</v>
      </c>
      <c r="B11" s="60">
        <v>0</v>
      </c>
      <c r="C11">
        <v>0.69679999999999997</v>
      </c>
      <c r="D11">
        <f t="shared" si="5"/>
        <v>0</v>
      </c>
      <c r="E11">
        <f t="shared" si="0"/>
        <v>0</v>
      </c>
      <c r="F11">
        <f t="shared" si="6"/>
        <v>0.30320000000000003</v>
      </c>
      <c r="G11" s="15">
        <f>B11/C8</f>
        <v>0</v>
      </c>
      <c r="H11" s="15">
        <f t="shared" si="1"/>
        <v>0</v>
      </c>
      <c r="I11" s="2">
        <v>273</v>
      </c>
      <c r="J11">
        <f t="shared" si="2"/>
        <v>273</v>
      </c>
      <c r="K11" s="1" t="e">
        <f t="shared" si="3"/>
        <v>#DIV/0!</v>
      </c>
      <c r="L11" s="9">
        <v>0</v>
      </c>
      <c r="M11" s="8">
        <f t="shared" si="4"/>
        <v>0</v>
      </c>
      <c r="O11" s="42">
        <f t="shared" si="7"/>
        <v>82.773600000000002</v>
      </c>
      <c r="P11" s="22">
        <f t="shared" si="8"/>
        <v>0</v>
      </c>
    </row>
    <row r="12" spans="1:16" x14ac:dyDescent="0.2">
      <c r="A12" t="s">
        <v>7</v>
      </c>
      <c r="B12" s="60">
        <v>100</v>
      </c>
      <c r="C12">
        <v>0.64129999999999998</v>
      </c>
      <c r="D12">
        <f t="shared" si="5"/>
        <v>41.126568999999996</v>
      </c>
      <c r="E12">
        <f t="shared" si="0"/>
        <v>64.13</v>
      </c>
      <c r="F12">
        <f t="shared" si="6"/>
        <v>0.35870000000000002</v>
      </c>
      <c r="G12" s="15">
        <f>B12/C1</f>
        <v>5</v>
      </c>
      <c r="H12" s="15">
        <f t="shared" si="1"/>
        <v>35.870000000000005</v>
      </c>
      <c r="I12" s="2"/>
      <c r="J12">
        <f t="shared" si="2"/>
        <v>-100</v>
      </c>
      <c r="K12" s="1">
        <f t="shared" si="3"/>
        <v>0</v>
      </c>
      <c r="L12" s="65">
        <v>12</v>
      </c>
      <c r="M12" s="8">
        <f t="shared" si="4"/>
        <v>430.44000000000005</v>
      </c>
      <c r="O12" s="42">
        <f t="shared" si="7"/>
        <v>0</v>
      </c>
      <c r="P12" s="22">
        <f t="shared" si="8"/>
        <v>0</v>
      </c>
    </row>
    <row r="13" spans="1:16" x14ac:dyDescent="0.2">
      <c r="A13" t="s">
        <v>9</v>
      </c>
      <c r="B13" s="60">
        <v>500</v>
      </c>
      <c r="C13" s="66">
        <v>0.63649999999999995</v>
      </c>
      <c r="D13">
        <f t="shared" si="5"/>
        <v>202.566125</v>
      </c>
      <c r="E13">
        <f t="shared" si="0"/>
        <v>318.25</v>
      </c>
      <c r="F13">
        <v>0.53</v>
      </c>
      <c r="G13" s="15">
        <f>B13/C1</f>
        <v>25</v>
      </c>
      <c r="H13" s="15">
        <f t="shared" si="1"/>
        <v>265</v>
      </c>
      <c r="I13" s="2">
        <v>1357</v>
      </c>
      <c r="J13">
        <f t="shared" si="2"/>
        <v>857</v>
      </c>
      <c r="K13" s="1">
        <f t="shared" si="3"/>
        <v>2.714</v>
      </c>
      <c r="L13" s="9">
        <v>0</v>
      </c>
      <c r="M13" s="8">
        <f t="shared" si="4"/>
        <v>0</v>
      </c>
      <c r="O13" s="42">
        <f>I13*F13</f>
        <v>719.21</v>
      </c>
      <c r="P13" s="22">
        <f>(I13*F13)*L13</f>
        <v>0</v>
      </c>
    </row>
    <row r="14" spans="1:16" x14ac:dyDescent="0.2">
      <c r="A14" t="s">
        <v>8</v>
      </c>
      <c r="B14" s="60">
        <v>11000</v>
      </c>
      <c r="C14">
        <v>0.50619999999999998</v>
      </c>
      <c r="D14">
        <f t="shared" si="5"/>
        <v>2818.62284</v>
      </c>
      <c r="E14">
        <f t="shared" si="0"/>
        <v>5568.2</v>
      </c>
      <c r="F14">
        <f t="shared" si="6"/>
        <v>0.49380000000000002</v>
      </c>
      <c r="G14" s="15">
        <f>B14/C1</f>
        <v>550</v>
      </c>
      <c r="H14" s="15">
        <f t="shared" si="1"/>
        <v>5431.8</v>
      </c>
      <c r="I14" s="2">
        <v>11014</v>
      </c>
      <c r="J14">
        <f t="shared" si="2"/>
        <v>14</v>
      </c>
      <c r="K14" s="1">
        <f t="shared" si="3"/>
        <v>1.0012727272727273</v>
      </c>
      <c r="L14" s="35">
        <v>23.25</v>
      </c>
      <c r="M14" s="8">
        <f t="shared" si="4"/>
        <v>126289.35</v>
      </c>
      <c r="O14" s="42">
        <f t="shared" si="7"/>
        <v>5438.7132000000001</v>
      </c>
      <c r="P14" s="22">
        <f t="shared" si="8"/>
        <v>126450.0819</v>
      </c>
    </row>
    <row r="15" spans="1:16" hidden="1" x14ac:dyDescent="0.2">
      <c r="A15" t="s">
        <v>10</v>
      </c>
      <c r="B15" s="60"/>
      <c r="D15">
        <f t="shared" si="5"/>
        <v>0</v>
      </c>
      <c r="E15">
        <f t="shared" si="0"/>
        <v>0</v>
      </c>
      <c r="G15" s="15">
        <f>B15/C12</f>
        <v>0</v>
      </c>
      <c r="H15" s="15">
        <f t="shared" si="1"/>
        <v>0</v>
      </c>
      <c r="I15" s="2"/>
      <c r="J15">
        <f t="shared" si="2"/>
        <v>0</v>
      </c>
      <c r="K15" s="1" t="e">
        <f t="shared" si="3"/>
        <v>#DIV/0!</v>
      </c>
      <c r="L15" s="9"/>
      <c r="M15" s="8">
        <f t="shared" si="4"/>
        <v>0</v>
      </c>
      <c r="O15" s="42">
        <f t="shared" si="7"/>
        <v>0</v>
      </c>
      <c r="P15" s="22">
        <f t="shared" si="8"/>
        <v>0</v>
      </c>
    </row>
    <row r="16" spans="1:16" x14ac:dyDescent="0.2">
      <c r="A16" t="s">
        <v>11</v>
      </c>
      <c r="B16" s="60">
        <v>5000</v>
      </c>
      <c r="C16">
        <v>0.53949999999999998</v>
      </c>
      <c r="D16">
        <f t="shared" si="5"/>
        <v>1455.30125</v>
      </c>
      <c r="E16">
        <f t="shared" si="0"/>
        <v>2697.5</v>
      </c>
      <c r="F16">
        <f t="shared" si="6"/>
        <v>0.46050000000000002</v>
      </c>
      <c r="G16" s="15">
        <f>B16/C1</f>
        <v>250</v>
      </c>
      <c r="H16" s="15">
        <f t="shared" si="1"/>
        <v>2302.5</v>
      </c>
      <c r="I16" s="2">
        <v>6891</v>
      </c>
      <c r="J16">
        <f t="shared" si="2"/>
        <v>1891</v>
      </c>
      <c r="K16" s="1">
        <f t="shared" si="3"/>
        <v>1.3782000000000001</v>
      </c>
      <c r="L16" s="9">
        <v>27.41</v>
      </c>
      <c r="M16" s="8">
        <f t="shared" si="4"/>
        <v>63111.525000000001</v>
      </c>
      <c r="O16" s="42">
        <f t="shared" si="7"/>
        <v>3173.3054999999999</v>
      </c>
      <c r="P16" s="22">
        <f t="shared" si="8"/>
        <v>86980.303755000001</v>
      </c>
    </row>
    <row r="17" spans="1:18" x14ac:dyDescent="0.2">
      <c r="A17" t="s">
        <v>16</v>
      </c>
      <c r="B17" s="60">
        <v>2500</v>
      </c>
      <c r="C17">
        <v>0.56279999999999997</v>
      </c>
      <c r="D17">
        <f t="shared" si="5"/>
        <v>791.8596</v>
      </c>
      <c r="E17">
        <f t="shared" si="0"/>
        <v>1407</v>
      </c>
      <c r="F17">
        <f>1-C17</f>
        <v>0.43720000000000003</v>
      </c>
      <c r="G17" s="15">
        <f>B17/C1</f>
        <v>125</v>
      </c>
      <c r="H17" s="15">
        <f t="shared" si="1"/>
        <v>1093</v>
      </c>
      <c r="I17" s="2">
        <v>4389</v>
      </c>
      <c r="J17">
        <f t="shared" si="2"/>
        <v>1889</v>
      </c>
      <c r="K17" s="1">
        <f t="shared" si="3"/>
        <v>1.7556</v>
      </c>
      <c r="L17" s="9">
        <v>20.6</v>
      </c>
      <c r="M17" s="8">
        <f t="shared" si="4"/>
        <v>22515.800000000003</v>
      </c>
      <c r="O17" s="42">
        <f t="shared" si="7"/>
        <v>1918.8708000000001</v>
      </c>
      <c r="P17" s="22">
        <f t="shared" si="8"/>
        <v>39528.738480000007</v>
      </c>
    </row>
    <row r="18" spans="1:18" x14ac:dyDescent="0.2">
      <c r="A18" t="s">
        <v>51</v>
      </c>
      <c r="B18" s="60">
        <v>2500</v>
      </c>
      <c r="C18">
        <v>0.47949999999999998</v>
      </c>
      <c r="D18">
        <f t="shared" si="5"/>
        <v>574.80062499999997</v>
      </c>
      <c r="E18">
        <f t="shared" si="0"/>
        <v>1198.75</v>
      </c>
      <c r="F18">
        <f t="shared" si="6"/>
        <v>0.52049999999999996</v>
      </c>
      <c r="G18" s="15">
        <f>B18/C1</f>
        <v>125</v>
      </c>
      <c r="H18" s="15">
        <f t="shared" si="1"/>
        <v>1301.25</v>
      </c>
      <c r="I18" s="2">
        <v>3098</v>
      </c>
      <c r="J18">
        <f t="shared" si="2"/>
        <v>598</v>
      </c>
      <c r="K18" s="1">
        <f t="shared" si="3"/>
        <v>1.2392000000000001</v>
      </c>
      <c r="L18" s="9">
        <v>25</v>
      </c>
      <c r="M18" s="8">
        <f t="shared" si="4"/>
        <v>32531.25</v>
      </c>
      <c r="O18" s="42">
        <f t="shared" si="7"/>
        <v>1612.5089999999998</v>
      </c>
      <c r="P18" s="22">
        <f t="shared" si="8"/>
        <v>40312.724999999991</v>
      </c>
    </row>
    <row r="19" spans="1:18" x14ac:dyDescent="0.2">
      <c r="A19" t="s">
        <v>13</v>
      </c>
      <c r="B19" s="60">
        <v>4000</v>
      </c>
      <c r="C19">
        <v>0.57940000000000003</v>
      </c>
      <c r="D19">
        <f t="shared" si="5"/>
        <v>1342.81744</v>
      </c>
      <c r="E19">
        <f t="shared" si="0"/>
        <v>2317.6</v>
      </c>
      <c r="F19">
        <f t="shared" si="6"/>
        <v>0.42059999999999997</v>
      </c>
      <c r="G19" s="15">
        <f>B19/C1</f>
        <v>200</v>
      </c>
      <c r="H19" s="15">
        <f t="shared" si="1"/>
        <v>1682.3999999999999</v>
      </c>
      <c r="I19" s="2">
        <v>5376</v>
      </c>
      <c r="J19">
        <f t="shared" si="2"/>
        <v>1376</v>
      </c>
      <c r="K19" s="1">
        <f t="shared" si="3"/>
        <v>1.3440000000000001</v>
      </c>
      <c r="L19" s="35">
        <v>22</v>
      </c>
      <c r="M19" s="8">
        <f t="shared" si="4"/>
        <v>37012.799999999996</v>
      </c>
      <c r="O19" s="42">
        <f t="shared" si="7"/>
        <v>2261.1455999999998</v>
      </c>
      <c r="P19" s="22">
        <f t="shared" si="8"/>
        <v>49745.203199999996</v>
      </c>
    </row>
    <row r="20" spans="1:18" x14ac:dyDescent="0.2">
      <c r="A20" t="s">
        <v>14</v>
      </c>
      <c r="B20" s="60">
        <v>3100</v>
      </c>
      <c r="C20">
        <v>0.56240000000000001</v>
      </c>
      <c r="D20">
        <f t="shared" si="5"/>
        <v>980.51065600000004</v>
      </c>
      <c r="E20">
        <f t="shared" si="0"/>
        <v>1743.44</v>
      </c>
      <c r="F20">
        <f t="shared" si="6"/>
        <v>0.43759999999999999</v>
      </c>
      <c r="G20" s="15">
        <f>B20/C1</f>
        <v>155</v>
      </c>
      <c r="H20" s="15">
        <f t="shared" si="1"/>
        <v>1356.56</v>
      </c>
      <c r="I20" s="2">
        <v>2441</v>
      </c>
      <c r="J20">
        <f t="shared" si="2"/>
        <v>-659</v>
      </c>
      <c r="K20" s="1">
        <f t="shared" si="3"/>
        <v>0.78741935483870973</v>
      </c>
      <c r="L20" s="65">
        <v>28.78</v>
      </c>
      <c r="M20" s="8">
        <f t="shared" si="4"/>
        <v>39041.796799999996</v>
      </c>
      <c r="O20" s="42">
        <f t="shared" si="7"/>
        <v>1068.1815999999999</v>
      </c>
      <c r="P20" s="22">
        <f t="shared" si="8"/>
        <v>30742.266447999998</v>
      </c>
    </row>
    <row r="21" spans="1:18" ht="15" thickBot="1" x14ac:dyDescent="0.25">
      <c r="A21" s="5" t="s">
        <v>15</v>
      </c>
      <c r="B21" s="61">
        <v>2600</v>
      </c>
      <c r="C21" s="5">
        <v>0.52829999999999999</v>
      </c>
      <c r="D21" s="5">
        <f t="shared" si="5"/>
        <v>725.66231399999992</v>
      </c>
      <c r="E21" s="5">
        <f t="shared" si="0"/>
        <v>1373.58</v>
      </c>
      <c r="F21" s="5">
        <f t="shared" si="6"/>
        <v>0.47170000000000001</v>
      </c>
      <c r="G21" s="16">
        <f>B21/C1</f>
        <v>130</v>
      </c>
      <c r="H21" s="16">
        <f t="shared" si="1"/>
        <v>1226.42</v>
      </c>
      <c r="I21" s="38">
        <v>2352</v>
      </c>
      <c r="J21" s="5">
        <f t="shared" si="2"/>
        <v>-248</v>
      </c>
      <c r="K21" s="6">
        <f t="shared" si="3"/>
        <v>0.9046153846153846</v>
      </c>
      <c r="L21" s="10">
        <v>23.24</v>
      </c>
      <c r="M21" s="14">
        <f t="shared" si="4"/>
        <v>28502.000799999998</v>
      </c>
      <c r="N21" s="5"/>
      <c r="O21" s="43">
        <f t="shared" si="7"/>
        <v>1109.4384</v>
      </c>
      <c r="P21" s="25">
        <f t="shared" si="8"/>
        <v>25783.348415999997</v>
      </c>
    </row>
    <row r="22" spans="1:18" ht="15" hidden="1" thickBot="1" x14ac:dyDescent="0.25">
      <c r="A22" s="3" t="s">
        <v>24</v>
      </c>
      <c r="B22" s="62"/>
      <c r="C22" s="5">
        <v>0.2555</v>
      </c>
      <c r="E22">
        <f t="shared" si="0"/>
        <v>0</v>
      </c>
      <c r="F22" s="5">
        <f t="shared" si="6"/>
        <v>0.74449999999999994</v>
      </c>
      <c r="G22" s="16">
        <f>B22/21</f>
        <v>0</v>
      </c>
      <c r="H22" s="16">
        <f t="shared" si="1"/>
        <v>0</v>
      </c>
      <c r="I22" s="4"/>
      <c r="J22" s="5">
        <f t="shared" si="2"/>
        <v>0</v>
      </c>
      <c r="K22" s="6" t="e">
        <f>I22/B22</f>
        <v>#DIV/0!</v>
      </c>
      <c r="L22" s="10">
        <v>25</v>
      </c>
      <c r="M22" s="14">
        <f t="shared" si="4"/>
        <v>0</v>
      </c>
      <c r="O22" s="43">
        <f t="shared" si="7"/>
        <v>0</v>
      </c>
      <c r="P22" s="25">
        <f t="shared" si="8"/>
        <v>0</v>
      </c>
    </row>
    <row r="23" spans="1:18" ht="15" thickBot="1" x14ac:dyDescent="0.25">
      <c r="B23" s="60">
        <f>SUM(B4:B22)</f>
        <v>43000</v>
      </c>
      <c r="C23" s="39">
        <f>D23/E23</f>
        <v>0.52903169729662469</v>
      </c>
      <c r="D23" s="31">
        <f>SUM(D4:D21)</f>
        <v>12243.338248</v>
      </c>
      <c r="E23" s="28">
        <f>SUM(E4:E22)</f>
        <v>23142.92</v>
      </c>
      <c r="G23" s="33">
        <f>SUM(G4:G22)</f>
        <v>2150</v>
      </c>
      <c r="H23" s="33">
        <f>SUM(H4:H22)</f>
        <v>20940.330000000002</v>
      </c>
      <c r="I23" s="32">
        <f>SUM(I$4:I$21)</f>
        <v>46468</v>
      </c>
      <c r="J23" s="28">
        <f t="shared" si="2"/>
        <v>3468</v>
      </c>
      <c r="K23" s="1">
        <f>I23/B23</f>
        <v>1.0806511627906976</v>
      </c>
      <c r="L23" s="9"/>
      <c r="M23" s="8">
        <f>SUM(M4:M22)</f>
        <v>475439.49910000002</v>
      </c>
      <c r="N23" s="8"/>
      <c r="O23" s="44">
        <f>SUM(O4:O22)</f>
        <v>21940.4604</v>
      </c>
      <c r="P23" s="22">
        <f>SUM(P4:P22)</f>
        <v>490048.33432600001</v>
      </c>
      <c r="Q23" s="17"/>
    </row>
    <row r="24" spans="1:18" ht="15" thickBot="1" x14ac:dyDescent="0.25">
      <c r="A24" t="s">
        <v>109</v>
      </c>
      <c r="B24" s="63">
        <f>B23/23</f>
        <v>1869.5652173913043</v>
      </c>
      <c r="C24" s="54" t="s">
        <v>87</v>
      </c>
      <c r="F24" s="20">
        <f>B24/31</f>
        <v>60.308555399719495</v>
      </c>
      <c r="G24" s="15"/>
      <c r="H24" s="34">
        <f>H23/22</f>
        <v>951.83318181818186</v>
      </c>
      <c r="I24" s="52">
        <f>I23/(C1-H27)</f>
        <v>2323.4</v>
      </c>
      <c r="J24" s="53" t="s">
        <v>86</v>
      </c>
      <c r="K24" s="54"/>
      <c r="M24" s="8">
        <f>M23/H23</f>
        <v>22.70448933230756</v>
      </c>
      <c r="N24" s="8" t="s">
        <v>29</v>
      </c>
      <c r="O24" s="45">
        <f>O23/H23</f>
        <v>1.0477609665177194</v>
      </c>
      <c r="P24" s="47">
        <f>P23/O23</f>
        <v>22.335371518730756</v>
      </c>
      <c r="Q24" s="48" t="s">
        <v>84</v>
      </c>
    </row>
    <row r="25" spans="1:18" ht="15" thickBot="1" x14ac:dyDescent="0.25">
      <c r="B25" s="55"/>
      <c r="H25" s="40" t="s">
        <v>81</v>
      </c>
      <c r="I25" s="41">
        <f>I24-B24</f>
        <v>453.83478260869583</v>
      </c>
      <c r="J25" s="59">
        <f>I25/B24</f>
        <v>0.24274883720930243</v>
      </c>
      <c r="P25" s="49">
        <f>P23/I23</f>
        <v>10.545931271541706</v>
      </c>
      <c r="Q25" s="50" t="s">
        <v>85</v>
      </c>
      <c r="R25">
        <v>11.57</v>
      </c>
    </row>
    <row r="26" spans="1:18" ht="15" thickBot="1" x14ac:dyDescent="0.25"/>
    <row r="27" spans="1:18" ht="15" thickBot="1" x14ac:dyDescent="0.25">
      <c r="G27" s="46"/>
      <c r="H27" s="70">
        <v>0</v>
      </c>
      <c r="I27" t="s">
        <v>106</v>
      </c>
      <c r="J27" s="41">
        <f>I24</f>
        <v>2323.4</v>
      </c>
      <c r="K27">
        <f>H27*J27</f>
        <v>0</v>
      </c>
      <c r="L27" s="41">
        <f>K27+I23</f>
        <v>46468</v>
      </c>
      <c r="M27" t="s">
        <v>83</v>
      </c>
    </row>
    <row r="28" spans="1:18" x14ac:dyDescent="0.2">
      <c r="A28" t="s">
        <v>89</v>
      </c>
      <c r="I28" t="s">
        <v>92</v>
      </c>
      <c r="J28" s="34" t="e">
        <f>K28/H27</f>
        <v>#DIV/0!</v>
      </c>
      <c r="K28" s="41">
        <f>J23</f>
        <v>3468</v>
      </c>
    </row>
    <row r="29" spans="1:18" x14ac:dyDescent="0.2">
      <c r="A29" t="s">
        <v>113</v>
      </c>
    </row>
    <row r="30" spans="1:18" x14ac:dyDescent="0.2">
      <c r="A30" t="s">
        <v>114</v>
      </c>
    </row>
    <row r="31" spans="1:18" x14ac:dyDescent="0.2">
      <c r="A31" t="s">
        <v>103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CB96142BC0162419F26E4CD39D2A30B" ma:contentTypeVersion="19" ma:contentTypeDescription="" ma:contentTypeScope="" ma:versionID="679cbdf10ff11072b4b00c63e58f845d">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275ef9dcc7ead6001da0d7ec3e70ce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Initial Filing</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140</IndustryCode>
    <CaseStatus xmlns="dc463f71-b30c-4ab2-9473-d307f9d35888">Closed</CaseStatus>
    <OpenedDate xmlns="dc463f71-b30c-4ab2-9473-d307f9d35888">2025-05-30T07:00:00+00:00</OpenedDate>
    <SignificantOrder xmlns="dc463f71-b30c-4ab2-9473-d307f9d35888">false</SignificantOrder>
    <Date1 xmlns="dc463f71-b30c-4ab2-9473-d307f9d35888">2025-05-30T07:00:00+00:00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250415</DocketNumber>
    <DelegatedOrder xmlns="dc463f71-b30c-4ab2-9473-d307f9d35888">false</DelegatedOrder>
  </documentManagement>
</p:properties>
</file>

<file path=customXml/itemProps1.xml><?xml version="1.0" encoding="utf-8"?>
<ds:datastoreItem xmlns:ds="http://schemas.openxmlformats.org/officeDocument/2006/customXml" ds:itemID="{2164217D-627D-4BC9-9939-651868CF31F2}"/>
</file>

<file path=customXml/itemProps2.xml><?xml version="1.0" encoding="utf-8"?>
<ds:datastoreItem xmlns:ds="http://schemas.openxmlformats.org/officeDocument/2006/customXml" ds:itemID="{9A1CF688-A9ED-47E2-A4EF-4FB6A07A28C9}"/>
</file>

<file path=customXml/itemProps3.xml><?xml version="1.0" encoding="utf-8"?>
<ds:datastoreItem xmlns:ds="http://schemas.openxmlformats.org/officeDocument/2006/customXml" ds:itemID="{CE9548F0-7F50-4E7E-A4BF-1EDC061F6E7B}"/>
</file>

<file path=customXml/itemProps4.xml><?xml version="1.0" encoding="utf-8"?>
<ds:datastoreItem xmlns:ds="http://schemas.openxmlformats.org/officeDocument/2006/customXml" ds:itemID="{26B4A418-52FD-410F-A9BA-0A3D94381C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Jan-Dec 2019 (2)</vt:lpstr>
      <vt:lpstr>July 2017   (2)</vt:lpstr>
      <vt:lpstr>October 2016</vt:lpstr>
      <vt:lpstr>November 2016 (2)</vt:lpstr>
      <vt:lpstr>December 2016</vt:lpstr>
      <vt:lpstr>January 2017</vt:lpstr>
      <vt:lpstr>February 2017 </vt:lpstr>
      <vt:lpstr>March 2017 </vt:lpstr>
      <vt:lpstr>April 2017  </vt:lpstr>
      <vt:lpstr>May 2017  </vt:lpstr>
      <vt:lpstr>June 2017 </vt:lpstr>
      <vt:lpstr>July 2017  </vt:lpstr>
      <vt:lpstr>August 2017  </vt:lpstr>
      <vt:lpstr>September 2017   </vt:lpstr>
      <vt:lpstr>October 2017  </vt:lpstr>
      <vt:lpstr>November 2017  </vt:lpstr>
      <vt:lpstr>December 2017  </vt:lpstr>
      <vt:lpstr>Jan-Dec 2019</vt:lpstr>
      <vt:lpstr>Sheet1</vt:lpstr>
      <vt:lpstr>Jan-Dec 2020</vt:lpstr>
      <vt:lpstr>Jan-Dec 2021  </vt:lpstr>
      <vt:lpstr>Jan-Dec 2022 (est)</vt:lpstr>
      <vt:lpstr>Jan-Dec 2023</vt:lpstr>
      <vt:lpstr>Jan-Dec 2024</vt:lpstr>
      <vt:lpstr>Jan-Dec 2025</vt:lpstr>
    </vt:vector>
  </TitlesOfParts>
  <Company>Avista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Frohn, Greg</dc:creator>
  <cp:lastModifiedBy>Lyons, John</cp:lastModifiedBy>
  <cp:lastPrinted>2018-07-17T16:31:09Z</cp:lastPrinted>
  <dcterms:created xsi:type="dcterms:W3CDTF">2016-10-05T16:45:59Z</dcterms:created>
  <dcterms:modified xsi:type="dcterms:W3CDTF">2025-05-27T17:14:48Z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0x0101006E56B4D1795A2E4DB2F0B01679ED314A002CB96142BC0162419F26E4CD39D2A30B</vt:lpwstr>
  </property>
  <property fmtid="{D5CDD505-2E9C-101B-9397-08002B2CF9AE}" pid="3" name="_docset_NoMedatataSyncRequired">
    <vt:lpwstr>False</vt:lpwstr>
  </property>
</Properties>
</file>