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drawings/drawing2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25-XX Natural Gas Schedule 140 - Property Tax Tracker (UG-25XXXX) (Eff. 05-01-25)\Workpapers\"/>
    </mc:Choice>
  </mc:AlternateContent>
  <bookViews>
    <workbookView xWindow="0" yWindow="0" windowWidth="15060" windowHeight="6490" tabRatio="950"/>
  </bookViews>
  <sheets>
    <sheet name="2025 FINAL Rev Req" sheetId="74" r:id="rId1"/>
    <sheet name="Support=&gt;" sheetId="78" r:id="rId2"/>
    <sheet name="2024 FINAL Rev Req" sheetId="105" r:id="rId3"/>
    <sheet name="Summary for Tracker Filing" sheetId="100" r:id="rId4"/>
    <sheet name="2024 Actual Payment " sheetId="97" r:id="rId5"/>
    <sheet name="Sched 140 Tracker Filing" sheetId="110" r:id="rId6"/>
    <sheet name="Electric summary" sheetId="108" r:id="rId7"/>
    <sheet name="Gas summary " sheetId="109" r:id="rId8"/>
    <sheet name="Elec Load Variance 2024" sheetId="107" r:id="rId9"/>
    <sheet name="Gas Rev Variance 2024" sheetId="106" r:id="rId10"/>
    <sheet name="2024GRC Elec CF" sheetId="103" r:id="rId11"/>
    <sheet name="2024GRC Gas CF" sheetId="104" r:id="rId12"/>
    <sheet name="2022GRC Elec CF" sheetId="85" r:id="rId13"/>
    <sheet name="2022GRC Gas CF" sheetId="8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___________________six6" localSheetId="2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2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2" hidden="1">{#N/A,#N/A,FALSE,"schA"}</definedName>
    <definedName name="____________________www1" hidden="1">{#N/A,#N/A,FALSE,"schA"}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hidden="1">{#N/A,#N/A,FALSE,"schA"}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hidden="1">{#N/A,#N/A,FALSE,"schA"}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hidden="1">{#N/A,#N/A,FALSE,"schA"}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hidden="1">{#N/A,#N/A,FALSE,"schA"}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hidden="1">{#N/A,#N/A,FALSE,"schA"}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hidden="1">{#N/A,#N/A,FALSE,"schA"}</definedName>
    <definedName name="_______ex1" localSheetId="2" hidden="1">{#N/A,#N/A,FALSE,"Summ";#N/A,#N/A,FALSE,"General"}</definedName>
    <definedName name="_______ex1" hidden="1">{#N/A,#N/A,FALSE,"Summ";#N/A,#N/A,FALSE,"General"}</definedName>
    <definedName name="_______new1" localSheetId="2" hidden="1">{#N/A,#N/A,FALSE,"Summ";#N/A,#N/A,FALSE,"General"}</definedName>
    <definedName name="_______new1" hidden="1">{#N/A,#N/A,FALSE,"Summ";#N/A,#N/A,FALSE,"General"}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hidden="1">{#N/A,#N/A,FALSE,"schA"}</definedName>
    <definedName name="______ex1" localSheetId="2" hidden="1">{#N/A,#N/A,FALSE,"Summ";#N/A,#N/A,FALSE,"General"}</definedName>
    <definedName name="______ex1" hidden="1">{#N/A,#N/A,FALSE,"Summ";#N/A,#N/A,FALSE,"General"}</definedName>
    <definedName name="______Jun09">" BS!$AI$7:$AI$1643"</definedName>
    <definedName name="______new1" localSheetId="2" hidden="1">{#N/A,#N/A,FALSE,"Summ";#N/A,#N/A,FALSE,"General"}</definedName>
    <definedName name="______new1" hidden="1">{#N/A,#N/A,FALSE,"Summ";#N/A,#N/A,FALSE,"General"}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hidden="1">{#N/A,#N/A,FALSE,"schA"}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ex1" localSheetId="2" hidden="1">{#N/A,#N/A,FALSE,"Summ";#N/A,#N/A,FALSE,"General"}</definedName>
    <definedName name="_____ex1" hidden="1">{#N/A,#N/A,FALSE,"Summ";#N/A,#N/A,FALSE,"General"}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ew1" localSheetId="2" hidden="1">{#N/A,#N/A,FALSE,"Summ";#N/A,#N/A,FALSE,"General"}</definedName>
    <definedName name="_____new1" hidden="1">{#N/A,#N/A,FALSE,"Summ";#N/A,#N/A,FALSE,"General"}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ex1" localSheetId="2" hidden="1">{#N/A,#N/A,FALSE,"Summ";#N/A,#N/A,FALSE,"General"}</definedName>
    <definedName name="____ex1" hidden="1">{#N/A,#N/A,FALSE,"Summ";#N/A,#N/A,FALSE,"General"}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ew1" localSheetId="2" hidden="1">{#N/A,#N/A,FALSE,"Summ";#N/A,#N/A,FALSE,"General"}</definedName>
    <definedName name="____new1" hidden="1">{#N/A,#N/A,FALSE,"Summ";#N/A,#N/A,FALSE,"General"}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hidden="1">{#N/A,#N/A,FALSE,"schA"}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ex1" localSheetId="2" hidden="1">{#N/A,#N/A,FALSE,"Summ";#N/A,#N/A,FALSE,"General"}</definedName>
    <definedName name="___ex1" hidden="1">{#N/A,#N/A,FALSE,"Summ";#N/A,#N/A,FALSE,"General"}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ew1" localSheetId="2" hidden="1">{#N/A,#N/A,FALSE,"Summ";#N/A,#N/A,FALSE,"General"}</definedName>
    <definedName name="___new1" hidden="1">{#N/A,#N/A,FALSE,"Summ";#N/A,#N/A,FALSE,"General"}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hidden="1">{#N/A,#N/A,FALSE,"schA"}</definedName>
    <definedName name="__123Graph_A" hidden="1">[5]Quant!$D$71:$O$71</definedName>
    <definedName name="__123Graph_ABUDG6_DSCRPR">[5]Quant!$D$71:$O$71</definedName>
    <definedName name="__123Graph_ABUDG6_ESCRPR1">[5]Quant!$D$100:$O$100</definedName>
    <definedName name="__123Graph_B" hidden="1">[5]Quant!$D$72:$O$72</definedName>
    <definedName name="__123Graph_BBUDG6_DSCRPR">[5]Quant!$D$72:$O$72</definedName>
    <definedName name="__123Graph_BBUDG6_ESCRPR1">[5]Quant!$D$88:$O$88</definedName>
    <definedName name="__123Graph_D" hidden="1">#REF!</definedName>
    <definedName name="__123Graph_ECURRENT" hidden="1">[6]ConsolidatingPL!#REF!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ex1" localSheetId="2" hidden="1">{#N/A,#N/A,FALSE,"Summ";#N/A,#N/A,FALSE,"General"}</definedName>
    <definedName name="__ex1" hidden="1">{#N/A,#N/A,FALSE,"Summ";#N/A,#N/A,FALSE,"General"}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ew1" localSheetId="2" hidden="1">{#N/A,#N/A,FALSE,"Summ";#N/A,#N/A,FALSE,"General"}</definedName>
    <definedName name="__new1" hidden="1">{#N/A,#N/A,FALSE,"Summ";#N/A,#N/A,FALSE,"General"}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hidden="1">{#N/A,#N/A,FALSE,"schA"}</definedName>
    <definedName name="_1__123Graph_ABUDG6_D_ESCRPR">[5]Quant!$D$71:$O$71</definedName>
    <definedName name="_2__123Graph_ABUDG6_Dtons_inv" hidden="1">[7]Quant!#REF!</definedName>
    <definedName name="_3__123Graph_ABUDG6_Dtons_inv" hidden="1">[8]Quant!#REF!</definedName>
    <definedName name="_3__123Graph_BBUDG6_D_ESCRPR">[5]Quant!$D$72:$O$72</definedName>
    <definedName name="_4__123Graph_ABUDG6_Dtons_inv" hidden="1">'[9]Area D 2011'!#REF!</definedName>
    <definedName name="_4__123Graph_BBUDG6_Dtons_inv">[5]Quant!$D$9:$O$9</definedName>
    <definedName name="_5__123Graph_CBUDG6_D_ESCRPR">[5]Quant!$D$100:$O$100</definedName>
    <definedName name="_6__123Graph_CBUDG6_D_ESCRPR" hidden="1">'[10]2012 Area AB BudgetSummary'!#REF!</definedName>
    <definedName name="_6__123Graph_DBUDG6_D_ESCRPR">[5]Quant!$D$88:$O$88</definedName>
    <definedName name="_7__123Graph_CBUDG6_D_ESCRPR" hidden="1">'[9]Area D 2011'!#REF!</definedName>
    <definedName name="_7__123Graph_DBUDG6_D_ESCRPR" hidden="1">'[10]2012 Area AB BudgetSummary'!#REF!</definedName>
    <definedName name="_7__123Graph_XBUDG6_D_ESCRPR">[5]Quant!$D$5:$O$5</definedName>
    <definedName name="_8__123Graph_DBUDG6_D_ESCRPR" hidden="1">'[9]Area D 2011'!#REF!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ex1" localSheetId="2" hidden="1">{#N/A,#N/A,FALSE,"Summ";#N/A,#N/A,FALSE,"General"}</definedName>
    <definedName name="_ex1" hidden="1">{#N/A,#N/A,FALSE,"Summ";#N/A,#N/A,FALSE,"General"}</definedName>
    <definedName name="_Feb04">[1]BS!$S$7:$S$3582</definedName>
    <definedName name="_FEB09" xml:space="preserve"> [2]BS!$S$7:$S$1726</definedName>
    <definedName name="_FEDERAL_INCOME_TAX">'[11]MJS-7'!$N$21</definedName>
    <definedName name="_Fill" hidden="1">#REF!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ew1" localSheetId="2" hidden="1">{#N/A,#N/A,FALSE,"Summ";#N/A,#N/A,FALSE,"General"}</definedName>
    <definedName name="_new1" hidden="1">{#N/A,#N/A,FALSE,"Summ";#N/A,#N/A,FALSE,"General"}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arse_In" hidden="1">#REF!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Regression_Out" hidden="1">[12]FIA!#REF!</definedName>
    <definedName name="_SEC24">[4]EXTERNAL!$A$112:$IV$114</definedName>
    <definedName name="_Sep03">[3]BS!$Q$7:$Q$3582</definedName>
    <definedName name="_Sep04">[1]BS!$Z$7:$Z$3582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2" hidden="1">{#N/A,#N/A,FALSE,"schA"}</definedName>
    <definedName name="_www1" hidden="1">{#N/A,#N/A,FALSE,"schA"}</definedName>
    <definedName name="a" localSheetId="2" hidden="1">{#N/A,#N/A,FALSE,"Coversheet";#N/A,#N/A,FALSE,"QA"}</definedName>
    <definedName name="a" hidden="1">{#N/A,#N/A,FALSE,"Coversheet";#N/A,#N/A,FALSE,"QA"}</definedName>
    <definedName name="aaa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2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2281SO">'[13]Func Study'!$H$2190</definedName>
    <definedName name="Acct2283SO">'[13]Func Study'!$H$2198</definedName>
    <definedName name="Acct228SO">'[13]Func Study'!$H$2194</definedName>
    <definedName name="Acct350">'[13]Func Study'!$H$1628</definedName>
    <definedName name="Acct352">'[13]Func Study'!$H$1635</definedName>
    <definedName name="Acct353">'[13]Func Study'!$H$1641</definedName>
    <definedName name="Acct354">'[13]Func Study'!$H$1647</definedName>
    <definedName name="Acct355">'[13]Func Study'!$H$1654</definedName>
    <definedName name="Acct356">'[13]Func Study'!$H$1660</definedName>
    <definedName name="Acct357">'[13]Func Study'!$H$1666</definedName>
    <definedName name="Acct358">'[13]Func Study'!$H$1672</definedName>
    <definedName name="Acct359">'[13]Func Study'!$H$1678</definedName>
    <definedName name="Acct360">'[13]Func Study'!$H$1698</definedName>
    <definedName name="Acct361">'[13]Func Study'!$H$1704</definedName>
    <definedName name="Acct362">'[13]Func Study'!$H$1710</definedName>
    <definedName name="Acct364">'[13]Func Study'!$H$1717</definedName>
    <definedName name="Acct365">'[13]Func Study'!$H$1724</definedName>
    <definedName name="Acct366">'[13]Func Study'!$H$1731</definedName>
    <definedName name="Acct367">'[13]Func Study'!$H$1738</definedName>
    <definedName name="Acct368">'[13]Func Study'!$H$1744</definedName>
    <definedName name="Acct369">'[13]Func Study'!$H$1751</definedName>
    <definedName name="Acct370">'[13]Func Study'!$H$1762</definedName>
    <definedName name="Acct371">'[13]Func Study'!$H$1769</definedName>
    <definedName name="Acct372">'[13]Func Study'!$H$1776</definedName>
    <definedName name="Acct372A">'[13]Func Study'!$H$1775</definedName>
    <definedName name="Acct372DP">'[13]Func Study'!$H$1773</definedName>
    <definedName name="Acct372DS">'[13]Func Study'!$H$1774</definedName>
    <definedName name="Acct373">'[13]Func Study'!$H$1782</definedName>
    <definedName name="Acct448S">'[13]Func Study'!$H$274</definedName>
    <definedName name="Acct450S">'[13]Func Study'!$H$302</definedName>
    <definedName name="Acct451S">'[13]Func Study'!$H$307</definedName>
    <definedName name="Acct454S">'[13]Func Study'!$H$318</definedName>
    <definedName name="Acct456S">'[13]Func Study'!$H$325</definedName>
    <definedName name="ACCT557CAGE">'[13]Func Study'!$H$683</definedName>
    <definedName name="Acct557CT">'[13]Func Study'!$H$681</definedName>
    <definedName name="Acct580">'[13]Func Study'!$H$791</definedName>
    <definedName name="Acct581">'[13]Func Study'!$H$796</definedName>
    <definedName name="Acct582">'[13]Func Study'!$H$801</definedName>
    <definedName name="Acct583">'[13]Func Study'!$H$806</definedName>
    <definedName name="Acct584">'[13]Func Study'!$H$811</definedName>
    <definedName name="Acct585">'[13]Func Study'!$H$816</definedName>
    <definedName name="Acct586">'[13]Func Study'!$H$821</definedName>
    <definedName name="Acct587">'[13]Func Study'!$H$826</definedName>
    <definedName name="Acct588">'[13]Func Study'!$H$831</definedName>
    <definedName name="Acct589">'[13]Func Study'!$H$836</definedName>
    <definedName name="Acct590">'[13]Func Study'!$H$841</definedName>
    <definedName name="Acct591">'[13]Func Study'!$H$846</definedName>
    <definedName name="Acct592">'[13]Func Study'!$H$851</definedName>
    <definedName name="Acct593">'[13]Func Study'!$H$856</definedName>
    <definedName name="Acct594">'[13]Func Study'!$H$861</definedName>
    <definedName name="Acct595">'[13]Func Study'!$H$866</definedName>
    <definedName name="Acct596">'[13]Func Study'!$H$876</definedName>
    <definedName name="Acct597">'[13]Func Study'!$H$881</definedName>
    <definedName name="Acct598">'[13]Func Study'!$H$886</definedName>
    <definedName name="AcctAGA">'[13]Func Study'!$H$296</definedName>
    <definedName name="AcctTable">[14]Variables!$AK$42:$AK$396</definedName>
    <definedName name="AcctTS0">'[13]Func Study'!$H$1686</definedName>
    <definedName name="Acq1Plant">'[15]Acquisition Inputs'!$C$8</definedName>
    <definedName name="Acq2Plant">'[15]Acquisition Inputs'!$C$70</definedName>
    <definedName name="ActualROR">'[16]G+T+D+R+M'!$H$61</definedName>
    <definedName name="ADJPTDCE.T">[4]INTERNAL!$A$31:$IV$33</definedName>
    <definedName name="Adjs2avg">[17]Inputs!$L$255:'[17]Inputs'!$T$505</definedName>
    <definedName name="After_Tax_Cash_Discount">'[18]Assumptions (Input)'!$D$37</definedName>
    <definedName name="afudc_flag">'[18]Assumptions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'[19]Cabot Gas Replacement'!$B$8:$F$16</definedName>
    <definedName name="AS2DocOpenMode">"AS2DocumentEdit"</definedName>
    <definedName name="Assessment_Rate">'[18]Assumptions (Input)'!$B$7</definedName>
    <definedName name="Asset_Class_Switch">[20]Assumptions!$D$5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[14]Factors!$B$3:$P$99</definedName>
    <definedName name="b" localSheetId="2" hidden="1">{#N/A,#N/A,FALSE,"Coversheet";#N/A,#N/A,FALSE,"QA"}</definedName>
    <definedName name="b" hidden="1">{#N/A,#N/A,FALSE,"Coversheet";#N/A,#N/A,FALSE,"QA"}</definedName>
    <definedName name="Beg_Unb_KWHs">[21]LeadSht!$L$10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localSheetId="2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2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2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'[22]Lvl FCR'!$G$10</definedName>
    <definedName name="BPAX">[4]EXTERNAL!$A$121:$IV$123</definedName>
    <definedName name="Bum" hidden="1">#REF!</definedName>
    <definedName name="Button_1">"TradeSummary_Ken_Finicle_List"</definedName>
    <definedName name="CAE.T">[4]INTERNAL!$A$34:$IV$36</definedName>
    <definedName name="CAES1.T">[4]INTERNAL!$A$37:$IV$39</definedName>
    <definedName name="cap">[23]Readings!$B$2</definedName>
    <definedName name="Capital_Inflation">'[18]Assumptions (Input)'!$B$11</definedName>
    <definedName name="CASE">[24]INPUTS!$C$11</definedName>
    <definedName name="CASE_GAS">'[25]Named Ranges G'!$C$4</definedName>
    <definedName name="Case_Name">'[26]KJB-6,13 Cmn Adj'!$B$8</definedName>
    <definedName name="CaseDescription">'[15]Dispatch Cases'!$C$11</definedName>
    <definedName name="CBWorkbookPriority">-2060790043</definedName>
    <definedName name="CCGT_HeatRate">[15]Assumptions!$H$23</definedName>
    <definedName name="CCGTPrice">[15]Assumptions!$H$22</definedName>
    <definedName name="CL_RT2">'[27]Transp Data'!$A$6:$C$81</definedName>
    <definedName name="Close_Date">'[18]Capital Projects(Input)'!$D$7:$D$53</definedName>
    <definedName name="Comp_GAS">'[25]Named Ranges G'!$C$8</definedName>
    <definedName name="Construction_OH">'[28]Virtual 49 Back-Up'!$E$54</definedName>
    <definedName name="ConversionFactor">[15]Assumptions!$I$65</definedName>
    <definedName name="COSFacVal">[13]Inputs!$R$5</definedName>
    <definedName name="CurrQtr">'[29]Inc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'[30]Mix Variance'!$B$1:$N$31</definedName>
    <definedName name="Data.Avg">'[29]Avg Amts'!$A$5:$BP$34</definedName>
    <definedName name="Data.Qtrs.Avg">'[29]Avg Amts'!$A$5:$IV$5</definedName>
    <definedName name="data1">'[31]Mix Variance'!$O$5:$T$25</definedName>
    <definedName name="DebtPerc">[15]Assumptions!$I$58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[32]Inputs!$D$11</definedName>
    <definedName name="DES1.T">[4]INTERNAL!$A$40:$IV$42</definedName>
    <definedName name="DES2.T">[4]INTERNAL!$A$43:$IV$45</definedName>
    <definedName name="df" localSheetId="2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[15]Assumptions!$L$23</definedName>
    <definedName name="DFIT" localSheetId="2" hidden="1">{#N/A,#N/A,FALSE,"Coversheet";#N/A,#N/A,FALSE,"QA"}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'[13]Func Study'!$AB$250</definedName>
    <definedName name="Discount_for_Revenue_Reqmt">'[33]Assumptions of Purchase'!$B$45</definedName>
    <definedName name="DisFac">'[13]Func Dist Factor Table'!$A$11:$G$25</definedName>
    <definedName name="DocketNumber">'[34]JHS-4'!$AP$2</definedName>
    <definedName name="DP.T">[4]INTERNAL!$A$46:$IV$48</definedName>
    <definedName name="DUDE" hidden="1">#REF!</definedName>
    <definedName name="EBFIT.T">[4]INTERNAL!$A$88:$IV$90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>[24]INPUTS!$F$36</definedName>
    <definedName name="Electric_Prices">'[35]Monthly Price Summary'!$B$4:$E$27</definedName>
    <definedName name="ElRBLine">[1]BS!$AQ$7:$AQ$3303</definedName>
    <definedName name="EndDate">[15]Assumptions!$C$11</definedName>
    <definedName name="ENERGY_1">[4]EXTERNAL!$A$4:$IV$6</definedName>
    <definedName name="ENERGY_2">[4]EXTERNAL!$A$145:$IV$147</definedName>
    <definedName name="Engy">[16]Inputs!$D$9</definedName>
    <definedName name="Engy2">[32]Inputs!$D$12</definedName>
    <definedName name="EPIS.T">[4]INTERNAL!$A$49:$IV$51</definedName>
    <definedName name="error" localSheetId="2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2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>'[11]MJS-4'!$O$3</definedName>
    <definedName name="Exhibit_No.______MJS_5">'[11]MJS-5'!$E$3</definedName>
    <definedName name="Exhibit_No.______MJS_6">'[11]MJS-6'!$F$3</definedName>
    <definedName name="F" hidden="1">#REF!</definedName>
    <definedName name="Factorck">'[13]COS Factor Table'!$O$15:$O$113</definedName>
    <definedName name="FactorType">[14]Variables!$AK$2:$AL$12</definedName>
    <definedName name="FactSum">'[13]COS Factor Table'!$A$14:$O$113</definedName>
    <definedName name="FCR">'[28]Virtual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[36]Inputs!$E$112</definedName>
    <definedName name="FedTaxRate">[15]Assumptions!$C$33</definedName>
    <definedName name="FERC_Lookup">'[37]Map Table'!$E$2:$F$58</definedName>
    <definedName name="ffff" localSheetId="2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hidden="1">{#N/A,#N/A,FALSE,"Coversheet";#N/A,#N/A,FALSE,"QA"}</definedName>
    <definedName name="FIT">'[38]ROR &amp; CONV FACTOR'!$J$20</definedName>
    <definedName name="FIT_GAS">'[25]Named Ranges G'!$C$3</definedName>
    <definedName name="FIT_Tax_Rate">'[18]Assumptions (Input)'!$B$5</definedName>
    <definedName name="FranchiseTax">[17]Variables!$D$26</definedName>
    <definedName name="FTAX">[24]INPUTS!$F$35</definedName>
    <definedName name="Func">'[13]Func Factor Table'!$A$10:$H$77</definedName>
    <definedName name="Function">'[13]Func Study'!$AB$250</definedName>
    <definedName name="gary" localSheetId="2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[1]BS!$AS$7:$AS$3631</definedName>
    <definedName name="GasWC_LineItem">[1]BS!$AR$7:$AR$3631</definedName>
    <definedName name="GP.T">[4]INTERNAL!$A$52:$IV$54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hidden="1">{#N/A,#N/A,FALSE,"Coversheet";#N/A,#N/A,FALSE,"QA"}</definedName>
    <definedName name="HTML_CodePage">1252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'[18]Assumptions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jj">[39]Inputs!$N$18</definedName>
    <definedName name="JP_Bal">[40]ACCOUNTS!$AG$31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[14]Variables!$AK$15</definedName>
    <definedName name="JurisNumber">[14]Variables!$AL$15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'[26]KJB-12 Sum'!$AS$2</definedName>
    <definedName name="k_FITrate">'[26]KJB-3,11 Def'!$L$20</definedName>
    <definedName name="keep_Docket_Number">'[41]KJB-3 Sum'!$AQ$2</definedName>
    <definedName name="keep_FIT">'[41]KJB-7 Def'!$L$20</definedName>
    <definedName name="keep_KJB_3_Rate_Increase">'[41]KJB-7 Def'!$C$3</definedName>
    <definedName name="keep_KJB_4_Electric_Summary">'[41]KJB-3 Sum'!$AQ$3</definedName>
    <definedName name="keep_KJB_8_Common_Adjs">'[41]KJB-5 Cmn Adj'!$L$3</definedName>
    <definedName name="keep_KJB_9_Electric_Only">'[41]KJB-5 El Adj'!$E$3</definedName>
    <definedName name="keep_PSE">'[42]Gas Summary'!$I$5</definedName>
    <definedName name="keep_TESTYEAR">'[42]Gas Detail Pages'!$A$8</definedName>
    <definedName name="kp_DOCKET">'[42]Gas Detail Pages'!$A$9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2">IF([43]!Values_Entered,Header_Row+[43]!Number_of_Payments,Header_Row)</definedName>
    <definedName name="Last_Row">IF([43]!Values_Entered,Header_Row+[43]!Number_of_Payments,Header_Row)</definedName>
    <definedName name="Levy_Rate">'[18]Assumptions (Input)'!$B$6</definedName>
    <definedName name="limcount">1</definedName>
    <definedName name="LINE.T">[4]INTERNAL!$A$55:$IV$57</definedName>
    <definedName name="LinkCos">'[13]JAM Download'!$K$4</definedName>
    <definedName name="Load_Factor">[40]ACCOUNTS!$AG$167</definedName>
    <definedName name="LoadArray">'[44]Load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2" hidden="1">{#N/A,#N/A,FALSE,"Coversheet";#N/A,#N/A,FALSE,"QA"}</definedName>
    <definedName name="lookup" hidden="1">{#N/A,#N/A,FALSE,"Coversheet";#N/A,#N/A,FALSE,"QA"}</definedName>
    <definedName name="M9100F4_v4">[45]M9100F4!$A$1:$V$99</definedName>
    <definedName name="MACRS">'[18]MACRS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[46]!menu1_Button5_Click</definedName>
    <definedName name="menu1_Button6_Click">[46]!menu1_Button6_Click</definedName>
    <definedName name="MERGER_COST">[47]Sheet1!$AF$3:$AJ$28</definedName>
    <definedName name="METER">[4]EXTERNAL!$A$34:$IV$36</definedName>
    <definedName name="Method">[16]Inputs!$C$6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list">[48]Table!$R$2:$S$13</definedName>
    <definedName name="monthtotals">'[48]WA SBC'!$D$40:$O$40</definedName>
    <definedName name="MTD_Format">[49]Mthly!$B$11:$D$11,[49]Mthly!$B$32:$D$32</definedName>
    <definedName name="MTR_YR3">[50]Variables!$E$14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[13]Inputs!$G$8</definedName>
    <definedName name="NetToGross">[17]Variables!$D$23</definedName>
    <definedName name="new" localSheetId="2" hidden="1">{#N/A,#N/A,FALSE,"Summ";#N/A,#N/A,FALSE,"General"}</definedName>
    <definedName name="new" hidden="1">{#N/A,#N/A,FALSE,"Summ";#N/A,#N/A,FALSE,"General"}</definedName>
    <definedName name="Nov03AMA">[3]BS!$AI$7:$AI$3582</definedName>
    <definedName name="Nov04AMA">[1]BS!$AN$7:$AN$3582</definedName>
    <definedName name="Nov09AMA">[2]BS!$AU$7:$AU$1726</definedName>
    <definedName name="NOYT" localSheetId="2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[51]Inputs!$N$18</definedName>
    <definedName name="NRG">[4]CLASSIFIERS!$A$5:$IV$5</definedName>
    <definedName name="Number_of_Payments" localSheetId="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'[18]MiscItems(Input)'!$B$5:$AO$8,'[18]MiscItems(Input)'!$B$13:$AO$13,'[18]MiscItems(Input)'!$B$15:$B$17,'[18]MiscItems(Input)'!$B$17:$AO$17,'[18]MiscItems(Input)'!$B$15:$AO$15</definedName>
    <definedName name="O_M_Rate">'[28]Virtual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'[52]Dist Misc'!$F$120</definedName>
    <definedName name="OthRCF">[53]INPUTS!$F$41</definedName>
    <definedName name="OthUnc">[4]INPUTS!$F$36</definedName>
    <definedName name="outlookdata">'[54]pivoted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'[55]2008 Extreme Peaks - 080403'!$E$5:$AD$8</definedName>
    <definedName name="peak_table">'[55]Peaks-F01'!$C$5:$E$243</definedName>
    <definedName name="PeakMethod">[16]Inputs!$T$5</definedName>
    <definedName name="Percent_debt">[36]Inputs!$E$129</definedName>
    <definedName name="Plant_Input">'[18]Plant(Input)'!$B$7:$AP$9,'[18]Plant(Input)'!$B$11,'[18]Plant(Input)'!$B$15:$AP$15,'[18]Plant(Input)'!$B$18,'[18]Plant(Input)'!$B$20:$AP$20</definedName>
    <definedName name="POWER.T">[4]INTERNAL!$A$58:$IV$60</definedName>
    <definedName name="PP.T">[4]INTERNAL!$A$61:$IV$63</definedName>
    <definedName name="PreTaxDebtCost">[15]Assumptions!$I$56</definedName>
    <definedName name="PreTaxWACC">[15]Assumptions!$I$62</definedName>
    <definedName name="Prices_Aurora">'[35]Monthly Price Summary'!$C$4:$H$63</definedName>
    <definedName name="_xlnm.Print_Area" localSheetId="9">'Gas Rev Variance 2024'!$A$1:$O$21</definedName>
    <definedName name="_xlnm.Print_Area" localSheetId="5">'Sched 140 Tracker Filing'!$A:$K</definedName>
    <definedName name="Prior_Month">[56]Sch_120!$I$21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[57]Sheet1!$A$1147:$B$1887</definedName>
    <definedName name="Prov_Cap_Tax">[36]Inputs!$E$111</definedName>
    <definedName name="PSE">'[58]4.04'!$A$6</definedName>
    <definedName name="PSE_Pre_Tax_Equity_Rate">'[33]Assumptions of Purchase'!$B$42</definedName>
    <definedName name="PTDGP.T">[4]INTERNAL!$A$64:$IV$66</definedName>
    <definedName name="PTDP.T">[4]INTERNAL!$A$67:$IV$69</definedName>
    <definedName name="q" localSheetId="2" hidden="1">{#N/A,#N/A,FALSE,"Coversheet";#N/A,#N/A,FALSE,"QA"}</definedName>
    <definedName name="q" hidden="1">{#N/A,#N/A,FALSE,"Coversheet";#N/A,#N/A,FALSE,"QA"}</definedName>
    <definedName name="qqq" localSheetId="2" hidden="1">{#N/A,#N/A,FALSE,"schA"}</definedName>
    <definedName name="qqq" hidden="1">{#N/A,#N/A,FALSE,"schA"}</definedName>
    <definedName name="QTD_Format">[59]QTD!$B$11:$D$11,[59]QTD!$B$35:$D$35</definedName>
    <definedName name="RATE2">'[27]Transp Data'!$A$8:$I$112</definedName>
    <definedName name="Rates">[60]Codes!$A$1:$C$500</definedName>
    <definedName name="RB.T">[4]INTERNAL!$A$70:$IV$72</definedName>
    <definedName name="RCF">[40]INPUTS!$F$48</definedName>
    <definedName name="rec_weco_gl_contract_aug99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qulated_scenario">'[18]Assumptions (Input)'!$B$12</definedName>
    <definedName name="ResExchCrRate">[61]Sch_194!$M$31</definedName>
    <definedName name="RESID">[4]EXTERNAL!$A$88:$IV$90</definedName>
    <definedName name="resource_lookup">'[62]#REF'!$B$3:$C$112</definedName>
    <definedName name="ResourceSupplier">[17]Variables!$D$28</definedName>
    <definedName name="ResRCF">[24]INPUTS!$F$44</definedName>
    <definedName name="ResUnc">[24]INPUTS!$F$39</definedName>
    <definedName name="retail_CC" localSheetId="2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Class">[60]Codes!$F$2:$G$10</definedName>
    <definedName name="revenue_flag">'[18]Assumptions (Input)'!$C$12</definedName>
    <definedName name="Revenue_Taxes">'[18]Assumptions (Input)'!$B$8</definedName>
    <definedName name="REVFAC1.T">[4]INTERNAL!$A$73:$IV$75</definedName>
    <definedName name="ROD">[24]INPUTS!$F$30</definedName>
    <definedName name="ROR">[24]INPUTS!$F$29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[53]INPUTS!$F$40</definedName>
    <definedName name="SbUnc">[4]INPUTS!$F$35</definedName>
    <definedName name="Sch194Rlfwd">'[63]Sch94 Rlfwd'!$B$11</definedName>
    <definedName name="Schedule">[51]Inputs!$N$14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p03AMA">[3]BS!$AG$7:$AG$3582</definedName>
    <definedName name="Sep04AMA">[1]BS!$AL$7:$AL$3582</definedName>
    <definedName name="Sep09AMA">[2]BS!$AS$7:$AS$1726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Date">[15]Assumptions!$C$9</definedName>
    <definedName name="STATE_UTILITY_TAX">'[11]MJS-7'!$N$16</definedName>
    <definedName name="STAX">[24]INPUTS!$F$34</definedName>
    <definedName name="sue" localSheetId="2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2" hidden="1">{"Plat Summary",#N/A,FALSE,"PLAT DESIGN"}</definedName>
    <definedName name="summary" hidden="1">{"Plat Summary",#N/A,FALSE,"PLAT DESIGN"}</definedName>
    <definedName name="susan" localSheetId="2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[4]INTERNAL!$A$76:$IV$78</definedName>
    <definedName name="SWPTD.T">[4]INTERNAL!$A$79:$IV$81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Name">"Dummy"</definedName>
    <definedName name="TargetROR">[16]Inputs!$G$29</definedName>
    <definedName name="TDP.T">[4]INTERNAL!$A$82:$IV$84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Period">[13]Inputs!$C$5</definedName>
    <definedName name="TESTYEAR">'[34]JHS-6'!$A$7</definedName>
    <definedName name="TESTYEAR_GAS">'[25]Named Ranges G'!$C$5</definedName>
    <definedName name="TFR">[4]CLASSIFIERS!$A$11:$IV$11</definedName>
    <definedName name="ThermalBookLife">[15]Assumptions!$C$25</definedName>
    <definedName name="Title">[15]Assumptions!$A$1</definedName>
    <definedName name="Total_Payment" localSheetId="2">Scheduled_Payment+Extra_Payment</definedName>
    <definedName name="Total_Payment">Scheduled_Payment+Extra_Payment</definedName>
    <definedName name="TotalRateBase">'[13]G+T+D+R+M'!$H$58</definedName>
    <definedName name="TP.T">[4]INTERNAL!$A$91:$IV$93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db">'[64]Transp Unbilled'!$A$8:$E$174</definedName>
    <definedName name="Transfer" hidden="1">#REF!</definedName>
    <definedName name="Transfers" hidden="1">#REF!</definedName>
    <definedName name="TRANSM_2">[65]Transm2!$A$1:$M$461:'[65]10 Yr FC'!$M$47</definedName>
    <definedName name="u" localSheetId="2" hidden="1">{#N/A,#N/A,FALSE,"Summ";#N/A,#N/A,FALSE,"General"}</definedName>
    <definedName name="u" hidden="1">{#N/A,#N/A,FALSE,"Summ";#N/A,#N/A,FALSE,"General"}</definedName>
    <definedName name="UAcct103">'[13]Func Study'!$AB$1613</definedName>
    <definedName name="UAcct105Dnpg">'[13]Func Study'!$AB$2010</definedName>
    <definedName name="UAcct105S">'[13]Func Study'!$AB$2005</definedName>
    <definedName name="UAcct105Seu">'[13]Func Study'!$AB$2009</definedName>
    <definedName name="UAcct105Snppo">'[13]Func Study'!$AB$2008</definedName>
    <definedName name="UAcct105Snpps">'[13]Func Study'!$AB$2006</definedName>
    <definedName name="UAcct105Snpt">'[13]Func Study'!$AB$2007</definedName>
    <definedName name="UAcct1081390">'[13]Func Study'!$AB$2451</definedName>
    <definedName name="UAcct1081390Rcl">'[13]Func Study'!$AB$2450</definedName>
    <definedName name="UAcct1081399">'[13]Func Study'!$AB$2459</definedName>
    <definedName name="UAcct1081399Rcl">'[13]Func Study'!$AB$2458</definedName>
    <definedName name="UAcct108360">'[13]Func Study'!$AB$2355</definedName>
    <definedName name="UAcct108361">'[13]Func Study'!$AB$2359</definedName>
    <definedName name="UAcct108362">'[13]Func Study'!$AB$2363</definedName>
    <definedName name="UAcct108364">'[13]Func Study'!$AB$2367</definedName>
    <definedName name="UAcct108365">'[13]Func Study'!$AB$2371</definedName>
    <definedName name="UAcct108366">'[13]Func Study'!$AB$2375</definedName>
    <definedName name="UAcct108367">'[13]Func Study'!$AB$2379</definedName>
    <definedName name="UAcct108368">'[13]Func Study'!$AB$2383</definedName>
    <definedName name="UAcct108369">'[13]Func Study'!$AB$2387</definedName>
    <definedName name="UAcct108370">'[13]Func Study'!$AB$2391</definedName>
    <definedName name="UAcct108371">'[13]Func Study'!$AB$2395</definedName>
    <definedName name="UAcct108372">'[13]Func Study'!$AB$2399</definedName>
    <definedName name="UAcct108373">'[13]Func Study'!$AB$2403</definedName>
    <definedName name="UAcct108D">'[13]Func Study'!$AB$2415</definedName>
    <definedName name="UAcct108D00">'[13]Func Study'!$AB$2407</definedName>
    <definedName name="UAcct108Ds">'[13]Func Study'!$AB$2411</definedName>
    <definedName name="UAcct108Ep">'[13]Func Study'!$AB$2327</definedName>
    <definedName name="UAcct108Gpcn">'[13]Func Study'!$AB$2429</definedName>
    <definedName name="UAcct108Gps">'[13]Func Study'!$AB$2425</definedName>
    <definedName name="UAcct108Gpse">'[13]Func Study'!$AB$2431</definedName>
    <definedName name="UAcct108Gpsg">'[13]Func Study'!$AB$2428</definedName>
    <definedName name="UAcct108Gpsgp">'[13]Func Study'!$AB$2426</definedName>
    <definedName name="UAcct108Gpsgu">'[13]Func Study'!$AB$2427</definedName>
    <definedName name="UAcct108Gpso">'[13]Func Study'!$AB$2430</definedName>
    <definedName name="UACCT108GPSSGCH">'[13]Func Study'!$AB$2434</definedName>
    <definedName name="UACCT108GPSSGCT">'[13]Func Study'!$AB$2433</definedName>
    <definedName name="UAcct108Hp">'[13]Func Study'!$AB$2313</definedName>
    <definedName name="UAcct108Mp">'[13]Func Study'!$AB$2444</definedName>
    <definedName name="UAcct108Np">'[13]Func Study'!$AB$2305</definedName>
    <definedName name="UAcct108Op">'[13]Func Study'!$AB$2322</definedName>
    <definedName name="UACCT108OPSSCCT">'[13]Func Study'!$AB$2321</definedName>
    <definedName name="UAcct108Sp">'[13]Func Study'!$AB$2299</definedName>
    <definedName name="UACCT108SPSSGCH">'[13]Func Study'!$AB$2298</definedName>
    <definedName name="UAcct108Tp">'[13]Func Study'!$AB$2346</definedName>
    <definedName name="UAcct111Clg">'[13]Func Study'!$AB$2487</definedName>
    <definedName name="UAcct111Clgsou">'[13]Func Study'!$AB$2485</definedName>
    <definedName name="UAcct111Clh">'[13]Func Study'!$AB$2493</definedName>
    <definedName name="UAcct111Cls">'[13]Func Study'!$AB$2478</definedName>
    <definedName name="UAcct111Ipcn">'[13]Func Study'!$AB$2502</definedName>
    <definedName name="UAcct111Ips">'[13]Func Study'!$AB$2497</definedName>
    <definedName name="UAcct111Ipse">'[13]Func Study'!$AB$2500</definedName>
    <definedName name="UAcct111Ipsg">'[13]Func Study'!$AB$2501</definedName>
    <definedName name="UAcct111Ipsgp">'[13]Func Study'!$AB$2498</definedName>
    <definedName name="UAcct111Ipsgu">'[13]Func Study'!$AB$2499</definedName>
    <definedName name="UAcct111Ipso">'[13]Func Study'!$AB$2506</definedName>
    <definedName name="UACCT111IPSSGCH">'[13]Func Study'!$AB$2505</definedName>
    <definedName name="UACCT111IPSSGCT">'[13]Func Study'!$AB$2504</definedName>
    <definedName name="UAcct114">'[13]Func Study'!$AB$2017</definedName>
    <definedName name="UAcct120">'[13]Func Study'!$AB$2021</definedName>
    <definedName name="UAcct124">'[13]Func Study'!$AB$2026</definedName>
    <definedName name="UAcct141">'[13]Func Study'!$AB$2173</definedName>
    <definedName name="UAcct151">'[13]Func Study'!$AB$2049</definedName>
    <definedName name="Uacct151SSECT">'[13]Func Study'!$AB$2047</definedName>
    <definedName name="UAcct154">'[13]Func Study'!$AB$2083</definedName>
    <definedName name="Uacct154SSGCT">'[13]Func Study'!$AB$2080</definedName>
    <definedName name="UAcct163">'[13]Func Study'!$AB$2093</definedName>
    <definedName name="UAcct165">'[13]Func Study'!$AB$2108</definedName>
    <definedName name="UAcct165Gps">'[13]Func Study'!$AB$2104</definedName>
    <definedName name="UAcct182">'[13]Func Study'!$AB$2033</definedName>
    <definedName name="UAcct18222">'[13]Func Study'!$AB$2163</definedName>
    <definedName name="UAcct182M">'[13]Func Study'!$AB$2118</definedName>
    <definedName name="UAcct182MSSGCH">'[13]Func Study'!$AB$2113</definedName>
    <definedName name="UAcct186">'[13]Func Study'!$AB$2041</definedName>
    <definedName name="UAcct1869">'[13]Func Study'!$AB$2168</definedName>
    <definedName name="UAcct186M">'[13]Func Study'!$AB$2129</definedName>
    <definedName name="UAcct190">'[13]Func Study'!$AB$2243</definedName>
    <definedName name="UAcct190Baddebt">'[13]Func Study'!$AB$2237</definedName>
    <definedName name="UAcct190Dop">'[13]Func Study'!$AB$2235</definedName>
    <definedName name="UAcct2281">'[13]Func Study'!$AB$2191</definedName>
    <definedName name="UAcct2282">'[13]Func Study'!$AB$2195</definedName>
    <definedName name="UAcct2283">'[13]Func Study'!$AB$2200</definedName>
    <definedName name="UACCT22841SG">'[13]Func Study'!$AB$2205</definedName>
    <definedName name="UAcct22842">'[13]Func Study'!$AB$2211</definedName>
    <definedName name="UAcct235">'[13]Func Study'!$AB$2187</definedName>
    <definedName name="UACCT235CN">'[13]Func Study'!$AB$2186</definedName>
    <definedName name="UAcct252">'[13]Func Study'!$AB$2219</definedName>
    <definedName name="UAcct25316">'[13]Func Study'!$AB$2057</definedName>
    <definedName name="UAcct25317">'[13]Func Study'!$AB$2061</definedName>
    <definedName name="UAcct25318">'[13]Func Study'!$AB$2098</definedName>
    <definedName name="UAcct25319">'[13]Func Study'!$AB$2065</definedName>
    <definedName name="uacct25398">'[13]Func Study'!$AB$2222</definedName>
    <definedName name="UAcct25399">'[13]Func Study'!$AB$2230</definedName>
    <definedName name="UACCT254SO">'[13]Func Study'!$AB$2202</definedName>
    <definedName name="UAcct255">'[13]Func Study'!$AB$2284</definedName>
    <definedName name="UAcct281">'[13]Func Study'!$AB$2249</definedName>
    <definedName name="UAcct282">'[13]Func Study'!$AB$2259</definedName>
    <definedName name="UAcct282Cn">'[13]Func Study'!$AB$2256</definedName>
    <definedName name="UAcct282So">'[13]Func Study'!$AB$2255</definedName>
    <definedName name="UAcct283">'[13]Func Study'!$AB$2271</definedName>
    <definedName name="UAcct283So">'[13]Func Study'!$AB$2265</definedName>
    <definedName name="UAcct301S">'[13]Func Study'!$AB$1964</definedName>
    <definedName name="UAcct301Sg">'[13]Func Study'!$AB$1966</definedName>
    <definedName name="UAcct301So">'[13]Func Study'!$AB$1965</definedName>
    <definedName name="UAcct302S">'[13]Func Study'!$AB$1969</definedName>
    <definedName name="UAcct302Sg">'[13]Func Study'!$AB$1970</definedName>
    <definedName name="UAcct302Sgp">'[13]Func Study'!$AB$1971</definedName>
    <definedName name="UAcct302Sgu">'[13]Func Study'!$AB$1972</definedName>
    <definedName name="UAcct303Cn">'[13]Func Study'!$AB$1980</definedName>
    <definedName name="UAcct303S">'[13]Func Study'!$AB$1976</definedName>
    <definedName name="UAcct303Se">'[13]Func Study'!$AB$1979</definedName>
    <definedName name="UAcct303Sg">'[13]Func Study'!$AB$1977</definedName>
    <definedName name="UAcct303Sgu">'[13]Func Study'!$AB$1981</definedName>
    <definedName name="UAcct303So">'[13]Func Study'!$AB$1978</definedName>
    <definedName name="UACCT303SSGCH">'[13]Func Study'!$AB$1983</definedName>
    <definedName name="UAcct310">'[13]Func Study'!$AB$1414</definedName>
    <definedName name="UAcct310JBG">'[13]Func Study'!$AB$1413</definedName>
    <definedName name="UAcct311">'[13]Func Study'!$AB$1421</definedName>
    <definedName name="UAcct311JBG">'[13]Func Study'!$AB$1420</definedName>
    <definedName name="UAcct312">'[13]Func Study'!$AB$1428</definedName>
    <definedName name="UAcct312JBG">'[13]Func Study'!$AB$1427</definedName>
    <definedName name="UAcct314">'[13]Func Study'!$AB$1435</definedName>
    <definedName name="UAcct314JBG">'[13]Func Study'!$AB$1434</definedName>
    <definedName name="UAcct315">'[13]Func Study'!$AB$1442</definedName>
    <definedName name="UAcct315JBG">'[13]Func Study'!$AB$1441</definedName>
    <definedName name="UAcct316">'[13]Func Study'!$AB$1450</definedName>
    <definedName name="UAcct316JBG">'[13]Func Study'!$AB$1449</definedName>
    <definedName name="UAcct320">'[13]Func Study'!$AB$1466</definedName>
    <definedName name="UAcct321">'[13]Func Study'!$AB$1471</definedName>
    <definedName name="UAcct322">'[13]Func Study'!$AB$1476</definedName>
    <definedName name="UAcct323">'[13]Func Study'!$AB$1481</definedName>
    <definedName name="UAcct324">'[13]Func Study'!$AB$1486</definedName>
    <definedName name="UAcct325">'[13]Func Study'!$AB$1491</definedName>
    <definedName name="UAcct33">'[13]Func Study'!$AB$295</definedName>
    <definedName name="UAcct330">'[13]Func Study'!$AB$1508</definedName>
    <definedName name="UAcct331">'[13]Func Study'!$AB$1513</definedName>
    <definedName name="UAcct332">'[13]Func Study'!$AB$1518</definedName>
    <definedName name="UAcct333">'[13]Func Study'!$AB$1523</definedName>
    <definedName name="UAcct334">'[13]Func Study'!$AB$1528</definedName>
    <definedName name="UAcct335">'[13]Func Study'!$AB$1533</definedName>
    <definedName name="UAcct336">'[13]Func Study'!$AB$1539</definedName>
    <definedName name="UAcct340Dgu">'[13]Func Study'!$AB$1564</definedName>
    <definedName name="UAcct340Sgu">'[13]Func Study'!$AB$1565</definedName>
    <definedName name="UAcct341Dgu">'[13]Func Study'!$AB$1569</definedName>
    <definedName name="UAcct341Sgu">'[13]Func Study'!$AB$1570</definedName>
    <definedName name="UAcct342Dgu">'[13]Func Study'!$AB$1574</definedName>
    <definedName name="UAcct342Sgu">'[13]Func Study'!$AB$1575</definedName>
    <definedName name="UAcct343">'[13]Func Study'!$AB$1584</definedName>
    <definedName name="UAcct344S">'[13]Func Study'!$AB$1587</definedName>
    <definedName name="UAcct344Sgp">'[13]Func Study'!$AB$1588</definedName>
    <definedName name="UAcct345Dgu">'[13]Func Study'!$AB$1594</definedName>
    <definedName name="UAcct345Sgu">'[13]Func Study'!$AB$1595</definedName>
    <definedName name="UAcct346">'[13]Func Study'!$AB$1601</definedName>
    <definedName name="UAcct350">'[13]Func Study'!$AB$1628</definedName>
    <definedName name="UAcct352">'[13]Func Study'!$AB$1635</definedName>
    <definedName name="UAcct353">'[13]Func Study'!$AB$1641</definedName>
    <definedName name="UAcct354">'[13]Func Study'!$AB$1647</definedName>
    <definedName name="UAcct355">'[13]Func Study'!$AB$1654</definedName>
    <definedName name="UAcct356">'[13]Func Study'!$AB$1660</definedName>
    <definedName name="UAcct357">'[13]Func Study'!$AB$1666</definedName>
    <definedName name="UAcct358">'[13]Func Study'!$AB$1672</definedName>
    <definedName name="UAcct359">'[13]Func Study'!$AB$1678</definedName>
    <definedName name="UAcct360">'[13]Func Study'!$AB$1698</definedName>
    <definedName name="UAcct361">'[13]Func Study'!$AB$1704</definedName>
    <definedName name="UAcct362">'[13]Func Study'!$AB$1710</definedName>
    <definedName name="UAcct368">'[13]Func Study'!$AB$1744</definedName>
    <definedName name="UAcct369">'[13]Func Study'!$AB$1751</definedName>
    <definedName name="UAcct370">'[13]Func Study'!$AB$1762</definedName>
    <definedName name="UAcct372A">'[13]Func Study'!$AB$1775</definedName>
    <definedName name="UAcct372Dp">'[13]Func Study'!$AB$1773</definedName>
    <definedName name="UAcct372Ds">'[13]Func Study'!$AB$1774</definedName>
    <definedName name="UAcct373">'[13]Func Study'!$AB$1782</definedName>
    <definedName name="UAcct389Cn">'[13]Func Study'!$AB$1800</definedName>
    <definedName name="UAcct389S">'[13]Func Study'!$AB$1799</definedName>
    <definedName name="UAcct389Sg">'[13]Func Study'!$AB$1802</definedName>
    <definedName name="UAcct389Sgu">'[13]Func Study'!$AB$1801</definedName>
    <definedName name="UAcct389So">'[13]Func Study'!$AB$1803</definedName>
    <definedName name="UAcct390Cn">'[13]Func Study'!$AB$1810</definedName>
    <definedName name="UAcct390JBG">'[13]Func Study'!$AB$1812</definedName>
    <definedName name="UAcct390L">'[13]Func Study'!$AB$1927</definedName>
    <definedName name="UACCT390LRCL">'[13]Func Study'!$AB$1929</definedName>
    <definedName name="UAcct390S">'[13]Func Study'!$AB$1807</definedName>
    <definedName name="UAcct390Sgp">'[13]Func Study'!$AB$1808</definedName>
    <definedName name="UAcct390Sgu">'[13]Func Study'!$AB$1809</definedName>
    <definedName name="UAcct390Sop">'[13]Func Study'!$AB$1811</definedName>
    <definedName name="UAcct390Sou">'[13]Func Study'!$AB$1813</definedName>
    <definedName name="UAcct391Cn">'[13]Func Study'!$AB$1820</definedName>
    <definedName name="UACCT391JBE">'[13]Func Study'!$AB$1825</definedName>
    <definedName name="UAcct391S">'[13]Func Study'!$AB$1817</definedName>
    <definedName name="UAcct391Sg">'[13]Func Study'!$AB$1821</definedName>
    <definedName name="UAcct391Sgp">'[13]Func Study'!$AB$1818</definedName>
    <definedName name="UAcct391Sgu">'[13]Func Study'!$AB$1819</definedName>
    <definedName name="UAcct391So">'[13]Func Study'!$AB$1823</definedName>
    <definedName name="UACCT391SSGCH">'[13]Func Study'!$AB$1824</definedName>
    <definedName name="UAcct392Cn">'[13]Func Study'!$AB$1832</definedName>
    <definedName name="UAcct392L">'[13]Func Study'!$AB$1935</definedName>
    <definedName name="UAcct392Lrcl">'[13]Func Study'!$AB$1937</definedName>
    <definedName name="UAcct392S">'[13]Func Study'!$AB$1829</definedName>
    <definedName name="UAcct392Se">'[13]Func Study'!$AB$1834</definedName>
    <definedName name="UAcct392Sg">'[13]Func Study'!$AB$1831</definedName>
    <definedName name="UAcct392Sgp">'[13]Func Study'!$AB$1835</definedName>
    <definedName name="UAcct392Sgu">'[13]Func Study'!$AB$1833</definedName>
    <definedName name="UAcct392So">'[13]Func Study'!$AB$1830</definedName>
    <definedName name="UACCT392SSGCH">'[13]Func Study'!$AB$1836</definedName>
    <definedName name="UAcct393S">'[13]Func Study'!$AB$1841</definedName>
    <definedName name="UAcct393Sg">'[13]Func Study'!$AB$1845</definedName>
    <definedName name="UAcct393Sgp">'[13]Func Study'!$AB$1842</definedName>
    <definedName name="UAcct393Sgu">'[13]Func Study'!$AB$1843</definedName>
    <definedName name="UAcct393So">'[13]Func Study'!$AB$1844</definedName>
    <definedName name="UACCT393SSGCT">'[13]Func Study'!$AB$1846</definedName>
    <definedName name="UAcct394S">'[13]Func Study'!$AB$1850</definedName>
    <definedName name="UAcct394Se">'[13]Func Study'!$AB$1854</definedName>
    <definedName name="UAcct394Sg">'[13]Func Study'!$AB$1855</definedName>
    <definedName name="UAcct394Sgp">'[13]Func Study'!$AB$1851</definedName>
    <definedName name="UAcct394Sgu">'[13]Func Study'!$AB$1852</definedName>
    <definedName name="UAcct394So">'[13]Func Study'!$AB$1853</definedName>
    <definedName name="UACCT394SSGCH">'[13]Func Study'!$AB$1856</definedName>
    <definedName name="UAcct395S">'[13]Func Study'!$AB$1861</definedName>
    <definedName name="UAcct395Se">'[13]Func Study'!$AB$1865</definedName>
    <definedName name="UAcct395Sg">'[13]Func Study'!$AB$1866</definedName>
    <definedName name="UAcct395Sgp">'[13]Func Study'!$AB$1862</definedName>
    <definedName name="UAcct395Sgu">'[13]Func Study'!$AB$1863</definedName>
    <definedName name="UAcct395So">'[13]Func Study'!$AB$1864</definedName>
    <definedName name="UACCT395SSGCH">'[13]Func Study'!$AB$1867</definedName>
    <definedName name="UAcct396S">'[13]Func Study'!$AB$1872</definedName>
    <definedName name="UAcct396Se">'[13]Func Study'!$AB$1877</definedName>
    <definedName name="UAcct396Sg">'[13]Func Study'!$AB$1874</definedName>
    <definedName name="UAcct396Sgp">'[13]Func Study'!$AB$1873</definedName>
    <definedName name="UAcct396Sgu">'[13]Func Study'!$AB$1876</definedName>
    <definedName name="UAcct396So">'[13]Func Study'!$AB$1875</definedName>
    <definedName name="UACCT396SSGCH">'[13]Func Study'!$AB$1879</definedName>
    <definedName name="UACCT396SSGCT">'[13]Func Study'!$AB$1878</definedName>
    <definedName name="UAcct397Cn">'[13]Func Study'!$AB$1890</definedName>
    <definedName name="UAcct397JBG">'[13]Func Study'!$AB$1893</definedName>
    <definedName name="UAcct397S">'[13]Func Study'!$AB$1886</definedName>
    <definedName name="UAcct397Se">'[13]Func Study'!$AB$1892</definedName>
    <definedName name="UAcct397Sg">'[13]Func Study'!$AB$1891</definedName>
    <definedName name="UAcct397Sgp">'[13]Func Study'!$AB$1887</definedName>
    <definedName name="UAcct397Sgu">'[13]Func Study'!$AB$1888</definedName>
    <definedName name="UAcct397So">'[13]Func Study'!$AB$1889</definedName>
    <definedName name="UAcct398Cn">'[13]Func Study'!$AB$1902</definedName>
    <definedName name="UAcct398S">'[13]Func Study'!$AB$1899</definedName>
    <definedName name="UAcct398Se">'[13]Func Study'!$AB$1904</definedName>
    <definedName name="UAcct398Sg">'[13]Func Study'!$AB$1905</definedName>
    <definedName name="UAcct398Sgp">'[13]Func Study'!$AB$1900</definedName>
    <definedName name="UAcct398Sgu">'[13]Func Study'!$AB$1901</definedName>
    <definedName name="UAcct398So">'[13]Func Study'!$AB$1903</definedName>
    <definedName name="UACCT398SSGCT">'[13]Func Study'!$AB$1906</definedName>
    <definedName name="UAcct399">'[13]Func Study'!$AB$1913</definedName>
    <definedName name="UAcct399G">'[13]Func Study'!$AB$1955</definedName>
    <definedName name="UAcct399L">'[13]Func Study'!$AB$1917</definedName>
    <definedName name="UAcct399Lrcl">'[13]Func Study'!$AB$1919</definedName>
    <definedName name="UAcct403360">'[13]Func Study'!$AB$1090</definedName>
    <definedName name="UAcct403361">'[13]Func Study'!$AB$1091</definedName>
    <definedName name="UAcct403362">'[13]Func Study'!$AB$1092</definedName>
    <definedName name="UAcct403364">'[13]Func Study'!$AB$1094</definedName>
    <definedName name="UAcct403365">'[13]Func Study'!$AB$1095</definedName>
    <definedName name="UAcct403366">'[13]Func Study'!$AB$1096</definedName>
    <definedName name="UAcct403367">'[13]Func Study'!$AB$1097</definedName>
    <definedName name="UAcct403368">'[13]Func Study'!$AB$1098</definedName>
    <definedName name="UAcct403369">'[13]Func Study'!$AB$1099</definedName>
    <definedName name="UAcct403370">'[13]Func Study'!$AB$1100</definedName>
    <definedName name="UAcct403371">'[13]Func Study'!$AB$1101</definedName>
    <definedName name="UAcct403372">'[13]Func Study'!$AB$1102</definedName>
    <definedName name="UAcct403373">'[13]Func Study'!$AB$1103</definedName>
    <definedName name="UAcct403Ep">'[13]Func Study'!$AB$1130</definedName>
    <definedName name="UAcct403Gpcn">'[13]Func Study'!$AB$1111</definedName>
    <definedName name="UAcct403GPDGP">'[13]Func Study'!$AB$1108</definedName>
    <definedName name="UAcct403GPDGU">'[13]Func Study'!$AB$1109</definedName>
    <definedName name="UAcct403GPJBG">'[13]Func Study'!$AB$1115</definedName>
    <definedName name="UAcct403Gps">'[13]Func Study'!$AB$1107</definedName>
    <definedName name="UAcct403Gpsg">'[13]Func Study'!$AB$1112</definedName>
    <definedName name="UAcct403Gpso">'[13]Func Study'!$AB$1113</definedName>
    <definedName name="UAcct403Gv0">'[13]Func Study'!$AB$1121</definedName>
    <definedName name="UAcct403Hp">'[13]Func Study'!$AB$1072</definedName>
    <definedName name="UACCT403JBE">'[13]Func Study'!$AB$1116</definedName>
    <definedName name="UAcct403Mp">'[13]Func Study'!$AB$1125</definedName>
    <definedName name="UAcct403Np">'[13]Func Study'!$AB$1065</definedName>
    <definedName name="UAcct403Op">'[13]Func Study'!$AB$1080</definedName>
    <definedName name="UAcct403OPCAGE">'[13]Func Study'!$AB$1078</definedName>
    <definedName name="UAcct403Sp">'[13]Func Study'!$AB$1061</definedName>
    <definedName name="UAcct403SPJBG">'[13]Func Study'!$AB$1058</definedName>
    <definedName name="UAcct403Tp">'[13]Func Study'!$AB$1087</definedName>
    <definedName name="UAcct404330">'[13]Func Study'!$AB$1177</definedName>
    <definedName name="UACCT404GP">'[13]Func Study'!$AB$1146</definedName>
    <definedName name="UACCT404GPCN">'[13]Func Study'!$AB$1143</definedName>
    <definedName name="UACCT404GPSO">'[13]Func Study'!$AB$1141</definedName>
    <definedName name="UAcct404Ipcn">'[13]Func Study'!$AB$1158</definedName>
    <definedName name="UAcct404IPJBG">'[13]Func Study'!$AB$1163</definedName>
    <definedName name="UAcct404Ips">'[13]Func Study'!$AB$1154</definedName>
    <definedName name="UAcct404Ipse">'[13]Func Study'!$AB$1155</definedName>
    <definedName name="UAcct404Ipsg">'[13]Func Study'!$AB$1156</definedName>
    <definedName name="UAcct404Ipsg1">'[13]Func Study'!$AB$1159</definedName>
    <definedName name="UAcct404Ipsg2">'[13]Func Study'!$AB$1160</definedName>
    <definedName name="UAcct404Ipso">'[13]Func Study'!$AB$1157</definedName>
    <definedName name="UAcct404M">'[13]Func Study'!$AB$1168</definedName>
    <definedName name="UACCT404OP">'[13]Func Study'!$AB$1172</definedName>
    <definedName name="UACCT404SP">'[13]Func Study'!$AB$1151</definedName>
    <definedName name="UAcct405">'[13]Func Study'!$AB$1185</definedName>
    <definedName name="UAcct406">'[13]Func Study'!$AB$1193</definedName>
    <definedName name="UAcct407">'[13]Func Study'!$AB$1202</definedName>
    <definedName name="UAcct408">'[13]Func Study'!$AB$1221</definedName>
    <definedName name="UAcct408S">'[13]Func Study'!$AB$1213</definedName>
    <definedName name="UAcct41010">'[13]Func Study'!$AB$1294</definedName>
    <definedName name="UAcct41011">'[13]Func Study'!$AB$1309</definedName>
    <definedName name="UAcct41110">'[13]Func Study'!$AB$1325</definedName>
    <definedName name="UAcct41140">'[13]Func Study'!$AB$1232</definedName>
    <definedName name="UAcct41141">'[13]Func Study'!$AB$1237</definedName>
    <definedName name="UAcct41160">'[13]Func Study'!$AB$369</definedName>
    <definedName name="UAcct41170">'[13]Func Study'!$AB$374</definedName>
    <definedName name="UAcct4118">'[13]Func Study'!$AB$378</definedName>
    <definedName name="UAcct41181">'[13]Func Study'!$AB$381</definedName>
    <definedName name="UAcct4194">'[13]Func Study'!$AB$385</definedName>
    <definedName name="UAcct421">'[13]Func Study'!$AB$394</definedName>
    <definedName name="UAcct4311">'[13]Func Study'!$AB$401</definedName>
    <definedName name="UAcct442Se">'[13]Func Study'!$AB$259</definedName>
    <definedName name="UAcct442Sg">'[13]Func Study'!$AB$260</definedName>
    <definedName name="UAcct447">'[13]Func Study'!$AB$281</definedName>
    <definedName name="UACCT447NPC">'[13]Func Study'!$AB$289</definedName>
    <definedName name="UACCT447NPCCAEW">'[13]Func Study'!$AB$286</definedName>
    <definedName name="UACCT447NPCCAGW">'[13]Func Study'!$AB$287</definedName>
    <definedName name="UACCT447NPCDGP">'[13]Func Study'!$AB$288</definedName>
    <definedName name="UAcct447S">'[13]Func Study'!$AB$280</definedName>
    <definedName name="UAcct448S">'[13]Func Study'!$AB$274</definedName>
    <definedName name="UAcct448So">'[13]Func Study'!$AB$275</definedName>
    <definedName name="UAcct449">'[13]Func Study'!$AB$294</definedName>
    <definedName name="UAcct450">'[13]Func Study'!$AB$304</definedName>
    <definedName name="UAcct450S">'[13]Func Study'!$AB$302</definedName>
    <definedName name="UAcct450So">'[13]Func Study'!$AB$303</definedName>
    <definedName name="UAcct451S">'[13]Func Study'!$AB$307</definedName>
    <definedName name="UAcct451Sg">'[13]Func Study'!$AB$308</definedName>
    <definedName name="UAcct451So">'[13]Func Study'!$AB$309</definedName>
    <definedName name="UAcct453">'[13]Func Study'!$AB$315</definedName>
    <definedName name="UAcct454">'[13]Func Study'!$AB$322</definedName>
    <definedName name="UAcct454JBG">'[13]Func Study'!$AB$319</definedName>
    <definedName name="UAcct454S">'[13]Func Study'!$AB$318</definedName>
    <definedName name="UAcct454Sg">'[13]Func Study'!$AB$320</definedName>
    <definedName name="UAcct454So">'[13]Func Study'!$AB$321</definedName>
    <definedName name="UAcct456">'[13]Func Study'!$AB$332</definedName>
    <definedName name="UAcct456CAEW">'[13]Func Study'!$AB$331</definedName>
    <definedName name="UAcct456S">'[13]Func Study'!$AB$325</definedName>
    <definedName name="UAcct456So">'[13]Func Study'!$AB$329</definedName>
    <definedName name="UAcct500">'[13]Func Study'!$AB$416</definedName>
    <definedName name="UAcct500JBG">'[13]Func Study'!$AB$414</definedName>
    <definedName name="UAcct501">'[13]Func Study'!$AB$423</definedName>
    <definedName name="UAcct501CAEW">'[13]Func Study'!$AB$420</definedName>
    <definedName name="UAcct501JBE">'[13]Func Study'!$AB$421</definedName>
    <definedName name="UACCT501NPCCAEW">'[13]Func Study'!$AB$426</definedName>
    <definedName name="UAcct502">'[13]Func Study'!$AB$433</definedName>
    <definedName name="UAcct502CAGE">'[13]Func Study'!$AB$431</definedName>
    <definedName name="UAcct503">'[13]Func Study'!$AB$437</definedName>
    <definedName name="UACCT503NPC">'[13]Func Study'!$AB$443</definedName>
    <definedName name="UAcct505">'[13]Func Study'!$AB$449</definedName>
    <definedName name="UAcct505CAGE">'[13]Func Study'!$AB$447</definedName>
    <definedName name="UAcct506">'[13]Func Study'!$AB$455</definedName>
    <definedName name="UAcct506CAGE">'[13]Func Study'!$AB$452</definedName>
    <definedName name="UAcct507">'[13]Func Study'!$AB$464</definedName>
    <definedName name="UAcct507CAGE">'[13]Func Study'!$AB$462</definedName>
    <definedName name="UAcct510">'[13]Func Study'!$AB$469</definedName>
    <definedName name="UAcct510CAGE">'[13]Func Study'!$AB$467</definedName>
    <definedName name="UAcct511">'[13]Func Study'!$AB$474</definedName>
    <definedName name="UAcct511CAGE">'[13]Func Study'!$AB$472</definedName>
    <definedName name="UAcct512">'[13]Func Study'!$AB$479</definedName>
    <definedName name="UAcct512CAGE">'[13]Func Study'!$AB$477</definedName>
    <definedName name="UAcct513">'[13]Func Study'!$AB$484</definedName>
    <definedName name="UAcct513CAGE">'[13]Func Study'!$AB$482</definedName>
    <definedName name="UAcct514">'[13]Func Study'!$AB$489</definedName>
    <definedName name="UAcct514CAGE">'[13]Func Study'!$AB$487</definedName>
    <definedName name="UAcct517">'[13]Func Study'!$AB$498</definedName>
    <definedName name="UAcct518">'[13]Func Study'!$AB$502</definedName>
    <definedName name="UAcct519">'[13]Func Study'!$AB$507</definedName>
    <definedName name="UAcct520">'[13]Func Study'!$AB$511</definedName>
    <definedName name="UAcct523">'[13]Func Study'!$AB$515</definedName>
    <definedName name="UAcct524">'[13]Func Study'!$AB$519</definedName>
    <definedName name="UAcct528">'[13]Func Study'!$AB$523</definedName>
    <definedName name="UAcct529">'[13]Func Study'!$AB$527</definedName>
    <definedName name="UAcct530">'[13]Func Study'!$AB$531</definedName>
    <definedName name="UAcct531">'[13]Func Study'!$AB$535</definedName>
    <definedName name="UAcct532">'[13]Func Study'!$AB$539</definedName>
    <definedName name="UAcct535">'[13]Func Study'!$AB$551</definedName>
    <definedName name="UAcct536">'[13]Func Study'!$AB$555</definedName>
    <definedName name="UAcct537">'[13]Func Study'!$AB$559</definedName>
    <definedName name="UAcct538">'[13]Func Study'!$AB$563</definedName>
    <definedName name="UAcct539">'[13]Func Study'!$AB$568</definedName>
    <definedName name="UAcct540">'[13]Func Study'!$AB$572</definedName>
    <definedName name="UAcct541">'[13]Func Study'!$AB$576</definedName>
    <definedName name="UAcct542">'[13]Func Study'!$AB$580</definedName>
    <definedName name="UAcct543">'[13]Func Study'!$AB$584</definedName>
    <definedName name="UAcct544">'[13]Func Study'!$AB$588</definedName>
    <definedName name="UAcct545">'[13]Func Study'!$AB$592</definedName>
    <definedName name="UAcct546">'[13]Func Study'!$AB$606</definedName>
    <definedName name="UAcct546CAGE">'[13]Func Study'!$AB$605</definedName>
    <definedName name="UAcct547CAEW">'[13]Func Study'!$AB$610</definedName>
    <definedName name="UACCT547NPCCAEW">'[13]Func Study'!$AB$613</definedName>
    <definedName name="UAcct547Se">'[13]Func Study'!$AB$609</definedName>
    <definedName name="UAcct548">'[13]Func Study'!$AB$621</definedName>
    <definedName name="UACCT548CAGE">'[13]Func Study'!$AB$620</definedName>
    <definedName name="UAcct549">'[13]Func Study'!$AB$626</definedName>
    <definedName name="Uacct549CAGE">'[13]Func Study'!$AB$625</definedName>
    <definedName name="UAcct551CAGE">'[13]Func Study'!$AB$634</definedName>
    <definedName name="UACCT551SG">'[13]Func Study'!$AB$635</definedName>
    <definedName name="UACCT552CAGE">'[13]Func Study'!$AB$640</definedName>
    <definedName name="UAcct552SG">'[13]Func Study'!$AB$639</definedName>
    <definedName name="UACCT553CAGE">'[13]Func Study'!$AB$646</definedName>
    <definedName name="UAcct553SG">'[13]Func Study'!$AB$645</definedName>
    <definedName name="UACCT554CAGE">'[13]Func Study'!$AB$651</definedName>
    <definedName name="UAcct554SG">'[13]Func Study'!$AB$650</definedName>
    <definedName name="UAcct555CAEW">'[13]Func Study'!$AB$665</definedName>
    <definedName name="UAcct555CAGW">'[13]Func Study'!$AB$664</definedName>
    <definedName name="UACCT555DGP">'[13]Func Study'!$AB$670</definedName>
    <definedName name="UACCT555NPCCAEW">'[13]Func Study'!$AB$669</definedName>
    <definedName name="UACCT555NPCCAGW">'[13]Func Study'!$AB$668</definedName>
    <definedName name="UAcct555S">'[13]Func Study'!$AB$663</definedName>
    <definedName name="UAcct555Se">'[13]Func Study'!$AB$665</definedName>
    <definedName name="UACCT555SG">'[13]Func Study'!$AB$664</definedName>
    <definedName name="UAcct556">'[13]Func Study'!$AB$676</definedName>
    <definedName name="UAcct557">'[13]Func Study'!$AB$685</definedName>
    <definedName name="UAcct560">'[13]Func Study'!$AB$715</definedName>
    <definedName name="UAcct561">'[13]Func Study'!$AB$720</definedName>
    <definedName name="UAcct562">'[13]Func Study'!$AB$726</definedName>
    <definedName name="UAcct563">'[13]Func Study'!$AB$731</definedName>
    <definedName name="UAcct564">'[13]Func Study'!$AB$735</definedName>
    <definedName name="UAcct565">'[13]Func Study'!$AB$739</definedName>
    <definedName name="UACCT565NPC">'[13]Func Study'!$AB$744</definedName>
    <definedName name="UACCT565NPCCAGW">'[13]Func Study'!$AB$742</definedName>
    <definedName name="UAcct566">'[13]Func Study'!$AB$748</definedName>
    <definedName name="UAcct567">'[13]Func Study'!$AB$752</definedName>
    <definedName name="UAcct568">'[13]Func Study'!$AB$756</definedName>
    <definedName name="UAcct569">'[13]Func Study'!$AB$760</definedName>
    <definedName name="UAcct570">'[13]Func Study'!$AB$765</definedName>
    <definedName name="UAcct571">'[13]Func Study'!$AB$770</definedName>
    <definedName name="UAcct572">'[13]Func Study'!$AB$774</definedName>
    <definedName name="UAcct573">'[13]Func Study'!$AB$778</definedName>
    <definedName name="UAcct580">'[13]Func Study'!$AB$791</definedName>
    <definedName name="UAcct581">'[13]Func Study'!$AB$796</definedName>
    <definedName name="UAcct582">'[13]Func Study'!$AB$801</definedName>
    <definedName name="UAcct583">'[13]Func Study'!$AB$806</definedName>
    <definedName name="UAcct584">'[13]Func Study'!$AB$811</definedName>
    <definedName name="UAcct585">'[13]Func Study'!$AB$816</definedName>
    <definedName name="UAcct586">'[13]Func Study'!$AB$821</definedName>
    <definedName name="UAcct587">'[13]Func Study'!$AB$826</definedName>
    <definedName name="UAcct588">'[13]Func Study'!$AB$831</definedName>
    <definedName name="UAcct589">'[13]Func Study'!$AB$836</definedName>
    <definedName name="UAcct590">'[13]Func Study'!$AB$841</definedName>
    <definedName name="UAcct591">'[13]Func Study'!$AB$846</definedName>
    <definedName name="UAcct592">'[13]Func Study'!$AB$851</definedName>
    <definedName name="UAcct593">'[13]Func Study'!$AB$856</definedName>
    <definedName name="UAcct594">'[13]Func Study'!$AB$861</definedName>
    <definedName name="UAcct595">'[13]Func Study'!$AB$866</definedName>
    <definedName name="UAcct596">'[13]Func Study'!$AB$876</definedName>
    <definedName name="UAcct597">'[13]Func Study'!$AB$881</definedName>
    <definedName name="UAcct598">'[13]Func Study'!$AB$886</definedName>
    <definedName name="UAcct901">'[13]Func Study'!$AB$898</definedName>
    <definedName name="UAcct902">'[13]Func Study'!$AB$903</definedName>
    <definedName name="UAcct903">'[13]Func Study'!$AB$908</definedName>
    <definedName name="UAcct904">'[13]Func Study'!$AB$914</definedName>
    <definedName name="UAcct905">'[13]Func Study'!$AB$919</definedName>
    <definedName name="UAcct907">'[13]Func Study'!$AB$933</definedName>
    <definedName name="UAcct908">'[13]Func Study'!$AB$938</definedName>
    <definedName name="UAcct909">'[13]Func Study'!$AB$943</definedName>
    <definedName name="UAcct910">'[13]Func Study'!$AB$948</definedName>
    <definedName name="UAcct911">'[13]Func Study'!$AB$959</definedName>
    <definedName name="UAcct912">'[13]Func Study'!$AB$964</definedName>
    <definedName name="UAcct913">'[13]Func Study'!$AB$969</definedName>
    <definedName name="UAcct916">'[13]Func Study'!$AB$974</definedName>
    <definedName name="UAcct920">'[13]Func Study'!$AB$985</definedName>
    <definedName name="UAcct920Cn">'[13]Func Study'!$AB$983</definedName>
    <definedName name="UAcct921">'[13]Func Study'!$AB$991</definedName>
    <definedName name="UAcct921Cn">'[13]Func Study'!$AB$989</definedName>
    <definedName name="UAcct923">'[13]Func Study'!$AB$997</definedName>
    <definedName name="UAcct923CAGW">'[13]Func Study'!$AB$995</definedName>
    <definedName name="UAcct924">'[13]Func Study'!$AB$1001</definedName>
    <definedName name="UAcct925">'[13]Func Study'!$AB$1005</definedName>
    <definedName name="UAcct926">'[13]Func Study'!$AB$1011</definedName>
    <definedName name="UAcct927">'[13]Func Study'!$AB$1016</definedName>
    <definedName name="UAcct928">'[13]Func Study'!$AB$1023</definedName>
    <definedName name="UAcct929">'[13]Func Study'!$AB$1028</definedName>
    <definedName name="UAcct930">'[13]Func Study'!$AB$1034</definedName>
    <definedName name="UAcct931">'[13]Func Study'!$AB$1039</definedName>
    <definedName name="UAcct935">'[13]Func Study'!$AB$1045</definedName>
    <definedName name="UAcctAGA">'[13]Func Study'!$AB$296</definedName>
    <definedName name="UAcctcwc">'[13]Func Study'!$AB$2136</definedName>
    <definedName name="UAcctd00">'[13]Func Study'!$AB$1786</definedName>
    <definedName name="UAcctds0">'[13]Func Study'!$AB$1790</definedName>
    <definedName name="UACCTECDDGP">'[13]Func Study'!$AB$687</definedName>
    <definedName name="UACCTECDMC">'[13]Func Study'!$AB$689</definedName>
    <definedName name="UACCTECDS">'[13]Func Study'!$AB$691</definedName>
    <definedName name="UACCTECDSG1">'[13]Func Study'!$AB$688</definedName>
    <definedName name="UACCTECDSG2">'[13]Func Study'!$AB$690</definedName>
    <definedName name="UACCTECDSG3">'[13]Func Study'!$AB$692</definedName>
    <definedName name="UAcctfit">'[13]Func Study'!$AB$1395</definedName>
    <definedName name="UAcctg00">'[13]Func Study'!$AB$1947</definedName>
    <definedName name="UAccth00">'[13]Func Study'!$AB$1545</definedName>
    <definedName name="UAccti00">'[13]Func Study'!$AB$1993</definedName>
    <definedName name="UAcctn00">'[13]Func Study'!$AB$1496</definedName>
    <definedName name="UAccto00">'[13]Func Study'!$AB$1606</definedName>
    <definedName name="UAcctowc">'[13]Func Study'!$AB$2149</definedName>
    <definedName name="UACCTOWCSSECH">'[13]Func Study'!$AB$2148</definedName>
    <definedName name="UAccts00">'[13]Func Study'!$AB$1455</definedName>
    <definedName name="UAcctsttax">'[13]Func Study'!$AB$1377</definedName>
    <definedName name="UAcctt00">'[13]Func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[17]Variables!$D$25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[17]Variables!$D$29</definedName>
    <definedName name="v" localSheetId="2" hidden="1">{#N/A,#N/A,FALSE,"Coversheet";#N/A,#N/A,FALSE,"QA"}</definedName>
    <definedName name="v" hidden="1">{#N/A,#N/A,FALSE,"Coversheet";#N/A,#N/A,FALSE,"QA"}</definedName>
    <definedName name="ValidAccount">[14]Variables!$AK$43:$AK$369</definedName>
    <definedName name="Value" localSheetId="2" hidden="1">{#N/A,#N/A,FALSE,"Summ";#N/A,#N/A,FALSE,"General"}</definedName>
    <definedName name="Value" hidden="1">{#N/A,#N/A,FALSE,"Summ";#N/A,#N/A,FALSE,"General"}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OMEsc">[15]Assumptions!$C$21</definedName>
    <definedName name="w" localSheetId="2" hidden="1">{#N/A,#N/A,FALSE,"Schedule F";#N/A,#N/A,FALSE,"Schedule G"}</definedName>
    <definedName name="w" hidden="1">{#N/A,#N/A,FALSE,"Schedule F";#N/A,#N/A,FALSE,"Schedule G"}</definedName>
    <definedName name="WACC">[15]Assumptions!$I$61</definedName>
    <definedName name="WaRevenueTax">[17]Variables!$D$27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hidden="1">{#N/A,#N/A,FALSE,"Coversheet";#N/A,#N/A,FALSE,"QA"}</definedName>
    <definedName name="Winter">'[66]Input Tab'!$B$11</definedName>
    <definedName name="WinterPeak">'[67]Load Data'!$D$9:$H$12,'[67]Load Data'!$D$20:$H$22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2" hidden="1">{#N/A,#N/A,FALSE,"Cost Adjustment "}</definedName>
    <definedName name="wrn.Cost._.Adjustment." hidden="1">{#N/A,#N/A,FALSE,"Cost Adjustment 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2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2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2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mi._.Annual._.Cost._.Adj." localSheetId="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test." localSheetId="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'[11]MJS-6'!$F$2</definedName>
    <definedName name="WUTC_FILING_FEE">'[11]MJS-7'!$O$15</definedName>
    <definedName name="www" localSheetId="2" hidden="1">{#N/A,#N/A,FALSE,"schA"}</definedName>
    <definedName name="www" hidden="1">{#N/A,#N/A,FALSE,"schA"}</definedName>
    <definedName name="x" localSheetId="2" hidden="1">{#N/A,#N/A,FALSE,"Coversheet";#N/A,#N/A,FALSE,"QA"}</definedName>
    <definedName name="x" hidden="1">{#N/A,#N/A,FALSE,"Coversheet";#N/A,#N/A,FALSE,"QA"}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'[68]Revison Inputs'!$B$6</definedName>
    <definedName name="YEFactors">[14]Factors!$S$3:$AG$99</definedName>
    <definedName name="YTD_Format">[59]YTD!$B$13:$D$13,[59]YTD!$B$36:$D$36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2" hidden="1">{#N/A,#N/A,FALSE,"Coversheet";#N/A,#N/A,FALSE,"QA"}</definedName>
    <definedName name="z" hidden="1">{#N/A,#N/A,FALSE,"Coversheet";#N/A,#N/A,FALSE,"QA"}</definedName>
    <definedName name="zzz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12"/>
</workbook>
</file>

<file path=xl/calcChain.xml><?xml version="1.0" encoding="utf-8"?>
<calcChain xmlns="http://schemas.openxmlformats.org/spreadsheetml/2006/main">
  <c r="H35" i="105" l="1"/>
  <c r="H32" i="105"/>
  <c r="D14" i="97" l="1"/>
  <c r="A31" i="74" l="1"/>
  <c r="B6" i="97" l="1"/>
  <c r="B5" i="97"/>
  <c r="D11" i="97"/>
  <c r="A30" i="74" l="1"/>
  <c r="E30" i="74"/>
  <c r="D30" i="74"/>
  <c r="F30" i="74" l="1"/>
  <c r="D15" i="105"/>
  <c r="B5" i="100"/>
  <c r="B2" i="100"/>
  <c r="B1" i="100"/>
  <c r="B7" i="97"/>
  <c r="B4" i="97"/>
  <c r="H16" i="110"/>
  <c r="B4" i="100" s="1"/>
  <c r="H15" i="110"/>
  <c r="B3" i="100" s="1"/>
  <c r="D12" i="110"/>
  <c r="H12" i="110" s="1"/>
  <c r="D11" i="110"/>
  <c r="H11" i="110" s="1"/>
  <c r="H19" i="110" l="1"/>
  <c r="D20" i="105"/>
  <c r="D23" i="105"/>
  <c r="I35" i="105" l="1"/>
  <c r="B11" i="97"/>
  <c r="B9" i="100"/>
  <c r="D12" i="97" l="1"/>
  <c r="D13" i="97" s="1"/>
  <c r="B8" i="97"/>
  <c r="F11" i="97" l="1"/>
  <c r="B40" i="109" l="1"/>
  <c r="B39" i="109"/>
  <c r="B38" i="109"/>
  <c r="B37" i="109"/>
  <c r="B36" i="109"/>
  <c r="B35" i="109"/>
  <c r="B34" i="109"/>
  <c r="B33" i="109"/>
  <c r="F33" i="109"/>
  <c r="B32" i="109"/>
  <c r="B31" i="109"/>
  <c r="E30" i="109"/>
  <c r="D30" i="109"/>
  <c r="B30" i="109"/>
  <c r="E29" i="109"/>
  <c r="B29" i="109"/>
  <c r="C29" i="109" s="1"/>
  <c r="F29" i="109"/>
  <c r="D29" i="109"/>
  <c r="J22" i="109"/>
  <c r="I22" i="109"/>
  <c r="H14" i="109"/>
  <c r="H15" i="109" s="1"/>
  <c r="K13" i="109"/>
  <c r="E13" i="109"/>
  <c r="D10" i="109"/>
  <c r="K10" i="109"/>
  <c r="H10" i="109"/>
  <c r="H11" i="109" s="1"/>
  <c r="K9" i="109"/>
  <c r="L9" i="109" s="1"/>
  <c r="D9" i="109"/>
  <c r="B40" i="108"/>
  <c r="B39" i="108"/>
  <c r="B38" i="108"/>
  <c r="B37" i="108"/>
  <c r="B36" i="108"/>
  <c r="B35" i="108"/>
  <c r="B34" i="108"/>
  <c r="B33" i="108"/>
  <c r="F33" i="108"/>
  <c r="B32" i="108"/>
  <c r="D31" i="108"/>
  <c r="B31" i="108"/>
  <c r="C31" i="108" s="1"/>
  <c r="D30" i="108"/>
  <c r="B30" i="108"/>
  <c r="C30" i="108" s="1"/>
  <c r="E29" i="108"/>
  <c r="F29" i="108"/>
  <c r="D29" i="108"/>
  <c r="B29" i="108"/>
  <c r="C29" i="108" s="1"/>
  <c r="J22" i="108"/>
  <c r="I22" i="108"/>
  <c r="H14" i="108"/>
  <c r="H17" i="108" s="1"/>
  <c r="K13" i="108"/>
  <c r="E13" i="108"/>
  <c r="H10" i="108"/>
  <c r="H11" i="108" s="1"/>
  <c r="D10" i="108"/>
  <c r="K9" i="108"/>
  <c r="D9" i="108"/>
  <c r="L10" i="109" l="1"/>
  <c r="K14" i="109"/>
  <c r="F34" i="109"/>
  <c r="E31" i="108"/>
  <c r="G31" i="108" s="1"/>
  <c r="C11" i="108" s="1"/>
  <c r="F11" i="108" s="1"/>
  <c r="C32" i="108"/>
  <c r="D31" i="109"/>
  <c r="E31" i="109"/>
  <c r="E32" i="109" s="1"/>
  <c r="G29" i="108"/>
  <c r="C9" i="108" s="1"/>
  <c r="F9" i="108" s="1"/>
  <c r="G9" i="108" s="1"/>
  <c r="K11" i="109"/>
  <c r="L11" i="109" s="1"/>
  <c r="H12" i="109"/>
  <c r="F31" i="109"/>
  <c r="F35" i="109"/>
  <c r="K15" i="109"/>
  <c r="H16" i="109"/>
  <c r="D11" i="109"/>
  <c r="D12" i="109" s="1"/>
  <c r="C34" i="108"/>
  <c r="C30" i="109"/>
  <c r="G29" i="109"/>
  <c r="C9" i="109" s="1"/>
  <c r="F9" i="109" s="1"/>
  <c r="G9" i="109" s="1"/>
  <c r="F37" i="108"/>
  <c r="K17" i="108"/>
  <c r="H12" i="108"/>
  <c r="F31" i="108"/>
  <c r="K11" i="108"/>
  <c r="D32" i="108"/>
  <c r="E30" i="108"/>
  <c r="C33" i="108"/>
  <c r="D32" i="109"/>
  <c r="L9" i="108"/>
  <c r="H15" i="108"/>
  <c r="F30" i="109"/>
  <c r="D33" i="109"/>
  <c r="D11" i="108"/>
  <c r="F30" i="108"/>
  <c r="G30" i="108" s="1"/>
  <c r="C10" i="108" s="1"/>
  <c r="F10" i="108" s="1"/>
  <c r="G10" i="108" s="1"/>
  <c r="D33" i="108"/>
  <c r="K10" i="108"/>
  <c r="K14" i="108"/>
  <c r="D12" i="108"/>
  <c r="D13" i="108" s="1"/>
  <c r="D34" i="108"/>
  <c r="F34" i="108"/>
  <c r="G11" i="108" l="1"/>
  <c r="L10" i="108"/>
  <c r="D14" i="108"/>
  <c r="E34" i="108"/>
  <c r="G34" i="108" s="1"/>
  <c r="C14" i="108" s="1"/>
  <c r="F14" i="108" s="1"/>
  <c r="E33" i="109"/>
  <c r="E34" i="109"/>
  <c r="E32" i="108"/>
  <c r="G32" i="108" s="1"/>
  <c r="C12" i="108" s="1"/>
  <c r="F12" i="108" s="1"/>
  <c r="G12" i="108" s="1"/>
  <c r="E33" i="108"/>
  <c r="D14" i="109"/>
  <c r="L12" i="109"/>
  <c r="L13" i="109" s="1"/>
  <c r="L14" i="109" s="1"/>
  <c r="L15" i="109" s="1"/>
  <c r="L16" i="109" s="1"/>
  <c r="K15" i="108"/>
  <c r="H18" i="108"/>
  <c r="H16" i="108"/>
  <c r="F35" i="108"/>
  <c r="D15" i="108"/>
  <c r="D16" i="108" s="1"/>
  <c r="G30" i="109"/>
  <c r="C10" i="109" s="1"/>
  <c r="F10" i="109" s="1"/>
  <c r="G10" i="109" s="1"/>
  <c r="D13" i="109"/>
  <c r="L11" i="108"/>
  <c r="L12" i="108" s="1"/>
  <c r="L13" i="108" s="1"/>
  <c r="L14" i="108" s="1"/>
  <c r="C31" i="109"/>
  <c r="F36" i="109"/>
  <c r="K16" i="109"/>
  <c r="H17" i="109"/>
  <c r="C35" i="108"/>
  <c r="G33" i="108"/>
  <c r="C13" i="108" s="1"/>
  <c r="F13" i="108" s="1"/>
  <c r="K12" i="109"/>
  <c r="F32" i="109"/>
  <c r="F32" i="108"/>
  <c r="K12" i="108"/>
  <c r="C36" i="108"/>
  <c r="D34" i="109"/>
  <c r="D35" i="108"/>
  <c r="L15" i="108" l="1"/>
  <c r="E36" i="108"/>
  <c r="G35" i="108"/>
  <c r="C15" i="108" s="1"/>
  <c r="F15" i="108" s="1"/>
  <c r="C37" i="108"/>
  <c r="D18" i="108"/>
  <c r="G31" i="109"/>
  <c r="C11" i="109" s="1"/>
  <c r="F11" i="109" s="1"/>
  <c r="G11" i="109" s="1"/>
  <c r="C32" i="109"/>
  <c r="G32" i="109" s="1"/>
  <c r="C12" i="109" s="1"/>
  <c r="F12" i="109" s="1"/>
  <c r="C33" i="109"/>
  <c r="G33" i="109" s="1"/>
  <c r="C13" i="109" s="1"/>
  <c r="F13" i="109" s="1"/>
  <c r="E35" i="109"/>
  <c r="D17" i="108"/>
  <c r="D19" i="108" s="1"/>
  <c r="D20" i="108" s="1"/>
  <c r="G13" i="108"/>
  <c r="G14" i="108" s="1"/>
  <c r="D15" i="109"/>
  <c r="E36" i="109"/>
  <c r="D35" i="109"/>
  <c r="K16" i="108"/>
  <c r="F36" i="108"/>
  <c r="E35" i="108"/>
  <c r="K17" i="109"/>
  <c r="L17" i="109" s="1"/>
  <c r="H18" i="109"/>
  <c r="F37" i="109"/>
  <c r="K18" i="108"/>
  <c r="F38" i="108"/>
  <c r="H19" i="108"/>
  <c r="D36" i="109"/>
  <c r="D36" i="108"/>
  <c r="D37" i="108" s="1"/>
  <c r="L16" i="108" l="1"/>
  <c r="L17" i="108" s="1"/>
  <c r="L18" i="108" s="1"/>
  <c r="E37" i="109"/>
  <c r="C34" i="109"/>
  <c r="G34" i="109" s="1"/>
  <c r="C14" i="109" s="1"/>
  <c r="F14" i="109" s="1"/>
  <c r="K18" i="109"/>
  <c r="H19" i="109"/>
  <c r="F38" i="109"/>
  <c r="D38" i="108"/>
  <c r="G36" i="108"/>
  <c r="C16" i="108" s="1"/>
  <c r="F16" i="108" s="1"/>
  <c r="G15" i="108"/>
  <c r="D39" i="108"/>
  <c r="D40" i="108" s="1"/>
  <c r="G12" i="109"/>
  <c r="G13" i="109" s="1"/>
  <c r="E38" i="109"/>
  <c r="E39" i="109" s="1"/>
  <c r="E40" i="109" s="1"/>
  <c r="C38" i="108"/>
  <c r="K19" i="108"/>
  <c r="F39" i="108"/>
  <c r="H20" i="108"/>
  <c r="E37" i="108"/>
  <c r="E38" i="108" s="1"/>
  <c r="E39" i="108" s="1"/>
  <c r="E40" i="108" s="1"/>
  <c r="D37" i="109"/>
  <c r="D38" i="109" s="1"/>
  <c r="L18" i="109"/>
  <c r="D16" i="109"/>
  <c r="G14" i="109" l="1"/>
  <c r="L19" i="108"/>
  <c r="G16" i="108"/>
  <c r="D39" i="109"/>
  <c r="D40" i="109"/>
  <c r="C36" i="109"/>
  <c r="G36" i="109" s="1"/>
  <c r="C16" i="109" s="1"/>
  <c r="F16" i="109" s="1"/>
  <c r="G16" i="109" s="1"/>
  <c r="K20" i="108"/>
  <c r="K22" i="108" s="1"/>
  <c r="F40" i="108"/>
  <c r="H22" i="108"/>
  <c r="G37" i="108"/>
  <c r="C17" i="108" s="1"/>
  <c r="F17" i="108" s="1"/>
  <c r="G17" i="108" s="1"/>
  <c r="K19" i="109"/>
  <c r="L19" i="109" s="1"/>
  <c r="H20" i="109"/>
  <c r="F39" i="109"/>
  <c r="D17" i="109"/>
  <c r="D18" i="109" s="1"/>
  <c r="D19" i="109" s="1"/>
  <c r="D20" i="109" s="1"/>
  <c r="C35" i="109"/>
  <c r="G35" i="109" s="1"/>
  <c r="C15" i="109" s="1"/>
  <c r="F15" i="109" s="1"/>
  <c r="G15" i="109" s="1"/>
  <c r="G38" i="108"/>
  <c r="C18" i="108" s="1"/>
  <c r="F18" i="108" s="1"/>
  <c r="C39" i="108"/>
  <c r="G39" i="108" s="1"/>
  <c r="C19" i="108" s="1"/>
  <c r="F19" i="108" s="1"/>
  <c r="C37" i="109" l="1"/>
  <c r="G37" i="109" s="1"/>
  <c r="C17" i="109" s="1"/>
  <c r="F17" i="109" s="1"/>
  <c r="G17" i="109" s="1"/>
  <c r="C38" i="109"/>
  <c r="C40" i="108"/>
  <c r="G40" i="108" s="1"/>
  <c r="C20" i="108" s="1"/>
  <c r="F20" i="108" s="1"/>
  <c r="K20" i="109"/>
  <c r="K22" i="109" s="1"/>
  <c r="F40" i="109"/>
  <c r="H22" i="109"/>
  <c r="G18" i="108"/>
  <c r="G19" i="108" s="1"/>
  <c r="L20" i="108"/>
  <c r="G20" i="108" l="1"/>
  <c r="D21" i="74" s="1"/>
  <c r="G38" i="109"/>
  <c r="C18" i="109" s="1"/>
  <c r="F18" i="109" s="1"/>
  <c r="G18" i="109" s="1"/>
  <c r="C39" i="109"/>
  <c r="L20" i="109"/>
  <c r="G39" i="109" l="1"/>
  <c r="C19" i="109" s="1"/>
  <c r="F19" i="109" s="1"/>
  <c r="G19" i="109" s="1"/>
  <c r="C40" i="109"/>
  <c r="G40" i="109" s="1"/>
  <c r="C20" i="109" s="1"/>
  <c r="F20" i="109" s="1"/>
  <c r="G20" i="109" l="1"/>
  <c r="E21" i="74" s="1"/>
  <c r="I5" i="74"/>
  <c r="E12" i="74" s="1"/>
  <c r="H5" i="74"/>
  <c r="D12" i="74" s="1"/>
  <c r="D28" i="74" l="1"/>
  <c r="E28" i="74"/>
  <c r="L33" i="107"/>
  <c r="N33" i="107" s="1"/>
  <c r="H33" i="107"/>
  <c r="P33" i="107" s="1"/>
  <c r="F33" i="107"/>
  <c r="N31" i="107"/>
  <c r="L31" i="107"/>
  <c r="F31" i="107"/>
  <c r="L28" i="107"/>
  <c r="F28" i="107"/>
  <c r="N27" i="107"/>
  <c r="L27" i="107"/>
  <c r="K29" i="107"/>
  <c r="J29" i="107"/>
  <c r="H27" i="107"/>
  <c r="F27" i="107"/>
  <c r="E29" i="107"/>
  <c r="D29" i="107"/>
  <c r="L24" i="107"/>
  <c r="H24" i="107"/>
  <c r="F24" i="107"/>
  <c r="N21" i="107"/>
  <c r="L21" i="107"/>
  <c r="F21" i="107"/>
  <c r="H21" i="107" s="1"/>
  <c r="L20" i="107"/>
  <c r="E22" i="107"/>
  <c r="F20" i="107"/>
  <c r="N19" i="107"/>
  <c r="L19" i="107"/>
  <c r="K22" i="107"/>
  <c r="J22" i="107"/>
  <c r="D22" i="107"/>
  <c r="N15" i="107"/>
  <c r="L15" i="107"/>
  <c r="F15" i="107"/>
  <c r="H15" i="107" s="1"/>
  <c r="L14" i="107"/>
  <c r="F14" i="107"/>
  <c r="N13" i="107"/>
  <c r="L13" i="107"/>
  <c r="F13" i="107"/>
  <c r="H13" i="107" s="1"/>
  <c r="K16" i="107"/>
  <c r="L12" i="107"/>
  <c r="E16" i="107"/>
  <c r="F12" i="107"/>
  <c r="F16" i="107" s="1"/>
  <c r="K9" i="107"/>
  <c r="J9" i="107"/>
  <c r="A9" i="107"/>
  <c r="A10" i="107" s="1"/>
  <c r="A11" i="107" s="1"/>
  <c r="A12" i="107" s="1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L8" i="107"/>
  <c r="L9" i="107" s="1"/>
  <c r="H8" i="107"/>
  <c r="E9" i="107"/>
  <c r="E35" i="107" s="1"/>
  <c r="F8" i="107"/>
  <c r="F9" i="107" s="1"/>
  <c r="N14" i="107" l="1"/>
  <c r="H28" i="107"/>
  <c r="H31" i="107"/>
  <c r="N20" i="107"/>
  <c r="N22" i="107" s="1"/>
  <c r="H12" i="107"/>
  <c r="L29" i="107"/>
  <c r="P31" i="107"/>
  <c r="N28" i="107"/>
  <c r="N29" i="107" s="1"/>
  <c r="N12" i="107"/>
  <c r="N16" i="107" s="1"/>
  <c r="L16" i="107"/>
  <c r="L35" i="107" s="1"/>
  <c r="H20" i="107"/>
  <c r="P20" i="107" s="1"/>
  <c r="N24" i="107"/>
  <c r="P24" i="107" s="1"/>
  <c r="N8" i="107"/>
  <c r="N9" i="107" s="1"/>
  <c r="K35" i="107"/>
  <c r="P8" i="107"/>
  <c r="P9" i="107" s="1"/>
  <c r="H9" i="107"/>
  <c r="P15" i="107"/>
  <c r="P13" i="107"/>
  <c r="F29" i="107"/>
  <c r="H14" i="107"/>
  <c r="P14" i="107" s="1"/>
  <c r="L22" i="107"/>
  <c r="P21" i="107"/>
  <c r="P27" i="107"/>
  <c r="H29" i="107"/>
  <c r="J16" i="107"/>
  <c r="J35" i="107" s="1"/>
  <c r="F19" i="107"/>
  <c r="D9" i="107"/>
  <c r="D35" i="107" s="1"/>
  <c r="D16" i="107"/>
  <c r="P28" i="107" l="1"/>
  <c r="P29" i="107" s="1"/>
  <c r="P12" i="107"/>
  <c r="P16" i="107" s="1"/>
  <c r="H16" i="107"/>
  <c r="F22" i="107"/>
  <c r="F35" i="107" s="1"/>
  <c r="H19" i="107"/>
  <c r="N35" i="107"/>
  <c r="H22" i="107" l="1"/>
  <c r="H35" i="107" s="1"/>
  <c r="P19" i="107"/>
  <c r="P22" i="107" s="1"/>
  <c r="P35" i="107" s="1"/>
  <c r="K19" i="106" l="1"/>
  <c r="M19" i="106" s="1"/>
  <c r="E19" i="106"/>
  <c r="G19" i="106" s="1"/>
  <c r="O19" i="106" s="1"/>
  <c r="K18" i="106"/>
  <c r="M18" i="106" s="1"/>
  <c r="E18" i="106"/>
  <c r="G18" i="106" s="1"/>
  <c r="O18" i="106" s="1"/>
  <c r="K17" i="106"/>
  <c r="M17" i="106" s="1"/>
  <c r="E17" i="106"/>
  <c r="G17" i="106" s="1"/>
  <c r="K16" i="106"/>
  <c r="M16" i="106" s="1"/>
  <c r="E16" i="106"/>
  <c r="G16" i="106" s="1"/>
  <c r="O16" i="106" s="1"/>
  <c r="K15" i="106"/>
  <c r="M15" i="106" s="1"/>
  <c r="E15" i="106"/>
  <c r="G15" i="106" s="1"/>
  <c r="O15" i="106" s="1"/>
  <c r="K14" i="106"/>
  <c r="M14" i="106" s="1"/>
  <c r="E14" i="106"/>
  <c r="G14" i="106" s="1"/>
  <c r="M13" i="106"/>
  <c r="K13" i="106"/>
  <c r="E13" i="106"/>
  <c r="G13" i="106" s="1"/>
  <c r="O13" i="106" s="1"/>
  <c r="K12" i="106"/>
  <c r="M12" i="106" s="1"/>
  <c r="G12" i="106"/>
  <c r="O12" i="106" s="1"/>
  <c r="E12" i="106"/>
  <c r="K11" i="106"/>
  <c r="M11" i="106" s="1"/>
  <c r="E11" i="106"/>
  <c r="G11" i="106" s="1"/>
  <c r="K10" i="106"/>
  <c r="M10" i="106" s="1"/>
  <c r="E10" i="106"/>
  <c r="G10" i="106" s="1"/>
  <c r="J20" i="106"/>
  <c r="K9" i="106"/>
  <c r="M9" i="106" s="1"/>
  <c r="E9" i="106"/>
  <c r="G9" i="106" s="1"/>
  <c r="K8" i="106"/>
  <c r="M8" i="106" s="1"/>
  <c r="E8" i="106"/>
  <c r="G8" i="106" s="1"/>
  <c r="O8" i="106" s="1"/>
  <c r="I20" i="106"/>
  <c r="E7" i="106"/>
  <c r="C20" i="106"/>
  <c r="O11" i="106" l="1"/>
  <c r="O17" i="106"/>
  <c r="E20" i="106"/>
  <c r="G7" i="106"/>
  <c r="O14" i="106"/>
  <c r="O9" i="106"/>
  <c r="O10" i="106"/>
  <c r="K7" i="106"/>
  <c r="D20" i="106"/>
  <c r="G20" i="106" l="1"/>
  <c r="M7" i="106"/>
  <c r="M20" i="106" s="1"/>
  <c r="K20" i="106"/>
  <c r="O7" i="106" l="1"/>
  <c r="O20" i="106" s="1"/>
  <c r="I7" i="74" l="1"/>
  <c r="H7" i="74"/>
  <c r="E7" i="74"/>
  <c r="D7" i="74"/>
  <c r="D11" i="74" s="1"/>
  <c r="A38" i="105"/>
  <c r="A37" i="105"/>
  <c r="A36" i="105"/>
  <c r="A35" i="105"/>
  <c r="A34" i="105"/>
  <c r="A33" i="105"/>
  <c r="A32" i="105"/>
  <c r="I31" i="105"/>
  <c r="H31" i="105"/>
  <c r="A31" i="105"/>
  <c r="E30" i="105"/>
  <c r="I30" i="105" s="1"/>
  <c r="A30" i="105"/>
  <c r="D29" i="105"/>
  <c r="A29" i="105"/>
  <c r="A28" i="105"/>
  <c r="A27" i="105"/>
  <c r="A26" i="105"/>
  <c r="A25" i="105"/>
  <c r="A24" i="105"/>
  <c r="A23" i="105"/>
  <c r="A22" i="105"/>
  <c r="A21" i="105"/>
  <c r="A20" i="105"/>
  <c r="A19" i="105"/>
  <c r="A18" i="105"/>
  <c r="A17" i="105"/>
  <c r="A16" i="105"/>
  <c r="A15" i="105"/>
  <c r="A14" i="105"/>
  <c r="I13" i="105"/>
  <c r="D30" i="105"/>
  <c r="A13" i="105"/>
  <c r="F12" i="105"/>
  <c r="H12" i="105"/>
  <c r="A12" i="105"/>
  <c r="A11" i="105"/>
  <c r="A10" i="105"/>
  <c r="I9" i="105"/>
  <c r="A9" i="105"/>
  <c r="A8" i="105"/>
  <c r="A7" i="105"/>
  <c r="J6" i="105"/>
  <c r="I10" i="105"/>
  <c r="H10" i="105"/>
  <c r="J10" i="105" s="1"/>
  <c r="E10" i="105"/>
  <c r="E15" i="105" s="1"/>
  <c r="E17" i="105" s="1"/>
  <c r="F6" i="105"/>
  <c r="A6" i="105"/>
  <c r="H9" i="105"/>
  <c r="H30" i="105" l="1"/>
  <c r="J30" i="105" s="1"/>
  <c r="F30" i="105"/>
  <c r="J9" i="105"/>
  <c r="E20" i="105"/>
  <c r="H29" i="105"/>
  <c r="F27" i="105"/>
  <c r="J31" i="105"/>
  <c r="D10" i="105"/>
  <c r="I21" i="105"/>
  <c r="I12" i="105"/>
  <c r="I29" i="105" s="1"/>
  <c r="F13" i="105"/>
  <c r="H13" i="105"/>
  <c r="J13" i="105" s="1"/>
  <c r="E29" i="105"/>
  <c r="E32" i="105" s="1"/>
  <c r="E33" i="105" s="1"/>
  <c r="F9" i="105"/>
  <c r="I11" i="105"/>
  <c r="F31" i="105"/>
  <c r="A8" i="104"/>
  <c r="A7" i="104"/>
  <c r="B13" i="103"/>
  <c r="E13" i="103" l="1"/>
  <c r="E15" i="103" s="1"/>
  <c r="E17" i="103" s="1"/>
  <c r="E15" i="104"/>
  <c r="E17" i="104" s="1"/>
  <c r="E19" i="104" s="1"/>
  <c r="I20" i="105"/>
  <c r="I23" i="105" s="1"/>
  <c r="E23" i="105"/>
  <c r="F21" i="105"/>
  <c r="H21" i="105"/>
  <c r="J21" i="105" s="1"/>
  <c r="J29" i="105"/>
  <c r="I15" i="105"/>
  <c r="I17" i="105" s="1"/>
  <c r="F11" i="105"/>
  <c r="H11" i="105"/>
  <c r="J27" i="105"/>
  <c r="J12" i="105"/>
  <c r="I32" i="105"/>
  <c r="F10" i="105"/>
  <c r="F29" i="105"/>
  <c r="B15" i="104"/>
  <c r="E20" i="104" l="1"/>
  <c r="E21" i="104" s="1"/>
  <c r="I6" i="74"/>
  <c r="I12" i="74" s="1"/>
  <c r="E18" i="103"/>
  <c r="E19" i="103" s="1"/>
  <c r="H6" i="74"/>
  <c r="I36" i="105"/>
  <c r="I33" i="105"/>
  <c r="F15" i="105"/>
  <c r="D17" i="105"/>
  <c r="F28" i="105"/>
  <c r="F32" i="105" s="1"/>
  <c r="F33" i="105" s="1"/>
  <c r="D32" i="105"/>
  <c r="D33" i="105" s="1"/>
  <c r="J11" i="105"/>
  <c r="H15" i="105"/>
  <c r="B12" i="97"/>
  <c r="B13" i="97" s="1"/>
  <c r="B14" i="97" s="1"/>
  <c r="D13" i="74"/>
  <c r="D29" i="74" s="1"/>
  <c r="F12" i="97"/>
  <c r="H12" i="74" l="1"/>
  <c r="J12" i="74" s="1"/>
  <c r="H28" i="74"/>
  <c r="I28" i="74"/>
  <c r="H29" i="74"/>
  <c r="H21" i="74"/>
  <c r="H30" i="74"/>
  <c r="I30" i="74"/>
  <c r="E13" i="74"/>
  <c r="E29" i="74" s="1"/>
  <c r="I29" i="74" s="1"/>
  <c r="F13" i="97"/>
  <c r="F14" i="97" s="1"/>
  <c r="F17" i="105"/>
  <c r="J28" i="105"/>
  <c r="J32" i="105" s="1"/>
  <c r="J15" i="105"/>
  <c r="H17" i="105"/>
  <c r="J17" i="105" s="1"/>
  <c r="J30" i="74" l="1"/>
  <c r="H33" i="105"/>
  <c r="H36" i="105"/>
  <c r="J33" i="105"/>
  <c r="H20" i="105"/>
  <c r="F23" i="105"/>
  <c r="F20" i="105"/>
  <c r="J28" i="74" l="1"/>
  <c r="H23" i="105"/>
  <c r="J23" i="105" s="1"/>
  <c r="J20" i="105"/>
  <c r="D10" i="74" l="1"/>
  <c r="D15" i="74" l="1"/>
  <c r="D17" i="74" s="1"/>
  <c r="D20" i="74" s="1"/>
  <c r="D23" i="74" s="1"/>
  <c r="H10" i="74"/>
  <c r="D27" i="74"/>
  <c r="B6" i="100"/>
  <c r="B10" i="100"/>
  <c r="E22" i="85"/>
  <c r="H27" i="74" l="1"/>
  <c r="D32" i="74"/>
  <c r="E10" i="74"/>
  <c r="B11" i="100"/>
  <c r="A29" i="74"/>
  <c r="I13" i="74"/>
  <c r="H13" i="74"/>
  <c r="F13" i="74"/>
  <c r="A13" i="74"/>
  <c r="E27" i="74" l="1"/>
  <c r="J29" i="74"/>
  <c r="J13" i="74"/>
  <c r="F29" i="74"/>
  <c r="I27" i="74" l="1"/>
  <c r="E32" i="74"/>
  <c r="A8" i="74"/>
  <c r="A9" i="74"/>
  <c r="A10" i="74"/>
  <c r="A11" i="74"/>
  <c r="A12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32" i="74"/>
  <c r="A33" i="74"/>
  <c r="A34" i="74"/>
  <c r="A35" i="74"/>
  <c r="A36" i="74"/>
  <c r="A37" i="74"/>
  <c r="A38" i="74"/>
  <c r="A7" i="74"/>
  <c r="J27" i="74" l="1"/>
  <c r="I11" i="74"/>
  <c r="H11" i="74"/>
  <c r="H31" i="74" s="1"/>
  <c r="H32" i="74" l="1"/>
  <c r="H35" i="74" s="1"/>
  <c r="H36" i="74" s="1"/>
  <c r="H15" i="74"/>
  <c r="J11" i="74"/>
  <c r="E16" i="85"/>
  <c r="E18" i="85" s="1"/>
  <c r="E20" i="85" s="1"/>
  <c r="E16" i="86"/>
  <c r="E18" i="86" s="1"/>
  <c r="E20" i="86" s="1"/>
  <c r="B16" i="86"/>
  <c r="B16" i="85"/>
  <c r="E21" i="86" l="1"/>
  <c r="E22" i="86" s="1"/>
  <c r="E21" i="85"/>
  <c r="I10" i="74" l="1"/>
  <c r="I15" i="74" l="1"/>
  <c r="F10" i="74"/>
  <c r="J10" i="74" l="1"/>
  <c r="F12" i="74" l="1"/>
  <c r="H33" i="74" l="1"/>
  <c r="I21" i="74" l="1"/>
  <c r="F21" i="74"/>
  <c r="F28" i="74" l="1"/>
  <c r="F27" i="74"/>
  <c r="J21" i="74"/>
  <c r="F32" i="74" l="1"/>
  <c r="E11" i="74"/>
  <c r="E15" i="74" l="1"/>
  <c r="I31" i="74"/>
  <c r="E33" i="74"/>
  <c r="I32" i="74" l="1"/>
  <c r="J31" i="74"/>
  <c r="J32" i="74" s="1"/>
  <c r="E17" i="74"/>
  <c r="E20" i="74" s="1"/>
  <c r="I17" i="74"/>
  <c r="I33" i="74" l="1"/>
  <c r="I35" i="74"/>
  <c r="I36" i="74" s="1"/>
  <c r="I20" i="74"/>
  <c r="I23" i="74" s="1"/>
  <c r="E23" i="74" l="1"/>
  <c r="F7" i="74"/>
  <c r="D33" i="74" l="1"/>
  <c r="F11" i="74"/>
  <c r="J7" i="74"/>
  <c r="H20" i="74" l="1"/>
  <c r="F15" i="74"/>
  <c r="F33" i="74" s="1"/>
  <c r="J15" i="74" l="1"/>
  <c r="J33" i="74" s="1"/>
  <c r="H17" i="74"/>
  <c r="F17" i="74"/>
  <c r="F20" i="74" l="1"/>
  <c r="F23" i="74"/>
  <c r="J17" i="74"/>
  <c r="H23" i="74"/>
  <c r="J23" i="74" l="1"/>
  <c r="J20" i="74"/>
</calcChain>
</file>

<file path=xl/sharedStrings.xml><?xml version="1.0" encoding="utf-8"?>
<sst xmlns="http://schemas.openxmlformats.org/spreadsheetml/2006/main" count="467" uniqueCount="252">
  <si>
    <t>Electric</t>
  </si>
  <si>
    <t>Gas</t>
  </si>
  <si>
    <t>Total</t>
  </si>
  <si>
    <t>Rate Increase</t>
  </si>
  <si>
    <t>Base Property Tax Revenue Requirement (140A)</t>
  </si>
  <si>
    <t>Add Increment to New Cash Payment</t>
  </si>
  <si>
    <t>Net Change in Load True-Up</t>
  </si>
  <si>
    <t>Description</t>
  </si>
  <si>
    <t>Montana</t>
  </si>
  <si>
    <t>Oregon</t>
  </si>
  <si>
    <t>Balance</t>
  </si>
  <si>
    <t>CONVERSION FACTOR</t>
  </si>
  <si>
    <t>LINE</t>
  </si>
  <si>
    <t>NO.</t>
  </si>
  <si>
    <t>DESCRIPTION</t>
  </si>
  <si>
    <t>BAD DEBTS</t>
  </si>
  <si>
    <t>ANNUAL FILING FEE</t>
  </si>
  <si>
    <t>SUM OF TAXES OTHER</t>
  </si>
  <si>
    <t xml:space="preserve">New Revenue Requirement </t>
  </si>
  <si>
    <t>Pre-Revenue Sensitive Items (RSI)</t>
  </si>
  <si>
    <t>Grossed Up for RSI</t>
  </si>
  <si>
    <t xml:space="preserve">Per section "e" of the tariff, where the increase or decrease results in an amount that is less than 1% of the prior year Revenue Requirement, </t>
  </si>
  <si>
    <t>the existing tariff rates will not be changed and the filing will consist of a letter explaining that no tariff change is required.</t>
  </si>
  <si>
    <t>(e) = (c * d)</t>
  </si>
  <si>
    <t>(d)</t>
  </si>
  <si>
    <t>(b)</t>
  </si>
  <si>
    <t>(a)</t>
  </si>
  <si>
    <t>(c) = (a - b)</t>
  </si>
  <si>
    <t>Total Variance</t>
  </si>
  <si>
    <t>Variance</t>
  </si>
  <si>
    <t>Schedule</t>
  </si>
  <si>
    <t>Line No.</t>
  </si>
  <si>
    <t>Puget Sound Energy</t>
  </si>
  <si>
    <t>Rate Schedule</t>
  </si>
  <si>
    <t>Load Variance (Therms)</t>
  </si>
  <si>
    <t>Contracts</t>
  </si>
  <si>
    <t xml:space="preserve">Total </t>
  </si>
  <si>
    <t>Residential</t>
  </si>
  <si>
    <t>Interruptible</t>
  </si>
  <si>
    <t>Total Residential</t>
  </si>
  <si>
    <t>Secondary Voltage</t>
  </si>
  <si>
    <t>Demand &lt;= 50 kW</t>
  </si>
  <si>
    <t>8 / 24</t>
  </si>
  <si>
    <t>Demand &gt; 50 kW but &lt;= 350 kW</t>
  </si>
  <si>
    <t>7A / 11 / 25</t>
  </si>
  <si>
    <t>Demand &gt; 350 kW</t>
  </si>
  <si>
    <t>12 / 26 / 26P</t>
  </si>
  <si>
    <t>Seasonal Irrigation &amp; Drainage Pumping</t>
  </si>
  <si>
    <t>Total Secondary Voltage</t>
  </si>
  <si>
    <t>Primary Voltage</t>
  </si>
  <si>
    <t>General Service</t>
  </si>
  <si>
    <t>10 / 31</t>
  </si>
  <si>
    <t>Interruptible Total Electric Schools</t>
  </si>
  <si>
    <t>Total Primary Voltage</t>
  </si>
  <si>
    <t>High Voltage</t>
  </si>
  <si>
    <t>Total High Voltage</t>
  </si>
  <si>
    <t>Lighting</t>
  </si>
  <si>
    <t>50-59</t>
  </si>
  <si>
    <t>Total Choice /Retail Wheeling</t>
  </si>
  <si>
    <t>Total Jurisdictional Retail Sales</t>
  </si>
  <si>
    <t>Change</t>
  </si>
  <si>
    <t>July</t>
  </si>
  <si>
    <t>Increase as a percent of prior year's revenue</t>
  </si>
  <si>
    <t>requirement Filing Required?</t>
  </si>
  <si>
    <t>18238041 Current Period Deferral</t>
  </si>
  <si>
    <t>18238031 Prior Period Deferral</t>
  </si>
  <si>
    <t>Estimated</t>
  </si>
  <si>
    <t>Booked</t>
  </si>
  <si>
    <t>Received</t>
  </si>
  <si>
    <t>Year End</t>
  </si>
  <si>
    <t>To</t>
  </si>
  <si>
    <t>in</t>
  </si>
  <si>
    <t>to</t>
  </si>
  <si>
    <t>Deferral</t>
  </si>
  <si>
    <t>Net</t>
  </si>
  <si>
    <t>Month</t>
  </si>
  <si>
    <t>Accrual</t>
  </si>
  <si>
    <t>Payable</t>
  </si>
  <si>
    <t>Revenue</t>
  </si>
  <si>
    <t>Transfer</t>
  </si>
  <si>
    <t>Amortization</t>
  </si>
  <si>
    <t>True-Up</t>
  </si>
  <si>
    <t>(includes amort &amp; amort rev)</t>
  </si>
  <si>
    <t>Beginning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</si>
  <si>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</si>
  <si>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</si>
  <si>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</si>
  <si>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</si>
  <si>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</si>
  <si>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</si>
  <si>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</si>
  <si>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</si>
  <si>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</si>
  <si>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</si>
  <si>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</si>
  <si>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(Counties)</t>
  </si>
  <si>
    <t>(Cities)</t>
  </si>
  <si>
    <t>Prior Year</t>
  </si>
  <si>
    <t>Property Taxes</t>
  </si>
  <si>
    <t>Suface Water</t>
  </si>
  <si>
    <t>Tax Bill</t>
  </si>
  <si>
    <t>(Annual)</t>
  </si>
  <si>
    <t>(Monthly)</t>
  </si>
  <si>
    <t>Mgmt Fees</t>
  </si>
  <si>
    <t>Corrections</t>
  </si>
  <si>
    <t>Activity</t>
  </si>
  <si>
    <t>18238042 Current Period Deferral</t>
  </si>
  <si>
    <t>18238032 Prior Period Deferral</t>
  </si>
  <si>
    <t>&lt;==Check Load</t>
  </si>
  <si>
    <t>Revenue Requirement Increase / (Decrease)</t>
  </si>
  <si>
    <t>Total Variance ($)</t>
  </si>
  <si>
    <t>Residential Propane</t>
  </si>
  <si>
    <t>Commercial &amp; Industrial - Sales</t>
  </si>
  <si>
    <t>31T</t>
  </si>
  <si>
    <t>Commercial &amp; Industrial - Transportation</t>
  </si>
  <si>
    <t>Large Vol. High Load Factor - Sales</t>
  </si>
  <si>
    <t>41T</t>
  </si>
  <si>
    <t>Large Vol. High Load Factor - Transportation</t>
  </si>
  <si>
    <t>Interruptible - Sales</t>
  </si>
  <si>
    <t>85T</t>
  </si>
  <si>
    <t>Interruptible - Transportation</t>
  </si>
  <si>
    <t>Limited Interruptible - Sales</t>
  </si>
  <si>
    <t>86T</t>
  </si>
  <si>
    <t>Limited Interruptible - Transportation</t>
  </si>
  <si>
    <t>Non-exclusive Interruptible - Sales</t>
  </si>
  <si>
    <t>Non-exclusive Interruptible - Transportation</t>
  </si>
  <si>
    <t>Step 1:</t>
  </si>
  <si>
    <t>Updated by Property Tax</t>
  </si>
  <si>
    <t>YTD</t>
  </si>
  <si>
    <t>relink cells</t>
  </si>
  <si>
    <t>Gas Schedule 140 Property Tax Tracker</t>
  </si>
  <si>
    <t>Revenue Variance</t>
  </si>
  <si>
    <t>16 &amp; 23</t>
  </si>
  <si>
    <t>449/459</t>
  </si>
  <si>
    <t>Special Contract</t>
  </si>
  <si>
    <t>SC</t>
  </si>
  <si>
    <t>2022 GENERAL RATE CASE</t>
  </si>
  <si>
    <t>%'s</t>
  </si>
  <si>
    <t>RATE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</si>
  <si>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</si>
  <si>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</si>
  <si>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</si>
  <si>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</si>
  <si>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PUGET SOUND ENERGY - ELECTRIC</t>
  </si>
  <si>
    <t>ELECTRIC RESULTS OF OPERATIONS</t>
  </si>
  <si>
    <t>12 MONTHS ENDED JUNE 30, 2021</t>
  </si>
  <si>
    <t>RATE YEARS CALENDAR 2023 AND 2024</t>
  </si>
  <si>
    <t>Electric Conversion Factor from UE-220066 updated for new Annual Filing Fee Rate</t>
  </si>
  <si>
    <t>`</t>
  </si>
  <si>
    <r>
      <t xml:space="preserve">Property Tax Revenue Requirement - </t>
    </r>
    <r>
      <rPr>
        <b/>
        <sz val="14"/>
        <rFont val="Calibri"/>
        <family val="2"/>
      </rPr>
      <t>FINAL</t>
    </r>
    <r>
      <rPr>
        <b/>
        <sz val="14"/>
        <rFont val="Calibri"/>
        <family val="2"/>
        <scheme val="minor"/>
      </rPr>
      <t xml:space="preserve"> Filing - March, 2024</t>
    </r>
  </si>
  <si>
    <t>Revenue Requirement from 2023 Filing</t>
  </si>
  <si>
    <t>Cash Payment expected to be made 2024</t>
  </si>
  <si>
    <t>One time transfer of Schedule 141Z residual balance</t>
  </si>
  <si>
    <t>= 6</t>
  </si>
  <si>
    <t>Input</t>
  </si>
  <si>
    <t>Input cells</t>
  </si>
  <si>
    <t xml:space="preserve">No longer included: Schedule 141X residual balance (2023 filing only) </t>
  </si>
  <si>
    <t xml:space="preserve">   True-up for 2023 Load Variance</t>
  </si>
  <si>
    <t>Schedule 140 Rates Effective May 1, 2023</t>
  </si>
  <si>
    <t xml:space="preserve">Change in Revenue Requirement </t>
  </si>
  <si>
    <t xml:space="preserve">Property Tax Revenue Requirement </t>
  </si>
  <si>
    <t xml:space="preserve">Deferral Revenue Requirement (140B) </t>
  </si>
  <si>
    <t>Components of Revenue Requirement Increase / (decrease):</t>
  </si>
  <si>
    <t>WA Electric</t>
  </si>
  <si>
    <t>WA Gas</t>
  </si>
  <si>
    <t>Grand Total</t>
  </si>
  <si>
    <t xml:space="preserve">Electric </t>
  </si>
  <si>
    <t xml:space="preserve">   True-up for 2023 Tax Payment Variance</t>
  </si>
  <si>
    <t>Net Change in Tax Payment True-Up</t>
  </si>
  <si>
    <t>= 9 - 10 + 11 +12 +13</t>
  </si>
  <si>
    <t>= 6 + 15</t>
  </si>
  <si>
    <t>= 17 - 21</t>
  </si>
  <si>
    <t>= 20 + 21</t>
  </si>
  <si>
    <t>Account</t>
  </si>
  <si>
    <t>Actual</t>
  </si>
  <si>
    <t>True-up</t>
  </si>
  <si>
    <t>Jurisdiction</t>
  </si>
  <si>
    <t>PUGET SOUND ENERGY-ELECTRIC</t>
  </si>
  <si>
    <t>FOR THE TWELVE MONTHS ENDED JUNE 30, 2023</t>
  </si>
  <si>
    <t>2024 GENERAL RATE CASE</t>
  </si>
  <si>
    <t xml:space="preserve">CONVERSION FACTOR INCL FEDERAL INCOME TAX ( 1 - LINE 5 - LINE 8 ) </t>
  </si>
  <si>
    <t>PUGET SOUND ENERGY-GAS</t>
  </si>
  <si>
    <t>Electric Conversion Factor from UE-240004 updated for new Annual Filing Fee Rate</t>
  </si>
  <si>
    <t>Gas Conversion Factor from UE-240005 updated for new Annual Filing Fee Rate</t>
  </si>
  <si>
    <r>
      <t xml:space="preserve">Property Tax Revenue Requirement - </t>
    </r>
    <r>
      <rPr>
        <b/>
        <sz val="14"/>
        <rFont val="Calibri"/>
        <family val="2"/>
      </rPr>
      <t>FINAL</t>
    </r>
    <r>
      <rPr>
        <b/>
        <sz val="14"/>
        <rFont val="Calibri"/>
        <family val="2"/>
        <scheme val="minor"/>
      </rPr>
      <t xml:space="preserve"> Filing - March, 2025</t>
    </r>
  </si>
  <si>
    <t>Revenue Requirement from 2024 Filing</t>
  </si>
  <si>
    <t>Cash Payment expected to be made 2025</t>
  </si>
  <si>
    <t>Schedule 140 Rates Effective May 1, 2024</t>
  </si>
  <si>
    <t>87T &amp; 88T</t>
  </si>
  <si>
    <t>check</t>
  </si>
  <si>
    <t>January 2024 - December 2024</t>
  </si>
  <si>
    <t>Jan - Apr 2024 (F2022 Forecasted Therms)</t>
  </si>
  <si>
    <t>Jan - Apr 2024 (Actual Therms)</t>
  </si>
  <si>
    <t>Jan - Apr 2024 Variance ($)</t>
  </si>
  <si>
    <t>May - Dec 2024 (F2023 Forecasted Therms)</t>
  </si>
  <si>
    <t>May - Dec 2024 (Actual Therms)</t>
  </si>
  <si>
    <t>May - Dec 2024 Variance ($)</t>
  </si>
  <si>
    <t>Sch 140 - Property Tax Variance Calculation</t>
  </si>
  <si>
    <r>
      <t xml:space="preserve">Twelve Months Ended </t>
    </r>
    <r>
      <rPr>
        <b/>
        <sz val="8"/>
        <color rgb="FF0000FF"/>
        <rFont val="Arial"/>
        <family val="2"/>
      </rPr>
      <t>December 2024</t>
    </r>
  </si>
  <si>
    <r>
      <rPr>
        <b/>
        <sz val="8"/>
        <color rgb="FF0000FF"/>
        <rFont val="Arial"/>
        <family val="2"/>
      </rPr>
      <t xml:space="preserve">F2022 </t>
    </r>
    <r>
      <rPr>
        <b/>
        <sz val="8"/>
        <color theme="1"/>
        <rFont val="Arial"/>
        <family val="2"/>
      </rPr>
      <t>Projected January</t>
    </r>
    <r>
      <rPr>
        <b/>
        <sz val="8"/>
        <color rgb="FF0000FF"/>
        <rFont val="Arial"/>
        <family val="2"/>
      </rPr>
      <t xml:space="preserve"> 2024</t>
    </r>
    <r>
      <rPr>
        <b/>
        <sz val="8"/>
        <color theme="1"/>
        <rFont val="Arial"/>
        <family val="2"/>
      </rPr>
      <t xml:space="preserve"> to April </t>
    </r>
    <r>
      <rPr>
        <b/>
        <sz val="8"/>
        <color rgb="FF0000FF"/>
        <rFont val="Arial"/>
        <family val="2"/>
      </rPr>
      <t>2024</t>
    </r>
  </si>
  <si>
    <r>
      <t xml:space="preserve">Actual Delivered January </t>
    </r>
    <r>
      <rPr>
        <b/>
        <sz val="8"/>
        <color rgb="FF0000FF"/>
        <rFont val="Arial"/>
        <family val="2"/>
      </rPr>
      <t>2024</t>
    </r>
    <r>
      <rPr>
        <b/>
        <sz val="8"/>
        <color theme="1"/>
        <rFont val="Arial"/>
        <family val="2"/>
      </rPr>
      <t xml:space="preserve"> to April</t>
    </r>
    <r>
      <rPr>
        <b/>
        <sz val="8"/>
        <color rgb="FF0000FF"/>
        <rFont val="Arial"/>
        <family val="2"/>
      </rPr>
      <t xml:space="preserve"> 2024</t>
    </r>
  </si>
  <si>
    <r>
      <t xml:space="preserve">Property Tracker Charge Effective </t>
    </r>
    <r>
      <rPr>
        <b/>
        <sz val="8"/>
        <color rgb="FF0000FF"/>
        <rFont val="Arial"/>
        <family val="2"/>
      </rPr>
      <t>5-1-23</t>
    </r>
  </si>
  <si>
    <r>
      <t>January</t>
    </r>
    <r>
      <rPr>
        <b/>
        <sz val="8"/>
        <color rgb="FF0000FF"/>
        <rFont val="Arial"/>
        <family val="2"/>
      </rPr>
      <t xml:space="preserve"> 2024 </t>
    </r>
    <r>
      <rPr>
        <b/>
        <sz val="8"/>
        <color theme="1"/>
        <rFont val="Arial"/>
        <family val="2"/>
      </rPr>
      <t xml:space="preserve">to April </t>
    </r>
    <r>
      <rPr>
        <b/>
        <sz val="8"/>
        <color rgb="FF0000FF"/>
        <rFont val="Arial"/>
        <family val="2"/>
      </rPr>
      <t>2024</t>
    </r>
    <r>
      <rPr>
        <b/>
        <sz val="8"/>
        <color theme="1"/>
        <rFont val="Arial"/>
        <family val="2"/>
      </rPr>
      <t xml:space="preserve">  Variance</t>
    </r>
  </si>
  <si>
    <r>
      <rPr>
        <b/>
        <sz val="8"/>
        <color rgb="FF0000FF"/>
        <rFont val="Arial"/>
        <family val="2"/>
      </rPr>
      <t>F2023</t>
    </r>
    <r>
      <rPr>
        <b/>
        <sz val="8"/>
        <color theme="1"/>
        <rFont val="Arial"/>
        <family val="2"/>
      </rPr>
      <t xml:space="preserve"> Projected May </t>
    </r>
    <r>
      <rPr>
        <b/>
        <sz val="8"/>
        <color rgb="FF0000FF"/>
        <rFont val="Arial"/>
        <family val="2"/>
      </rPr>
      <t>2024</t>
    </r>
    <r>
      <rPr>
        <b/>
        <sz val="8"/>
        <color theme="1"/>
        <rFont val="Arial"/>
        <family val="2"/>
      </rPr>
      <t xml:space="preserve"> to December </t>
    </r>
    <r>
      <rPr>
        <b/>
        <sz val="8"/>
        <color rgb="FF0000FF"/>
        <rFont val="Arial"/>
        <family val="2"/>
      </rPr>
      <t>2024</t>
    </r>
  </si>
  <si>
    <r>
      <t>Actual Delivered May</t>
    </r>
    <r>
      <rPr>
        <b/>
        <sz val="8"/>
        <color rgb="FF0000FF"/>
        <rFont val="Arial"/>
        <family val="2"/>
      </rPr>
      <t xml:space="preserve"> 2024 </t>
    </r>
    <r>
      <rPr>
        <b/>
        <sz val="8"/>
        <color theme="1"/>
        <rFont val="Arial"/>
        <family val="2"/>
      </rPr>
      <t>to December</t>
    </r>
    <r>
      <rPr>
        <b/>
        <sz val="8"/>
        <color rgb="FF0000FF"/>
        <rFont val="Arial"/>
        <family val="2"/>
      </rPr>
      <t xml:space="preserve"> 2024</t>
    </r>
  </si>
  <si>
    <r>
      <t>Property Tracker Charge Effective</t>
    </r>
    <r>
      <rPr>
        <b/>
        <sz val="8"/>
        <color rgb="FF0000FF"/>
        <rFont val="Arial"/>
        <family val="2"/>
      </rPr>
      <t xml:space="preserve"> 5-1-24</t>
    </r>
  </si>
  <si>
    <r>
      <t>May</t>
    </r>
    <r>
      <rPr>
        <b/>
        <sz val="8"/>
        <color rgb="FF0000FF"/>
        <rFont val="Arial"/>
        <family val="2"/>
      </rPr>
      <t xml:space="preserve"> 2024</t>
    </r>
    <r>
      <rPr>
        <b/>
        <sz val="8"/>
        <color theme="1"/>
        <rFont val="Arial"/>
        <family val="2"/>
      </rPr>
      <t xml:space="preserve"> to December</t>
    </r>
    <r>
      <rPr>
        <b/>
        <sz val="8"/>
        <color rgb="FF0000FF"/>
        <rFont val="Arial"/>
        <family val="2"/>
      </rPr>
      <t xml:space="preserve"> 2024 </t>
    </r>
    <r>
      <rPr>
        <b/>
        <sz val="8"/>
        <color theme="1"/>
        <rFont val="Arial"/>
        <family val="2"/>
      </rPr>
      <t>Variance</t>
    </r>
  </si>
  <si>
    <t>(f)</t>
  </si>
  <si>
    <t>(g)</t>
  </si>
  <si>
    <t>(h) = (f - g)</t>
  </si>
  <si>
    <t>(i)</t>
  </si>
  <si>
    <t>(j) = (h * i)</t>
  </si>
  <si>
    <t>(k) = (e) + (j)</t>
  </si>
  <si>
    <t>cross check</t>
  </si>
  <si>
    <t>2024 GRC Conversion Factor</t>
  </si>
  <si>
    <t>2022 GRC Conversion Factor</t>
  </si>
  <si>
    <t xml:space="preserve">   True-up for 2024 Load Variance</t>
  </si>
  <si>
    <t xml:space="preserve">   True-up for 2024 Tax Payment Variance</t>
  </si>
  <si>
    <t>Est. paid in 2025</t>
  </si>
  <si>
    <t xml:space="preserve">WA Electric </t>
  </si>
  <si>
    <t xml:space="preserve">WA Gas </t>
  </si>
  <si>
    <t xml:space="preserve">Surface Water </t>
  </si>
  <si>
    <t>ck</t>
  </si>
  <si>
    <t>Last Year Estimated filing</t>
  </si>
  <si>
    <t>Actual Tax Paid 2024</t>
  </si>
  <si>
    <t>= 7 + 15</t>
  </si>
  <si>
    <t>Paid in 2024</t>
  </si>
  <si>
    <t>PUGET SOUND ENERGY, INC</t>
  </si>
  <si>
    <t>PROPERTY TAX DEPT</t>
  </si>
  <si>
    <t>24-25</t>
  </si>
  <si>
    <t>SCHEDULE 140 TRACKER FILING</t>
  </si>
  <si>
    <t>A</t>
  </si>
  <si>
    <t>B</t>
  </si>
  <si>
    <t>C = [B-A]</t>
  </si>
  <si>
    <t>D</t>
  </si>
  <si>
    <t>E</t>
  </si>
  <si>
    <t>UTC Filing PY</t>
  </si>
  <si>
    <t>Actual Tax Paid in</t>
  </si>
  <si>
    <t>Difference</t>
  </si>
  <si>
    <t>Add: Surface Water paid in</t>
  </si>
  <si>
    <t>*Budget (est) expected to be paid in</t>
  </si>
  <si>
    <t>For Washington, we use best available estimate, based on annual propery tax accrued:</t>
  </si>
  <si>
    <t>C+D+E</t>
  </si>
  <si>
    <t>For Montana and Oregon, we use actual tax paid:</t>
  </si>
  <si>
    <t>B+D</t>
  </si>
  <si>
    <t>Total Sch 140 Tracker filed  in:</t>
  </si>
  <si>
    <t>*Based on best available estimate as of 2/25/25. We used actual bills received to-date, and extrapolated to the counties we have not received bills for yet.</t>
  </si>
  <si>
    <t>= 7</t>
  </si>
  <si>
    <t>= 17 - 20</t>
  </si>
  <si>
    <t xml:space="preserve">No longer included 141Z transfer (2024 only) </t>
  </si>
  <si>
    <t xml:space="preserve">Impact of Change in Conversion Factor </t>
  </si>
  <si>
    <t>= 10 - 11 +12 +13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</si>
</sst>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%"/>
    <numFmt numFmtId="168" formatCode="_(&quot;$&quot;* #,##0.000000_);_(&quot;$&quot;* \(#,##0.000000\);_(&quot;$&quot;* &quot;-&quot;??_);_(@_)"/>
    <numFmt numFmtId="169" formatCode="_(&quot;$&quot;* #,##0.00000_);_(&quot;$&quot;* \(#,##0.00000\);_(&quot;$&quot;* &quot;-&quot;??_);_(@_)"/>
    <numFmt numFmtId="170" formatCode="_-* #,##0.00\ _€_-;\-* #,##0.00\ _€_-;_-* &quot;-&quot;??\ _€_-;_-@_-"/>
    <numFmt numFmtId="171" formatCode="_-* #,##0.00\ &quot;€&quot;_-;\-* #,##0.00\ &quot;€&quot;_-;_-* &quot;-&quot;??\ &quot;€&quot;_-;_-@_-"/>
    <numFmt numFmtId="172" formatCode="General_)"/>
    <numFmt numFmtId="173" formatCode="0.00000000"/>
    <numFmt numFmtId="174" formatCode="#0;&quot;-&quot;#0;#0;_(@_)"/>
    <numFmt numFmtId="175" formatCode="&quot;&quot;* #,##0_);&quot;&quot;* \(#,##0\);&quot;&quot;* #,##0_);_(@_)"/>
    <numFmt numFmtId="176" formatCode="&quot;$&quot;* #,##0_);&quot;$&quot;* \(#,##0\);&quot;$&quot;* #,##0_);_(@_)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rgb="FF0000FF"/>
      <name val="Calibri"/>
      <family val="2"/>
      <scheme val="minor"/>
    </font>
    <font>
      <sz val="11"/>
      <color rgb="FF7500EA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1"/>
      <name val="Calibri"/>
      <family val="2"/>
      <scheme val="minor"/>
    </font>
    <font>
      <sz val="11"/>
      <color rgb="FF008080"/>
      <name val="Calibri"/>
      <family val="2"/>
    </font>
    <font>
      <sz val="9"/>
      <color rgb="FFFF0000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Calibri"/>
      <family val="2"/>
    </font>
    <font>
      <sz val="11"/>
      <color rgb="FF006100"/>
      <name val="Calibri"/>
      <family val="2"/>
      <scheme val="minor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4" tint="-0.249977111117893"/>
      <name val="Arial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Arial"/>
      <family val="2"/>
    </font>
    <font>
      <sz val="11"/>
      <color rgb="FF0000FF"/>
      <name val="Calibri"/>
      <family val="2"/>
      <scheme val="minor"/>
    </font>
    <font>
      <sz val="8"/>
      <color rgb="FF7500EA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sz val="8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sz val="10"/>
      <name val="Arial"/>
    </font>
    <font>
      <b/>
      <sz val="11"/>
      <color rgb="FF000000"/>
      <name val="Arial"/>
      <family val="2"/>
    </font>
    <font>
      <b/>
      <sz val="10"/>
      <color rgb="FF000000"/>
      <name val="Helvetica"/>
    </font>
    <font>
      <b/>
      <i/>
      <sz val="10"/>
      <color rgb="FFEE2724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i/>
      <sz val="10"/>
      <name val="Arial"/>
      <family val="2"/>
    </font>
    <font>
      <b/>
      <sz val="1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29" applyNumberFormat="0" applyAlignment="0" applyProtection="0"/>
    <xf numFmtId="0" fontId="17" fillId="21" borderId="30" applyNumberFormat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1" applyNumberFormat="0" applyFill="0" applyAlignment="0" applyProtection="0"/>
    <xf numFmtId="0" fontId="22" fillId="0" borderId="32" applyNumberFormat="0" applyFill="0" applyAlignment="0" applyProtection="0"/>
    <xf numFmtId="0" fontId="23" fillId="0" borderId="33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29" applyNumberFormat="0" applyAlignment="0" applyProtection="0"/>
    <xf numFmtId="0" fontId="25" fillId="0" borderId="34" applyNumberFormat="0" applyFill="0" applyAlignment="0" applyProtection="0"/>
    <xf numFmtId="0" fontId="26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3" borderId="35" applyNumberFormat="0" applyFont="0" applyAlignment="0" applyProtection="0"/>
    <xf numFmtId="0" fontId="13" fillId="23" borderId="35" applyNumberFormat="0" applyFont="0" applyAlignment="0" applyProtection="0"/>
    <xf numFmtId="0" fontId="27" fillId="20" borderId="3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37" applyNumberFormat="0" applyFill="0" applyAlignment="0" applyProtection="0"/>
    <xf numFmtId="0" fontId="30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172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43" fillId="27" borderId="0" applyNumberFormat="0" applyBorder="0" applyAlignment="0" applyProtection="0"/>
    <xf numFmtId="44" fontId="1" fillId="0" borderId="0" applyFont="0" applyFill="0" applyBorder="0" applyAlignment="0" applyProtection="0"/>
    <xf numFmtId="172" fontId="3" fillId="0" borderId="0"/>
    <xf numFmtId="43" fontId="51" fillId="0" borderId="0" applyFont="0" applyFill="0" applyBorder="0" applyAlignment="0" applyProtection="0"/>
    <xf numFmtId="0" fontId="65" fillId="0" borderId="0"/>
    <xf numFmtId="0" fontId="69" fillId="0" borderId="0" applyBorder="0">
      <alignment wrapText="1"/>
    </xf>
  </cellStyleXfs>
  <cellXfs count="313">
    <xf numFmtId="0" fontId="0" fillId="0" borderId="0" xfId="0"/>
    <xf numFmtId="164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42" fontId="0" fillId="0" borderId="0" xfId="0" applyNumberFormat="1" applyFill="1"/>
    <xf numFmtId="0" fontId="0" fillId="0" borderId="1" xfId="0" applyFill="1" applyBorder="1"/>
    <xf numFmtId="42" fontId="0" fillId="0" borderId="3" xfId="0" applyNumberFormat="1" applyFill="1" applyBorder="1"/>
    <xf numFmtId="41" fontId="8" fillId="0" borderId="0" xfId="0" applyNumberFormat="1" applyFont="1" applyFill="1"/>
    <xf numFmtId="0" fontId="0" fillId="0" borderId="0" xfId="0" applyFill="1" applyAlignment="1">
      <alignment horizontal="center"/>
    </xf>
    <xf numFmtId="0" fontId="10" fillId="0" borderId="0" xfId="0" applyFont="1" applyFill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6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0" fillId="0" borderId="4" xfId="0" applyFill="1" applyBorder="1" applyAlignment="1">
      <alignment horizontal="center"/>
    </xf>
    <xf numFmtId="0" fontId="0" fillId="0" borderId="0" xfId="0" applyFill="1" applyAlignment="1">
      <alignment horizontal="left" indent="1"/>
    </xf>
    <xf numFmtId="0" fontId="0" fillId="0" borderId="0" xfId="0" quotePrefix="1" applyFill="1" applyAlignment="1">
      <alignment horizontal="left"/>
    </xf>
    <xf numFmtId="41" fontId="8" fillId="0" borderId="1" xfId="0" applyNumberFormat="1" applyFont="1" applyFill="1" applyBorder="1"/>
    <xf numFmtId="0" fontId="8" fillId="0" borderId="1" xfId="0" applyFont="1" applyFill="1" applyBorder="1"/>
    <xf numFmtId="42" fontId="0" fillId="0" borderId="2" xfId="0" applyNumberFormat="1" applyFill="1" applyBorder="1"/>
    <xf numFmtId="0" fontId="8" fillId="0" borderId="0" xfId="0" applyFont="1" applyFill="1"/>
    <xf numFmtId="0" fontId="2" fillId="0" borderId="0" xfId="0" applyFont="1" applyFill="1"/>
    <xf numFmtId="0" fontId="9" fillId="0" borderId="0" xfId="0" applyFont="1" applyFill="1"/>
    <xf numFmtId="0" fontId="5" fillId="0" borderId="0" xfId="0" applyFont="1" applyFill="1"/>
    <xf numFmtId="0" fontId="12" fillId="0" borderId="0" xfId="0" applyFont="1" applyFill="1" applyAlignment="1">
      <alignment horizontal="left"/>
    </xf>
    <xf numFmtId="0" fontId="10" fillId="0" borderId="0" xfId="0" applyFont="1" applyFill="1" applyAlignment="1">
      <alignment horizontal="centerContinuous"/>
    </xf>
    <xf numFmtId="0" fontId="10" fillId="0" borderId="4" xfId="0" applyFont="1" applyFill="1" applyBorder="1" applyAlignment="1">
      <alignment wrapText="1"/>
    </xf>
    <xf numFmtId="0" fontId="10" fillId="0" borderId="4" xfId="0" applyFont="1" applyFill="1" applyBorder="1"/>
    <xf numFmtId="0" fontId="10" fillId="0" borderId="4" xfId="0" applyFont="1" applyFill="1" applyBorder="1" applyAlignment="1">
      <alignment horizontal="center" wrapText="1"/>
    </xf>
    <xf numFmtId="2" fontId="10" fillId="0" borderId="4" xfId="0" applyNumberFormat="1" applyFont="1" applyFill="1" applyBorder="1" applyAlignment="1">
      <alignment horizontal="center" wrapText="1"/>
    </xf>
    <xf numFmtId="0" fontId="10" fillId="0" borderId="0" xfId="0" applyFont="1" applyFill="1" applyAlignment="1">
      <alignment horizontal="left"/>
    </xf>
    <xf numFmtId="164" fontId="32" fillId="0" borderId="0" xfId="0" applyNumberFormat="1" applyFont="1" applyFill="1" applyBorder="1"/>
    <xf numFmtId="164" fontId="10" fillId="0" borderId="0" xfId="0" applyNumberFormat="1" applyFont="1" applyFill="1" applyBorder="1"/>
    <xf numFmtId="169" fontId="32" fillId="0" borderId="0" xfId="0" applyNumberFormat="1" applyFont="1" applyFill="1"/>
    <xf numFmtId="165" fontId="10" fillId="0" borderId="0" xfId="0" applyNumberFormat="1" applyFont="1" applyFill="1"/>
    <xf numFmtId="0" fontId="10" fillId="0" borderId="4" xfId="0" applyFont="1" applyFill="1" applyBorder="1" applyAlignment="1">
      <alignment horizontal="left"/>
    </xf>
    <xf numFmtId="169" fontId="32" fillId="0" borderId="4" xfId="0" applyNumberFormat="1" applyFont="1" applyFill="1" applyBorder="1"/>
    <xf numFmtId="165" fontId="10" fillId="0" borderId="4" xfId="0" applyNumberFormat="1" applyFont="1" applyFill="1" applyBorder="1"/>
    <xf numFmtId="164" fontId="10" fillId="0" borderId="1" xfId="0" applyNumberFormat="1" applyFont="1" applyFill="1" applyBorder="1"/>
    <xf numFmtId="165" fontId="10" fillId="0" borderId="1" xfId="0" applyNumberFormat="1" applyFont="1" applyFill="1" applyBorder="1"/>
    <xf numFmtId="0" fontId="33" fillId="0" borderId="0" xfId="0" applyFont="1" applyFill="1" applyAlignment="1">
      <alignment horizontal="right"/>
    </xf>
    <xf numFmtId="164" fontId="33" fillId="0" borderId="0" xfId="0" applyNumberFormat="1" applyFont="1" applyFill="1" applyBorder="1"/>
    <xf numFmtId="164" fontId="33" fillId="0" borderId="0" xfId="0" applyNumberFormat="1" applyFont="1" applyFill="1"/>
    <xf numFmtId="0" fontId="34" fillId="0" borderId="0" xfId="0" applyNumberFormat="1" applyFont="1" applyFill="1" applyAlignment="1">
      <alignment horizontal="center"/>
    </xf>
    <xf numFmtId="0" fontId="34" fillId="0" borderId="4" xfId="0" applyNumberFormat="1" applyFont="1" applyFill="1" applyBorder="1" applyAlignment="1">
      <alignment horizontal="center"/>
    </xf>
    <xf numFmtId="0" fontId="35" fillId="0" borderId="0" xfId="0" applyNumberFormat="1" applyFont="1" applyFill="1" applyAlignment="1">
      <alignment horizontal="left"/>
    </xf>
    <xf numFmtId="0" fontId="35" fillId="0" borderId="0" xfId="0" applyNumberFormat="1" applyFont="1" applyFill="1" applyAlignment="1"/>
    <xf numFmtId="166" fontId="35" fillId="0" borderId="0" xfId="0" applyNumberFormat="1" applyFont="1" applyFill="1" applyAlignment="1"/>
    <xf numFmtId="166" fontId="35" fillId="0" borderId="4" xfId="0" applyNumberFormat="1" applyFont="1" applyFill="1" applyBorder="1" applyAlignment="1"/>
    <xf numFmtId="166" fontId="35" fillId="0" borderId="0" xfId="0" applyNumberFormat="1" applyFont="1" applyFill="1" applyBorder="1" applyAlignment="1"/>
    <xf numFmtId="10" fontId="0" fillId="0" borderId="0" xfId="0" applyNumberFormat="1" applyFont="1" applyFill="1" applyAlignment="1">
      <alignment horizontal="center"/>
    </xf>
    <xf numFmtId="0" fontId="1" fillId="0" borderId="26" xfId="72" applyFill="1" applyBorder="1" applyAlignment="1">
      <alignment horizontal="center"/>
    </xf>
    <xf numFmtId="0" fontId="1" fillId="0" borderId="8" xfId="72" applyFill="1" applyBorder="1" applyAlignment="1">
      <alignment horizontal="center"/>
    </xf>
    <xf numFmtId="0" fontId="1" fillId="0" borderId="4" xfId="72" applyFill="1" applyBorder="1" applyAlignment="1">
      <alignment horizontal="center"/>
    </xf>
    <xf numFmtId="0" fontId="31" fillId="0" borderId="13" xfId="72" applyFont="1" applyFill="1" applyBorder="1" applyAlignment="1">
      <alignment horizontal="centerContinuous"/>
    </xf>
    <xf numFmtId="42" fontId="1" fillId="0" borderId="0" xfId="72" applyNumberFormat="1" applyFill="1" applyBorder="1"/>
    <xf numFmtId="41" fontId="1" fillId="0" borderId="0" xfId="72" applyNumberFormat="1" applyFill="1" applyBorder="1"/>
    <xf numFmtId="41" fontId="1" fillId="0" borderId="0" xfId="72" applyNumberFormat="1" applyFont="1" applyFill="1" applyBorder="1"/>
    <xf numFmtId="0" fontId="1" fillId="0" borderId="0" xfId="72" applyFill="1"/>
    <xf numFmtId="41" fontId="1" fillId="0" borderId="0" xfId="72" applyNumberFormat="1" applyFill="1"/>
    <xf numFmtId="41" fontId="1" fillId="0" borderId="13" xfId="72" applyNumberFormat="1" applyFill="1" applyBorder="1"/>
    <xf numFmtId="41" fontId="1" fillId="0" borderId="26" xfId="72" applyNumberFormat="1" applyFill="1" applyBorder="1"/>
    <xf numFmtId="41" fontId="1" fillId="0" borderId="8" xfId="3" applyNumberFormat="1" applyFont="1" applyFill="1" applyBorder="1"/>
    <xf numFmtId="41" fontId="1" fillId="0" borderId="15" xfId="72" applyNumberFormat="1" applyFill="1" applyBorder="1"/>
    <xf numFmtId="164" fontId="1" fillId="0" borderId="0" xfId="3" applyNumberFormat="1" applyFont="1" applyFill="1"/>
    <xf numFmtId="42" fontId="1" fillId="0" borderId="0" xfId="72" applyNumberFormat="1" applyFill="1"/>
    <xf numFmtId="0" fontId="0" fillId="0" borderId="0" xfId="0" applyFill="1" applyAlignment="1">
      <alignment horizontal="center"/>
    </xf>
    <xf numFmtId="0" fontId="1" fillId="0" borderId="0" xfId="72"/>
    <xf numFmtId="4" fontId="1" fillId="0" borderId="0" xfId="72" applyNumberFormat="1"/>
    <xf numFmtId="41" fontId="1" fillId="0" borderId="0" xfId="72" applyNumberFormat="1"/>
    <xf numFmtId="0" fontId="1" fillId="0" borderId="0" xfId="72" applyFont="1"/>
    <xf numFmtId="42" fontId="1" fillId="0" borderId="0" xfId="72" applyNumberFormat="1"/>
    <xf numFmtId="0" fontId="38" fillId="0" borderId="17" xfId="72" applyFont="1" applyBorder="1" applyAlignment="1">
      <alignment horizontal="center"/>
    </xf>
    <xf numFmtId="0" fontId="38" fillId="0" borderId="0" xfId="72" applyFont="1" applyBorder="1" applyAlignment="1">
      <alignment horizontal="center"/>
    </xf>
    <xf numFmtId="0" fontId="38" fillId="0" borderId="18" xfId="72" applyFont="1" applyBorder="1"/>
    <xf numFmtId="0" fontId="37" fillId="24" borderId="0" xfId="72" quotePrefix="1" applyFont="1" applyFill="1" applyAlignment="1">
      <alignment horizontal="center"/>
    </xf>
    <xf numFmtId="0" fontId="1" fillId="0" borderId="17" xfId="72" applyBorder="1" applyAlignment="1">
      <alignment horizontal="center"/>
    </xf>
    <xf numFmtId="0" fontId="1" fillId="0" borderId="0" xfId="72" applyBorder="1" applyAlignment="1">
      <alignment horizontal="center"/>
    </xf>
    <xf numFmtId="0" fontId="1" fillId="0" borderId="18" xfId="72" applyBorder="1"/>
    <xf numFmtId="0" fontId="38" fillId="0" borderId="0" xfId="72" applyFont="1" applyAlignment="1">
      <alignment horizontal="center"/>
    </xf>
    <xf numFmtId="41" fontId="1" fillId="0" borderId="0" xfId="72" applyNumberFormat="1" applyFont="1"/>
    <xf numFmtId="0" fontId="1" fillId="0" borderId="0" xfId="72" applyAlignment="1">
      <alignment horizontal="center"/>
    </xf>
    <xf numFmtId="0" fontId="1" fillId="0" borderId="0" xfId="72" applyAlignment="1">
      <alignment horizontal="centerContinuous"/>
    </xf>
    <xf numFmtId="0" fontId="1" fillId="0" borderId="18" xfId="72" applyBorder="1" applyAlignment="1">
      <alignment horizontal="center"/>
    </xf>
    <xf numFmtId="0" fontId="1" fillId="0" borderId="17" xfId="72" applyBorder="1"/>
    <xf numFmtId="0" fontId="1" fillId="0" borderId="0" xfId="72" applyBorder="1"/>
    <xf numFmtId="42" fontId="1" fillId="0" borderId="3" xfId="72" applyNumberFormat="1" applyBorder="1"/>
    <xf numFmtId="41" fontId="1" fillId="0" borderId="26" xfId="72" applyNumberFormat="1" applyBorder="1"/>
    <xf numFmtId="0" fontId="1" fillId="0" borderId="26" xfId="72" applyBorder="1"/>
    <xf numFmtId="0" fontId="1" fillId="0" borderId="0" xfId="72" applyFont="1" applyBorder="1"/>
    <xf numFmtId="41" fontId="1" fillId="0" borderId="15" xfId="72" applyNumberFormat="1" applyBorder="1"/>
    <xf numFmtId="41" fontId="1" fillId="0" borderId="19" xfId="72" applyNumberFormat="1" applyBorder="1"/>
    <xf numFmtId="0" fontId="1" fillId="0" borderId="17" xfId="72" applyFont="1" applyBorder="1"/>
    <xf numFmtId="41" fontId="1" fillId="0" borderId="8" xfId="3" applyNumberFormat="1" applyFont="1" applyBorder="1"/>
    <xf numFmtId="41" fontId="1" fillId="0" borderId="0" xfId="72" applyNumberFormat="1" applyBorder="1"/>
    <xf numFmtId="41" fontId="1" fillId="25" borderId="0" xfId="72" applyNumberFormat="1" applyFill="1" applyBorder="1"/>
    <xf numFmtId="41" fontId="1" fillId="0" borderId="13" xfId="72" applyNumberFormat="1" applyBorder="1"/>
    <xf numFmtId="42" fontId="1" fillId="0" borderId="0" xfId="72" applyNumberFormat="1" applyBorder="1"/>
    <xf numFmtId="42" fontId="1" fillId="0" borderId="13" xfId="72" applyNumberFormat="1" applyBorder="1"/>
    <xf numFmtId="41" fontId="1" fillId="25" borderId="8" xfId="3" applyNumberFormat="1" applyFont="1" applyFill="1" applyBorder="1"/>
    <xf numFmtId="42" fontId="1" fillId="25" borderId="26" xfId="72" applyNumberFormat="1" applyFill="1" applyBorder="1"/>
    <xf numFmtId="0" fontId="1" fillId="0" borderId="13" xfId="72" applyBorder="1"/>
    <xf numFmtId="0" fontId="1" fillId="0" borderId="8" xfId="72" applyBorder="1"/>
    <xf numFmtId="0" fontId="31" fillId="0" borderId="0" xfId="72" applyFont="1" applyBorder="1" applyAlignment="1">
      <alignment horizontal="centerContinuous"/>
    </xf>
    <xf numFmtId="0" fontId="1" fillId="0" borderId="7" xfId="72" applyBorder="1" applyAlignment="1">
      <alignment horizontal="center"/>
    </xf>
    <xf numFmtId="0" fontId="1" fillId="0" borderId="27" xfId="72" applyBorder="1" applyAlignment="1">
      <alignment horizontal="center"/>
    </xf>
    <xf numFmtId="0" fontId="1" fillId="0" borderId="4" xfId="72" applyBorder="1" applyAlignment="1">
      <alignment horizontal="center"/>
    </xf>
    <xf numFmtId="0" fontId="1" fillId="0" borderId="14" xfId="72" applyBorder="1" applyAlignment="1">
      <alignment horizontal="center"/>
    </xf>
    <xf numFmtId="0" fontId="1" fillId="0" borderId="13" xfId="72" applyBorder="1" applyAlignment="1">
      <alignment horizontal="center"/>
    </xf>
    <xf numFmtId="0" fontId="1" fillId="0" borderId="12" xfId="72" applyBorder="1"/>
    <xf numFmtId="0" fontId="1" fillId="0" borderId="1" xfId="72" applyBorder="1"/>
    <xf numFmtId="0" fontId="1" fillId="0" borderId="25" xfId="72" applyBorder="1"/>
    <xf numFmtId="0" fontId="1" fillId="0" borderId="1" xfId="72" applyBorder="1" applyAlignment="1">
      <alignment horizontal="center"/>
    </xf>
    <xf numFmtId="0" fontId="1" fillId="0" borderId="11" xfId="72" applyBorder="1" applyAlignment="1">
      <alignment horizontal="center"/>
    </xf>
    <xf numFmtId="0" fontId="1" fillId="0" borderId="10" xfId="72" applyBorder="1" applyAlignment="1">
      <alignment horizontal="centerContinuous"/>
    </xf>
    <xf numFmtId="0" fontId="1" fillId="0" borderId="5" xfId="72" applyBorder="1" applyAlignment="1">
      <alignment horizontal="centerContinuous"/>
    </xf>
    <xf numFmtId="0" fontId="36" fillId="0" borderId="5" xfId="72" applyFont="1" applyBorder="1" applyAlignment="1">
      <alignment horizontal="centerContinuous"/>
    </xf>
    <xf numFmtId="0" fontId="1" fillId="0" borderId="24" xfId="72" applyBorder="1" applyAlignment="1">
      <alignment horizontal="centerContinuous"/>
    </xf>
    <xf numFmtId="0" fontId="36" fillId="0" borderId="9" xfId="72" applyFont="1" applyBorder="1" applyAlignment="1">
      <alignment horizontal="centerContinuous"/>
    </xf>
    <xf numFmtId="0" fontId="11" fillId="0" borderId="23" xfId="72" applyFont="1" applyBorder="1"/>
    <xf numFmtId="0" fontId="11" fillId="0" borderId="22" xfId="72" applyFont="1" applyBorder="1"/>
    <xf numFmtId="0" fontId="1" fillId="0" borderId="21" xfId="72" applyBorder="1"/>
    <xf numFmtId="0" fontId="36" fillId="0" borderId="0" xfId="72" applyFont="1"/>
    <xf numFmtId="0" fontId="2" fillId="0" borderId="0" xfId="72" applyFont="1" applyAlignment="1"/>
    <xf numFmtId="164" fontId="1" fillId="0" borderId="26" xfId="3" applyNumberFormat="1" applyFont="1" applyBorder="1"/>
    <xf numFmtId="0" fontId="1" fillId="0" borderId="18" xfId="72" applyFont="1" applyBorder="1" applyAlignment="1">
      <alignment horizontal="center"/>
    </xf>
    <xf numFmtId="41" fontId="40" fillId="0" borderId="0" xfId="0" applyNumberFormat="1" applyFont="1" applyFill="1"/>
    <xf numFmtId="0" fontId="40" fillId="0" borderId="0" xfId="0" applyFont="1" applyFill="1"/>
    <xf numFmtId="0" fontId="41" fillId="0" borderId="0" xfId="0" applyFont="1" applyFill="1"/>
    <xf numFmtId="0" fontId="34" fillId="0" borderId="0" xfId="0" applyNumberFormat="1" applyFont="1" applyFill="1" applyAlignment="1"/>
    <xf numFmtId="0" fontId="18" fillId="0" borderId="0" xfId="0" applyNumberFormat="1" applyFont="1" applyFill="1" applyAlignment="1"/>
    <xf numFmtId="0" fontId="34" fillId="0" borderId="4" xfId="0" applyNumberFormat="1" applyFont="1" applyFill="1" applyBorder="1" applyAlignment="1" applyProtection="1">
      <alignment horizontal="center"/>
      <protection locked="0"/>
    </xf>
    <xf numFmtId="0" fontId="35" fillId="0" borderId="0" xfId="0" applyNumberFormat="1" applyFont="1" applyFill="1" applyAlignment="1">
      <alignment horizontal="center"/>
    </xf>
    <xf numFmtId="167" fontId="35" fillId="0" borderId="0" xfId="0" applyNumberFormat="1" applyFont="1" applyFill="1" applyAlignment="1">
      <alignment horizontal="center"/>
    </xf>
    <xf numFmtId="9" fontId="35" fillId="0" borderId="0" xfId="0" applyNumberFormat="1" applyFont="1" applyFill="1" applyAlignment="1">
      <alignment horizontal="center"/>
    </xf>
    <xf numFmtId="166" fontId="35" fillId="0" borderId="39" xfId="0" applyNumberFormat="1" applyFont="1" applyFill="1" applyBorder="1" applyAlignment="1" applyProtection="1">
      <protection locked="0"/>
    </xf>
    <xf numFmtId="173" fontId="18" fillId="0" borderId="0" xfId="0" applyNumberFormat="1" applyFont="1" applyFill="1" applyAlignment="1"/>
    <xf numFmtId="0" fontId="34" fillId="0" borderId="0" xfId="0" applyFont="1" applyFill="1" applyAlignment="1">
      <alignment horizontal="centerContinuous"/>
    </xf>
    <xf numFmtId="0" fontId="44" fillId="0" borderId="0" xfId="0" applyFont="1" applyFill="1" applyAlignment="1">
      <alignment horizontal="centerContinuous"/>
    </xf>
    <xf numFmtId="0" fontId="43" fillId="27" borderId="0" xfId="112" applyAlignment="1">
      <alignment horizontal="centerContinuous"/>
    </xf>
    <xf numFmtId="0" fontId="35" fillId="0" borderId="0" xfId="0" applyFont="1" applyFill="1"/>
    <xf numFmtId="0" fontId="35" fillId="0" borderId="0" xfId="0" applyFont="1" applyFill="1" applyAlignment="1">
      <alignment horizontal="centerContinuous"/>
    </xf>
    <xf numFmtId="0" fontId="0" fillId="0" borderId="0" xfId="0" applyFill="1" applyBorder="1"/>
    <xf numFmtId="44" fontId="0" fillId="0" borderId="0" xfId="0" applyNumberFormat="1" applyFill="1"/>
    <xf numFmtId="164" fontId="0" fillId="0" borderId="0" xfId="0" applyNumberFormat="1" applyFill="1"/>
    <xf numFmtId="0" fontId="46" fillId="0" borderId="0" xfId="0" applyFont="1"/>
    <xf numFmtId="165" fontId="46" fillId="0" borderId="0" xfId="0" applyNumberFormat="1" applyFont="1"/>
    <xf numFmtId="0" fontId="46" fillId="0" borderId="0" xfId="0" applyFont="1" applyFill="1"/>
    <xf numFmtId="165" fontId="39" fillId="0" borderId="0" xfId="0" quotePrefix="1" applyNumberFormat="1" applyFont="1" applyFill="1" applyAlignment="1">
      <alignment horizontal="left"/>
    </xf>
    <xf numFmtId="164" fontId="46" fillId="0" borderId="0" xfId="0" applyNumberFormat="1" applyFont="1"/>
    <xf numFmtId="165" fontId="39" fillId="0" borderId="0" xfId="0" applyNumberFormat="1" applyFont="1" applyFill="1" applyBorder="1"/>
    <xf numFmtId="165" fontId="39" fillId="0" borderId="2" xfId="0" applyNumberFormat="1" applyFont="1" applyFill="1" applyBorder="1"/>
    <xf numFmtId="168" fontId="46" fillId="0" borderId="0" xfId="0" applyNumberFormat="1" applyFont="1" applyFill="1" applyAlignment="1">
      <alignment horizontal="right"/>
    </xf>
    <xf numFmtId="164" fontId="39" fillId="0" borderId="2" xfId="0" applyNumberFormat="1" applyFont="1" applyFill="1" applyBorder="1"/>
    <xf numFmtId="0" fontId="39" fillId="0" borderId="0" xfId="0" applyFont="1" applyFill="1"/>
    <xf numFmtId="165" fontId="39" fillId="0" borderId="0" xfId="0" applyNumberFormat="1" applyFont="1" applyFill="1"/>
    <xf numFmtId="164" fontId="39" fillId="0" borderId="0" xfId="0" applyNumberFormat="1" applyFont="1" applyFill="1"/>
    <xf numFmtId="0" fontId="39" fillId="0" borderId="0" xfId="0" applyFont="1" applyFill="1" applyAlignment="1">
      <alignment horizontal="left"/>
    </xf>
    <xf numFmtId="164" fontId="39" fillId="0" borderId="5" xfId="0" applyNumberFormat="1" applyFont="1" applyFill="1" applyBorder="1"/>
    <xf numFmtId="0" fontId="39" fillId="0" borderId="0" xfId="0" quotePrefix="1" applyFont="1" applyFill="1" applyAlignment="1">
      <alignment horizontal="center"/>
    </xf>
    <xf numFmtId="0" fontId="39" fillId="0" borderId="0" xfId="0" quotePrefix="1" applyFont="1" applyFill="1" applyAlignment="1">
      <alignment horizontal="left" indent="1"/>
    </xf>
    <xf numFmtId="0" fontId="39" fillId="0" borderId="0" xfId="0" applyFont="1" applyFill="1" applyAlignment="1">
      <alignment horizontal="center"/>
    </xf>
    <xf numFmtId="0" fontId="39" fillId="0" borderId="0" xfId="0" quotePrefix="1" applyFont="1" applyFill="1" applyAlignment="1">
      <alignment horizontal="left"/>
    </xf>
    <xf numFmtId="165" fontId="39" fillId="0" borderId="5" xfId="0" applyNumberFormat="1" applyFont="1" applyFill="1" applyBorder="1"/>
    <xf numFmtId="164" fontId="39" fillId="0" borderId="0" xfId="0" applyNumberFormat="1" applyFont="1" applyFill="1" applyBorder="1"/>
    <xf numFmtId="0" fontId="39" fillId="0" borderId="0" xfId="0" applyFont="1" applyFill="1" applyAlignment="1">
      <alignment horizontal="left" indent="1"/>
    </xf>
    <xf numFmtId="164" fontId="39" fillId="0" borderId="0" xfId="0" quotePrefix="1" applyNumberFormat="1" applyFont="1" applyFill="1" applyAlignment="1">
      <alignment horizontal="left"/>
    </xf>
    <xf numFmtId="0" fontId="39" fillId="0" borderId="0" xfId="0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left" wrapText="1"/>
    </xf>
    <xf numFmtId="168" fontId="46" fillId="0" borderId="0" xfId="0" applyNumberFormat="1" applyFont="1" applyAlignment="1">
      <alignment horizontal="center"/>
    </xf>
    <xf numFmtId="0" fontId="46" fillId="0" borderId="0" xfId="0" applyFont="1" applyFill="1" applyAlignment="1">
      <alignment horizontal="center"/>
    </xf>
    <xf numFmtId="166" fontId="49" fillId="0" borderId="0" xfId="0" applyNumberFormat="1" applyFont="1" applyFill="1" applyAlignment="1">
      <alignment horizontal="left" wrapText="1"/>
    </xf>
    <xf numFmtId="42" fontId="1" fillId="0" borderId="18" xfId="72" applyNumberFormat="1" applyFill="1" applyBorder="1"/>
    <xf numFmtId="41" fontId="1" fillId="0" borderId="18" xfId="72" applyNumberFormat="1" applyFill="1" applyBorder="1"/>
    <xf numFmtId="41" fontId="1" fillId="0" borderId="17" xfId="72" applyNumberFormat="1" applyFill="1" applyBorder="1"/>
    <xf numFmtId="41" fontId="1" fillId="0" borderId="38" xfId="72" applyNumberFormat="1" applyFill="1" applyBorder="1"/>
    <xf numFmtId="41" fontId="1" fillId="0" borderId="6" xfId="72" applyNumberFormat="1" applyFill="1" applyBorder="1"/>
    <xf numFmtId="41" fontId="1" fillId="0" borderId="16" xfId="72" applyNumberFormat="1" applyFill="1" applyBorder="1"/>
    <xf numFmtId="41" fontId="1" fillId="0" borderId="0" xfId="72" applyNumberFormat="1" applyFont="1" applyBorder="1"/>
    <xf numFmtId="41" fontId="1" fillId="0" borderId="26" xfId="72" applyNumberFormat="1" applyFont="1" applyFill="1" applyBorder="1"/>
    <xf numFmtId="41" fontId="1" fillId="0" borderId="26" xfId="72" applyNumberFormat="1" applyFont="1" applyBorder="1"/>
    <xf numFmtId="42" fontId="1" fillId="0" borderId="18" xfId="72" applyNumberFormat="1" applyFont="1" applyFill="1" applyBorder="1"/>
    <xf numFmtId="42" fontId="40" fillId="0" borderId="0" xfId="0" applyNumberFormat="1" applyFont="1" applyFill="1"/>
    <xf numFmtId="42" fontId="40" fillId="0" borderId="0" xfId="0" applyNumberFormat="1" applyFont="1" applyFill="1" applyBorder="1"/>
    <xf numFmtId="43" fontId="0" fillId="0" borderId="0" xfId="0" applyNumberFormat="1" applyFill="1"/>
    <xf numFmtId="164" fontId="50" fillId="0" borderId="0" xfId="0" applyNumberFormat="1" applyFont="1" applyFill="1" applyBorder="1"/>
    <xf numFmtId="0" fontId="0" fillId="0" borderId="0" xfId="0" applyAlignment="1">
      <alignment horizontal="left"/>
    </xf>
    <xf numFmtId="0" fontId="2" fillId="0" borderId="0" xfId="0" applyFont="1"/>
    <xf numFmtId="164" fontId="0" fillId="0" borderId="0" xfId="1" applyNumberFormat="1" applyFont="1"/>
    <xf numFmtId="164" fontId="0" fillId="0" borderId="0" xfId="0" applyNumberFormat="1"/>
    <xf numFmtId="164" fontId="47" fillId="0" borderId="0" xfId="0" applyNumberFormat="1" applyFont="1" applyFill="1"/>
    <xf numFmtId="42" fontId="0" fillId="0" borderId="0" xfId="0" applyNumberFormat="1"/>
    <xf numFmtId="0" fontId="2" fillId="0" borderId="40" xfId="0" applyFont="1" applyFill="1" applyBorder="1" applyAlignment="1">
      <alignment horizontal="left"/>
    </xf>
    <xf numFmtId="0" fontId="46" fillId="0" borderId="0" xfId="0" applyFont="1" applyAlignment="1">
      <alignment horizontal="center"/>
    </xf>
    <xf numFmtId="0" fontId="46" fillId="0" borderId="0" xfId="0" quotePrefix="1" applyFont="1" applyAlignment="1">
      <alignment horizontal="center"/>
    </xf>
    <xf numFmtId="0" fontId="10" fillId="0" borderId="0" xfId="0" applyFont="1" applyFill="1" applyAlignment="1">
      <alignment horizontal="center"/>
    </xf>
    <xf numFmtId="166" fontId="34" fillId="0" borderId="0" xfId="0" applyNumberFormat="1" applyFont="1" applyFill="1" applyAlignment="1">
      <alignment horizontal="right"/>
    </xf>
    <xf numFmtId="0" fontId="52" fillId="0" borderId="0" xfId="0" applyNumberFormat="1" applyFont="1" applyFill="1" applyAlignment="1" applyProtection="1">
      <alignment horizontal="centerContinuous"/>
      <protection locked="0"/>
    </xf>
    <xf numFmtId="0" fontId="53" fillId="0" borderId="0" xfId="0" applyNumberFormat="1" applyFont="1" applyFill="1" applyAlignment="1">
      <alignment horizontal="centerContinuous"/>
    </xf>
    <xf numFmtId="0" fontId="34" fillId="0" borderId="0" xfId="0" applyNumberFormat="1" applyFont="1" applyFill="1" applyAlignment="1" applyProtection="1">
      <alignment horizontal="centerContinuous"/>
      <protection locked="0"/>
    </xf>
    <xf numFmtId="0" fontId="52" fillId="0" borderId="0" xfId="0" applyNumberFormat="1" applyFont="1" applyFill="1" applyAlignment="1">
      <alignment horizontal="centerContinuous"/>
    </xf>
    <xf numFmtId="0" fontId="34" fillId="0" borderId="0" xfId="0" applyNumberFormat="1" applyFont="1" applyFill="1" applyAlignment="1">
      <alignment horizontal="centerContinuous"/>
    </xf>
    <xf numFmtId="0" fontId="54" fillId="0" borderId="0" xfId="0" applyFont="1" applyFill="1" applyAlignment="1">
      <alignment horizontal="centerContinuous"/>
    </xf>
    <xf numFmtId="166" fontId="18" fillId="0" borderId="0" xfId="0" applyNumberFormat="1" applyFont="1" applyFill="1" applyAlignment="1"/>
    <xf numFmtId="0" fontId="55" fillId="0" borderId="0" xfId="0" applyNumberFormat="1" applyFont="1" applyFill="1" applyAlignment="1">
      <alignment horizontal="centerContinuous"/>
    </xf>
    <xf numFmtId="0" fontId="44" fillId="0" borderId="0" xfId="0" applyNumberFormat="1" applyFont="1" applyFill="1" applyAlignment="1">
      <alignment horizontal="centerContinuous"/>
    </xf>
    <xf numFmtId="166" fontId="44" fillId="0" borderId="0" xfId="0" applyNumberFormat="1" applyFont="1" applyFill="1" applyAlignment="1">
      <alignment horizontal="centerContinuous"/>
    </xf>
    <xf numFmtId="0" fontId="56" fillId="0" borderId="0" xfId="112" applyFont="1" applyFill="1" applyAlignment="1">
      <alignment horizontal="centerContinuous"/>
    </xf>
    <xf numFmtId="0" fontId="31" fillId="0" borderId="0" xfId="0" applyFont="1" applyFill="1" applyAlignment="1">
      <alignment horizontal="left"/>
    </xf>
    <xf numFmtId="0" fontId="31" fillId="0" borderId="0" xfId="0" quotePrefix="1" applyFont="1" applyFill="1" applyAlignment="1">
      <alignment horizontal="left"/>
    </xf>
    <xf numFmtId="164" fontId="50" fillId="0" borderId="0" xfId="0" applyNumberFormat="1" applyFont="1" applyFill="1"/>
    <xf numFmtId="0" fontId="58" fillId="0" borderId="0" xfId="0" applyFont="1"/>
    <xf numFmtId="0" fontId="58" fillId="0" borderId="0" xfId="0" applyFont="1" applyFill="1"/>
    <xf numFmtId="17" fontId="58" fillId="0" borderId="4" xfId="0" applyNumberFormat="1" applyFont="1" applyBorder="1" applyAlignment="1">
      <alignment horizontal="center" wrapText="1"/>
    </xf>
    <xf numFmtId="17" fontId="58" fillId="0" borderId="4" xfId="0" quotePrefix="1" applyNumberFormat="1" applyFont="1" applyFill="1" applyBorder="1" applyAlignment="1">
      <alignment horizontal="center" wrapText="1"/>
    </xf>
    <xf numFmtId="0" fontId="58" fillId="0" borderId="4" xfId="0" applyFont="1" applyFill="1" applyBorder="1" applyAlignment="1">
      <alignment horizontal="center" wrapText="1"/>
    </xf>
    <xf numFmtId="0" fontId="58" fillId="0" borderId="4" xfId="0" quotePrefix="1" applyFont="1" applyFill="1" applyBorder="1" applyAlignment="1">
      <alignment horizontal="center" wrapText="1"/>
    </xf>
    <xf numFmtId="0" fontId="58" fillId="0" borderId="4" xfId="0" quotePrefix="1" applyFont="1" applyBorder="1" applyAlignment="1">
      <alignment horizontal="center" wrapText="1"/>
    </xf>
    <xf numFmtId="0" fontId="58" fillId="0" borderId="4" xfId="0" applyFont="1" applyBorder="1" applyAlignment="1">
      <alignment horizontal="center" wrapText="1"/>
    </xf>
    <xf numFmtId="17" fontId="58" fillId="0" borderId="4" xfId="0" quotePrefix="1" applyNumberFormat="1" applyFont="1" applyBorder="1" applyAlignment="1">
      <alignment horizontal="center" wrapText="1"/>
    </xf>
    <xf numFmtId="0" fontId="58" fillId="0" borderId="0" xfId="0" quotePrefix="1" applyFont="1" applyAlignment="1">
      <alignment horizontal="center"/>
    </xf>
    <xf numFmtId="168" fontId="60" fillId="0" borderId="0" xfId="0" applyNumberFormat="1" applyFont="1" applyAlignment="1">
      <alignment horizontal="center"/>
    </xf>
    <xf numFmtId="0" fontId="58" fillId="0" borderId="0" xfId="0" applyFont="1" applyAlignment="1">
      <alignment horizontal="center"/>
    </xf>
    <xf numFmtId="164" fontId="60" fillId="26" borderId="0" xfId="0" quotePrefix="1" applyNumberFormat="1" applyFont="1" applyFill="1" applyAlignment="1">
      <alignment horizontal="left"/>
    </xf>
    <xf numFmtId="168" fontId="60" fillId="26" borderId="0" xfId="0" applyNumberFormat="1" applyFont="1" applyFill="1" applyAlignment="1">
      <alignment horizontal="right"/>
    </xf>
    <xf numFmtId="164" fontId="60" fillId="28" borderId="0" xfId="0" quotePrefix="1" applyNumberFormat="1" applyFont="1" applyFill="1" applyAlignment="1">
      <alignment horizontal="left"/>
    </xf>
    <xf numFmtId="168" fontId="60" fillId="28" borderId="0" xfId="0" applyNumberFormat="1" applyFont="1" applyFill="1" applyAlignment="1">
      <alignment horizontal="right"/>
    </xf>
    <xf numFmtId="165" fontId="48" fillId="0" borderId="0" xfId="0" quotePrefix="1" applyNumberFormat="1" applyFont="1" applyFill="1" applyAlignment="1">
      <alignment horizontal="left"/>
    </xf>
    <xf numFmtId="168" fontId="60" fillId="0" borderId="0" xfId="0" applyNumberFormat="1" applyFont="1" applyFill="1" applyAlignment="1">
      <alignment horizontal="right"/>
    </xf>
    <xf numFmtId="165" fontId="48" fillId="0" borderId="5" xfId="0" applyNumberFormat="1" applyFont="1" applyFill="1" applyBorder="1"/>
    <xf numFmtId="165" fontId="48" fillId="0" borderId="0" xfId="0" applyNumberFormat="1" applyFont="1" applyFill="1" applyBorder="1"/>
    <xf numFmtId="165" fontId="48" fillId="0" borderId="0" xfId="0" applyNumberFormat="1" applyFont="1" applyFill="1"/>
    <xf numFmtId="164" fontId="60" fillId="26" borderId="5" xfId="0" applyNumberFormat="1" applyFont="1" applyFill="1" applyBorder="1"/>
    <xf numFmtId="164" fontId="60" fillId="28" borderId="5" xfId="0" applyNumberFormat="1" applyFont="1" applyFill="1" applyBorder="1"/>
    <xf numFmtId="164" fontId="60" fillId="26" borderId="0" xfId="0" applyNumberFormat="1" applyFont="1" applyFill="1" applyBorder="1"/>
    <xf numFmtId="164" fontId="60" fillId="28" borderId="0" xfId="0" applyNumberFormat="1" applyFont="1" applyFill="1" applyBorder="1"/>
    <xf numFmtId="0" fontId="47" fillId="0" borderId="0" xfId="0" applyFont="1"/>
    <xf numFmtId="42" fontId="47" fillId="0" borderId="0" xfId="0" applyNumberFormat="1" applyFont="1" applyFill="1"/>
    <xf numFmtId="0" fontId="47" fillId="0" borderId="0" xfId="0" applyFont="1" applyFill="1"/>
    <xf numFmtId="43" fontId="47" fillId="0" borderId="0" xfId="0" applyNumberFormat="1" applyFont="1" applyFill="1"/>
    <xf numFmtId="0" fontId="61" fillId="0" borderId="0" xfId="0" applyFont="1" applyFill="1"/>
    <xf numFmtId="0" fontId="1" fillId="0" borderId="26" xfId="72" applyFont="1" applyBorder="1"/>
    <xf numFmtId="0" fontId="1" fillId="0" borderId="8" xfId="72" applyFont="1" applyBorder="1"/>
    <xf numFmtId="42" fontId="1" fillId="0" borderId="0" xfId="72" applyNumberFormat="1" applyFont="1" applyBorder="1"/>
    <xf numFmtId="41" fontId="1" fillId="25" borderId="0" xfId="72" applyNumberFormat="1" applyFont="1" applyFill="1" applyBorder="1"/>
    <xf numFmtId="41" fontId="1" fillId="25" borderId="15" xfId="72" applyNumberFormat="1" applyFill="1" applyBorder="1"/>
    <xf numFmtId="41" fontId="4" fillId="0" borderId="0" xfId="0" applyNumberFormat="1" applyFont="1" applyFill="1"/>
    <xf numFmtId="0" fontId="62" fillId="0" borderId="0" xfId="0" applyFont="1"/>
    <xf numFmtId="165" fontId="40" fillId="0" borderId="0" xfId="113" applyNumberFormat="1" applyFont="1" applyFill="1"/>
    <xf numFmtId="165" fontId="2" fillId="0" borderId="40" xfId="113" applyNumberFormat="1" applyFont="1" applyFill="1" applyBorder="1"/>
    <xf numFmtId="41" fontId="40" fillId="0" borderId="4" xfId="1" applyNumberFormat="1" applyFont="1" applyFill="1" applyBorder="1"/>
    <xf numFmtId="0" fontId="63" fillId="0" borderId="0" xfId="0" applyFont="1" applyAlignment="1">
      <alignment horizontal="center"/>
    </xf>
    <xf numFmtId="0" fontId="63" fillId="0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63" fillId="0" borderId="0" xfId="0" applyFont="1" applyFill="1"/>
    <xf numFmtId="0" fontId="38" fillId="0" borderId="0" xfId="0" applyFont="1" applyFill="1"/>
    <xf numFmtId="0" fontId="0" fillId="0" borderId="0" xfId="0" applyFill="1" applyBorder="1" applyAlignment="1">
      <alignment horizontal="center"/>
    </xf>
    <xf numFmtId="0" fontId="57" fillId="0" borderId="0" xfId="0" applyFont="1" applyFill="1" applyAlignment="1">
      <alignment horizontal="left"/>
    </xf>
    <xf numFmtId="0" fontId="56" fillId="0" borderId="0" xfId="0" applyFont="1" applyFill="1"/>
    <xf numFmtId="41" fontId="56" fillId="0" borderId="0" xfId="0" applyNumberFormat="1" applyFont="1" applyFill="1"/>
    <xf numFmtId="0" fontId="65" fillId="0" borderId="0" xfId="116"/>
    <xf numFmtId="0" fontId="68" fillId="0" borderId="0" xfId="116" applyFont="1" applyAlignment="1">
      <alignment horizontal="center" wrapText="1"/>
    </xf>
    <xf numFmtId="0" fontId="69" fillId="0" borderId="0" xfId="117" applyFont="1" applyAlignment="1">
      <alignment wrapText="1"/>
    </xf>
    <xf numFmtId="0" fontId="70" fillId="0" borderId="0" xfId="116" applyFont="1" applyAlignment="1">
      <alignment horizontal="center" wrapText="1"/>
    </xf>
    <xf numFmtId="174" fontId="70" fillId="0" borderId="0" xfId="116" applyNumberFormat="1" applyFont="1" applyAlignment="1">
      <alignment horizontal="center" wrapText="1"/>
    </xf>
    <xf numFmtId="174" fontId="70" fillId="0" borderId="41" xfId="116" applyNumberFormat="1" applyFont="1" applyBorder="1" applyAlignment="1">
      <alignment horizontal="center" wrapText="1"/>
    </xf>
    <xf numFmtId="0" fontId="69" fillId="0" borderId="0" xfId="116" applyFont="1" applyAlignment="1">
      <alignment horizontal="right" wrapText="1"/>
    </xf>
    <xf numFmtId="174" fontId="69" fillId="0" borderId="0" xfId="116" applyNumberFormat="1" applyFont="1" applyAlignment="1">
      <alignment horizontal="left" wrapText="1"/>
    </xf>
    <xf numFmtId="176" fontId="70" fillId="0" borderId="43" xfId="116" applyNumberFormat="1" applyFont="1" applyBorder="1" applyAlignment="1">
      <alignment wrapText="1"/>
    </xf>
    <xf numFmtId="0" fontId="69" fillId="0" borderId="44" xfId="116" applyFont="1" applyBorder="1" applyAlignment="1">
      <alignment wrapText="1"/>
    </xf>
    <xf numFmtId="0" fontId="71" fillId="0" borderId="0" xfId="116" applyFont="1" applyAlignment="1">
      <alignment wrapText="1"/>
    </xf>
    <xf numFmtId="175" fontId="69" fillId="0" borderId="0" xfId="116" applyNumberFormat="1" applyFont="1" applyFill="1" applyAlignment="1">
      <alignment wrapText="1"/>
    </xf>
    <xf numFmtId="164" fontId="2" fillId="0" borderId="2" xfId="0" applyNumberFormat="1" applyFont="1" applyFill="1" applyBorder="1"/>
    <xf numFmtId="0" fontId="69" fillId="0" borderId="42" xfId="116" applyFont="1" applyFill="1" applyBorder="1" applyAlignment="1">
      <alignment wrapText="1"/>
    </xf>
    <xf numFmtId="0" fontId="65" fillId="0" borderId="0" xfId="116" applyFill="1"/>
    <xf numFmtId="0" fontId="69" fillId="0" borderId="0" xfId="117" applyFont="1" applyFill="1" applyAlignment="1">
      <alignment wrapText="1"/>
    </xf>
    <xf numFmtId="0" fontId="68" fillId="0" borderId="0" xfId="116" applyFont="1" applyFill="1" applyAlignment="1">
      <alignment horizontal="center" wrapText="1"/>
    </xf>
    <xf numFmtId="42" fontId="64" fillId="0" borderId="0" xfId="0" applyNumberFormat="1" applyFont="1" applyFill="1"/>
    <xf numFmtId="0" fontId="4" fillId="0" borderId="0" xfId="0" applyFont="1" applyFill="1"/>
    <xf numFmtId="0" fontId="8" fillId="0" borderId="1" xfId="0" applyFont="1" applyFill="1" applyBorder="1" applyAlignment="1"/>
    <xf numFmtId="41" fontId="40" fillId="0" borderId="0" xfId="1" applyNumberFormat="1" applyFont="1" applyFill="1"/>
    <xf numFmtId="166" fontId="56" fillId="0" borderId="0" xfId="0" applyNumberFormat="1" applyFont="1" applyFill="1"/>
    <xf numFmtId="42" fontId="73" fillId="0" borderId="3" xfId="0" applyNumberFormat="1" applyFont="1" applyFill="1" applyBorder="1"/>
    <xf numFmtId="0" fontId="73" fillId="0" borderId="0" xfId="0" applyFont="1" applyFill="1"/>
    <xf numFmtId="0" fontId="65" fillId="0" borderId="0" xfId="116" applyBorder="1"/>
    <xf numFmtId="0" fontId="69" fillId="0" borderId="0" xfId="117" applyFont="1" applyBorder="1" applyAlignment="1">
      <alignment wrapText="1"/>
    </xf>
    <xf numFmtId="0" fontId="69" fillId="0" borderId="0" xfId="116" applyFont="1" applyBorder="1" applyAlignment="1">
      <alignment wrapText="1"/>
    </xf>
    <xf numFmtId="14" fontId="69" fillId="0" borderId="0" xfId="116" applyNumberFormat="1" applyFont="1" applyBorder="1" applyAlignment="1">
      <alignment wrapText="1"/>
    </xf>
    <xf numFmtId="42" fontId="1" fillId="0" borderId="26" xfId="72" applyNumberFormat="1" applyFont="1" applyFill="1" applyBorder="1"/>
    <xf numFmtId="41" fontId="1" fillId="31" borderId="28" xfId="72" applyNumberFormat="1" applyFill="1" applyBorder="1"/>
    <xf numFmtId="41" fontId="1" fillId="31" borderId="20" xfId="3" applyNumberFormat="1" applyFont="1" applyFill="1" applyBorder="1"/>
    <xf numFmtId="41" fontId="1" fillId="31" borderId="28" xfId="72" applyNumberFormat="1" applyFont="1" applyFill="1" applyBorder="1"/>
    <xf numFmtId="165" fontId="48" fillId="30" borderId="2" xfId="0" applyNumberFormat="1" applyFont="1" applyFill="1" applyBorder="1"/>
    <xf numFmtId="165" fontId="10" fillId="30" borderId="0" xfId="0" applyNumberFormat="1" applyFont="1" applyFill="1"/>
    <xf numFmtId="0" fontId="43" fillId="0" borderId="0" xfId="112" applyFill="1" applyAlignment="1">
      <alignment horizontal="centerContinuous"/>
    </xf>
    <xf numFmtId="0" fontId="45" fillId="0" borderId="0" xfId="112" applyFont="1" applyFill="1" applyAlignment="1">
      <alignment horizontal="left"/>
    </xf>
    <xf numFmtId="166" fontId="45" fillId="0" borderId="0" xfId="112" applyNumberFormat="1" applyFont="1" applyFill="1" applyAlignment="1"/>
    <xf numFmtId="0" fontId="69" fillId="0" borderId="0" xfId="117" applyFont="1" applyAlignment="1">
      <alignment wrapText="1"/>
    </xf>
    <xf numFmtId="0" fontId="71" fillId="0" borderId="0" xfId="117" applyFont="1" applyAlignment="1">
      <alignment wrapText="1"/>
    </xf>
    <xf numFmtId="0" fontId="71" fillId="0" borderId="0" xfId="116" applyFont="1" applyBorder="1" applyAlignment="1">
      <alignment wrapText="1"/>
    </xf>
    <xf numFmtId="0" fontId="72" fillId="0" borderId="0" xfId="116" applyFont="1"/>
    <xf numFmtId="0" fontId="66" fillId="29" borderId="0" xfId="116" applyFont="1" applyFill="1" applyAlignment="1">
      <alignment horizontal="center" wrapText="1"/>
    </xf>
    <xf numFmtId="0" fontId="67" fillId="0" borderId="0" xfId="116" applyFont="1" applyAlignment="1">
      <alignment horizontal="center" wrapText="1"/>
    </xf>
    <xf numFmtId="0" fontId="65" fillId="0" borderId="0" xfId="116"/>
    <xf numFmtId="0" fontId="71" fillId="0" borderId="0" xfId="116" applyFont="1" applyFill="1" applyAlignment="1">
      <alignment wrapText="1"/>
    </xf>
    <xf numFmtId="0" fontId="65" fillId="0" borderId="0" xfId="116" applyFill="1"/>
    <xf numFmtId="0" fontId="58" fillId="0" borderId="0" xfId="0" applyFont="1" applyAlignment="1">
      <alignment horizontal="center"/>
    </xf>
    <xf numFmtId="0" fontId="58" fillId="0" borderId="0" xfId="0" quotePrefix="1" applyFont="1" applyAlignment="1">
      <alignment horizontal="center"/>
    </xf>
    <xf numFmtId="0" fontId="58" fillId="0" borderId="0" xfId="0" quotePrefix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7" fontId="10" fillId="0" borderId="0" xfId="0" applyNumberFormat="1" applyFont="1" applyFill="1" applyAlignment="1">
      <alignment horizontal="center"/>
    </xf>
  </cellXfs>
  <cellStyles count="118">
    <cellStyle name="20% - Accent1 2" xfId="4"/>
    <cellStyle name="20% - Accent1 2 2" xfId="5"/>
    <cellStyle name="20% - Accent2 2" xfId="6"/>
    <cellStyle name="20% - Accent2 2 2" xfId="7"/>
    <cellStyle name="20% - Accent3 2" xfId="8"/>
    <cellStyle name="20% - Accent3 2 2" xfId="9"/>
    <cellStyle name="20% - Accent4 2" xfId="10"/>
    <cellStyle name="20% - Accent4 2 2" xfId="11"/>
    <cellStyle name="20% - Accent5 2" xfId="12"/>
    <cellStyle name="20% - Accent5 2 2" xfId="13"/>
    <cellStyle name="20% - Accent6 2" xfId="14"/>
    <cellStyle name="20% - Accent6 2 2" xfId="15"/>
    <cellStyle name="40% - Accent1 2" xfId="16"/>
    <cellStyle name="40% - Accent1 2 2" xfId="17"/>
    <cellStyle name="40% - Accent2 2" xfId="18"/>
    <cellStyle name="40% - Accent2 2 2" xfId="19"/>
    <cellStyle name="40% - Accent3 2" xfId="20"/>
    <cellStyle name="40% - Accent3 2 2" xfId="21"/>
    <cellStyle name="40% - Accent4 2" xfId="22"/>
    <cellStyle name="40% - Accent4 2 2" xfId="23"/>
    <cellStyle name="40% - Accent5 2" xfId="24"/>
    <cellStyle name="40% - Accent5 2 2" xfId="25"/>
    <cellStyle name="40% - Accent6 2" xfId="26"/>
    <cellStyle name="40% - Accent6 2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ulation 2" xfId="41"/>
    <cellStyle name="Check Cell 2" xfId="42"/>
    <cellStyle name="Comma" xfId="1" builtinId="3"/>
    <cellStyle name="Comma 2" xfId="3"/>
    <cellStyle name="Comma 2 2" xfId="43"/>
    <cellStyle name="Comma 2 2 2" xfId="100"/>
    <cellStyle name="Comma 2 2 3" xfId="115"/>
    <cellStyle name="Comma 2 3" xfId="101"/>
    <cellStyle name="Comma 3" xfId="44"/>
    <cellStyle name="Comma 3 2" xfId="102"/>
    <cellStyle name="Comma 4" xfId="45"/>
    <cellStyle name="Comma 4 2" xfId="46"/>
    <cellStyle name="Comma 4 3" xfId="47"/>
    <cellStyle name="Comma 4 4" xfId="48"/>
    <cellStyle name="Comma 4 5" xfId="49"/>
    <cellStyle name="Comma 5" xfId="50"/>
    <cellStyle name="Comma 6" xfId="51"/>
    <cellStyle name="Comma 6 2" xfId="52"/>
    <cellStyle name="Comma 6 3" xfId="53"/>
    <cellStyle name="Comma 6 4" xfId="54"/>
    <cellStyle name="Comma 6 5" xfId="55"/>
    <cellStyle name="Comma 7" xfId="56"/>
    <cellStyle name="Currency" xfId="113" builtinId="4"/>
    <cellStyle name="Currency 2" xfId="57"/>
    <cellStyle name="Currency 2 2" xfId="103"/>
    <cellStyle name="Currency 3" xfId="58"/>
    <cellStyle name="Explanatory Text 2" xfId="59"/>
    <cellStyle name="Good" xfId="112" builtinId="26"/>
    <cellStyle name="Good 2" xfId="60"/>
    <cellStyle name="Heading 1 2" xfId="61"/>
    <cellStyle name="Heading 2 2" xfId="62"/>
    <cellStyle name="Heading 3 2" xfId="63"/>
    <cellStyle name="Heading 4 2" xfId="64"/>
    <cellStyle name="Input 2" xfId="65"/>
    <cellStyle name="Linked Cell 2" xfId="66"/>
    <cellStyle name="Neutral 2" xfId="67"/>
    <cellStyle name="Normal" xfId="0" builtinId="0"/>
    <cellStyle name="Normal 2" xfId="68"/>
    <cellStyle name="Normal 2 2" xfId="69"/>
    <cellStyle name="Normal 2 2 2" xfId="104"/>
    <cellStyle name="Normal 2 2 3" xfId="114"/>
    <cellStyle name="Normal 2 3" xfId="70"/>
    <cellStyle name="Normal 2 3 2" xfId="105"/>
    <cellStyle name="Normal 2 4" xfId="71"/>
    <cellStyle name="Normal 2 4 2" xfId="106"/>
    <cellStyle name="Normal 2 5" xfId="72"/>
    <cellStyle name="Normal 2 5 2" xfId="73"/>
    <cellStyle name="Normal 2 5 3" xfId="2"/>
    <cellStyle name="Normal 2 5 4" xfId="110"/>
    <cellStyle name="Normal 3" xfId="74"/>
    <cellStyle name="Normal 3 2" xfId="75"/>
    <cellStyle name="Normal 3 2 2" xfId="76"/>
    <cellStyle name="Normal 3 2 3" xfId="77"/>
    <cellStyle name="Normal 3 2 4" xfId="78"/>
    <cellStyle name="Normal 3 2 5" xfId="79"/>
    <cellStyle name="Normal 3 3" xfId="107"/>
    <cellStyle name="Normal 4" xfId="80"/>
    <cellStyle name="Normal 5" xfId="81"/>
    <cellStyle name="Normal 5 2" xfId="82"/>
    <cellStyle name="Normal 5 3" xfId="83"/>
    <cellStyle name="Normal 5 4" xfId="84"/>
    <cellStyle name="Normal 5 5" xfId="85"/>
    <cellStyle name="Normal 6" xfId="86"/>
    <cellStyle name="Normal 7" xfId="87"/>
    <cellStyle name="Normal 7 2" xfId="88"/>
    <cellStyle name="Normal 7 3" xfId="89"/>
    <cellStyle name="Normal 7 4" xfId="90"/>
    <cellStyle name="Normal 7 5" xfId="91"/>
    <cellStyle name="Normal 8" xfId="109"/>
    <cellStyle name="Normal 8 2" xfId="111"/>
    <cellStyle name="Normal 9" xfId="116"/>
    <cellStyle name="Note 2" xfId="92"/>
    <cellStyle name="Note 2 2" xfId="93"/>
    <cellStyle name="Output 2" xfId="94"/>
    <cellStyle name="Percent 2" xfId="95"/>
    <cellStyle name="Percent 2 2" xfId="108"/>
    <cellStyle name="Percent 3" xfId="96"/>
    <cellStyle name="Table (Normal)" xfId="117"/>
    <cellStyle name="Title 2" xfId="97"/>
    <cellStyle name="Total 2" xfId="98"/>
    <cellStyle name="Warning Text 2" xfId="99"/>
  </cellStyles>
  <dxfs count="0"/>
  <tableStyles count="0" defaultTableStyle="TableStyleMedium2" defaultPivotStyle="PivotStyleLight16"/>
  <colors>
    <mruColors>
      <color rgb="FF0000FF"/>
      <color rgb="FFFFCCFF"/>
      <color rgb="FF66FF66"/>
      <color rgb="FFD6009E"/>
      <color rgb="FFCCFF33"/>
      <color rgb="FF7500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62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8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90" Type="http://schemas.openxmlformats.org/officeDocument/2006/relationships/customXml" Target="../customXml/item4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83" Type="http://schemas.openxmlformats.org/officeDocument/2006/relationships/theme" Target="theme/theme1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504824</xdr:colOff>
      <xdr:row>0</xdr:row>
      <xdr:rowOff>66676</xdr:rowOff>
    </xdr:from>
    <xdr:to>
      <xdr:col>22</xdr:col>
      <xdr:colOff>466083</xdr:colOff>
      <xdr:row>18</xdr:row>
      <xdr:rowOff>71796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6049" y="66676"/>
          <a:ext cx="3618859" cy="3443645"/>
        </a:xfrm>
        <a:prstGeom prst="rect">
          <a:avLst/>
        </a:prstGeom>
      </xdr:spPr>
    </xdr:pic>
    <xdr:clientData/>
  </xdr:twoCellAnchor>
  <xdr:twoCellAnchor editAs="oneCell">
    <xdr:from>
      <xdr:col>16</xdr:col>
      <xdr:colOff>541856</xdr:colOff>
      <xdr:row>18</xdr:row>
      <xdr:rowOff>171450</xdr:rowOff>
    </xdr:from>
    <xdr:to>
      <xdr:col>22</xdr:col>
      <xdr:colOff>523240</xdr:colOff>
      <xdr:row>37</xdr:row>
      <xdr:rowOff>1200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53081" y="3609975"/>
          <a:ext cx="3638984" cy="3468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539750</xdr:colOff>
      <xdr:row>0</xdr:row>
      <xdr:rowOff>38100</xdr:rowOff>
    </xdr:from>
    <xdr:to>
      <xdr:col>25</xdr:col>
      <xdr:colOff>23576</xdr:colOff>
      <xdr:row>22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7150" y="38100"/>
          <a:ext cx="4614626" cy="4064000"/>
        </a:xfrm>
        <a:prstGeom prst="rect">
          <a:avLst/>
        </a:prstGeom>
      </xdr:spPr>
    </xdr:pic>
    <xdr:clientData/>
  </xdr:twoCellAnchor>
  <xdr:twoCellAnchor editAs="oneCell">
    <xdr:from>
      <xdr:col>17</xdr:col>
      <xdr:colOff>427152</xdr:colOff>
      <xdr:row>22</xdr:row>
      <xdr:rowOff>180976</xdr:rowOff>
    </xdr:from>
    <xdr:to>
      <xdr:col>25</xdr:col>
      <xdr:colOff>56523</xdr:colOff>
      <xdr:row>45</xdr:row>
      <xdr:rowOff>123826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14627" y="4391026"/>
          <a:ext cx="4506171" cy="434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</sheetNames>
    <definedNames>
      <definedName name="Number_of_Payments"/>
      <definedName name="Values_Entered"/>
    </defined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"/>
  <sheetViews>
    <sheetView tabSelected="1" zoomScale="85" zoomScaleNormal="85" workbookViewId="0">
      <pane xSplit="2" ySplit="4" topLeftCell="C5" activePane="bottomRight" state="frozen"/>
      <selection activeCell="B31" sqref="B31"/>
      <selection pane="topRight" activeCell="B31" sqref="B31"/>
      <selection pane="bottomLeft" activeCell="B31" sqref="B31"/>
      <selection pane="bottomRight" activeCell="C24" sqref="C24"/>
    </sheetView>
  </sheetViews>
  <sheetFormatPr defaultColWidth="9.1796875" defaultRowHeight="14.5" x14ac:dyDescent="0.35"/>
  <cols>
    <col min="1" max="1" width="5.1796875" style="8" customWidth="1"/>
    <col min="2" max="2" width="72.1796875" style="2" customWidth="1"/>
    <col min="3" max="3" width="12.453125" style="12" customWidth="1"/>
    <col min="4" max="4" width="14" style="2" bestFit="1" customWidth="1"/>
    <col min="5" max="5" width="13.1796875" style="2" bestFit="1" customWidth="1"/>
    <col min="6" max="6" width="14" style="2" customWidth="1"/>
    <col min="7" max="7" width="2.26953125" style="2" customWidth="1"/>
    <col min="8" max="9" width="16.1796875" style="2" bestFit="1" customWidth="1"/>
    <col min="10" max="10" width="14.54296875" style="2" bestFit="1" customWidth="1"/>
    <col min="11" max="11" width="13.26953125" style="2" customWidth="1"/>
    <col min="12" max="12" width="17.453125" style="2" bestFit="1" customWidth="1"/>
    <col min="13" max="14" width="12.1796875" style="2" bestFit="1" customWidth="1"/>
    <col min="15" max="15" width="17.1796875" style="2" bestFit="1" customWidth="1"/>
    <col min="16" max="16" width="9.1796875" style="2"/>
    <col min="17" max="17" width="12.1796875" style="2" bestFit="1" customWidth="1"/>
    <col min="18" max="19" width="9.1796875" style="2"/>
    <col min="20" max="20" width="16.1796875" style="2" bestFit="1" customWidth="1"/>
    <col min="21" max="16384" width="9.1796875" style="2"/>
  </cols>
  <sheetData>
    <row r="1" spans="1:12" ht="18.5" x14ac:dyDescent="0.45">
      <c r="A1" s="130" t="s">
        <v>184</v>
      </c>
      <c r="B1" s="129"/>
      <c r="C1" s="11"/>
    </row>
    <row r="2" spans="1:12" ht="18.5" x14ac:dyDescent="0.45">
      <c r="A2" s="68"/>
      <c r="B2" s="10"/>
      <c r="C2" s="11"/>
    </row>
    <row r="3" spans="1:12" x14ac:dyDescent="0.35">
      <c r="A3" s="68"/>
      <c r="D3" s="13" t="s">
        <v>19</v>
      </c>
      <c r="E3" s="14"/>
      <c r="F3" s="15"/>
      <c r="H3" s="13" t="s">
        <v>20</v>
      </c>
      <c r="I3" s="15"/>
      <c r="J3" s="15"/>
    </row>
    <row r="4" spans="1:12" x14ac:dyDescent="0.35">
      <c r="A4" s="68"/>
      <c r="D4" s="16" t="s">
        <v>0</v>
      </c>
      <c r="E4" s="16" t="s">
        <v>1</v>
      </c>
      <c r="F4" s="16" t="s">
        <v>2</v>
      </c>
      <c r="H4" s="16" t="s">
        <v>0</v>
      </c>
      <c r="I4" s="16" t="s">
        <v>1</v>
      </c>
      <c r="J4" s="16" t="s">
        <v>2</v>
      </c>
    </row>
    <row r="5" spans="1:12" x14ac:dyDescent="0.35">
      <c r="A5" s="68"/>
      <c r="B5" s="260" t="s">
        <v>215</v>
      </c>
      <c r="D5" s="258"/>
      <c r="E5" s="258"/>
      <c r="F5" s="258"/>
      <c r="H5" s="260">
        <f>'2022GRC Elec CF'!E20</f>
        <v>0.95034799999999997</v>
      </c>
      <c r="I5" s="283">
        <f>'2022GRC Gas CF'!E20</f>
        <v>0.95344399999999996</v>
      </c>
      <c r="J5" s="258"/>
      <c r="K5" s="242"/>
    </row>
    <row r="6" spans="1:12" x14ac:dyDescent="0.35">
      <c r="A6" s="68"/>
      <c r="B6" s="260" t="s">
        <v>214</v>
      </c>
      <c r="H6" s="260">
        <f>'2024GRC Elec CF'!E17</f>
        <v>0.95002900000000001</v>
      </c>
      <c r="I6" s="283">
        <f>'2024GRC Gas CF'!E19</f>
        <v>0.95369999999999999</v>
      </c>
      <c r="K6" s="242"/>
    </row>
    <row r="7" spans="1:12" x14ac:dyDescent="0.35">
      <c r="A7" s="68">
        <f>ROW()</f>
        <v>7</v>
      </c>
      <c r="B7" s="2" t="s">
        <v>185</v>
      </c>
      <c r="C7" s="18"/>
      <c r="D7" s="184">
        <f>'2024 FINAL Rev Req'!D23</f>
        <v>28163969.869904444</v>
      </c>
      <c r="E7" s="184">
        <f>'2024 FINAL Rev Req'!E23</f>
        <v>13825721.87439375</v>
      </c>
      <c r="F7" s="184">
        <f>SUM(D7:E7)</f>
        <v>41989691.74429819</v>
      </c>
      <c r="G7" s="129"/>
      <c r="H7" s="185">
        <f>'2024 FINAL Rev Req'!H23</f>
        <v>29635428.148325082</v>
      </c>
      <c r="I7" s="185">
        <f>'2024 FINAL Rev Req'!I23</f>
        <v>14500822.15042913</v>
      </c>
      <c r="J7" s="184">
        <f>SUM(H7:I7)</f>
        <v>44136250.298754215</v>
      </c>
    </row>
    <row r="8" spans="1:12" x14ac:dyDescent="0.35">
      <c r="A8" s="68">
        <f>ROW()</f>
        <v>8</v>
      </c>
      <c r="H8" s="144"/>
      <c r="I8" s="144"/>
    </row>
    <row r="9" spans="1:12" x14ac:dyDescent="0.35">
      <c r="A9" s="68">
        <f>ROW()</f>
        <v>9</v>
      </c>
      <c r="B9" s="256" t="s">
        <v>3</v>
      </c>
      <c r="E9" s="26"/>
    </row>
    <row r="10" spans="1:12" x14ac:dyDescent="0.35">
      <c r="A10" s="68">
        <f>ROW()</f>
        <v>10</v>
      </c>
      <c r="B10" s="17" t="s">
        <v>186</v>
      </c>
      <c r="C10" s="26"/>
      <c r="D10" s="3">
        <f>'Summary for Tracker Filing'!B9</f>
        <v>37424535</v>
      </c>
      <c r="E10" s="3">
        <f>'Summary for Tracker Filing'!B10</f>
        <v>18481999</v>
      </c>
      <c r="F10" s="3">
        <f>SUM(D10:E10)</f>
        <v>55906534</v>
      </c>
      <c r="H10" s="4">
        <f>D10/$H$6</f>
        <v>39393044.843894236</v>
      </c>
      <c r="I10" s="4">
        <f>E10/$I$6</f>
        <v>19379258.676732726</v>
      </c>
      <c r="J10" s="3">
        <f>SUM(H10:I10)</f>
        <v>58772303.520626962</v>
      </c>
      <c r="K10" s="242"/>
      <c r="L10" s="3"/>
    </row>
    <row r="11" spans="1:12" x14ac:dyDescent="0.35">
      <c r="A11" s="68">
        <f>ROW()</f>
        <v>11</v>
      </c>
      <c r="B11" s="17" t="s">
        <v>185</v>
      </c>
      <c r="C11" s="211" t="s">
        <v>247</v>
      </c>
      <c r="D11" s="3">
        <f>D7</f>
        <v>28163969.869904444</v>
      </c>
      <c r="E11" s="3">
        <f>E7</f>
        <v>13825721.87439375</v>
      </c>
      <c r="F11" s="3">
        <f>SUM(D11:E11)</f>
        <v>41989691.74429819</v>
      </c>
      <c r="H11" s="4">
        <f>H7</f>
        <v>29635428.148325082</v>
      </c>
      <c r="I11" s="4">
        <f>I7</f>
        <v>14500822.15042913</v>
      </c>
      <c r="J11" s="3">
        <f>SUM(H11:I11)</f>
        <v>44136250.298754215</v>
      </c>
      <c r="K11" s="280"/>
    </row>
    <row r="12" spans="1:12" x14ac:dyDescent="0.35">
      <c r="A12" s="68">
        <f>ROW()</f>
        <v>12</v>
      </c>
      <c r="B12" s="2" t="s">
        <v>216</v>
      </c>
      <c r="C12" s="210"/>
      <c r="D12" s="3">
        <f>'Elec Load Variance 2024'!P35*H5</f>
        <v>-623765.12939357816</v>
      </c>
      <c r="E12" s="128">
        <f>'Gas Rev Variance 2024'!O20*I5</f>
        <v>-20158.934784395045</v>
      </c>
      <c r="F12" s="3">
        <f>SUM(D12:E12)</f>
        <v>-643924.0641779732</v>
      </c>
      <c r="H12" s="4">
        <f>D12/$H$6</f>
        <v>-656574.8302352645</v>
      </c>
      <c r="I12" s="4">
        <f>E12/$I$6</f>
        <v>-21137.605939388744</v>
      </c>
      <c r="J12" s="3">
        <f>SUM(H12:I12)</f>
        <v>-677712.43617465324</v>
      </c>
      <c r="K12" s="242"/>
    </row>
    <row r="13" spans="1:12" x14ac:dyDescent="0.35">
      <c r="A13" s="68">
        <f>ROW()</f>
        <v>13</v>
      </c>
      <c r="B13" s="2" t="s">
        <v>217</v>
      </c>
      <c r="C13" s="210"/>
      <c r="D13" s="3">
        <f>'2024 Actual Payment '!F11</f>
        <v>1307672.9951471537</v>
      </c>
      <c r="E13" s="128">
        <f>'2024 Actual Payment '!F12</f>
        <v>76146.362368162721</v>
      </c>
      <c r="F13" s="3">
        <f t="shared" ref="F13" si="0">SUM(D13:E13)</f>
        <v>1383819.3575153165</v>
      </c>
      <c r="H13" s="4">
        <f>D13/H6</f>
        <v>1376455.8715019792</v>
      </c>
      <c r="I13" s="4">
        <f>E13/I6</f>
        <v>79843.097796123227</v>
      </c>
      <c r="J13" s="3">
        <f t="shared" ref="J13" si="1">SUM(H13:I13)</f>
        <v>1456298.9692981024</v>
      </c>
      <c r="K13" s="242"/>
    </row>
    <row r="14" spans="1:12" x14ac:dyDescent="0.35">
      <c r="A14" s="68">
        <f>ROW()</f>
        <v>14</v>
      </c>
      <c r="C14" s="210"/>
      <c r="D14" s="281"/>
      <c r="E14" s="5"/>
      <c r="F14" s="19"/>
      <c r="H14" s="19"/>
      <c r="I14" s="19"/>
      <c r="J14" s="20"/>
      <c r="K14" s="280"/>
      <c r="L14" s="3"/>
    </row>
    <row r="15" spans="1:12" x14ac:dyDescent="0.35">
      <c r="A15" s="68">
        <f>ROW()</f>
        <v>15</v>
      </c>
      <c r="B15" s="2" t="s">
        <v>109</v>
      </c>
      <c r="C15" s="211" t="s">
        <v>251</v>
      </c>
      <c r="D15" s="3">
        <f>D10-D11+D12+D13</f>
        <v>9944472.9958491325</v>
      </c>
      <c r="E15" s="3">
        <f>E10-E11+E12+E13</f>
        <v>4712264.5531900181</v>
      </c>
      <c r="F15" s="3">
        <f>SUM(D15:E15)</f>
        <v>14656737.549039152</v>
      </c>
      <c r="H15" s="3">
        <f>H10-H11+H12+H13</f>
        <v>10477497.736835867</v>
      </c>
      <c r="I15" s="3">
        <f>I10-I11+I12+I13</f>
        <v>4937142.0181603311</v>
      </c>
      <c r="J15" s="3">
        <f>SUM(H15:I15)</f>
        <v>15414639.754996199</v>
      </c>
      <c r="L15" s="3"/>
    </row>
    <row r="16" spans="1:12" x14ac:dyDescent="0.35">
      <c r="A16" s="68">
        <f>ROW()</f>
        <v>16</v>
      </c>
      <c r="C16" s="210"/>
      <c r="D16" s="5"/>
      <c r="E16" s="5"/>
      <c r="F16" s="5"/>
      <c r="H16" s="5"/>
      <c r="I16" s="5"/>
      <c r="J16" s="5"/>
      <c r="L16" s="3"/>
    </row>
    <row r="17" spans="1:20" ht="15" thickBot="1" x14ac:dyDescent="0.4">
      <c r="A17" s="68">
        <f>ROW()</f>
        <v>17</v>
      </c>
      <c r="B17" s="2" t="s">
        <v>160</v>
      </c>
      <c r="C17" s="211" t="s">
        <v>225</v>
      </c>
      <c r="D17" s="6">
        <f>D7+D15</f>
        <v>38108442.865753576</v>
      </c>
      <c r="E17" s="6">
        <f>E7+E15</f>
        <v>18537986.427583769</v>
      </c>
      <c r="F17" s="6">
        <f>SUM(D17:E17)</f>
        <v>56646429.293337345</v>
      </c>
      <c r="H17" s="6">
        <f>H7+H15</f>
        <v>40112925.885160953</v>
      </c>
      <c r="I17" s="6">
        <f>I7+I15</f>
        <v>19437964.168589462</v>
      </c>
      <c r="J17" s="6">
        <f>SUM(H17:I17)</f>
        <v>59550890.053750411</v>
      </c>
    </row>
    <row r="18" spans="1:20" ht="15" thickTop="1" x14ac:dyDescent="0.35">
      <c r="A18" s="68">
        <f>ROW()</f>
        <v>18</v>
      </c>
      <c r="C18" s="210"/>
    </row>
    <row r="19" spans="1:20" x14ac:dyDescent="0.35">
      <c r="A19" s="68">
        <f>ROW()</f>
        <v>19</v>
      </c>
      <c r="C19" s="210"/>
    </row>
    <row r="20" spans="1:20" x14ac:dyDescent="0.35">
      <c r="A20" s="68">
        <f>ROW()</f>
        <v>20</v>
      </c>
      <c r="B20" s="2" t="s">
        <v>4</v>
      </c>
      <c r="C20" s="211" t="s">
        <v>248</v>
      </c>
      <c r="D20" s="4">
        <f>D17-D21</f>
        <v>41683789.24103906</v>
      </c>
      <c r="E20" s="4">
        <f>E17-E21</f>
        <v>15932925.575246328</v>
      </c>
      <c r="F20" s="4">
        <f>SUM(D20:E20)</f>
        <v>57616714.816285387</v>
      </c>
      <c r="H20" s="4">
        <f>D20/H6</f>
        <v>43876333.502492093</v>
      </c>
      <c r="I20" s="4">
        <f>E20/I6</f>
        <v>16706433.443689136</v>
      </c>
      <c r="J20" s="4">
        <f>SUM(H20:I20)</f>
        <v>60582766.94618123</v>
      </c>
      <c r="K20" s="242"/>
      <c r="O20" s="145"/>
    </row>
    <row r="21" spans="1:20" x14ac:dyDescent="0.35">
      <c r="A21" s="68">
        <f>ROW()</f>
        <v>21</v>
      </c>
      <c r="B21" s="2" t="s">
        <v>161</v>
      </c>
      <c r="C21" s="259"/>
      <c r="D21" s="3">
        <f>'Electric summary'!G20</f>
        <v>-3575346.3752854825</v>
      </c>
      <c r="E21" s="3">
        <f>'Gas summary '!G20</f>
        <v>2605060.8523374405</v>
      </c>
      <c r="F21" s="3">
        <f>SUM(D21:E21)</f>
        <v>-970285.52294804202</v>
      </c>
      <c r="H21" s="1">
        <f>D21/$H$6</f>
        <v>-3763407.6173311365</v>
      </c>
      <c r="I21" s="1">
        <f>E21/$I$6</f>
        <v>2731530.7249003258</v>
      </c>
      <c r="J21" s="3">
        <f>SUM(H21:I21)</f>
        <v>-1031876.8924308107</v>
      </c>
      <c r="K21" s="242"/>
      <c r="L21" s="248"/>
    </row>
    <row r="22" spans="1:20" x14ac:dyDescent="0.35">
      <c r="A22" s="68">
        <f>ROW()</f>
        <v>22</v>
      </c>
      <c r="C22" s="210"/>
      <c r="D22" s="5"/>
      <c r="E22" s="5"/>
      <c r="F22" s="5"/>
      <c r="H22" s="5"/>
      <c r="I22" s="5"/>
      <c r="J22" s="5"/>
    </row>
    <row r="23" spans="1:20" ht="15" thickBot="1" x14ac:dyDescent="0.4">
      <c r="A23" s="68">
        <f>ROW()</f>
        <v>23</v>
      </c>
      <c r="B23" s="256" t="s">
        <v>18</v>
      </c>
      <c r="C23" s="211" t="s">
        <v>172</v>
      </c>
      <c r="D23" s="284">
        <f>SUM(D20:D21)</f>
        <v>38108442.865753576</v>
      </c>
      <c r="E23" s="284">
        <f>SUM(E20:E22)</f>
        <v>18537986.427583769</v>
      </c>
      <c r="F23" s="284">
        <f>SUM(D23:E23)</f>
        <v>56646429.293337345</v>
      </c>
      <c r="G23" s="285"/>
      <c r="H23" s="284">
        <f>SUM(H20:H21)</f>
        <v>40112925.885160953</v>
      </c>
      <c r="I23" s="284">
        <f>SUM(I20:I21)</f>
        <v>19437964.168589462</v>
      </c>
      <c r="J23" s="284">
        <f>SUM(H23:I23)</f>
        <v>59550890.053750411</v>
      </c>
    </row>
    <row r="24" spans="1:20" ht="15" thickTop="1" x14ac:dyDescent="0.35">
      <c r="A24" s="68">
        <f>ROW()</f>
        <v>24</v>
      </c>
      <c r="C24" s="210"/>
    </row>
    <row r="25" spans="1:20" x14ac:dyDescent="0.35">
      <c r="A25" s="68">
        <f>ROW()</f>
        <v>25</v>
      </c>
      <c r="C25" s="210"/>
      <c r="D25" s="4"/>
      <c r="E25" s="4"/>
      <c r="F25" s="4"/>
    </row>
    <row r="26" spans="1:20" x14ac:dyDescent="0.35">
      <c r="A26" s="68">
        <f>ROW()</f>
        <v>26</v>
      </c>
      <c r="B26" s="257" t="s">
        <v>162</v>
      </c>
      <c r="C26" s="210"/>
      <c r="D26" s="261"/>
    </row>
    <row r="27" spans="1:20" x14ac:dyDescent="0.35">
      <c r="A27" s="68">
        <f>ROW()</f>
        <v>27</v>
      </c>
      <c r="B27" s="17" t="s">
        <v>5</v>
      </c>
      <c r="C27" s="210"/>
      <c r="D27" s="3">
        <f>-'2024 FINAL Rev Req'!D9+'2025 FINAL Rev Req'!D10</f>
        <v>2114797.9951471537</v>
      </c>
      <c r="E27" s="3">
        <f>-'2024 FINAL Rev Req'!E9+'2025 FINAL Rev Req'!E10</f>
        <v>855936.36236816272</v>
      </c>
      <c r="F27" s="3">
        <f>SUM(D27:E27)</f>
        <v>2970734.3575153165</v>
      </c>
      <c r="H27" s="1">
        <f>D27/H6</f>
        <v>2226035.200133</v>
      </c>
      <c r="I27" s="1">
        <f>E27/I6</f>
        <v>897490.15661965264</v>
      </c>
      <c r="J27" s="3">
        <f>SUM(H27:I27)</f>
        <v>3123525.3567526527</v>
      </c>
      <c r="L27" s="3"/>
      <c r="N27" s="4"/>
    </row>
    <row r="28" spans="1:20" x14ac:dyDescent="0.35">
      <c r="A28" s="68">
        <f>ROW()</f>
        <v>28</v>
      </c>
      <c r="B28" s="17" t="s">
        <v>6</v>
      </c>
      <c r="C28" s="210"/>
      <c r="D28" s="3">
        <f>-'2024 FINAL Rev Req'!D11+'2025 FINAL Rev Req'!D12</f>
        <v>136900.04628765851</v>
      </c>
      <c r="E28" s="3">
        <f>-'2024 FINAL Rev Req'!E11+'2025 FINAL Rev Req'!E12</f>
        <v>-182565.79195081285</v>
      </c>
      <c r="F28" s="3">
        <f>SUM(D28:E28)</f>
        <v>-45665.745663154346</v>
      </c>
      <c r="H28" s="1">
        <f>D28/H6</f>
        <v>144100.91301176965</v>
      </c>
      <c r="I28" s="1">
        <f>E28/I6</f>
        <v>-191428.95244921133</v>
      </c>
      <c r="J28" s="3">
        <f>SUM(H28:I28)</f>
        <v>-47328.039437441679</v>
      </c>
      <c r="L28" s="3"/>
      <c r="O28" s="145"/>
    </row>
    <row r="29" spans="1:20" x14ac:dyDescent="0.35">
      <c r="A29" s="68">
        <f>ROW()</f>
        <v>29</v>
      </c>
      <c r="B29" s="17" t="s">
        <v>168</v>
      </c>
      <c r="C29" s="210"/>
      <c r="D29" s="3">
        <f>-'2024 FINAL Rev Req'!D12+D13</f>
        <v>8753526.3351471573</v>
      </c>
      <c r="E29" s="3">
        <f>-'2024 FINAL Rev Req'!E12+E13</f>
        <v>4083832.5523681641</v>
      </c>
      <c r="F29" s="3">
        <f>SUM(D29:E29)</f>
        <v>12837358.887515321</v>
      </c>
      <c r="H29" s="1">
        <f>D29/H6</f>
        <v>9213956.9793629013</v>
      </c>
      <c r="I29" s="1">
        <f>E29/I6</f>
        <v>4282093.4805160575</v>
      </c>
      <c r="J29" s="3">
        <f>SUM(H29:I29)</f>
        <v>13496050.459878959</v>
      </c>
      <c r="O29" s="145"/>
    </row>
    <row r="30" spans="1:20" x14ac:dyDescent="0.35">
      <c r="A30" s="68">
        <f>ROW()</f>
        <v>30</v>
      </c>
      <c r="B30" s="17" t="s">
        <v>249</v>
      </c>
      <c r="C30" s="210"/>
      <c r="D30" s="3">
        <f>-'2024 FINAL Rev Req'!D13</f>
        <v>-1060751.3807328399</v>
      </c>
      <c r="E30" s="3">
        <f>-'2024 FINAL Rev Req'!E13</f>
        <v>-44938.569595496061</v>
      </c>
      <c r="F30" s="3">
        <f>SUM(D30:E30)</f>
        <v>-1105689.9503283361</v>
      </c>
      <c r="H30" s="1">
        <f>D30/H6</f>
        <v>-1116546.3167259526</v>
      </c>
      <c r="I30" s="1">
        <f>E30/I6</f>
        <v>-47120.236547652363</v>
      </c>
      <c r="J30" s="3">
        <f>SUM(H30:I30)</f>
        <v>-1163666.5532736049</v>
      </c>
      <c r="O30" s="145"/>
    </row>
    <row r="31" spans="1:20" x14ac:dyDescent="0.35">
      <c r="A31" s="68">
        <f>ROW()</f>
        <v>31</v>
      </c>
      <c r="B31" s="17" t="s">
        <v>250</v>
      </c>
      <c r="C31" s="210"/>
      <c r="D31" s="3"/>
      <c r="E31" s="3"/>
      <c r="F31" s="3"/>
      <c r="H31" s="146">
        <f>(D11/H6-H11)</f>
        <v>9950.9610541500151</v>
      </c>
      <c r="I31" s="146">
        <f>E11/I6-I11</f>
        <v>-3892.4299785159528</v>
      </c>
      <c r="J31" s="3">
        <f>SUM(H31:I31)</f>
        <v>6058.5310756340623</v>
      </c>
      <c r="O31" s="145"/>
    </row>
    <row r="32" spans="1:20" ht="15" thickBot="1" x14ac:dyDescent="0.4">
      <c r="A32" s="68">
        <f>ROW()</f>
        <v>32</v>
      </c>
      <c r="B32" s="2" t="s">
        <v>159</v>
      </c>
      <c r="C32" s="210"/>
      <c r="D32" s="21">
        <f>SUM(D27:D31)</f>
        <v>9944472.9958491307</v>
      </c>
      <c r="E32" s="21">
        <f>SUM(E27:E31)</f>
        <v>4712264.5531900181</v>
      </c>
      <c r="F32" s="21">
        <f>SUM(F27:F31)</f>
        <v>14656737.549039148</v>
      </c>
      <c r="H32" s="21">
        <f>SUM(H27:H31)</f>
        <v>10477497.736835869</v>
      </c>
      <c r="I32" s="21">
        <f>SUM(I27:I31)</f>
        <v>4937142.0181603301</v>
      </c>
      <c r="J32" s="21">
        <f>SUM(J27:J31)</f>
        <v>15414639.754996199</v>
      </c>
      <c r="O32" s="4"/>
      <c r="Q32" s="4"/>
      <c r="T32" s="145"/>
    </row>
    <row r="33" spans="1:20" ht="15" thickTop="1" x14ac:dyDescent="0.35">
      <c r="A33" s="68">
        <f>ROW()</f>
        <v>33</v>
      </c>
      <c r="D33" s="7">
        <f>D32-D15</f>
        <v>0</v>
      </c>
      <c r="E33" s="7">
        <f>E32-E15</f>
        <v>0</v>
      </c>
      <c r="F33" s="7">
        <f>F32-F15</f>
        <v>0</v>
      </c>
      <c r="G33" s="22"/>
      <c r="H33" s="7">
        <f>H32-H15</f>
        <v>0</v>
      </c>
      <c r="I33" s="7">
        <f>I32-I15</f>
        <v>0</v>
      </c>
      <c r="J33" s="7">
        <f>J32-J15</f>
        <v>0</v>
      </c>
    </row>
    <row r="34" spans="1:20" x14ac:dyDescent="0.35">
      <c r="A34" s="68">
        <f>ROW()</f>
        <v>34</v>
      </c>
      <c r="D34" s="1"/>
      <c r="E34" s="1"/>
      <c r="H34" s="4"/>
      <c r="I34" s="4"/>
      <c r="J34" s="4"/>
      <c r="T34" s="146"/>
    </row>
    <row r="35" spans="1:20" x14ac:dyDescent="0.35">
      <c r="A35" s="68">
        <f>ROW()</f>
        <v>35</v>
      </c>
      <c r="B35" s="23" t="s">
        <v>62</v>
      </c>
      <c r="C35" s="18"/>
      <c r="H35" s="52">
        <f>H32/H7</f>
        <v>0.35354635959352693</v>
      </c>
      <c r="I35" s="52">
        <f>I32/I7</f>
        <v>0.34047324813332897</v>
      </c>
    </row>
    <row r="36" spans="1:20" x14ac:dyDescent="0.35">
      <c r="A36" s="68">
        <f>ROW()</f>
        <v>36</v>
      </c>
      <c r="B36" s="23" t="s">
        <v>63</v>
      </c>
      <c r="H36" s="68" t="str">
        <f>IF(ABS(H35)&gt;1%,"yes","no")</f>
        <v>yes</v>
      </c>
      <c r="I36" s="68" t="str">
        <f>IF(ABS(I35)&gt;1%,"yes","no")</f>
        <v>yes</v>
      </c>
    </row>
    <row r="37" spans="1:20" x14ac:dyDescent="0.35">
      <c r="A37" s="68">
        <f>ROW()</f>
        <v>37</v>
      </c>
      <c r="B37" s="24" t="s">
        <v>21</v>
      </c>
    </row>
    <row r="38" spans="1:20" x14ac:dyDescent="0.35">
      <c r="A38" s="68">
        <f>ROW()</f>
        <v>38</v>
      </c>
      <c r="B38" s="24" t="s">
        <v>22</v>
      </c>
    </row>
  </sheetData>
  <pageMargins left="0.7" right="0.7" top="0.75" bottom="0.75" header="0.3" footer="0.3"/>
  <pageSetup scale="86" orientation="landscape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"/>
  <sheetViews>
    <sheetView zoomScale="80" zoomScaleNormal="80" workbookViewId="0">
      <selection activeCell="I19" sqref="I19"/>
    </sheetView>
  </sheetViews>
  <sheetFormatPr defaultColWidth="9.1796875" defaultRowHeight="14.15" customHeight="1" x14ac:dyDescent="0.35"/>
  <cols>
    <col min="1" max="1" width="9.81640625" style="9" bestFit="1" customWidth="1"/>
    <col min="2" max="2" width="38" style="9" bestFit="1" customWidth="1"/>
    <col min="3" max="5" width="14.1796875" style="9" customWidth="1"/>
    <col min="6" max="6" width="14.26953125" style="9" customWidth="1"/>
    <col min="7" max="7" width="13.453125" style="9" customWidth="1"/>
    <col min="8" max="8" width="3" style="9" customWidth="1"/>
    <col min="9" max="9" width="15.453125" style="9" customWidth="1"/>
    <col min="10" max="10" width="15.7265625" style="9" customWidth="1"/>
    <col min="11" max="13" width="14.1796875" style="9" customWidth="1"/>
    <col min="14" max="14" width="2.81640625" style="9" customWidth="1"/>
    <col min="15" max="15" width="14.1796875" style="9" customWidth="1"/>
    <col min="16" max="16" width="9.1796875" style="9"/>
    <col min="17" max="17" width="10.81640625" style="9" bestFit="1" customWidth="1"/>
    <col min="18" max="16384" width="9.1796875" style="9"/>
  </cols>
  <sheetData>
    <row r="1" spans="1:15" ht="14.5" x14ac:dyDescent="0.35">
      <c r="A1" s="311" t="s">
        <v>32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</row>
    <row r="2" spans="1:15" ht="14.5" x14ac:dyDescent="0.35">
      <c r="A2" s="311" t="s">
        <v>130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</row>
    <row r="3" spans="1:15" ht="14.5" x14ac:dyDescent="0.35">
      <c r="A3" s="311" t="s">
        <v>131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</row>
    <row r="4" spans="1:15" ht="14.5" x14ac:dyDescent="0.35">
      <c r="A4" s="312" t="s">
        <v>190</v>
      </c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</row>
    <row r="5" spans="1:15" ht="14.5" x14ac:dyDescent="0.35">
      <c r="C5" s="27"/>
      <c r="D5" s="197"/>
      <c r="E5" s="27"/>
      <c r="J5" s="197"/>
    </row>
    <row r="6" spans="1:15" ht="58" x14ac:dyDescent="0.35">
      <c r="A6" s="28" t="s">
        <v>33</v>
      </c>
      <c r="B6" s="29" t="s">
        <v>7</v>
      </c>
      <c r="C6" s="30" t="s">
        <v>191</v>
      </c>
      <c r="D6" s="30" t="s">
        <v>192</v>
      </c>
      <c r="E6" s="31" t="s">
        <v>34</v>
      </c>
      <c r="F6" s="30" t="s">
        <v>158</v>
      </c>
      <c r="G6" s="31" t="s">
        <v>193</v>
      </c>
      <c r="I6" s="30" t="s">
        <v>194</v>
      </c>
      <c r="J6" s="30" t="s">
        <v>195</v>
      </c>
      <c r="K6" s="31" t="s">
        <v>34</v>
      </c>
      <c r="L6" s="30" t="s">
        <v>187</v>
      </c>
      <c r="M6" s="31" t="s">
        <v>196</v>
      </c>
      <c r="O6" s="30" t="s">
        <v>110</v>
      </c>
    </row>
    <row r="7" spans="1:15" ht="14.5" x14ac:dyDescent="0.35">
      <c r="A7" s="32" t="s">
        <v>132</v>
      </c>
      <c r="B7" s="9" t="s">
        <v>37</v>
      </c>
      <c r="C7" s="33">
        <v>293022571</v>
      </c>
      <c r="D7" s="33">
        <v>288433512.98959613</v>
      </c>
      <c r="E7" s="34">
        <f>C7-D7</f>
        <v>4589058.0104038715</v>
      </c>
      <c r="F7" s="35">
        <v>2.2849999999999999E-2</v>
      </c>
      <c r="G7" s="36">
        <f t="shared" ref="G7:G19" si="0">E7*F7</f>
        <v>104859.97553772846</v>
      </c>
      <c r="I7" s="33">
        <v>280067832</v>
      </c>
      <c r="J7" s="33">
        <v>285305672.44249552</v>
      </c>
      <c r="K7" s="34">
        <f t="shared" ref="K7:K19" si="1">I7-J7</f>
        <v>-5237840.4424955249</v>
      </c>
      <c r="L7" s="35">
        <v>1.6749999999999998E-2</v>
      </c>
      <c r="M7" s="36">
        <f t="shared" ref="M7:M19" si="2">K7*L7</f>
        <v>-87733.827411800026</v>
      </c>
      <c r="O7" s="36">
        <f>G7+M7</f>
        <v>17126.148125928434</v>
      </c>
    </row>
    <row r="8" spans="1:15" ht="14.5" x14ac:dyDescent="0.35">
      <c r="A8" s="32">
        <v>53</v>
      </c>
      <c r="B8" s="9" t="s">
        <v>111</v>
      </c>
      <c r="C8" s="33">
        <v>0</v>
      </c>
      <c r="D8" s="33">
        <v>0</v>
      </c>
      <c r="E8" s="34">
        <f t="shared" ref="E8:E19" si="3">C8-D8</f>
        <v>0</v>
      </c>
      <c r="F8" s="35">
        <v>2.2849999999999999E-2</v>
      </c>
      <c r="G8" s="36">
        <f t="shared" si="0"/>
        <v>0</v>
      </c>
      <c r="I8" s="33">
        <v>0</v>
      </c>
      <c r="J8" s="33">
        <v>0</v>
      </c>
      <c r="K8" s="34">
        <f t="shared" si="1"/>
        <v>0</v>
      </c>
      <c r="L8" s="35">
        <v>1.6749999999999998E-2</v>
      </c>
      <c r="M8" s="36">
        <f t="shared" si="2"/>
        <v>0</v>
      </c>
      <c r="O8" s="36">
        <f t="shared" ref="O8:O19" si="4">G8+M8</f>
        <v>0</v>
      </c>
    </row>
    <row r="9" spans="1:15" ht="14.5" x14ac:dyDescent="0.35">
      <c r="A9" s="32">
        <v>31</v>
      </c>
      <c r="B9" s="9" t="s">
        <v>112</v>
      </c>
      <c r="C9" s="33">
        <v>103159382</v>
      </c>
      <c r="D9" s="33">
        <v>112690070.78940743</v>
      </c>
      <c r="E9" s="34">
        <f t="shared" si="3"/>
        <v>-9530688.7894074321</v>
      </c>
      <c r="F9" s="35">
        <v>2.513E-2</v>
      </c>
      <c r="G9" s="36">
        <f t="shared" si="0"/>
        <v>-239506.20927780875</v>
      </c>
      <c r="I9" s="33">
        <v>133157412</v>
      </c>
      <c r="J9" s="33">
        <v>122128856.81012852</v>
      </c>
      <c r="K9" s="34">
        <f t="shared" si="1"/>
        <v>11028555.189871475</v>
      </c>
      <c r="L9" s="35">
        <v>1.789E-2</v>
      </c>
      <c r="M9" s="36">
        <f t="shared" si="2"/>
        <v>197300.85234680068</v>
      </c>
      <c r="O9" s="36">
        <f t="shared" si="4"/>
        <v>-42205.356931008078</v>
      </c>
    </row>
    <row r="10" spans="1:15" ht="14.5" x14ac:dyDescent="0.35">
      <c r="A10" s="32" t="s">
        <v>113</v>
      </c>
      <c r="B10" s="9" t="s">
        <v>114</v>
      </c>
      <c r="C10" s="33">
        <v>14073</v>
      </c>
      <c r="D10" s="33">
        <v>0</v>
      </c>
      <c r="E10" s="34">
        <f t="shared" si="3"/>
        <v>14073</v>
      </c>
      <c r="F10" s="35">
        <v>2.513E-2</v>
      </c>
      <c r="G10" s="36">
        <f t="shared" si="0"/>
        <v>353.65449000000001</v>
      </c>
      <c r="I10" s="33">
        <v>0</v>
      </c>
      <c r="J10" s="33">
        <v>0</v>
      </c>
      <c r="K10" s="34">
        <f t="shared" si="1"/>
        <v>0</v>
      </c>
      <c r="L10" s="35">
        <v>1.789E-2</v>
      </c>
      <c r="M10" s="36">
        <f t="shared" si="2"/>
        <v>0</v>
      </c>
      <c r="O10" s="36">
        <f t="shared" si="4"/>
        <v>353.65449000000001</v>
      </c>
    </row>
    <row r="11" spans="1:15" ht="14.5" x14ac:dyDescent="0.35">
      <c r="A11" s="32">
        <v>41</v>
      </c>
      <c r="B11" s="9" t="s">
        <v>115</v>
      </c>
      <c r="C11" s="33">
        <v>26124435</v>
      </c>
      <c r="D11" s="33">
        <v>30372550.918830398</v>
      </c>
      <c r="E11" s="34">
        <f t="shared" si="3"/>
        <v>-4248115.9188303985</v>
      </c>
      <c r="F11" s="35">
        <v>1.004E-2</v>
      </c>
      <c r="G11" s="36">
        <f t="shared" si="0"/>
        <v>-42651.083825057205</v>
      </c>
      <c r="I11" s="33">
        <v>37071306</v>
      </c>
      <c r="J11" s="33">
        <v>41526980.73206532</v>
      </c>
      <c r="K11" s="34">
        <f t="shared" si="1"/>
        <v>-4455674.73206532</v>
      </c>
      <c r="L11" s="35">
        <v>7.3500000000000006E-3</v>
      </c>
      <c r="M11" s="36">
        <f t="shared" si="2"/>
        <v>-32749.209280680105</v>
      </c>
      <c r="O11" s="36">
        <f t="shared" si="4"/>
        <v>-75400.293105737306</v>
      </c>
    </row>
    <row r="12" spans="1:15" ht="14.5" x14ac:dyDescent="0.35">
      <c r="A12" s="32" t="s">
        <v>116</v>
      </c>
      <c r="B12" s="9" t="s">
        <v>117</v>
      </c>
      <c r="C12" s="33">
        <v>8620019</v>
      </c>
      <c r="D12" s="33">
        <v>7398864.4400000004</v>
      </c>
      <c r="E12" s="34">
        <f t="shared" si="3"/>
        <v>1221154.5599999996</v>
      </c>
      <c r="F12" s="35">
        <v>1.004E-2</v>
      </c>
      <c r="G12" s="36">
        <f t="shared" si="0"/>
        <v>12260.391782399996</v>
      </c>
      <c r="I12" s="33">
        <v>13983027</v>
      </c>
      <c r="J12" s="33">
        <v>13372683.74</v>
      </c>
      <c r="K12" s="34">
        <f t="shared" si="1"/>
        <v>610343.25999999978</v>
      </c>
      <c r="L12" s="35">
        <v>7.3500000000000006E-3</v>
      </c>
      <c r="M12" s="36">
        <f t="shared" si="2"/>
        <v>4486.0229609999988</v>
      </c>
      <c r="O12" s="36">
        <f t="shared" si="4"/>
        <v>16746.414743399997</v>
      </c>
    </row>
    <row r="13" spans="1:15" ht="14.5" x14ac:dyDescent="0.35">
      <c r="A13" s="32">
        <v>85</v>
      </c>
      <c r="B13" s="9" t="s">
        <v>118</v>
      </c>
      <c r="C13" s="33">
        <v>4695815</v>
      </c>
      <c r="D13" s="33">
        <v>7872247.2732755104</v>
      </c>
      <c r="E13" s="34">
        <f t="shared" si="3"/>
        <v>-3176432.2732755104</v>
      </c>
      <c r="F13" s="35">
        <v>5.2900000000000004E-3</v>
      </c>
      <c r="G13" s="36">
        <f t="shared" si="0"/>
        <v>-16803.326725627452</v>
      </c>
      <c r="I13" s="33">
        <v>11097820</v>
      </c>
      <c r="J13" s="33">
        <v>10340879.367233783</v>
      </c>
      <c r="K13" s="34">
        <f t="shared" si="1"/>
        <v>756940.63276621699</v>
      </c>
      <c r="L13" s="35">
        <v>3.8600000000000006E-3</v>
      </c>
      <c r="M13" s="36">
        <f t="shared" si="2"/>
        <v>2921.7908424775978</v>
      </c>
      <c r="O13" s="36">
        <f t="shared" si="4"/>
        <v>-13881.535883149854</v>
      </c>
    </row>
    <row r="14" spans="1:15" ht="14.5" x14ac:dyDescent="0.35">
      <c r="A14" s="32" t="s">
        <v>119</v>
      </c>
      <c r="B14" s="9" t="s">
        <v>120</v>
      </c>
      <c r="C14" s="33">
        <v>24451113</v>
      </c>
      <c r="D14" s="33">
        <v>19566324.789999999</v>
      </c>
      <c r="E14" s="34">
        <f t="shared" si="3"/>
        <v>4884788.2100000009</v>
      </c>
      <c r="F14" s="35">
        <v>5.2900000000000004E-3</v>
      </c>
      <c r="G14" s="36">
        <f t="shared" si="0"/>
        <v>25840.529630900008</v>
      </c>
      <c r="I14" s="33">
        <v>41942555</v>
      </c>
      <c r="J14" s="33">
        <v>35486085.799999997</v>
      </c>
      <c r="K14" s="34">
        <f t="shared" si="1"/>
        <v>6456469.200000003</v>
      </c>
      <c r="L14" s="35">
        <v>3.8600000000000006E-3</v>
      </c>
      <c r="M14" s="36">
        <f t="shared" si="2"/>
        <v>24921.971112000014</v>
      </c>
      <c r="O14" s="36">
        <f t="shared" si="4"/>
        <v>50762.500742900025</v>
      </c>
    </row>
    <row r="15" spans="1:15" ht="14.5" x14ac:dyDescent="0.35">
      <c r="A15" s="32">
        <v>86</v>
      </c>
      <c r="B15" s="9" t="s">
        <v>121</v>
      </c>
      <c r="C15" s="33">
        <v>2425945</v>
      </c>
      <c r="D15" s="33">
        <v>2488409.6941354889</v>
      </c>
      <c r="E15" s="34">
        <f t="shared" si="3"/>
        <v>-62464.694135488942</v>
      </c>
      <c r="F15" s="35">
        <v>6.7299999999999999E-3</v>
      </c>
      <c r="G15" s="36">
        <f t="shared" si="0"/>
        <v>-420.38739153184059</v>
      </c>
      <c r="I15" s="33">
        <v>2342377</v>
      </c>
      <c r="J15" s="33">
        <v>2583468.4053343753</v>
      </c>
      <c r="K15" s="34">
        <f t="shared" si="1"/>
        <v>-241091.40533437533</v>
      </c>
      <c r="L15" s="35">
        <v>5.11E-3</v>
      </c>
      <c r="M15" s="36">
        <f t="shared" si="2"/>
        <v>-1231.977081258658</v>
      </c>
      <c r="O15" s="36">
        <f t="shared" si="4"/>
        <v>-1652.3644727904987</v>
      </c>
    </row>
    <row r="16" spans="1:15" ht="14.5" x14ac:dyDescent="0.35">
      <c r="A16" s="32" t="s">
        <v>122</v>
      </c>
      <c r="B16" s="9" t="s">
        <v>123</v>
      </c>
      <c r="C16" s="33">
        <v>488943</v>
      </c>
      <c r="D16" s="33">
        <v>174649.01</v>
      </c>
      <c r="E16" s="34">
        <f t="shared" si="3"/>
        <v>314293.99</v>
      </c>
      <c r="F16" s="35">
        <v>6.7299999999999999E-3</v>
      </c>
      <c r="G16" s="36">
        <f t="shared" si="0"/>
        <v>2115.1985526999997</v>
      </c>
      <c r="I16" s="33">
        <v>769184</v>
      </c>
      <c r="J16" s="33">
        <v>495510.1</v>
      </c>
      <c r="K16" s="34">
        <f t="shared" si="1"/>
        <v>273673.90000000002</v>
      </c>
      <c r="L16" s="35">
        <v>5.11E-3</v>
      </c>
      <c r="M16" s="36">
        <f t="shared" si="2"/>
        <v>1398.4736290000001</v>
      </c>
      <c r="O16" s="36">
        <f t="shared" si="4"/>
        <v>3513.6721816999998</v>
      </c>
    </row>
    <row r="17" spans="1:15" ht="14.5" x14ac:dyDescent="0.35">
      <c r="A17" s="32">
        <v>87</v>
      </c>
      <c r="B17" s="9" t="s">
        <v>124</v>
      </c>
      <c r="C17" s="33">
        <v>5249906</v>
      </c>
      <c r="D17" s="33">
        <v>8793011.1435000002</v>
      </c>
      <c r="E17" s="34">
        <f t="shared" si="3"/>
        <v>-3543105.1435000002</v>
      </c>
      <c r="F17" s="35">
        <v>3.7699999999999999E-3</v>
      </c>
      <c r="G17" s="36">
        <f t="shared" si="0"/>
        <v>-13357.506390995</v>
      </c>
      <c r="I17" s="33">
        <v>13883033</v>
      </c>
      <c r="J17" s="33">
        <v>9843851.7580000013</v>
      </c>
      <c r="K17" s="34">
        <f t="shared" si="1"/>
        <v>4039181.2419999987</v>
      </c>
      <c r="L17" s="35">
        <v>2.1199999999999999E-3</v>
      </c>
      <c r="M17" s="36">
        <f t="shared" si="2"/>
        <v>8563.0642330399969</v>
      </c>
      <c r="O17" s="36">
        <f t="shared" si="4"/>
        <v>-4794.4421579550035</v>
      </c>
    </row>
    <row r="18" spans="1:15" ht="14.5" x14ac:dyDescent="0.35">
      <c r="A18" s="32" t="s">
        <v>188</v>
      </c>
      <c r="B18" s="9" t="s">
        <v>125</v>
      </c>
      <c r="C18" s="33">
        <v>33770827</v>
      </c>
      <c r="D18" s="33">
        <v>33409191.284252331</v>
      </c>
      <c r="E18" s="34">
        <f t="shared" si="3"/>
        <v>361635.71574766934</v>
      </c>
      <c r="F18" s="35">
        <v>3.7699999999999999E-3</v>
      </c>
      <c r="G18" s="36">
        <f t="shared" si="0"/>
        <v>1363.3666483687134</v>
      </c>
      <c r="I18" s="33">
        <v>85897439</v>
      </c>
      <c r="J18" s="33">
        <v>69529024.935839832</v>
      </c>
      <c r="K18" s="34">
        <f t="shared" si="1"/>
        <v>16368414.064160168</v>
      </c>
      <c r="L18" s="35">
        <v>2.1199999999999999E-3</v>
      </c>
      <c r="M18" s="36">
        <f t="shared" si="2"/>
        <v>34701.037816019554</v>
      </c>
      <c r="O18" s="36">
        <f t="shared" si="4"/>
        <v>36064.404464388266</v>
      </c>
    </row>
    <row r="19" spans="1:15" ht="14.5" x14ac:dyDescent="0.35">
      <c r="A19" s="37">
        <v>99</v>
      </c>
      <c r="B19" s="29" t="s">
        <v>35</v>
      </c>
      <c r="C19" s="33">
        <v>14983423</v>
      </c>
      <c r="D19" s="33">
        <v>24850050.100000001</v>
      </c>
      <c r="E19" s="34">
        <f t="shared" si="3"/>
        <v>-9866627.1000000015</v>
      </c>
      <c r="F19" s="38">
        <v>9.3999999999999997E-4</v>
      </c>
      <c r="G19" s="36">
        <f t="shared" si="0"/>
        <v>-9274.6294740000012</v>
      </c>
      <c r="I19" s="33">
        <v>19093591</v>
      </c>
      <c r="J19" s="33">
        <v>17040788.420000002</v>
      </c>
      <c r="K19" s="34">
        <f t="shared" si="1"/>
        <v>2052802.5799999982</v>
      </c>
      <c r="L19" s="38">
        <v>7.3000000000000007E-4</v>
      </c>
      <c r="M19" s="36">
        <f t="shared" si="2"/>
        <v>1498.5458833999987</v>
      </c>
      <c r="O19" s="39">
        <f t="shared" si="4"/>
        <v>-7776.0835906000029</v>
      </c>
    </row>
    <row r="20" spans="1:15" ht="14.5" x14ac:dyDescent="0.35">
      <c r="A20" s="9" t="s">
        <v>36</v>
      </c>
      <c r="C20" s="40">
        <f>SUM(C7:C19)</f>
        <v>517006452</v>
      </c>
      <c r="D20" s="40">
        <f>SUM(D7:D19)</f>
        <v>536048882.43299729</v>
      </c>
      <c r="E20" s="40">
        <f>SUM(E7:E19)</f>
        <v>-19042430.43299729</v>
      </c>
      <c r="G20" s="41">
        <f>SUM(G7:G19)</f>
        <v>-175220.02644292306</v>
      </c>
      <c r="I20" s="40">
        <f>SUM(I7:I19)</f>
        <v>639305576</v>
      </c>
      <c r="J20" s="40">
        <f>SUM(J7:J19)</f>
        <v>607653802.51109731</v>
      </c>
      <c r="K20" s="40">
        <f>SUM(K7:K19)</f>
        <v>31651773.48890264</v>
      </c>
      <c r="M20" s="41">
        <f>SUM(M7:M19)</f>
        <v>154076.74504999901</v>
      </c>
      <c r="O20" s="295">
        <f>SUM(O7:O19)</f>
        <v>-21143.281392924018</v>
      </c>
    </row>
    <row r="21" spans="1:15" ht="14.5" x14ac:dyDescent="0.35">
      <c r="A21" s="42" t="s">
        <v>189</v>
      </c>
      <c r="C21" s="43">
        <v>0</v>
      </c>
      <c r="D21" s="187">
        <v>0</v>
      </c>
      <c r="E21" s="34"/>
      <c r="I21" s="44">
        <v>0</v>
      </c>
      <c r="J21" s="44">
        <v>0</v>
      </c>
    </row>
    <row r="22" spans="1:15" ht="14.15" customHeight="1" x14ac:dyDescent="0.35">
      <c r="C22" s="212">
        <v>0</v>
      </c>
      <c r="I22" s="212">
        <v>0</v>
      </c>
    </row>
  </sheetData>
  <mergeCells count="4">
    <mergeCell ref="A1:O1"/>
    <mergeCell ref="A2:O2"/>
    <mergeCell ref="A3:O3"/>
    <mergeCell ref="A4:O4"/>
  </mergeCells>
  <pageMargins left="0.5" right="0.5" top="0.72" bottom="0.51" header="0.5" footer="0.25"/>
  <pageSetup scale="60" fitToHeight="4" pageOrder="overThenDown" orientation="landscape" blackAndWhite="1" r:id="rId1"/>
  <headerFooter alignWithMargins="0">
    <oddFooter xml:space="preserve">&amp;L&amp;F 
&amp;A&amp;C&amp;P&amp;R&amp;D 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Normal="100" workbookViewId="0">
      <selection activeCell="E11" sqref="E11"/>
    </sheetView>
  </sheetViews>
  <sheetFormatPr defaultColWidth="9.1796875" defaultRowHeight="12.5" x14ac:dyDescent="0.25"/>
  <cols>
    <col min="1" max="1" width="5.453125" style="132" customWidth="1"/>
    <col min="2" max="2" width="63.1796875" style="132" customWidth="1"/>
    <col min="3" max="3" width="3.453125" style="132" customWidth="1"/>
    <col min="4" max="4" width="7.81640625" style="132" customWidth="1"/>
    <col min="5" max="5" width="15.453125" style="132" customWidth="1"/>
    <col min="6" max="16384" width="9.1796875" style="132"/>
  </cols>
  <sheetData>
    <row r="1" spans="1:5" ht="14.5" x14ac:dyDescent="0.35">
      <c r="A1" s="207"/>
      <c r="B1" s="209" t="s">
        <v>182</v>
      </c>
      <c r="C1" s="207"/>
      <c r="D1" s="207"/>
      <c r="E1" s="208"/>
    </row>
    <row r="2" spans="1:5" ht="13" x14ac:dyDescent="0.3">
      <c r="A2" s="131"/>
      <c r="B2" s="131"/>
      <c r="C2" s="131"/>
      <c r="D2" s="131"/>
    </row>
    <row r="3" spans="1:5" ht="14" x14ac:dyDescent="0.3">
      <c r="A3" s="199" t="s">
        <v>177</v>
      </c>
      <c r="B3" s="200"/>
      <c r="C3" s="201"/>
      <c r="D3" s="201"/>
      <c r="E3" s="201"/>
    </row>
    <row r="4" spans="1:5" ht="14" x14ac:dyDescent="0.3">
      <c r="A4" s="202" t="s">
        <v>11</v>
      </c>
      <c r="B4" s="200"/>
      <c r="C4" s="203"/>
      <c r="D4" s="203"/>
      <c r="E4" s="203"/>
    </row>
    <row r="5" spans="1:5" ht="14" x14ac:dyDescent="0.3">
      <c r="A5" s="204" t="s">
        <v>178</v>
      </c>
      <c r="B5" s="200"/>
      <c r="C5" s="203"/>
      <c r="D5" s="203"/>
      <c r="E5" s="203"/>
    </row>
    <row r="6" spans="1:5" ht="14" x14ac:dyDescent="0.3">
      <c r="A6" s="204" t="s">
        <v>179</v>
      </c>
      <c r="B6" s="200"/>
      <c r="C6" s="203"/>
      <c r="D6" s="203"/>
      <c r="E6" s="203"/>
    </row>
    <row r="7" spans="1:5" ht="13" x14ac:dyDescent="0.3">
      <c r="A7" s="131"/>
      <c r="B7" s="131"/>
      <c r="C7" s="131"/>
      <c r="D7" s="131"/>
      <c r="E7" s="131"/>
    </row>
    <row r="8" spans="1:5" ht="13" x14ac:dyDescent="0.3">
      <c r="A8" s="45" t="s">
        <v>12</v>
      </c>
      <c r="B8" s="45"/>
      <c r="C8" s="45"/>
      <c r="D8" s="45"/>
      <c r="E8" s="45"/>
    </row>
    <row r="9" spans="1:5" ht="13" x14ac:dyDescent="0.3">
      <c r="A9" s="46" t="s">
        <v>13</v>
      </c>
      <c r="B9" s="133" t="s">
        <v>14</v>
      </c>
      <c r="C9" s="46"/>
      <c r="D9" s="46" t="s">
        <v>137</v>
      </c>
      <c r="E9" s="46" t="s">
        <v>138</v>
      </c>
    </row>
    <row r="10" spans="1:5" ht="13" x14ac:dyDescent="0.3">
      <c r="A10" s="48"/>
      <c r="B10" s="48"/>
      <c r="C10" s="48"/>
      <c r="D10" s="48"/>
      <c r="E10" s="134"/>
    </row>
    <row r="11" spans="1:5" ht="13" x14ac:dyDescent="0.3">
      <c r="A11" s="134">
        <v>1</v>
      </c>
      <c r="B11" s="47" t="s">
        <v>15</v>
      </c>
      <c r="C11" s="48"/>
      <c r="D11" s="48"/>
      <c r="E11" s="49">
        <v>6.4879999999999998E-3</v>
      </c>
    </row>
    <row r="12" spans="1:5" ht="13" x14ac:dyDescent="0.3">
      <c r="A12" s="134">
        <v>2</v>
      </c>
      <c r="B12" s="47" t="s">
        <v>16</v>
      </c>
      <c r="C12" s="48"/>
      <c r="D12" s="48"/>
      <c r="E12" s="49">
        <v>5.0000000000000001E-3</v>
      </c>
    </row>
    <row r="13" spans="1:5" ht="13" x14ac:dyDescent="0.3">
      <c r="A13" s="134">
        <v>3</v>
      </c>
      <c r="B13" s="47" t="str">
        <f>"STATE UTILITY TAX - NET OF BAD DEBTS ( "&amp;D13*100&amp;"% - ( LINE 1 * "&amp;D13*100&amp;"%) )"</f>
        <v>STATE UTILITY TAX - NET OF BAD DEBTS ( 3.8734% - ( LINE 1 * 3.8734%) )</v>
      </c>
      <c r="C13" s="48"/>
      <c r="D13" s="135">
        <v>3.8733999999999998E-2</v>
      </c>
      <c r="E13" s="50">
        <f>ROUND(D13-(D13*E11),6)</f>
        <v>3.8483000000000003E-2</v>
      </c>
    </row>
    <row r="14" spans="1:5" ht="13" x14ac:dyDescent="0.3">
      <c r="A14" s="134">
        <v>4</v>
      </c>
      <c r="B14" s="47"/>
      <c r="C14" s="48"/>
      <c r="D14" s="134"/>
      <c r="E14" s="51"/>
    </row>
    <row r="15" spans="1:5" ht="13" x14ac:dyDescent="0.3">
      <c r="A15" s="134">
        <v>5</v>
      </c>
      <c r="B15" s="47" t="s">
        <v>17</v>
      </c>
      <c r="C15" s="48"/>
      <c r="D15" s="134"/>
      <c r="E15" s="49">
        <f>ROUND(SUM(E11:E13),6)</f>
        <v>4.9971000000000002E-2</v>
      </c>
    </row>
    <row r="16" spans="1:5" ht="13" x14ac:dyDescent="0.3">
      <c r="A16" s="134">
        <v>6</v>
      </c>
      <c r="B16" s="48"/>
      <c r="C16" s="48"/>
      <c r="D16" s="134"/>
      <c r="E16" s="49"/>
    </row>
    <row r="17" spans="1:6" ht="13" x14ac:dyDescent="0.3">
      <c r="A17" s="134">
        <v>7</v>
      </c>
      <c r="B17" s="48" t="s">
        <v>139</v>
      </c>
      <c r="C17" s="48"/>
      <c r="D17" s="134"/>
      <c r="E17" s="49">
        <f>ROUND(1-E15,6)</f>
        <v>0.95002900000000001</v>
      </c>
    </row>
    <row r="18" spans="1:6" ht="13" x14ac:dyDescent="0.3">
      <c r="A18" s="134">
        <v>8</v>
      </c>
      <c r="B18" s="47" t="s">
        <v>140</v>
      </c>
      <c r="C18" s="48"/>
      <c r="D18" s="136">
        <v>0.21</v>
      </c>
      <c r="E18" s="49">
        <f>ROUND((E17)*D18,6)</f>
        <v>0.19950599999999999</v>
      </c>
    </row>
    <row r="19" spans="1:6" ht="13" x14ac:dyDescent="0.3">
      <c r="A19" s="134">
        <v>9</v>
      </c>
      <c r="B19" s="47" t="s">
        <v>180</v>
      </c>
      <c r="C19" s="48"/>
      <c r="D19" s="48"/>
      <c r="E19" s="137">
        <f>ROUND(1-E18-E15,6)</f>
        <v>0.75052300000000005</v>
      </c>
      <c r="F19" s="205"/>
    </row>
    <row r="20" spans="1:6" ht="13" x14ac:dyDescent="0.3">
      <c r="A20" s="48"/>
      <c r="B20" s="48"/>
      <c r="C20" s="48"/>
      <c r="D20" s="48"/>
      <c r="E20" s="134"/>
    </row>
    <row r="23" spans="1:6" x14ac:dyDescent="0.25">
      <c r="E23" s="138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5"/>
  <sheetViews>
    <sheetView topLeftCell="A2" zoomScale="110" zoomScaleNormal="110" workbookViewId="0">
      <selection activeCell="I21" sqref="I21"/>
    </sheetView>
  </sheetViews>
  <sheetFormatPr defaultColWidth="9.1796875" defaultRowHeight="12.5" x14ac:dyDescent="0.25"/>
  <cols>
    <col min="1" max="1" width="5.453125" style="132" customWidth="1"/>
    <col min="2" max="2" width="63.26953125" style="132" bestFit="1" customWidth="1"/>
    <col min="3" max="3" width="3.453125" style="132" customWidth="1"/>
    <col min="4" max="4" width="10" style="132" bestFit="1" customWidth="1"/>
    <col min="5" max="5" width="18.1796875" style="132" customWidth="1"/>
    <col min="6" max="16384" width="9.1796875" style="132"/>
  </cols>
  <sheetData>
    <row r="2" spans="1:5" ht="14.5" x14ac:dyDescent="0.35">
      <c r="A2" s="131"/>
      <c r="B2" s="209" t="s">
        <v>183</v>
      </c>
      <c r="C2" s="48"/>
      <c r="D2" s="48"/>
      <c r="E2" s="198"/>
    </row>
    <row r="3" spans="1:5" ht="13" x14ac:dyDescent="0.3">
      <c r="A3" s="131"/>
      <c r="B3" s="131"/>
      <c r="C3" s="131"/>
      <c r="D3" s="131"/>
      <c r="E3" s="198"/>
    </row>
    <row r="4" spans="1:5" ht="13" x14ac:dyDescent="0.3">
      <c r="A4" s="131"/>
      <c r="B4" s="131"/>
      <c r="C4" s="131"/>
      <c r="D4" s="131"/>
    </row>
    <row r="5" spans="1:5" ht="14" x14ac:dyDescent="0.3">
      <c r="A5" s="199" t="s">
        <v>181</v>
      </c>
      <c r="B5" s="206"/>
      <c r="C5" s="199"/>
      <c r="D5" s="199"/>
      <c r="E5" s="201"/>
    </row>
    <row r="6" spans="1:5" ht="14" x14ac:dyDescent="0.3">
      <c r="A6" s="202" t="s">
        <v>11</v>
      </c>
      <c r="B6" s="206"/>
      <c r="C6" s="202"/>
      <c r="D6" s="202"/>
      <c r="E6" s="203"/>
    </row>
    <row r="7" spans="1:5" ht="14" x14ac:dyDescent="0.3">
      <c r="A7" s="204" t="str">
        <f>'2024GRC Elec CF'!A5</f>
        <v>FOR THE TWELVE MONTHS ENDED JUNE 30, 2023</v>
      </c>
      <c r="B7" s="202"/>
      <c r="C7" s="202"/>
      <c r="D7" s="202"/>
      <c r="E7" s="203"/>
    </row>
    <row r="8" spans="1:5" ht="14" x14ac:dyDescent="0.3">
      <c r="A8" s="204" t="str">
        <f>'2024GRC Elec CF'!A6</f>
        <v>2024 GENERAL RATE CASE</v>
      </c>
      <c r="B8" s="206"/>
      <c r="C8" s="202"/>
      <c r="D8" s="202"/>
      <c r="E8" s="203"/>
    </row>
    <row r="9" spans="1:5" ht="13" x14ac:dyDescent="0.3">
      <c r="A9" s="131"/>
      <c r="B9" s="131"/>
      <c r="C9" s="131"/>
      <c r="D9" s="131"/>
      <c r="E9" s="131"/>
    </row>
    <row r="10" spans="1:5" ht="13" x14ac:dyDescent="0.3">
      <c r="A10" s="45" t="s">
        <v>12</v>
      </c>
      <c r="B10" s="45"/>
      <c r="C10" s="45"/>
      <c r="D10" s="45"/>
      <c r="E10" s="45"/>
    </row>
    <row r="11" spans="1:5" ht="13" x14ac:dyDescent="0.3">
      <c r="A11" s="46" t="s">
        <v>13</v>
      </c>
      <c r="B11" s="133" t="s">
        <v>14</v>
      </c>
      <c r="C11" s="46"/>
      <c r="D11" s="46" t="s">
        <v>137</v>
      </c>
      <c r="E11" s="46" t="s">
        <v>138</v>
      </c>
    </row>
    <row r="12" spans="1:5" ht="13" x14ac:dyDescent="0.3">
      <c r="A12" s="48"/>
      <c r="B12" s="48"/>
      <c r="C12" s="48"/>
      <c r="D12" s="48"/>
      <c r="E12" s="134"/>
    </row>
    <row r="13" spans="1:5" ht="13" x14ac:dyDescent="0.3">
      <c r="A13" s="134">
        <v>1</v>
      </c>
      <c r="B13" s="47" t="s">
        <v>15</v>
      </c>
      <c r="C13" s="48"/>
      <c r="D13" s="48"/>
      <c r="E13" s="49">
        <v>2.8909999999999999E-3</v>
      </c>
    </row>
    <row r="14" spans="1:5" ht="13" x14ac:dyDescent="0.3">
      <c r="A14" s="134">
        <v>2</v>
      </c>
      <c r="B14" s="47" t="s">
        <v>16</v>
      </c>
      <c r="C14" s="48"/>
      <c r="D14" s="48"/>
      <c r="E14" s="49">
        <v>5.0000000000000001E-3</v>
      </c>
    </row>
    <row r="15" spans="1:5" ht="13" x14ac:dyDescent="0.3">
      <c r="A15" s="134">
        <v>3</v>
      </c>
      <c r="B15" s="47" t="str">
        <f>"STATE UTILITY TAX - NET OF BAD DEBTS ( "&amp;D15*100&amp;"% - ( LINE 1 * "&amp;D15*100&amp;"%) )"</f>
        <v>STATE UTILITY TAX - NET OF BAD DEBTS ( 3.852% - ( LINE 1 * 3.852%) )</v>
      </c>
      <c r="C15" s="48"/>
      <c r="D15" s="135">
        <v>3.8519999999999999E-2</v>
      </c>
      <c r="E15" s="50">
        <f>ROUND(D15-(D15*E13),6)</f>
        <v>3.8408999999999999E-2</v>
      </c>
    </row>
    <row r="16" spans="1:5" ht="13" x14ac:dyDescent="0.3">
      <c r="A16" s="134">
        <v>4</v>
      </c>
      <c r="B16" s="47"/>
      <c r="C16" s="48"/>
      <c r="D16" s="134"/>
      <c r="E16" s="51"/>
    </row>
    <row r="17" spans="1:5" ht="13" x14ac:dyDescent="0.3">
      <c r="A17" s="134">
        <v>5</v>
      </c>
      <c r="B17" s="47" t="s">
        <v>17</v>
      </c>
      <c r="C17" s="48"/>
      <c r="D17" s="134"/>
      <c r="E17" s="49">
        <f>ROUND(SUM(E13:E15),6)</f>
        <v>4.6300000000000001E-2</v>
      </c>
    </row>
    <row r="18" spans="1:5" ht="13" x14ac:dyDescent="0.3">
      <c r="A18" s="134">
        <v>6</v>
      </c>
      <c r="B18" s="48"/>
      <c r="C18" s="48"/>
      <c r="D18" s="134"/>
      <c r="E18" s="49"/>
    </row>
    <row r="19" spans="1:5" ht="13" x14ac:dyDescent="0.3">
      <c r="A19" s="134">
        <v>7</v>
      </c>
      <c r="B19" s="48" t="s">
        <v>139</v>
      </c>
      <c r="C19" s="48"/>
      <c r="D19" s="134"/>
      <c r="E19" s="49">
        <f>ROUND(1-E17,6)</f>
        <v>0.95369999999999999</v>
      </c>
    </row>
    <row r="20" spans="1:5" ht="13" x14ac:dyDescent="0.3">
      <c r="A20" s="134">
        <v>8</v>
      </c>
      <c r="B20" s="47" t="s">
        <v>142</v>
      </c>
      <c r="C20" s="48"/>
      <c r="D20" s="136">
        <v>0.21</v>
      </c>
      <c r="E20" s="49">
        <f>ROUND((E19)*D20,6)</f>
        <v>0.20027700000000001</v>
      </c>
    </row>
    <row r="21" spans="1:5" ht="13" x14ac:dyDescent="0.3">
      <c r="A21" s="134">
        <v>9</v>
      </c>
      <c r="B21" s="47" t="s">
        <v>180</v>
      </c>
      <c r="C21" s="48"/>
      <c r="D21" s="48"/>
      <c r="E21" s="137">
        <f>ROUND(1-E20-E17,6)</f>
        <v>0.75342299999999995</v>
      </c>
    </row>
    <row r="22" spans="1:5" ht="13" x14ac:dyDescent="0.3">
      <c r="A22" s="48"/>
      <c r="B22" s="48"/>
      <c r="C22" s="48"/>
      <c r="D22" s="48"/>
      <c r="E22" s="134"/>
    </row>
    <row r="25" spans="1:5" x14ac:dyDescent="0.25">
      <c r="E25" s="138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zoomScaleNormal="100" workbookViewId="0">
      <selection activeCell="L21" sqref="L21"/>
    </sheetView>
  </sheetViews>
  <sheetFormatPr defaultColWidth="9.1796875" defaultRowHeight="12.5" x14ac:dyDescent="0.25"/>
  <cols>
    <col min="1" max="1" width="5.453125" style="132" customWidth="1"/>
    <col min="2" max="2" width="63.1796875" style="132" customWidth="1"/>
    <col min="3" max="3" width="3.453125" style="132" customWidth="1"/>
    <col min="4" max="4" width="7.81640625" style="132" customWidth="1"/>
    <col min="5" max="5" width="15.453125" style="132" customWidth="1"/>
    <col min="6" max="16384" width="9.1796875" style="132"/>
  </cols>
  <sheetData>
    <row r="2" spans="1:5" ht="14.5" x14ac:dyDescent="0.35">
      <c r="A2" s="141" t="s">
        <v>148</v>
      </c>
      <c r="B2" s="141" t="s">
        <v>147</v>
      </c>
      <c r="C2" s="141"/>
      <c r="D2" s="141"/>
      <c r="E2" s="141"/>
    </row>
    <row r="3" spans="1:5" ht="14.5" x14ac:dyDescent="0.35">
      <c r="A3" s="131"/>
      <c r="B3" s="142"/>
      <c r="C3" s="142"/>
      <c r="D3"/>
      <c r="E3"/>
    </row>
    <row r="4" spans="1:5" ht="13" x14ac:dyDescent="0.3">
      <c r="A4" s="139"/>
      <c r="B4" s="139" t="s">
        <v>143</v>
      </c>
      <c r="C4" s="139"/>
      <c r="D4" s="143"/>
      <c r="E4" s="143"/>
    </row>
    <row r="5" spans="1:5" ht="13" x14ac:dyDescent="0.3">
      <c r="A5" s="139"/>
      <c r="B5" s="139" t="s">
        <v>144</v>
      </c>
      <c r="C5" s="139"/>
      <c r="D5" s="143"/>
      <c r="E5" s="143"/>
    </row>
    <row r="6" spans="1:5" ht="13" x14ac:dyDescent="0.3">
      <c r="A6" s="139"/>
      <c r="B6" s="139" t="s">
        <v>136</v>
      </c>
      <c r="C6" s="139"/>
      <c r="D6" s="143"/>
      <c r="E6" s="143"/>
    </row>
    <row r="7" spans="1:5" ht="13" x14ac:dyDescent="0.3">
      <c r="A7" s="139"/>
      <c r="B7" s="139" t="s">
        <v>145</v>
      </c>
      <c r="C7" s="139"/>
      <c r="D7" s="143"/>
      <c r="E7" s="143"/>
    </row>
    <row r="8" spans="1:5" ht="13" x14ac:dyDescent="0.3">
      <c r="A8" s="139"/>
      <c r="B8" s="139" t="s">
        <v>146</v>
      </c>
      <c r="C8" s="139"/>
      <c r="D8" s="143"/>
      <c r="E8" s="143"/>
    </row>
    <row r="9" spans="1:5" ht="13" x14ac:dyDescent="0.3">
      <c r="A9" s="140"/>
      <c r="B9" s="140" t="s">
        <v>11</v>
      </c>
      <c r="C9" s="140"/>
      <c r="D9" s="140"/>
      <c r="E9" s="140"/>
    </row>
    <row r="10" spans="1:5" ht="13" x14ac:dyDescent="0.3">
      <c r="A10" s="131"/>
      <c r="B10" s="131"/>
      <c r="C10" s="131"/>
      <c r="D10" s="131"/>
      <c r="E10" s="131"/>
    </row>
    <row r="11" spans="1:5" ht="13" x14ac:dyDescent="0.3">
      <c r="A11" s="45" t="s">
        <v>12</v>
      </c>
      <c r="B11" s="45"/>
      <c r="C11" s="45"/>
      <c r="D11" s="45"/>
      <c r="E11" s="45"/>
    </row>
    <row r="12" spans="1:5" ht="13" x14ac:dyDescent="0.3">
      <c r="A12" s="46" t="s">
        <v>13</v>
      </c>
      <c r="B12" s="133" t="s">
        <v>14</v>
      </c>
      <c r="C12" s="46"/>
      <c r="D12" s="46" t="s">
        <v>137</v>
      </c>
      <c r="E12" s="46" t="s">
        <v>138</v>
      </c>
    </row>
    <row r="13" spans="1:5" ht="13" x14ac:dyDescent="0.3">
      <c r="A13" s="48"/>
      <c r="B13" s="48"/>
      <c r="C13" s="48"/>
      <c r="D13" s="48"/>
      <c r="E13" s="134"/>
    </row>
    <row r="14" spans="1:5" ht="13" x14ac:dyDescent="0.3">
      <c r="A14" s="134">
        <v>1</v>
      </c>
      <c r="B14" s="47" t="s">
        <v>15</v>
      </c>
      <c r="C14" s="48"/>
      <c r="D14" s="48"/>
      <c r="E14" s="49">
        <v>7.1970000000000003E-3</v>
      </c>
    </row>
    <row r="15" spans="1:5" ht="14.5" x14ac:dyDescent="0.35">
      <c r="A15" s="296">
        <v>2</v>
      </c>
      <c r="B15" s="297" t="s">
        <v>16</v>
      </c>
      <c r="C15" s="296"/>
      <c r="D15" s="296"/>
      <c r="E15" s="298">
        <v>4.0000000000000001E-3</v>
      </c>
    </row>
    <row r="16" spans="1:5" ht="13" x14ac:dyDescent="0.3">
      <c r="A16" s="134">
        <v>3</v>
      </c>
      <c r="B16" s="47" t="str">
        <f>"STATE UTILITY TAX - NET OF BAD DEBTS ( "&amp;D16*100&amp;"% - ( LINE 1 * "&amp;D16*100&amp;"%) )"</f>
        <v>STATE UTILITY TAX - NET OF BAD DEBTS ( 3.8734% - ( LINE 1 * 3.8734%) )</v>
      </c>
      <c r="C16" s="48"/>
      <c r="D16" s="135">
        <v>3.8733999999999998E-2</v>
      </c>
      <c r="E16" s="50">
        <f>ROUND(D16-(D16*E14),6)</f>
        <v>3.8455000000000003E-2</v>
      </c>
    </row>
    <row r="17" spans="1:5" ht="13" x14ac:dyDescent="0.3">
      <c r="A17" s="134">
        <v>4</v>
      </c>
      <c r="B17" s="47"/>
      <c r="C17" s="48"/>
      <c r="D17" s="134"/>
      <c r="E17" s="51"/>
    </row>
    <row r="18" spans="1:5" ht="13" x14ac:dyDescent="0.3">
      <c r="A18" s="134">
        <v>5</v>
      </c>
      <c r="B18" s="47" t="s">
        <v>17</v>
      </c>
      <c r="C18" s="48"/>
      <c r="D18" s="134"/>
      <c r="E18" s="49">
        <f>ROUND(SUM(E14:E16),6)</f>
        <v>4.9652000000000002E-2</v>
      </c>
    </row>
    <row r="19" spans="1:5" ht="13" x14ac:dyDescent="0.3">
      <c r="A19" s="134">
        <v>6</v>
      </c>
      <c r="B19" s="48"/>
      <c r="C19" s="48"/>
      <c r="D19" s="134"/>
      <c r="E19" s="49"/>
    </row>
    <row r="20" spans="1:5" ht="13" x14ac:dyDescent="0.3">
      <c r="A20" s="134">
        <v>7</v>
      </c>
      <c r="B20" s="48" t="s">
        <v>139</v>
      </c>
      <c r="C20" s="48"/>
      <c r="D20" s="134"/>
      <c r="E20" s="49">
        <f>ROUND(1-E18,6)</f>
        <v>0.95034799999999997</v>
      </c>
    </row>
    <row r="21" spans="1:5" ht="13" x14ac:dyDescent="0.3">
      <c r="A21" s="134">
        <v>8</v>
      </c>
      <c r="B21" s="47" t="s">
        <v>140</v>
      </c>
      <c r="C21" s="48"/>
      <c r="D21" s="136">
        <v>0.21</v>
      </c>
      <c r="E21" s="49">
        <f>ROUND((E20)*D21,6)</f>
        <v>0.199573</v>
      </c>
    </row>
    <row r="22" spans="1:5" ht="13" x14ac:dyDescent="0.3">
      <c r="A22" s="134">
        <v>9</v>
      </c>
      <c r="B22" s="47" t="s">
        <v>141</v>
      </c>
      <c r="C22" s="48"/>
      <c r="D22" s="48"/>
      <c r="E22" s="137">
        <f>ROUND(1-E21-E18,6)</f>
        <v>0.75077499999999997</v>
      </c>
    </row>
    <row r="23" spans="1:5" ht="13" x14ac:dyDescent="0.3">
      <c r="A23" s="48"/>
      <c r="B23" s="48"/>
      <c r="C23" s="48"/>
      <c r="D23" s="48"/>
      <c r="E23" s="134"/>
    </row>
    <row r="26" spans="1:5" x14ac:dyDescent="0.25">
      <c r="E26" s="138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zoomScale="110" zoomScaleNormal="110" workbookViewId="0">
      <selection activeCell="B27" sqref="B27"/>
    </sheetView>
  </sheetViews>
  <sheetFormatPr defaultColWidth="9.1796875" defaultRowHeight="12.5" x14ac:dyDescent="0.25"/>
  <cols>
    <col min="1" max="1" width="5.453125" style="132" customWidth="1"/>
    <col min="2" max="2" width="63.1796875" style="132" bestFit="1" customWidth="1"/>
    <col min="3" max="3" width="3.453125" style="132" customWidth="1"/>
    <col min="4" max="4" width="10" style="132" bestFit="1" customWidth="1"/>
    <col min="5" max="5" width="18.1796875" style="132" customWidth="1"/>
    <col min="6" max="16384" width="9.1796875" style="132"/>
  </cols>
  <sheetData>
    <row r="2" spans="1:5" ht="14.5" x14ac:dyDescent="0.35">
      <c r="A2" s="141" t="s">
        <v>148</v>
      </c>
      <c r="B2" s="141" t="s">
        <v>147</v>
      </c>
      <c r="C2" s="141"/>
      <c r="D2" s="141"/>
      <c r="E2" s="141"/>
    </row>
    <row r="3" spans="1:5" ht="14.5" x14ac:dyDescent="0.35">
      <c r="A3" s="131"/>
      <c r="B3" s="142"/>
      <c r="C3" s="142"/>
      <c r="D3"/>
      <c r="E3"/>
    </row>
    <row r="4" spans="1:5" ht="13" x14ac:dyDescent="0.3">
      <c r="A4" s="139"/>
      <c r="B4" s="139" t="s">
        <v>143</v>
      </c>
      <c r="C4" s="139"/>
      <c r="D4" s="143"/>
      <c r="E4" s="143"/>
    </row>
    <row r="5" spans="1:5" ht="13" x14ac:dyDescent="0.3">
      <c r="A5" s="139"/>
      <c r="B5" s="139" t="s">
        <v>144</v>
      </c>
      <c r="C5" s="139"/>
      <c r="D5" s="143"/>
      <c r="E5" s="143"/>
    </row>
    <row r="6" spans="1:5" ht="13" x14ac:dyDescent="0.3">
      <c r="A6" s="139"/>
      <c r="B6" s="139" t="s">
        <v>136</v>
      </c>
      <c r="C6" s="139"/>
      <c r="D6" s="143"/>
      <c r="E6" s="143"/>
    </row>
    <row r="7" spans="1:5" ht="13" x14ac:dyDescent="0.3">
      <c r="A7" s="139"/>
      <c r="B7" s="139" t="s">
        <v>145</v>
      </c>
      <c r="C7" s="139"/>
      <c r="D7" s="143"/>
      <c r="E7" s="143"/>
    </row>
    <row r="8" spans="1:5" ht="13" x14ac:dyDescent="0.3">
      <c r="A8" s="139"/>
      <c r="B8" s="139" t="s">
        <v>146</v>
      </c>
      <c r="C8" s="139"/>
      <c r="D8" s="143"/>
      <c r="E8" s="143"/>
    </row>
    <row r="9" spans="1:5" ht="13" x14ac:dyDescent="0.3">
      <c r="A9" s="140"/>
      <c r="B9" s="140" t="s">
        <v>11</v>
      </c>
      <c r="C9" s="140"/>
      <c r="D9" s="140"/>
      <c r="E9" s="140"/>
    </row>
    <row r="10" spans="1:5" ht="13" x14ac:dyDescent="0.3">
      <c r="A10" s="140"/>
      <c r="B10" s="140"/>
      <c r="C10" s="140"/>
      <c r="D10" s="140"/>
      <c r="E10" s="140"/>
    </row>
    <row r="11" spans="1:5" ht="13" x14ac:dyDescent="0.3">
      <c r="A11" s="45" t="s">
        <v>12</v>
      </c>
      <c r="B11" s="45"/>
      <c r="C11" s="45"/>
      <c r="D11" s="45"/>
      <c r="E11" s="45"/>
    </row>
    <row r="12" spans="1:5" ht="13" x14ac:dyDescent="0.3">
      <c r="A12" s="46" t="s">
        <v>13</v>
      </c>
      <c r="B12" s="133" t="s">
        <v>14</v>
      </c>
      <c r="C12" s="46"/>
      <c r="D12" s="46" t="s">
        <v>137</v>
      </c>
      <c r="E12" s="46" t="s">
        <v>138</v>
      </c>
    </row>
    <row r="13" spans="1:5" ht="13" x14ac:dyDescent="0.3">
      <c r="A13" s="48"/>
      <c r="B13" s="48"/>
      <c r="C13" s="48"/>
      <c r="D13" s="48"/>
      <c r="E13" s="134"/>
    </row>
    <row r="14" spans="1:5" ht="13" x14ac:dyDescent="0.3">
      <c r="A14" s="134">
        <v>1</v>
      </c>
      <c r="B14" s="47" t="s">
        <v>15</v>
      </c>
      <c r="C14" s="48"/>
      <c r="D14" s="48"/>
      <c r="E14" s="49">
        <v>4.1980000000000003E-3</v>
      </c>
    </row>
    <row r="15" spans="1:5" ht="14.5" x14ac:dyDescent="0.35">
      <c r="A15" s="296">
        <v>2</v>
      </c>
      <c r="B15" s="297" t="s">
        <v>16</v>
      </c>
      <c r="C15" s="296"/>
      <c r="D15" s="296"/>
      <c r="E15" s="298">
        <v>4.0000000000000001E-3</v>
      </c>
    </row>
    <row r="16" spans="1:5" ht="13" x14ac:dyDescent="0.3">
      <c r="A16" s="134">
        <v>3</v>
      </c>
      <c r="B16" s="47" t="str">
        <f>"STATE UTILITY TAX - NET OF BAD DEBTS ( "&amp;D16*100&amp;"% - ( LINE 1 * "&amp;D16*100&amp;"%) )"</f>
        <v>STATE UTILITY TAX - NET OF BAD DEBTS ( 3.852% - ( LINE 1 * 3.852%) )</v>
      </c>
      <c r="C16" s="48"/>
      <c r="D16" s="135">
        <v>3.8519999999999999E-2</v>
      </c>
      <c r="E16" s="50">
        <f>ROUND(D16-(D16*E14),6)</f>
        <v>3.8358000000000003E-2</v>
      </c>
    </row>
    <row r="17" spans="1:5" ht="13" x14ac:dyDescent="0.3">
      <c r="A17" s="134">
        <v>4</v>
      </c>
      <c r="B17" s="47"/>
      <c r="C17" s="48"/>
      <c r="D17" s="134"/>
      <c r="E17" s="51"/>
    </row>
    <row r="18" spans="1:5" ht="13" x14ac:dyDescent="0.3">
      <c r="A18" s="134">
        <v>5</v>
      </c>
      <c r="B18" s="47" t="s">
        <v>17</v>
      </c>
      <c r="C18" s="48"/>
      <c r="D18" s="134"/>
      <c r="E18" s="49">
        <f>ROUND(SUM(E14:E16),6)</f>
        <v>4.6556E-2</v>
      </c>
    </row>
    <row r="19" spans="1:5" ht="13" x14ac:dyDescent="0.3">
      <c r="A19" s="134">
        <v>6</v>
      </c>
      <c r="B19" s="48"/>
      <c r="C19" s="48"/>
      <c r="D19" s="134"/>
      <c r="E19" s="49"/>
    </row>
    <row r="20" spans="1:5" ht="13" x14ac:dyDescent="0.3">
      <c r="A20" s="134">
        <v>7</v>
      </c>
      <c r="B20" s="48" t="s">
        <v>139</v>
      </c>
      <c r="C20" s="48"/>
      <c r="D20" s="134"/>
      <c r="E20" s="49">
        <f>ROUND(1-E18,6)</f>
        <v>0.95344399999999996</v>
      </c>
    </row>
    <row r="21" spans="1:5" ht="13" x14ac:dyDescent="0.3">
      <c r="A21" s="134">
        <v>8</v>
      </c>
      <c r="B21" s="47" t="s">
        <v>142</v>
      </c>
      <c r="C21" s="48"/>
      <c r="D21" s="136">
        <v>0.21</v>
      </c>
      <c r="E21" s="49">
        <f>ROUND((E20)*D21,6)</f>
        <v>0.20022300000000001</v>
      </c>
    </row>
    <row r="22" spans="1:5" ht="13" x14ac:dyDescent="0.3">
      <c r="A22" s="134">
        <v>9</v>
      </c>
      <c r="B22" s="47" t="s">
        <v>141</v>
      </c>
      <c r="C22" s="48"/>
      <c r="D22" s="48"/>
      <c r="E22" s="137">
        <f>ROUND(1-E21-E18,6)</f>
        <v>0.75322100000000003</v>
      </c>
    </row>
    <row r="23" spans="1:5" ht="13" x14ac:dyDescent="0.3">
      <c r="A23" s="48"/>
      <c r="B23" s="48"/>
      <c r="C23" s="48"/>
      <c r="D23" s="48"/>
      <c r="E23" s="134"/>
    </row>
    <row r="26" spans="1:5" x14ac:dyDescent="0.25">
      <c r="E26" s="138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F36" sqref="F36"/>
    </sheetView>
  </sheetViews>
  <sheetFormatPr defaultColWidth="9.1796875" defaultRowHeight="14.5" x14ac:dyDescent="0.35"/>
  <cols>
    <col min="1" max="16384" width="9.1796875" style="2"/>
  </cols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0"/>
  <sheetViews>
    <sheetView zoomScaleNormal="100" workbookViewId="0">
      <pane xSplit="2" ySplit="4" topLeftCell="C5" activePane="bottomRight" state="frozen"/>
      <selection activeCell="N23" sqref="N23"/>
      <selection pane="topRight" activeCell="N23" sqref="N23"/>
      <selection pane="bottomLeft" activeCell="N23" sqref="N23"/>
      <selection pane="bottomRight" activeCell="K24" sqref="K24"/>
    </sheetView>
  </sheetViews>
  <sheetFormatPr defaultColWidth="9.1796875" defaultRowHeight="14.5" x14ac:dyDescent="0.35"/>
  <cols>
    <col min="1" max="1" width="5.1796875" style="68" customWidth="1"/>
    <col min="2" max="2" width="66" style="2" customWidth="1"/>
    <col min="3" max="3" width="17.81640625" style="12" bestFit="1" customWidth="1"/>
    <col min="4" max="4" width="14" style="2" bestFit="1" customWidth="1"/>
    <col min="5" max="5" width="13.1796875" style="2" bestFit="1" customWidth="1"/>
    <col min="6" max="6" width="14" style="2" customWidth="1"/>
    <col min="7" max="7" width="3.81640625" style="2" customWidth="1"/>
    <col min="8" max="9" width="16.1796875" style="2" bestFit="1" customWidth="1"/>
    <col min="10" max="10" width="14.54296875" style="2" bestFit="1" customWidth="1"/>
    <col min="11" max="11" width="9.1796875" style="2"/>
    <col min="12" max="12" width="17.453125" style="2" bestFit="1" customWidth="1"/>
    <col min="13" max="14" width="12.1796875" style="2" bestFit="1" customWidth="1"/>
    <col min="15" max="15" width="17.1796875" style="2" bestFit="1" customWidth="1"/>
    <col min="16" max="16" width="9.1796875" style="2"/>
    <col min="17" max="17" width="12.1796875" style="2" bestFit="1" customWidth="1"/>
    <col min="18" max="19" width="9.1796875" style="2"/>
    <col min="20" max="20" width="16.1796875" style="2" bestFit="1" customWidth="1"/>
    <col min="21" max="16384" width="9.1796875" style="2"/>
  </cols>
  <sheetData>
    <row r="1" spans="1:10" ht="18.5" x14ac:dyDescent="0.45">
      <c r="A1" s="130" t="s">
        <v>149</v>
      </c>
      <c r="B1" s="129"/>
      <c r="C1" s="11"/>
    </row>
    <row r="2" spans="1:10" ht="18.5" x14ac:dyDescent="0.45">
      <c r="B2" s="10"/>
      <c r="C2" s="11"/>
    </row>
    <row r="3" spans="1:10" x14ac:dyDescent="0.35">
      <c r="D3" s="13" t="s">
        <v>19</v>
      </c>
      <c r="E3" s="14"/>
      <c r="F3" s="15"/>
      <c r="H3" s="13" t="s">
        <v>20</v>
      </c>
      <c r="I3" s="15"/>
      <c r="J3" s="15"/>
    </row>
    <row r="4" spans="1:10" x14ac:dyDescent="0.35">
      <c r="D4" s="16" t="s">
        <v>0</v>
      </c>
      <c r="E4" s="16" t="s">
        <v>1</v>
      </c>
      <c r="F4" s="16" t="s">
        <v>2</v>
      </c>
      <c r="H4" s="16" t="s">
        <v>0</v>
      </c>
      <c r="I4" s="16" t="s">
        <v>1</v>
      </c>
      <c r="J4" s="16" t="s">
        <v>2</v>
      </c>
    </row>
    <row r="5" spans="1:10" x14ac:dyDescent="0.35">
      <c r="H5" s="2">
        <v>0.95034799999999997</v>
      </c>
      <c r="I5" s="2">
        <v>0.95344399999999996</v>
      </c>
    </row>
    <row r="6" spans="1:10" x14ac:dyDescent="0.35">
      <c r="A6" s="68">
        <f>ROW()</f>
        <v>6</v>
      </c>
      <c r="B6" s="2" t="s">
        <v>150</v>
      </c>
      <c r="C6" s="18"/>
      <c r="D6" s="184">
        <v>44476425.825052522</v>
      </c>
      <c r="E6" s="184">
        <v>20401723.722461723</v>
      </c>
      <c r="F6" s="184">
        <f>SUM(D6:E6)</f>
        <v>64878149.547514245</v>
      </c>
      <c r="G6" s="129"/>
      <c r="H6" s="185">
        <v>46800146.709471188</v>
      </c>
      <c r="I6" s="185">
        <v>21397925.544092495</v>
      </c>
      <c r="J6" s="184">
        <f>SUM(H6:I6)</f>
        <v>68198072.253563687</v>
      </c>
    </row>
    <row r="7" spans="1:10" x14ac:dyDescent="0.35">
      <c r="A7" s="68">
        <f>ROW()</f>
        <v>7</v>
      </c>
      <c r="H7" s="144"/>
      <c r="I7" s="144"/>
    </row>
    <row r="8" spans="1:10" x14ac:dyDescent="0.35">
      <c r="A8" s="68">
        <f>ROW()</f>
        <v>8</v>
      </c>
      <c r="B8" s="2" t="s">
        <v>3</v>
      </c>
      <c r="E8" s="26"/>
    </row>
    <row r="9" spans="1:10" x14ac:dyDescent="0.35">
      <c r="A9" s="68">
        <f>ROW()</f>
        <v>9</v>
      </c>
      <c r="B9" s="17" t="s">
        <v>151</v>
      </c>
      <c r="C9" s="26"/>
      <c r="D9" s="3">
        <v>35309737.004852846</v>
      </c>
      <c r="E9" s="3">
        <v>17626062.637631837</v>
      </c>
      <c r="F9" s="3">
        <f>SUM(D9:E9)</f>
        <v>52935799.64248468</v>
      </c>
      <c r="H9" s="4">
        <f>D9/$H$5</f>
        <v>37154533.923207968</v>
      </c>
      <c r="I9" s="4">
        <f>E9/$I$5</f>
        <v>18486730.880504612</v>
      </c>
      <c r="J9" s="3">
        <f>SUM(H9:I9)</f>
        <v>55641264.803712577</v>
      </c>
    </row>
    <row r="10" spans="1:10" x14ac:dyDescent="0.35">
      <c r="A10" s="68">
        <f>ROW()</f>
        <v>10</v>
      </c>
      <c r="B10" s="17" t="s">
        <v>150</v>
      </c>
      <c r="C10" s="18" t="s">
        <v>153</v>
      </c>
      <c r="D10" s="3">
        <f>D6</f>
        <v>44476425.825052522</v>
      </c>
      <c r="E10" s="3">
        <f>E6</f>
        <v>20401723.722461723</v>
      </c>
      <c r="F10" s="3">
        <f>SUM(D10:E10)</f>
        <v>64878149.547514245</v>
      </c>
      <c r="H10" s="4">
        <f>H6</f>
        <v>46800146.709471188</v>
      </c>
      <c r="I10" s="4">
        <f>I6</f>
        <v>21397925.544092495</v>
      </c>
      <c r="J10" s="3">
        <f>SUM(H10:I10)</f>
        <v>68198072.253563687</v>
      </c>
    </row>
    <row r="11" spans="1:10" x14ac:dyDescent="0.35">
      <c r="A11" s="68">
        <f>ROW()</f>
        <v>11</v>
      </c>
      <c r="B11" s="2" t="s">
        <v>157</v>
      </c>
      <c r="D11" s="3">
        <v>-760665.17568123667</v>
      </c>
      <c r="E11" s="128">
        <v>162406.85716641782</v>
      </c>
      <c r="F11" s="3">
        <f>SUM(D11:E11)</f>
        <v>-598258.31851481879</v>
      </c>
      <c r="H11" s="4">
        <f>D11/$H$5</f>
        <v>-800406.98321166215</v>
      </c>
      <c r="I11" s="4">
        <f>E11/$I$5</f>
        <v>170337.06978744199</v>
      </c>
      <c r="J11" s="3">
        <f>SUM(H11:I11)</f>
        <v>-630069.91342422017</v>
      </c>
    </row>
    <row r="12" spans="1:10" x14ac:dyDescent="0.35">
      <c r="A12" s="68">
        <f>ROW()</f>
        <v>12</v>
      </c>
      <c r="B12" s="2" t="s">
        <v>167</v>
      </c>
      <c r="D12" s="3">
        <v>-7445853.3400000036</v>
      </c>
      <c r="E12" s="128">
        <v>-4007686.1900000013</v>
      </c>
      <c r="F12" s="3">
        <f t="shared" ref="F12:F13" si="0">SUM(D12:E12)</f>
        <v>-11453539.530000005</v>
      </c>
      <c r="H12" s="4">
        <f>D12/H5</f>
        <v>-7834870.3211876107</v>
      </c>
      <c r="I12" s="4">
        <f>E12/I5</f>
        <v>-4203378.6882082233</v>
      </c>
      <c r="J12" s="3">
        <f t="shared" ref="J12:J13" si="1">SUM(H12:I12)</f>
        <v>-12038249.009395834</v>
      </c>
    </row>
    <row r="13" spans="1:10" x14ac:dyDescent="0.35">
      <c r="A13" s="68">
        <f>ROW()</f>
        <v>13</v>
      </c>
      <c r="B13" s="17" t="s">
        <v>152</v>
      </c>
      <c r="D13" s="3">
        <v>1060751.3807328399</v>
      </c>
      <c r="E13" s="128">
        <v>44938.569595496061</v>
      </c>
      <c r="F13" s="3">
        <f t="shared" si="0"/>
        <v>1105689.9503283361</v>
      </c>
      <c r="H13" s="4">
        <f>D13/H5</f>
        <v>1116171.5295163877</v>
      </c>
      <c r="I13" s="186">
        <f>E13/I5</f>
        <v>47132.888345299842</v>
      </c>
      <c r="J13" s="3">
        <f t="shared" si="1"/>
        <v>1163304.4178616875</v>
      </c>
    </row>
    <row r="14" spans="1:10" x14ac:dyDescent="0.35">
      <c r="A14" s="68">
        <f>ROW()</f>
        <v>14</v>
      </c>
      <c r="D14" s="5"/>
      <c r="E14" s="5"/>
      <c r="F14" s="5"/>
      <c r="H14" s="19">
        <v>0</v>
      </c>
      <c r="I14" s="19">
        <v>0</v>
      </c>
      <c r="J14" s="20" t="s">
        <v>108</v>
      </c>
    </row>
    <row r="15" spans="1:10" x14ac:dyDescent="0.35">
      <c r="A15" s="68">
        <f>ROW()</f>
        <v>15</v>
      </c>
      <c r="B15" s="2" t="s">
        <v>109</v>
      </c>
      <c r="C15" s="18" t="s">
        <v>169</v>
      </c>
      <c r="D15" s="3">
        <f>D9-D10+D11+D12+D13</f>
        <v>-16312455.955148077</v>
      </c>
      <c r="E15" s="3">
        <f>E9-E10+E11+E12+E13</f>
        <v>-6576001.8480679728</v>
      </c>
      <c r="F15" s="3">
        <f>SUM(D15:E15)</f>
        <v>-22888457.803216048</v>
      </c>
      <c r="H15" s="3">
        <f>H9-H10+H11+H12+H13</f>
        <v>-17164718.561146107</v>
      </c>
      <c r="I15" s="3">
        <f>I9-I10+I11+I12+I13</f>
        <v>-6897103.3936633645</v>
      </c>
      <c r="J15" s="3">
        <f>SUM(H15:I15)</f>
        <v>-24061821.954809472</v>
      </c>
    </row>
    <row r="16" spans="1:10" x14ac:dyDescent="0.35">
      <c r="A16" s="68">
        <f>ROW()</f>
        <v>16</v>
      </c>
      <c r="D16" s="5"/>
      <c r="E16" s="5"/>
      <c r="F16" s="5"/>
      <c r="H16" s="5"/>
      <c r="I16" s="5"/>
      <c r="J16" s="5"/>
    </row>
    <row r="17" spans="1:20" ht="15" thickBot="1" x14ac:dyDescent="0.4">
      <c r="A17" s="68">
        <f>ROW()</f>
        <v>17</v>
      </c>
      <c r="B17" s="2" t="s">
        <v>160</v>
      </c>
      <c r="C17" s="18" t="s">
        <v>170</v>
      </c>
      <c r="D17" s="6">
        <f>D6+D15</f>
        <v>28163969.869904444</v>
      </c>
      <c r="E17" s="6">
        <f>E6+E15</f>
        <v>13825721.87439375</v>
      </c>
      <c r="F17" s="6">
        <f>SUM(D17:E17)</f>
        <v>41989691.74429819</v>
      </c>
      <c r="H17" s="6">
        <f>H6+H15</f>
        <v>29635428.148325082</v>
      </c>
      <c r="I17" s="6">
        <f>I6+I15</f>
        <v>14500822.15042913</v>
      </c>
      <c r="J17" s="6">
        <f>SUM(H17:I17)</f>
        <v>44136250.298754215</v>
      </c>
    </row>
    <row r="18" spans="1:20" ht="15" thickTop="1" x14ac:dyDescent="0.35">
      <c r="A18" s="68">
        <f>ROW()</f>
        <v>18</v>
      </c>
    </row>
    <row r="19" spans="1:20" x14ac:dyDescent="0.35">
      <c r="A19" s="68">
        <f>ROW()</f>
        <v>19</v>
      </c>
    </row>
    <row r="20" spans="1:20" x14ac:dyDescent="0.35">
      <c r="A20" s="68">
        <f>ROW()</f>
        <v>20</v>
      </c>
      <c r="B20" s="2" t="s">
        <v>4</v>
      </c>
      <c r="C20" s="18" t="s">
        <v>171</v>
      </c>
      <c r="D20" s="4">
        <f>D17-D21</f>
        <v>38407473.018959478</v>
      </c>
      <c r="E20" s="4">
        <f>E17-E21</f>
        <v>15846707.810724655</v>
      </c>
      <c r="F20" s="4">
        <f>SUM(D20:E20)</f>
        <v>54254180.829684131</v>
      </c>
      <c r="H20" s="4">
        <f>D20/H5</f>
        <v>40414114.639015898</v>
      </c>
      <c r="I20" s="4">
        <f>E20/I5</f>
        <v>16620491.408750441</v>
      </c>
      <c r="J20" s="4">
        <f>SUM(H20:I20)</f>
        <v>57034606.047766343</v>
      </c>
      <c r="O20" s="145"/>
    </row>
    <row r="21" spans="1:20" x14ac:dyDescent="0.35">
      <c r="A21" s="68">
        <f>ROW()</f>
        <v>21</v>
      </c>
      <c r="B21" s="2" t="s">
        <v>161</v>
      </c>
      <c r="C21" s="26"/>
      <c r="D21" s="3">
        <v>-10243503.149055036</v>
      </c>
      <c r="E21" s="3">
        <v>-2020985.9363309052</v>
      </c>
      <c r="F21" s="3">
        <f>SUM(D21:E21)</f>
        <v>-12264489.085385941</v>
      </c>
      <c r="H21" s="1">
        <f>D21/$H$5</f>
        <v>-10778686.490690816</v>
      </c>
      <c r="I21" s="1">
        <f>E21/$I$5</f>
        <v>-2119669.2583213123</v>
      </c>
      <c r="J21" s="3">
        <f>SUM(H21:I21)</f>
        <v>-12898355.749012128</v>
      </c>
    </row>
    <row r="22" spans="1:20" x14ac:dyDescent="0.35">
      <c r="A22" s="68">
        <f>ROW()</f>
        <v>22</v>
      </c>
      <c r="D22" s="5"/>
      <c r="E22" s="5"/>
      <c r="F22" s="5"/>
      <c r="H22" s="5"/>
      <c r="I22" s="5"/>
      <c r="J22" s="5"/>
    </row>
    <row r="23" spans="1:20" ht="15" thickBot="1" x14ac:dyDescent="0.4">
      <c r="A23" s="68">
        <f>ROW()</f>
        <v>23</v>
      </c>
      <c r="B23" s="2" t="s">
        <v>18</v>
      </c>
      <c r="C23" s="18" t="s">
        <v>172</v>
      </c>
      <c r="D23" s="6">
        <f>SUM(D20:D21)</f>
        <v>28163969.869904444</v>
      </c>
      <c r="E23" s="6">
        <f>SUM(E20:E22)</f>
        <v>13825721.87439375</v>
      </c>
      <c r="F23" s="6">
        <f>SUM(D23:E23)</f>
        <v>41989691.74429819</v>
      </c>
      <c r="H23" s="6">
        <f>SUM(H20:H21)</f>
        <v>29635428.148325082</v>
      </c>
      <c r="I23" s="6">
        <f>SUM(I20:I21)</f>
        <v>14500822.15042913</v>
      </c>
      <c r="J23" s="6">
        <f>SUM(H23:I23)</f>
        <v>44136250.298754215</v>
      </c>
    </row>
    <row r="24" spans="1:20" ht="15" thickTop="1" x14ac:dyDescent="0.35">
      <c r="A24" s="68">
        <f>ROW()</f>
        <v>24</v>
      </c>
    </row>
    <row r="25" spans="1:20" x14ac:dyDescent="0.35">
      <c r="A25" s="68">
        <f>ROW()</f>
        <v>25</v>
      </c>
      <c r="D25" s="4"/>
      <c r="E25" s="4"/>
      <c r="F25" s="4"/>
    </row>
    <row r="26" spans="1:20" x14ac:dyDescent="0.35">
      <c r="A26" s="68">
        <f>ROW()</f>
        <v>26</v>
      </c>
      <c r="B26" s="2" t="s">
        <v>162</v>
      </c>
    </row>
    <row r="27" spans="1:20" x14ac:dyDescent="0.35">
      <c r="A27" s="68">
        <f>ROW()</f>
        <v>27</v>
      </c>
      <c r="B27" s="17" t="s">
        <v>5</v>
      </c>
      <c r="D27" s="3">
        <v>-14040822.995147154</v>
      </c>
      <c r="E27" s="3">
        <v>-3297258.3623681627</v>
      </c>
      <c r="F27" s="3">
        <f>SUM(D27:E27)</f>
        <v>-17338081.357515316</v>
      </c>
      <c r="H27" s="1">
        <v>-14774401.582522564</v>
      </c>
      <c r="I27" s="1">
        <v>-3458261.1693693213</v>
      </c>
      <c r="J27" s="3">
        <f>SUM(H27:I27)</f>
        <v>-18232662.751891885</v>
      </c>
      <c r="N27" s="4"/>
    </row>
    <row r="28" spans="1:20" x14ac:dyDescent="0.35">
      <c r="A28" s="68">
        <f>ROW()</f>
        <v>28</v>
      </c>
      <c r="B28" s="17" t="s">
        <v>6</v>
      </c>
      <c r="D28" s="3">
        <v>2971738.9992662389</v>
      </c>
      <c r="E28" s="3">
        <v>752356.13470469019</v>
      </c>
      <c r="F28" s="3">
        <f>SUM(D28:E28)</f>
        <v>3724095.1339709293</v>
      </c>
      <c r="H28" s="3">
        <v>3127000.8452337869</v>
      </c>
      <c r="I28" s="3">
        <v>789093.15565957758</v>
      </c>
      <c r="J28" s="3">
        <f>SUM(H28:I28)</f>
        <v>3916094.0008933647</v>
      </c>
      <c r="O28" s="145"/>
    </row>
    <row r="29" spans="1:20" x14ac:dyDescent="0.35">
      <c r="A29" s="68">
        <f>ROW()</f>
        <v>29</v>
      </c>
      <c r="B29" s="17" t="s">
        <v>168</v>
      </c>
      <c r="D29" s="3">
        <f>D12</f>
        <v>-7445853.3400000036</v>
      </c>
      <c r="E29" s="3">
        <f>E12</f>
        <v>-4007686.1900000013</v>
      </c>
      <c r="F29" s="3">
        <f>SUM(D29:E29)</f>
        <v>-11453539.530000005</v>
      </c>
      <c r="H29" s="3">
        <f>H12</f>
        <v>-7834870.3211876107</v>
      </c>
      <c r="I29" s="3">
        <f>I12</f>
        <v>-4203378.6882082233</v>
      </c>
      <c r="J29" s="3">
        <f>SUM(H29:I29)</f>
        <v>-12038249.009395834</v>
      </c>
      <c r="O29" s="145"/>
    </row>
    <row r="30" spans="1:20" x14ac:dyDescent="0.35">
      <c r="A30" s="68">
        <f>ROW()</f>
        <v>30</v>
      </c>
      <c r="B30" s="17" t="s">
        <v>152</v>
      </c>
      <c r="D30" s="3">
        <f>D13</f>
        <v>1060751.3807328399</v>
      </c>
      <c r="E30" s="3">
        <f>E13</f>
        <v>44938.569595496061</v>
      </c>
      <c r="F30" s="3">
        <f>SUM(D30:E30)</f>
        <v>1105689.9503283361</v>
      </c>
      <c r="H30" s="1">
        <f>D30/H5</f>
        <v>1116171.5295163877</v>
      </c>
      <c r="I30" s="1">
        <f>E30/I5</f>
        <v>47132.888345299842</v>
      </c>
      <c r="J30" s="3">
        <f>SUM(H30:I30)</f>
        <v>1163304.4178616875</v>
      </c>
    </row>
    <row r="31" spans="1:20" x14ac:dyDescent="0.35">
      <c r="A31" s="68">
        <f>ROW()</f>
        <v>31</v>
      </c>
      <c r="B31" s="17" t="s">
        <v>156</v>
      </c>
      <c r="D31" s="3">
        <v>1141730</v>
      </c>
      <c r="E31" s="3">
        <v>-68352</v>
      </c>
      <c r="F31" s="3">
        <f>SUM(D31:E31)</f>
        <v>1073378</v>
      </c>
      <c r="H31" s="1">
        <f>D31/H5</f>
        <v>1201380.9678138955</v>
      </c>
      <c r="I31" s="1">
        <f>E31/I5</f>
        <v>-71689.580090702759</v>
      </c>
      <c r="J31" s="3">
        <f>SUM(H31:I31)</f>
        <v>1129691.3877231928</v>
      </c>
    </row>
    <row r="32" spans="1:20" ht="15" thickBot="1" x14ac:dyDescent="0.4">
      <c r="A32" s="68">
        <f>ROW()</f>
        <v>32</v>
      </c>
      <c r="B32" s="2" t="s">
        <v>159</v>
      </c>
      <c r="D32" s="21">
        <f>SUM(D27:D31)</f>
        <v>-16312455.955148079</v>
      </c>
      <c r="E32" s="21">
        <f>SUM(E27:E31)</f>
        <v>-6576001.8480679775</v>
      </c>
      <c r="F32" s="21">
        <f>SUM(F27:F31)</f>
        <v>-22888457.803216055</v>
      </c>
      <c r="H32" s="21">
        <f>SUM(H27:H31)</f>
        <v>-17164718.561146107</v>
      </c>
      <c r="I32" s="21">
        <f>SUM(I27:I31)</f>
        <v>-6897103.3936633691</v>
      </c>
      <c r="J32" s="21">
        <f>SUM(J27:J31)</f>
        <v>-24061821.954809472</v>
      </c>
      <c r="O32" s="4"/>
      <c r="Q32" s="4"/>
      <c r="T32" s="145"/>
    </row>
    <row r="33" spans="1:20" ht="15" thickTop="1" x14ac:dyDescent="0.35">
      <c r="A33" s="68">
        <f>ROW()</f>
        <v>33</v>
      </c>
      <c r="D33" s="7">
        <f>D32-D15</f>
        <v>0</v>
      </c>
      <c r="E33" s="7">
        <f>E32-E15</f>
        <v>0</v>
      </c>
      <c r="F33" s="7">
        <f>F32-F15</f>
        <v>0</v>
      </c>
      <c r="G33" s="22"/>
      <c r="H33" s="7">
        <f>H32-H15</f>
        <v>0</v>
      </c>
      <c r="I33" s="7">
        <f>I32-I15</f>
        <v>0</v>
      </c>
      <c r="J33" s="7">
        <f>J32-J15</f>
        <v>0</v>
      </c>
    </row>
    <row r="34" spans="1:20" x14ac:dyDescent="0.35">
      <c r="A34" s="68">
        <f>ROW()</f>
        <v>34</v>
      </c>
      <c r="D34" s="1"/>
      <c r="E34" s="1"/>
      <c r="H34" s="4"/>
      <c r="I34" s="4"/>
      <c r="J34" s="4"/>
      <c r="T34" s="146"/>
    </row>
    <row r="35" spans="1:20" x14ac:dyDescent="0.35">
      <c r="A35" s="68">
        <f>ROW()</f>
        <v>35</v>
      </c>
      <c r="B35" s="23" t="s">
        <v>62</v>
      </c>
      <c r="C35" s="18"/>
      <c r="H35" s="52">
        <f>H32/H6</f>
        <v>-0.36676634087714072</v>
      </c>
      <c r="I35" s="52">
        <f>I32/I6</f>
        <v>-0.32232579646336373</v>
      </c>
    </row>
    <row r="36" spans="1:20" x14ac:dyDescent="0.35">
      <c r="A36" s="68">
        <f>ROW()</f>
        <v>36</v>
      </c>
      <c r="B36" s="23" t="s">
        <v>63</v>
      </c>
      <c r="H36" s="68" t="str">
        <f>IF(ABS(H35)&gt;1%,"yes","no")</f>
        <v>yes</v>
      </c>
      <c r="I36" s="68" t="str">
        <f>IF(ABS(I35)&gt;1%,"yes","no")</f>
        <v>yes</v>
      </c>
    </row>
    <row r="37" spans="1:20" x14ac:dyDescent="0.35">
      <c r="A37" s="68">
        <f>ROW()</f>
        <v>37</v>
      </c>
      <c r="B37" s="24" t="s">
        <v>21</v>
      </c>
    </row>
    <row r="38" spans="1:20" x14ac:dyDescent="0.35">
      <c r="A38" s="68">
        <f>ROW()</f>
        <v>38</v>
      </c>
      <c r="B38" s="24" t="s">
        <v>22</v>
      </c>
    </row>
    <row r="40" spans="1:20" x14ac:dyDescent="0.35">
      <c r="B40" s="25"/>
    </row>
  </sheetData>
  <pageMargins left="0.7" right="0.7" top="0.75" bottom="0.75" header="0.3" footer="0.3"/>
  <pageSetup scale="86" orientation="landscape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B3" sqref="B3"/>
    </sheetView>
  </sheetViews>
  <sheetFormatPr defaultRowHeight="14.5" x14ac:dyDescent="0.35"/>
  <cols>
    <col min="1" max="1" width="17.26953125" customWidth="1"/>
    <col min="2" max="2" width="14.26953125" bestFit="1" customWidth="1"/>
    <col min="3" max="3" width="16.1796875" customWidth="1"/>
    <col min="4" max="4" width="11.54296875" bestFit="1" customWidth="1"/>
    <col min="5" max="5" width="14.26953125" bestFit="1" customWidth="1"/>
    <col min="8" max="8" width="16.54296875" customWidth="1"/>
    <col min="9" max="9" width="15.7265625" bestFit="1" customWidth="1"/>
    <col min="10" max="11" width="12.26953125" customWidth="1"/>
    <col min="12" max="12" width="10.54296875" bestFit="1" customWidth="1"/>
    <col min="13" max="13" width="13.7265625" customWidth="1"/>
    <col min="14" max="15" width="11.54296875" bestFit="1" customWidth="1"/>
  </cols>
  <sheetData>
    <row r="1" spans="1:5" x14ac:dyDescent="0.35">
      <c r="A1" t="s">
        <v>219</v>
      </c>
      <c r="B1" s="1">
        <f>'Sched 140 Tracker Filing'!F11</f>
        <v>31400727</v>
      </c>
      <c r="C1" s="249" t="s">
        <v>218</v>
      </c>
    </row>
    <row r="2" spans="1:5" x14ac:dyDescent="0.35">
      <c r="A2" t="s">
        <v>220</v>
      </c>
      <c r="B2" s="1">
        <f>'Sched 140 Tracker Filing'!F12</f>
        <v>18481999</v>
      </c>
      <c r="C2" s="249" t="s">
        <v>218</v>
      </c>
    </row>
    <row r="3" spans="1:5" x14ac:dyDescent="0.35">
      <c r="A3" t="s">
        <v>8</v>
      </c>
      <c r="B3" s="1">
        <f>'Sched 140 Tracker Filing'!H15</f>
        <v>5409807</v>
      </c>
      <c r="C3" s="249" t="s">
        <v>226</v>
      </c>
      <c r="E3" s="1"/>
    </row>
    <row r="4" spans="1:5" x14ac:dyDescent="0.35">
      <c r="A4" t="s">
        <v>9</v>
      </c>
      <c r="B4" s="1">
        <f>'Sched 140 Tracker Filing'!H16</f>
        <v>547688</v>
      </c>
      <c r="C4" s="249" t="s">
        <v>226</v>
      </c>
      <c r="E4" s="1"/>
    </row>
    <row r="5" spans="1:5" x14ac:dyDescent="0.35">
      <c r="A5" t="s">
        <v>221</v>
      </c>
      <c r="B5" s="1">
        <f>'Sched 140 Tracker Filing'!E11</f>
        <v>66313</v>
      </c>
      <c r="C5" s="249" t="s">
        <v>226</v>
      </c>
    </row>
    <row r="6" spans="1:5" ht="15" thickBot="1" x14ac:dyDescent="0.4">
      <c r="A6" t="s">
        <v>2</v>
      </c>
      <c r="B6" s="274">
        <f>SUM(B1:B5)</f>
        <v>55906534</v>
      </c>
    </row>
    <row r="7" spans="1:5" ht="15" thickTop="1" x14ac:dyDescent="0.35">
      <c r="B7" s="2"/>
    </row>
    <row r="8" spans="1:5" x14ac:dyDescent="0.35">
      <c r="B8" s="2"/>
    </row>
    <row r="9" spans="1:5" x14ac:dyDescent="0.35">
      <c r="B9" s="146">
        <f>SUM(B1,B3:B5)</f>
        <v>37424535</v>
      </c>
      <c r="C9" t="s">
        <v>0</v>
      </c>
    </row>
    <row r="10" spans="1:5" x14ac:dyDescent="0.35">
      <c r="B10" s="146">
        <f>B2</f>
        <v>18481999</v>
      </c>
      <c r="C10" t="s">
        <v>1</v>
      </c>
    </row>
    <row r="11" spans="1:5" ht="15" thickBot="1" x14ac:dyDescent="0.4">
      <c r="B11" s="274">
        <f>SUM(B9:B10)</f>
        <v>55906534</v>
      </c>
    </row>
    <row r="12" spans="1:5" ht="15" thickTop="1" x14ac:dyDescent="0.35">
      <c r="B12" s="146"/>
    </row>
    <row r="13" spans="1:5" x14ac:dyDescent="0.35">
      <c r="B13" s="191"/>
      <c r="C13" s="191"/>
      <c r="D13" s="191"/>
    </row>
    <row r="14" spans="1:5" x14ac:dyDescent="0.35">
      <c r="B14" s="193"/>
    </row>
    <row r="17" spans="1:5" x14ac:dyDescent="0.35">
      <c r="E17" s="191"/>
    </row>
    <row r="20" spans="1:5" x14ac:dyDescent="0.35">
      <c r="A20" s="191"/>
      <c r="B20" s="191"/>
    </row>
    <row r="21" spans="1:5" x14ac:dyDescent="0.35">
      <c r="A21" s="191"/>
      <c r="B21" s="191"/>
      <c r="E21" s="190"/>
    </row>
    <row r="22" spans="1:5" x14ac:dyDescent="0.35">
      <c r="A22" s="191"/>
      <c r="B22" s="191"/>
      <c r="C22" s="191"/>
      <c r="E22" s="190"/>
    </row>
    <row r="23" spans="1:5" x14ac:dyDescent="0.35">
      <c r="A23" s="191"/>
      <c r="B23" s="191"/>
      <c r="E23" s="190"/>
    </row>
    <row r="24" spans="1:5" x14ac:dyDescent="0.35">
      <c r="E24" s="190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"/>
  <sheetViews>
    <sheetView workbookViewId="0">
      <selection activeCell="F20" sqref="F20"/>
    </sheetView>
  </sheetViews>
  <sheetFormatPr defaultRowHeight="14.5" x14ac:dyDescent="0.35"/>
  <cols>
    <col min="1" max="1" width="11.26953125" bestFit="1" customWidth="1"/>
    <col min="2" max="2" width="19" bestFit="1" customWidth="1"/>
    <col min="3" max="3" width="3.453125" customWidth="1"/>
    <col min="4" max="4" width="23.54296875" bestFit="1" customWidth="1"/>
    <col min="5" max="5" width="3.26953125" customWidth="1"/>
    <col min="6" max="6" width="13.453125" bestFit="1" customWidth="1"/>
    <col min="8" max="8" width="14.26953125" bestFit="1" customWidth="1"/>
    <col min="9" max="9" width="11.54296875" bestFit="1" customWidth="1"/>
    <col min="11" max="11" width="15.453125" bestFit="1" customWidth="1"/>
    <col min="13" max="13" width="12.54296875" bestFit="1" customWidth="1"/>
    <col min="15" max="15" width="12.54296875" bestFit="1" customWidth="1"/>
  </cols>
  <sheetData>
    <row r="2" spans="1:8" x14ac:dyDescent="0.35">
      <c r="B2" s="189"/>
    </row>
    <row r="3" spans="1:8" x14ac:dyDescent="0.35">
      <c r="A3" s="253" t="s">
        <v>173</v>
      </c>
      <c r="B3" s="254" t="s">
        <v>224</v>
      </c>
      <c r="C3" s="257"/>
      <c r="D3" s="254" t="s">
        <v>176</v>
      </c>
      <c r="E3" s="2"/>
      <c r="F3" s="2"/>
      <c r="G3" s="2"/>
      <c r="H3" s="2"/>
    </row>
    <row r="4" spans="1:8" x14ac:dyDescent="0.35">
      <c r="A4" s="188">
        <v>23600201</v>
      </c>
      <c r="B4" s="250">
        <f>'Sched 140 Tracker Filing'!C11</f>
        <v>30239617</v>
      </c>
      <c r="C4" s="2"/>
      <c r="D4" s="2" t="s">
        <v>163</v>
      </c>
      <c r="E4" s="2"/>
      <c r="F4" s="2"/>
      <c r="G4" s="2"/>
      <c r="H4" s="2"/>
    </row>
    <row r="5" spans="1:8" x14ac:dyDescent="0.35">
      <c r="A5" s="188">
        <v>23600211</v>
      </c>
      <c r="B5" s="282">
        <f>'Sched 140 Tracker Filing'!B15</f>
        <v>5835345</v>
      </c>
      <c r="C5" s="2"/>
      <c r="D5" s="2" t="s">
        <v>8</v>
      </c>
      <c r="E5" s="2"/>
      <c r="F5" s="2"/>
      <c r="G5" s="2"/>
      <c r="H5" s="2"/>
    </row>
    <row r="6" spans="1:8" x14ac:dyDescent="0.35">
      <c r="A6" s="188">
        <v>23600221</v>
      </c>
      <c r="B6" s="282">
        <f>'Sched 140 Tracker Filing'!B16</f>
        <v>542448</v>
      </c>
      <c r="C6" s="2"/>
      <c r="D6" s="2" t="s">
        <v>9</v>
      </c>
      <c r="E6" s="2"/>
      <c r="F6" s="2"/>
      <c r="G6" s="2"/>
      <c r="H6" s="2"/>
    </row>
    <row r="7" spans="1:8" x14ac:dyDescent="0.35">
      <c r="A7" s="188">
        <v>23600232</v>
      </c>
      <c r="B7" s="252">
        <f>'Sched 140 Tracker Filing'!C12</f>
        <v>17702209</v>
      </c>
      <c r="C7" s="2"/>
      <c r="D7" s="2" t="s">
        <v>164</v>
      </c>
      <c r="E7" s="2"/>
      <c r="F7" s="2"/>
      <c r="G7" s="2"/>
      <c r="H7" s="2"/>
    </row>
    <row r="8" spans="1:8" x14ac:dyDescent="0.35">
      <c r="A8" s="194" t="s">
        <v>165</v>
      </c>
      <c r="B8" s="251">
        <f>SUM(B4:B7)</f>
        <v>54319619</v>
      </c>
      <c r="C8" s="2"/>
      <c r="D8" s="2"/>
      <c r="E8" s="2"/>
      <c r="F8" s="2"/>
      <c r="G8" s="2"/>
      <c r="H8" s="2"/>
    </row>
    <row r="9" spans="1:8" x14ac:dyDescent="0.35">
      <c r="B9" s="2"/>
      <c r="C9" s="2"/>
      <c r="D9" s="2"/>
      <c r="E9" s="2"/>
      <c r="F9" s="2"/>
      <c r="G9" s="2"/>
      <c r="H9" s="2"/>
    </row>
    <row r="10" spans="1:8" x14ac:dyDescent="0.35">
      <c r="B10" s="254" t="s">
        <v>174</v>
      </c>
      <c r="C10" s="254"/>
      <c r="D10" s="254" t="s">
        <v>223</v>
      </c>
      <c r="E10" s="254"/>
      <c r="F10" s="254" t="s">
        <v>175</v>
      </c>
      <c r="G10" s="2"/>
      <c r="H10" s="2"/>
    </row>
    <row r="11" spans="1:8" x14ac:dyDescent="0.35">
      <c r="A11" t="s">
        <v>166</v>
      </c>
      <c r="B11" s="4">
        <f>SUM(B4:B6)</f>
        <v>36617410</v>
      </c>
      <c r="C11" s="4"/>
      <c r="D11" s="184">
        <f>'2024 FINAL Rev Req'!D9</f>
        <v>35309737.004852846</v>
      </c>
      <c r="E11" s="4"/>
      <c r="F11" s="4">
        <f>B11-D11</f>
        <v>1307672.9951471537</v>
      </c>
      <c r="G11" s="2"/>
      <c r="H11" s="2"/>
    </row>
    <row r="12" spans="1:8" x14ac:dyDescent="0.35">
      <c r="A12" t="s">
        <v>1</v>
      </c>
      <c r="B12" s="252">
        <f>B7</f>
        <v>17702209</v>
      </c>
      <c r="C12" s="4"/>
      <c r="D12" s="252">
        <f>'2024 FINAL Rev Req'!E9</f>
        <v>17626062.637631837</v>
      </c>
      <c r="E12" s="4"/>
      <c r="F12" s="252">
        <f>B12-D12</f>
        <v>76146.362368162721</v>
      </c>
      <c r="G12" s="2"/>
      <c r="H12" s="2"/>
    </row>
    <row r="13" spans="1:8" ht="16" x14ac:dyDescent="0.5">
      <c r="B13" s="4">
        <f>SUM(B11:B12)</f>
        <v>54319619</v>
      </c>
      <c r="C13" s="2"/>
      <c r="D13" s="4">
        <f>SUM(D11:D12)</f>
        <v>52935799.64248468</v>
      </c>
      <c r="E13" s="2"/>
      <c r="F13" s="279">
        <f>SUM(F11:F12)</f>
        <v>1383819.3575153165</v>
      </c>
      <c r="G13" s="2"/>
      <c r="H13" s="2"/>
    </row>
    <row r="14" spans="1:8" x14ac:dyDescent="0.35">
      <c r="A14" s="255" t="s">
        <v>222</v>
      </c>
      <c r="B14" s="248">
        <f>B8-B13</f>
        <v>0</v>
      </c>
      <c r="C14" s="2"/>
      <c r="D14" s="248">
        <f>'2024 FINAL Rev Req'!F9-'2024 Actual Payment '!D13</f>
        <v>0</v>
      </c>
      <c r="E14" s="2"/>
      <c r="F14" s="248">
        <f>SUM('Sched 140 Tracker Filing'!D11:D12)-'2024 Actual Payment '!F13</f>
        <v>-0.35751531645655632</v>
      </c>
      <c r="G14" s="2"/>
      <c r="H14" s="2"/>
    </row>
    <row r="15" spans="1:8" x14ac:dyDescent="0.35">
      <c r="B15" s="2"/>
      <c r="C15" s="2"/>
      <c r="D15" s="2"/>
      <c r="E15" s="2"/>
      <c r="F15" s="2"/>
      <c r="G15" s="2"/>
      <c r="H15" s="2"/>
    </row>
    <row r="16" spans="1:8" x14ac:dyDescent="0.35">
      <c r="B16" s="2"/>
      <c r="C16" s="2"/>
      <c r="D16" s="2"/>
      <c r="E16" s="2"/>
      <c r="F16" s="2"/>
      <c r="G16" s="2"/>
      <c r="H16" s="2"/>
    </row>
    <row r="17" spans="2:8" x14ac:dyDescent="0.35">
      <c r="B17" s="2"/>
      <c r="C17" s="2"/>
      <c r="D17" s="2"/>
      <c r="E17" s="2"/>
      <c r="F17" s="2"/>
      <c r="G17" s="2"/>
      <c r="H17" s="2"/>
    </row>
    <row r="18" spans="2:8" x14ac:dyDescent="0.35">
      <c r="B18" s="2"/>
      <c r="C18" s="2"/>
      <c r="D18" s="2"/>
      <c r="E18" s="2"/>
      <c r="F18" s="2"/>
      <c r="G18" s="2"/>
      <c r="H18" s="2"/>
    </row>
  </sheetData>
  <pageMargins left="0.7" right="0.7" top="0.75" bottom="0.75" header="0.3" footer="0.3"/>
  <pageSetup orientation="portrait" horizontalDpi="4294967293" verticalDpi="0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showRuler="0" workbookViewId="0">
      <selection activeCell="J30" sqref="J30"/>
    </sheetView>
  </sheetViews>
  <sheetFormatPr defaultColWidth="13.7265625" defaultRowHeight="12.5" x14ac:dyDescent="0.25"/>
  <cols>
    <col min="1" max="1" width="11" style="262" customWidth="1"/>
    <col min="2" max="2" width="13.7265625" style="262"/>
    <col min="3" max="3" width="18.54296875" style="262" customWidth="1"/>
    <col min="4" max="6" width="13.7265625" style="262"/>
    <col min="7" max="7" width="2.81640625" style="262" customWidth="1"/>
    <col min="8" max="8" width="13.7265625" style="262"/>
    <col min="9" max="9" width="7.7265625" style="262" bestFit="1" customWidth="1"/>
    <col min="10" max="11" width="13.7265625" style="262"/>
    <col min="12" max="12" width="0.26953125" style="262" customWidth="1"/>
    <col min="13" max="16384" width="13.7265625" style="262"/>
  </cols>
  <sheetData>
    <row r="1" spans="1:11" ht="15" customHeight="1" x14ac:dyDescent="0.3">
      <c r="A1" s="303" t="s">
        <v>227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</row>
    <row r="2" spans="1:11" ht="15" customHeight="1" x14ac:dyDescent="0.3">
      <c r="A2" s="303" t="s">
        <v>228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</row>
    <row r="3" spans="1:11" ht="15" customHeight="1" x14ac:dyDescent="0.3">
      <c r="A3" s="304" t="s">
        <v>229</v>
      </c>
      <c r="B3" s="304"/>
      <c r="C3" s="304"/>
      <c r="D3" s="304"/>
      <c r="E3" s="304"/>
      <c r="F3" s="304"/>
      <c r="G3" s="304"/>
      <c r="H3" s="304"/>
      <c r="I3" s="304"/>
      <c r="J3" s="304"/>
      <c r="K3" s="305"/>
    </row>
    <row r="4" spans="1:11" ht="15" customHeight="1" x14ac:dyDescent="0.3">
      <c r="A4" s="303" t="s">
        <v>230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</row>
    <row r="5" spans="1:11" ht="15" customHeight="1" x14ac:dyDescent="0.25"/>
    <row r="6" spans="1:11" ht="15" customHeight="1" x14ac:dyDescent="0.3">
      <c r="B6" s="263" t="s">
        <v>231</v>
      </c>
      <c r="C6" s="263" t="s">
        <v>232</v>
      </c>
      <c r="D6" s="263" t="s">
        <v>233</v>
      </c>
      <c r="E6" s="263" t="s">
        <v>234</v>
      </c>
      <c r="F6" s="263" t="s">
        <v>235</v>
      </c>
      <c r="H6" s="264"/>
    </row>
    <row r="7" spans="1:11" ht="15" customHeight="1" x14ac:dyDescent="0.3">
      <c r="D7" s="264"/>
      <c r="F7" s="265" t="s">
        <v>229</v>
      </c>
    </row>
    <row r="8" spans="1:11" ht="37.5" customHeight="1" x14ac:dyDescent="0.3">
      <c r="B8" s="265" t="s">
        <v>236</v>
      </c>
      <c r="C8" s="265" t="s">
        <v>237</v>
      </c>
      <c r="D8" s="265" t="s">
        <v>238</v>
      </c>
      <c r="E8" s="265" t="s">
        <v>239</v>
      </c>
      <c r="F8" s="265" t="s">
        <v>240</v>
      </c>
      <c r="H8" s="265" t="s">
        <v>2</v>
      </c>
    </row>
    <row r="9" spans="1:11" ht="15" customHeight="1" x14ac:dyDescent="0.3">
      <c r="B9" s="266">
        <v>2023</v>
      </c>
      <c r="C9" s="266">
        <v>2024</v>
      </c>
      <c r="E9" s="267">
        <v>2024</v>
      </c>
      <c r="F9" s="267">
        <v>2025</v>
      </c>
    </row>
    <row r="10" spans="1:11" ht="37.5" customHeight="1" x14ac:dyDescent="0.3">
      <c r="A10" s="306" t="s">
        <v>241</v>
      </c>
      <c r="B10" s="306"/>
      <c r="C10" s="306"/>
      <c r="D10" s="306"/>
      <c r="E10" s="275"/>
      <c r="F10" s="275"/>
      <c r="G10" s="276"/>
      <c r="H10" s="275"/>
      <c r="I10" s="276"/>
    </row>
    <row r="11" spans="1:11" ht="15" customHeight="1" x14ac:dyDescent="0.3">
      <c r="A11" s="277" t="s">
        <v>163</v>
      </c>
      <c r="B11" s="273">
        <v>28931944</v>
      </c>
      <c r="C11" s="273">
        <v>30239617</v>
      </c>
      <c r="D11" s="273">
        <f>+C11-B11</f>
        <v>1307673</v>
      </c>
      <c r="E11" s="273">
        <v>66313</v>
      </c>
      <c r="F11" s="273">
        <v>31400727</v>
      </c>
      <c r="G11" s="276"/>
      <c r="H11" s="273">
        <f>+D11+E11+F11</f>
        <v>32774713</v>
      </c>
      <c r="I11" s="278" t="s">
        <v>242</v>
      </c>
      <c r="J11" s="264"/>
      <c r="K11" s="264"/>
    </row>
    <row r="12" spans="1:11" ht="15" customHeight="1" x14ac:dyDescent="0.3">
      <c r="A12" s="277" t="s">
        <v>164</v>
      </c>
      <c r="B12" s="273">
        <v>17626063</v>
      </c>
      <c r="C12" s="273">
        <v>17702209</v>
      </c>
      <c r="D12" s="273">
        <f>+C12-B12</f>
        <v>76146</v>
      </c>
      <c r="E12" s="273">
        <v>0</v>
      </c>
      <c r="F12" s="273">
        <v>18481999</v>
      </c>
      <c r="G12" s="276"/>
      <c r="H12" s="273">
        <f>+D12+E12+F12</f>
        <v>18558145</v>
      </c>
      <c r="I12" s="278" t="s">
        <v>242</v>
      </c>
      <c r="J12" s="264"/>
      <c r="K12" s="264"/>
    </row>
    <row r="13" spans="1:11" ht="15" customHeight="1" x14ac:dyDescent="0.25">
      <c r="A13" s="276"/>
      <c r="B13" s="276"/>
      <c r="C13" s="276"/>
      <c r="D13" s="276"/>
      <c r="E13" s="276"/>
      <c r="F13" s="276"/>
      <c r="G13" s="276"/>
      <c r="H13" s="276"/>
      <c r="I13" s="276"/>
    </row>
    <row r="14" spans="1:11" ht="15" customHeight="1" x14ac:dyDescent="0.3">
      <c r="A14" s="306" t="s">
        <v>243</v>
      </c>
      <c r="B14" s="307"/>
      <c r="C14" s="307"/>
      <c r="D14" s="307"/>
      <c r="E14" s="276"/>
      <c r="F14" s="276"/>
      <c r="G14" s="276"/>
      <c r="H14" s="276"/>
      <c r="I14" s="276"/>
    </row>
    <row r="15" spans="1:11" ht="15" customHeight="1" x14ac:dyDescent="0.3">
      <c r="A15" s="277" t="s">
        <v>8</v>
      </c>
      <c r="B15" s="273">
        <v>5835345</v>
      </c>
      <c r="C15" s="273">
        <v>5409807</v>
      </c>
      <c r="D15" s="273"/>
      <c r="E15" s="276"/>
      <c r="F15" s="276"/>
      <c r="G15" s="276"/>
      <c r="H15" s="273">
        <f>+C15+E15</f>
        <v>5409807</v>
      </c>
      <c r="I15" s="278" t="s">
        <v>244</v>
      </c>
    </row>
    <row r="16" spans="1:11" ht="15" customHeight="1" x14ac:dyDescent="0.3">
      <c r="A16" s="277" t="s">
        <v>9</v>
      </c>
      <c r="B16" s="273">
        <v>542448</v>
      </c>
      <c r="C16" s="273">
        <v>547688</v>
      </c>
      <c r="D16" s="273"/>
      <c r="E16" s="276"/>
      <c r="F16" s="276"/>
      <c r="G16" s="276"/>
      <c r="H16" s="273">
        <f>+C16+E16</f>
        <v>547688</v>
      </c>
      <c r="I16" s="278" t="s">
        <v>244</v>
      </c>
    </row>
    <row r="17" spans="1:15" ht="15" customHeight="1" x14ac:dyDescent="0.25">
      <c r="A17" s="276"/>
      <c r="B17" s="276"/>
      <c r="C17" s="276"/>
      <c r="D17" s="276"/>
      <c r="E17" s="276"/>
      <c r="F17" s="276"/>
      <c r="G17" s="276"/>
      <c r="H17" s="276"/>
      <c r="I17" s="276"/>
    </row>
    <row r="18" spans="1:15" ht="15" customHeight="1" x14ac:dyDescent="0.25">
      <c r="A18" s="276"/>
      <c r="B18" s="276"/>
      <c r="C18" s="276"/>
      <c r="D18" s="276"/>
      <c r="E18" s="276"/>
      <c r="F18" s="276"/>
      <c r="G18" s="276"/>
      <c r="H18" s="276"/>
      <c r="I18" s="276"/>
    </row>
    <row r="19" spans="1:15" ht="15" customHeight="1" thickBot="1" x14ac:dyDescent="0.35">
      <c r="C19" s="299" t="s">
        <v>245</v>
      </c>
      <c r="D19" s="299"/>
      <c r="E19" s="268" t="s">
        <v>85</v>
      </c>
      <c r="F19" s="269">
        <v>2025</v>
      </c>
      <c r="G19" s="264"/>
      <c r="H19" s="270">
        <f>SUM(H11:H18)</f>
        <v>57290353</v>
      </c>
      <c r="I19" s="264"/>
      <c r="J19" s="264"/>
      <c r="K19" s="264"/>
      <c r="M19" s="264"/>
      <c r="N19" s="264"/>
      <c r="O19" s="264"/>
    </row>
    <row r="20" spans="1:15" ht="15" customHeight="1" thickTop="1" x14ac:dyDescent="0.3">
      <c r="A20" s="286"/>
      <c r="B20" s="286"/>
      <c r="C20" s="286"/>
      <c r="H20" s="271"/>
      <c r="M20" s="272"/>
    </row>
    <row r="21" spans="1:15" ht="26.65" customHeight="1" x14ac:dyDescent="0.25">
      <c r="A21" s="287"/>
      <c r="B21" s="288"/>
      <c r="C21" s="289"/>
    </row>
    <row r="22" spans="1:15" ht="15" customHeight="1" x14ac:dyDescent="0.3">
      <c r="A22" s="300" t="s">
        <v>246</v>
      </c>
      <c r="B22" s="301"/>
      <c r="C22" s="301"/>
      <c r="D22" s="302"/>
      <c r="E22" s="302"/>
      <c r="F22" s="302"/>
      <c r="G22" s="302"/>
      <c r="H22" s="302"/>
      <c r="I22" s="302"/>
      <c r="J22" s="302"/>
      <c r="K22" s="302"/>
    </row>
  </sheetData>
  <mergeCells count="8">
    <mergeCell ref="C19:D19"/>
    <mergeCell ref="A22:K22"/>
    <mergeCell ref="A1:K1"/>
    <mergeCell ref="A2:K2"/>
    <mergeCell ref="A3:K3"/>
    <mergeCell ref="A4:K4"/>
    <mergeCell ref="A10:D10"/>
    <mergeCell ref="A14:D14"/>
  </mergeCells>
  <pageMargins left="0.75" right="0.75" top="1" bottom="1" header="0.5" footer="0.5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workbookViewId="0">
      <selection activeCell="H30" sqref="H30"/>
    </sheetView>
  </sheetViews>
  <sheetFormatPr defaultColWidth="9.1796875" defaultRowHeight="14.5" x14ac:dyDescent="0.35"/>
  <cols>
    <col min="1" max="1" width="10.81640625" style="69" bestFit="1" customWidth="1"/>
    <col min="2" max="2" width="14.26953125" style="69" bestFit="1" customWidth="1"/>
    <col min="3" max="3" width="13.7265625" style="69" bestFit="1" customWidth="1"/>
    <col min="4" max="5" width="13.453125" style="69" bestFit="1" customWidth="1"/>
    <col min="6" max="6" width="13.7265625" style="69" bestFit="1" customWidth="1"/>
    <col min="7" max="8" width="13.453125" style="69" bestFit="1" customWidth="1"/>
    <col min="9" max="9" width="12.54296875" style="69" customWidth="1"/>
    <col min="10" max="10" width="13.453125" style="69" bestFit="1" customWidth="1"/>
    <col min="11" max="11" width="12.54296875" style="69" customWidth="1"/>
    <col min="12" max="12" width="13.26953125" style="69" bestFit="1" customWidth="1"/>
    <col min="13" max="13" width="9.1796875" style="69"/>
    <col min="14" max="16" width="12.26953125" style="69" bestFit="1" customWidth="1"/>
    <col min="17" max="16384" width="9.1796875" style="69"/>
  </cols>
  <sheetData>
    <row r="1" spans="1:16" ht="15" thickBot="1" x14ac:dyDescent="0.4">
      <c r="A1" s="125" t="s">
        <v>0</v>
      </c>
      <c r="N1" s="124" t="s">
        <v>126</v>
      </c>
      <c r="P1" s="123"/>
    </row>
    <row r="2" spans="1:16" x14ac:dyDescent="0.35">
      <c r="N2" s="122" t="s">
        <v>127</v>
      </c>
      <c r="O2" s="121"/>
      <c r="P2" s="86"/>
    </row>
    <row r="3" spans="1:16" x14ac:dyDescent="0.35">
      <c r="C3" s="120" t="s">
        <v>64</v>
      </c>
      <c r="D3" s="117"/>
      <c r="E3" s="117"/>
      <c r="F3" s="117"/>
      <c r="G3" s="119"/>
      <c r="H3" s="118" t="s">
        <v>65</v>
      </c>
      <c r="I3" s="117"/>
      <c r="J3" s="117"/>
      <c r="K3" s="117"/>
      <c r="L3" s="116"/>
      <c r="N3" s="80"/>
      <c r="O3" s="87"/>
      <c r="P3" s="86"/>
    </row>
    <row r="4" spans="1:16" x14ac:dyDescent="0.35">
      <c r="B4" s="79" t="s">
        <v>66</v>
      </c>
      <c r="C4" s="115" t="s">
        <v>67</v>
      </c>
      <c r="D4" s="114" t="s">
        <v>68</v>
      </c>
      <c r="E4" s="114"/>
      <c r="F4" s="114" t="s">
        <v>67</v>
      </c>
      <c r="G4" s="113"/>
      <c r="H4" s="112"/>
      <c r="I4" s="112"/>
      <c r="J4" s="112"/>
      <c r="K4" s="112"/>
      <c r="L4" s="111"/>
      <c r="N4" s="85" t="s">
        <v>128</v>
      </c>
      <c r="O4" s="87"/>
      <c r="P4" s="86"/>
    </row>
    <row r="5" spans="1:16" x14ac:dyDescent="0.35">
      <c r="B5" s="79" t="s">
        <v>69</v>
      </c>
      <c r="C5" s="110" t="s">
        <v>70</v>
      </c>
      <c r="D5" s="79" t="s">
        <v>71</v>
      </c>
      <c r="E5" s="79"/>
      <c r="F5" s="79" t="s">
        <v>72</v>
      </c>
      <c r="G5" s="53" t="s">
        <v>73</v>
      </c>
      <c r="H5" s="87"/>
      <c r="I5" s="87"/>
      <c r="J5" s="87"/>
      <c r="K5" s="79" t="s">
        <v>74</v>
      </c>
      <c r="L5" s="54" t="s">
        <v>73</v>
      </c>
      <c r="N5" s="85" t="s">
        <v>78</v>
      </c>
      <c r="O5" s="87"/>
      <c r="P5" s="86"/>
    </row>
    <row r="6" spans="1:16" x14ac:dyDescent="0.35">
      <c r="A6" s="108" t="s">
        <v>75</v>
      </c>
      <c r="B6" s="108" t="s">
        <v>76</v>
      </c>
      <c r="C6" s="109" t="s">
        <v>77</v>
      </c>
      <c r="D6" s="108" t="s">
        <v>78</v>
      </c>
      <c r="E6" s="108" t="s">
        <v>79</v>
      </c>
      <c r="F6" s="108" t="s">
        <v>73</v>
      </c>
      <c r="G6" s="107" t="s">
        <v>10</v>
      </c>
      <c r="H6" s="55" t="s">
        <v>80</v>
      </c>
      <c r="I6" s="55" t="s">
        <v>81</v>
      </c>
      <c r="J6" s="55" t="s">
        <v>79</v>
      </c>
      <c r="K6" s="55" t="s">
        <v>60</v>
      </c>
      <c r="L6" s="106" t="s">
        <v>10</v>
      </c>
      <c r="N6" s="85" t="s">
        <v>68</v>
      </c>
      <c r="O6" s="87"/>
      <c r="P6" s="86"/>
    </row>
    <row r="7" spans="1:16" x14ac:dyDescent="0.35">
      <c r="A7" s="77" t="s">
        <v>154</v>
      </c>
      <c r="C7" s="56" t="s">
        <v>82</v>
      </c>
      <c r="D7" s="105"/>
      <c r="E7" s="87"/>
      <c r="F7" s="91"/>
      <c r="G7" s="243"/>
      <c r="H7" s="91"/>
      <c r="I7" s="91"/>
      <c r="J7" s="91"/>
      <c r="K7" s="91"/>
      <c r="L7" s="244"/>
      <c r="N7" s="80"/>
      <c r="O7" s="87"/>
      <c r="P7" s="86"/>
    </row>
    <row r="8" spans="1:16" x14ac:dyDescent="0.35">
      <c r="A8" s="69" t="s">
        <v>83</v>
      </c>
      <c r="C8" s="103"/>
      <c r="D8" s="87"/>
      <c r="E8" s="87"/>
      <c r="F8" s="91"/>
      <c r="G8" s="290">
        <v>-11304254.189999999</v>
      </c>
      <c r="H8" s="91"/>
      <c r="I8" s="91"/>
      <c r="J8" s="91"/>
      <c r="K8" s="91"/>
      <c r="L8" s="101">
        <v>1096261.8899999999</v>
      </c>
      <c r="N8" s="80"/>
      <c r="O8" s="87">
        <v>2024</v>
      </c>
      <c r="P8" s="86"/>
    </row>
    <row r="9" spans="1:16" x14ac:dyDescent="0.35">
      <c r="A9" s="69" t="s">
        <v>84</v>
      </c>
      <c r="B9" s="73"/>
      <c r="C9" s="100">
        <f t="shared" ref="C9:C17" si="0">G29</f>
        <v>3243223.1399999997</v>
      </c>
      <c r="D9" s="57">
        <f>+N9</f>
        <v>-5108535.8495934</v>
      </c>
      <c r="E9" s="99"/>
      <c r="F9" s="245">
        <f>SUM(C9:E9)</f>
        <v>-1865312.7095934004</v>
      </c>
      <c r="G9" s="181">
        <f>F9+G8</f>
        <v>-13169566.8995934</v>
      </c>
      <c r="H9" s="246">
        <v>-274065.46000000002</v>
      </c>
      <c r="I9" s="245"/>
      <c r="J9" s="245"/>
      <c r="K9" s="245">
        <f>SUM(H9:J9)</f>
        <v>-274065.46000000002</v>
      </c>
      <c r="L9" s="95">
        <f>L8+K9</f>
        <v>822196.42999999993</v>
      </c>
      <c r="N9" s="174">
        <v>-5108535.8495934</v>
      </c>
      <c r="O9" s="91" t="s">
        <v>84</v>
      </c>
      <c r="P9" s="94"/>
    </row>
    <row r="10" spans="1:16" x14ac:dyDescent="0.35">
      <c r="A10" s="69" t="s">
        <v>85</v>
      </c>
      <c r="B10" s="71"/>
      <c r="C10" s="98">
        <f t="shared" si="0"/>
        <v>3610984.51</v>
      </c>
      <c r="D10" s="58">
        <f>N10-SUM($D$9:D9)</f>
        <v>-4193823.5237234002</v>
      </c>
      <c r="E10" s="96"/>
      <c r="F10" s="180">
        <f>SUM(C10:E10)</f>
        <v>-582839.01372340042</v>
      </c>
      <c r="G10" s="181">
        <f>F10+G9</f>
        <v>-13752405.913316801</v>
      </c>
      <c r="H10" s="246">
        <f>+H9</f>
        <v>-274065.46000000002</v>
      </c>
      <c r="I10" s="180"/>
      <c r="J10" s="180"/>
      <c r="K10" s="180">
        <f t="shared" ref="K10:K20" si="1">SUM(H10:J10)</f>
        <v>-274065.46000000002</v>
      </c>
      <c r="L10" s="95">
        <f t="shared" ref="L10:L20" si="2">L9+K10</f>
        <v>548130.97</v>
      </c>
      <c r="N10" s="175">
        <v>-9302359.3733168002</v>
      </c>
      <c r="O10" s="91" t="s">
        <v>85</v>
      </c>
      <c r="P10" s="94"/>
    </row>
    <row r="11" spans="1:16" x14ac:dyDescent="0.35">
      <c r="A11" s="69" t="s">
        <v>86</v>
      </c>
      <c r="B11" s="71"/>
      <c r="C11" s="98">
        <f t="shared" si="0"/>
        <v>3651458.46</v>
      </c>
      <c r="D11" s="58">
        <f>N11-SUM($D$9:D10)</f>
        <v>-4167406.6813604385</v>
      </c>
      <c r="E11" s="96"/>
      <c r="F11" s="180">
        <f t="shared" ref="F11:F20" si="3">SUM(C11:E11)</f>
        <v>-515948.2213604385</v>
      </c>
      <c r="G11" s="181">
        <f t="shared" ref="G11:G20" si="4">F11+G10</f>
        <v>-14268354.134677239</v>
      </c>
      <c r="H11" s="246">
        <f>+H10</f>
        <v>-274065.46000000002</v>
      </c>
      <c r="I11" s="59">
        <v>248297.57</v>
      </c>
      <c r="J11" s="59"/>
      <c r="K11" s="59">
        <f t="shared" si="1"/>
        <v>-25767.890000000014</v>
      </c>
      <c r="L11" s="64">
        <f>L10+K11</f>
        <v>522363.07999999996</v>
      </c>
      <c r="N11" s="175">
        <v>-13469766.054677239</v>
      </c>
      <c r="O11" s="91" t="s">
        <v>86</v>
      </c>
      <c r="P11" s="94"/>
    </row>
    <row r="12" spans="1:16" x14ac:dyDescent="0.35">
      <c r="A12" s="69" t="s">
        <v>87</v>
      </c>
      <c r="B12" s="71"/>
      <c r="C12" s="98">
        <f t="shared" si="0"/>
        <v>3502273.9999999995</v>
      </c>
      <c r="D12" s="58">
        <f>N12-SUM($D$9:D11)</f>
        <v>-3624547.0341183599</v>
      </c>
      <c r="E12" s="96"/>
      <c r="F12" s="96">
        <f t="shared" si="3"/>
        <v>-122273.03411836037</v>
      </c>
      <c r="G12" s="63">
        <f>F12+G11</f>
        <v>-14390627.168795599</v>
      </c>
      <c r="H12" s="246">
        <f>+H11</f>
        <v>-274065.46000000002</v>
      </c>
      <c r="I12" s="59"/>
      <c r="J12" s="58"/>
      <c r="K12" s="58">
        <f t="shared" si="1"/>
        <v>-274065.46000000002</v>
      </c>
      <c r="L12" s="64">
        <f t="shared" si="2"/>
        <v>248297.61999999994</v>
      </c>
      <c r="N12" s="175">
        <v>-17094313.088795599</v>
      </c>
      <c r="O12" s="91" t="s">
        <v>87</v>
      </c>
      <c r="P12" s="94"/>
    </row>
    <row r="13" spans="1:16" x14ac:dyDescent="0.35">
      <c r="A13" s="69" t="s">
        <v>88</v>
      </c>
      <c r="B13" s="71"/>
      <c r="C13" s="98">
        <f t="shared" si="0"/>
        <v>2484344.64</v>
      </c>
      <c r="D13" s="58">
        <f>N13-SUM($D$9:D12)</f>
        <v>-2040642.0511761196</v>
      </c>
      <c r="E13" s="96">
        <f>-J13</f>
        <v>11304254.189999999</v>
      </c>
      <c r="F13" s="58">
        <f t="shared" si="3"/>
        <v>11747956.77882388</v>
      </c>
      <c r="G13" s="63">
        <f>F13+G12</f>
        <v>-2642670.3899717182</v>
      </c>
      <c r="H13" s="246">
        <v>921329.71</v>
      </c>
      <c r="I13" s="58"/>
      <c r="J13" s="58">
        <v>-11304254.189999999</v>
      </c>
      <c r="K13" s="58">
        <f t="shared" si="1"/>
        <v>-10382924.48</v>
      </c>
      <c r="L13" s="64">
        <f t="shared" si="2"/>
        <v>-10134626.860000001</v>
      </c>
      <c r="N13" s="175">
        <v>-19134955.139971718</v>
      </c>
      <c r="O13" s="91" t="s">
        <v>88</v>
      </c>
      <c r="P13" s="94"/>
    </row>
    <row r="14" spans="1:16" x14ac:dyDescent="0.35">
      <c r="A14" s="60" t="s">
        <v>89</v>
      </c>
      <c r="B14" s="61"/>
      <c r="C14" s="62">
        <f t="shared" si="0"/>
        <v>2983656.02</v>
      </c>
      <c r="D14" s="58">
        <f>N14-SUM($D$9:D13)</f>
        <v>-1960437.2416465208</v>
      </c>
      <c r="E14" s="58"/>
      <c r="F14" s="58">
        <f t="shared" si="3"/>
        <v>1023218.7783534792</v>
      </c>
      <c r="G14" s="63">
        <f t="shared" si="4"/>
        <v>-1619451.611618239</v>
      </c>
      <c r="H14" s="97">
        <f>H13</f>
        <v>921329.71</v>
      </c>
      <c r="I14" s="58"/>
      <c r="J14" s="58"/>
      <c r="K14" s="58">
        <f t="shared" si="1"/>
        <v>921329.71</v>
      </c>
      <c r="L14" s="64">
        <f t="shared" si="2"/>
        <v>-9213297.1500000022</v>
      </c>
      <c r="N14" s="175">
        <v>-21095392.381618239</v>
      </c>
      <c r="O14" s="91" t="s">
        <v>89</v>
      </c>
      <c r="P14" s="94"/>
    </row>
    <row r="15" spans="1:16" x14ac:dyDescent="0.35">
      <c r="A15" s="69" t="s">
        <v>61</v>
      </c>
      <c r="B15" s="71"/>
      <c r="C15" s="98">
        <f t="shared" si="0"/>
        <v>2415571.61</v>
      </c>
      <c r="D15" s="58">
        <f>N15-SUM($D$9:D14)</f>
        <v>-2214850.3335526399</v>
      </c>
      <c r="E15" s="96"/>
      <c r="F15" s="96">
        <f t="shared" si="3"/>
        <v>200721.27644735994</v>
      </c>
      <c r="G15" s="63">
        <f t="shared" si="4"/>
        <v>-1418730.335170879</v>
      </c>
      <c r="H15" s="97">
        <f>H14</f>
        <v>921329.71</v>
      </c>
      <c r="I15" s="58"/>
      <c r="J15" s="58"/>
      <c r="K15" s="58">
        <f t="shared" si="1"/>
        <v>921329.71</v>
      </c>
      <c r="L15" s="64">
        <f t="shared" si="2"/>
        <v>-8291967.4400000023</v>
      </c>
      <c r="N15" s="175">
        <v>-23310242.715170879</v>
      </c>
      <c r="O15" s="91" t="s">
        <v>61</v>
      </c>
      <c r="P15" s="94"/>
    </row>
    <row r="16" spans="1:16" x14ac:dyDescent="0.35">
      <c r="A16" s="60" t="s">
        <v>90</v>
      </c>
      <c r="B16" s="61"/>
      <c r="C16" s="62">
        <f t="shared" si="0"/>
        <v>1776124.4</v>
      </c>
      <c r="D16" s="58">
        <f>N16-SUM($D$9:D15)</f>
        <v>-2187863.0162922405</v>
      </c>
      <c r="E16" s="58"/>
      <c r="F16" s="58">
        <f t="shared" si="3"/>
        <v>-411738.61629224056</v>
      </c>
      <c r="G16" s="63">
        <f t="shared" si="4"/>
        <v>-1830468.9514631196</v>
      </c>
      <c r="H16" s="97">
        <f>H15</f>
        <v>921329.71</v>
      </c>
      <c r="I16" s="58"/>
      <c r="J16" s="58"/>
      <c r="K16" s="58">
        <f t="shared" si="1"/>
        <v>921329.71</v>
      </c>
      <c r="L16" s="64">
        <f t="shared" si="2"/>
        <v>-7370637.7300000023</v>
      </c>
      <c r="N16" s="175">
        <v>-25498105.731463119</v>
      </c>
      <c r="O16" s="91" t="s">
        <v>90</v>
      </c>
      <c r="P16" s="94"/>
    </row>
    <row r="17" spans="1:16" x14ac:dyDescent="0.35">
      <c r="A17" s="60" t="s">
        <v>91</v>
      </c>
      <c r="B17" s="61"/>
      <c r="C17" s="62">
        <f t="shared" si="0"/>
        <v>2331412.29</v>
      </c>
      <c r="D17" s="58">
        <f>N17-SUM($D$9:D16)</f>
        <v>-1926155.2051937953</v>
      </c>
      <c r="E17" s="58"/>
      <c r="F17" s="58">
        <f t="shared" si="3"/>
        <v>405257.08480620477</v>
      </c>
      <c r="G17" s="63">
        <f t="shared" si="4"/>
        <v>-1425211.8666569148</v>
      </c>
      <c r="H17" s="97">
        <f>+H14</f>
        <v>921329.71</v>
      </c>
      <c r="I17" s="58"/>
      <c r="J17" s="58"/>
      <c r="K17" s="58">
        <f t="shared" si="1"/>
        <v>921329.71</v>
      </c>
      <c r="L17" s="64">
        <f t="shared" si="2"/>
        <v>-6449308.0200000023</v>
      </c>
      <c r="N17" s="175">
        <v>-27424260.936656915</v>
      </c>
      <c r="O17" s="91" t="s">
        <v>91</v>
      </c>
      <c r="P17" s="94"/>
    </row>
    <row r="18" spans="1:16" x14ac:dyDescent="0.35">
      <c r="A18" s="69" t="s">
        <v>92</v>
      </c>
      <c r="B18" s="71"/>
      <c r="C18" s="98">
        <f>G38</f>
        <v>2342452.5499999998</v>
      </c>
      <c r="D18" s="58">
        <f>N18-SUM($D$9:D17)</f>
        <v>-2190988.4542702809</v>
      </c>
      <c r="E18" s="96"/>
      <c r="F18" s="58">
        <f>SUM(C18:E18)</f>
        <v>151464.09572971892</v>
      </c>
      <c r="G18" s="63">
        <f t="shared" si="4"/>
        <v>-1273747.7709271959</v>
      </c>
      <c r="H18" s="97">
        <f>+H15</f>
        <v>921329.71</v>
      </c>
      <c r="I18" s="58"/>
      <c r="J18" s="58"/>
      <c r="K18" s="58">
        <f t="shared" si="1"/>
        <v>921329.71</v>
      </c>
      <c r="L18" s="64">
        <f t="shared" si="2"/>
        <v>-5527978.3100000024</v>
      </c>
      <c r="N18" s="175">
        <v>-29615249.390927196</v>
      </c>
      <c r="O18" s="91" t="s">
        <v>92</v>
      </c>
      <c r="P18" s="94"/>
    </row>
    <row r="19" spans="1:16" x14ac:dyDescent="0.35">
      <c r="A19" s="69" t="s">
        <v>93</v>
      </c>
      <c r="B19" s="71"/>
      <c r="C19" s="98">
        <f>G39</f>
        <v>1188354.8799999999</v>
      </c>
      <c r="D19" s="58">
        <f>N19-SUM($D$9:D18)</f>
        <v>-2397348.6535888389</v>
      </c>
      <c r="E19" s="96"/>
      <c r="F19" s="58">
        <f t="shared" si="3"/>
        <v>-1208993.773588839</v>
      </c>
      <c r="G19" s="63">
        <f t="shared" si="4"/>
        <v>-2482741.5445160349</v>
      </c>
      <c r="H19" s="97">
        <f>+H18</f>
        <v>921329.71</v>
      </c>
      <c r="I19" s="96"/>
      <c r="J19" s="96"/>
      <c r="K19" s="96">
        <f t="shared" si="1"/>
        <v>921329.71</v>
      </c>
      <c r="L19" s="95">
        <f t="shared" si="2"/>
        <v>-4606648.6000000024</v>
      </c>
      <c r="N19" s="175">
        <v>-32012598.044516034</v>
      </c>
      <c r="O19" s="91" t="s">
        <v>93</v>
      </c>
      <c r="P19" s="94"/>
    </row>
    <row r="20" spans="1:16" x14ac:dyDescent="0.35">
      <c r="A20" s="69" t="s">
        <v>94</v>
      </c>
      <c r="B20" s="71"/>
      <c r="C20" s="93">
        <f>G40</f>
        <v>1735977.0099999998</v>
      </c>
      <c r="D20" s="58">
        <f>N20-SUM($D$9:D19)</f>
        <v>-2828581.8407694474</v>
      </c>
      <c r="E20" s="65">
        <v>0</v>
      </c>
      <c r="F20" s="92">
        <f t="shared" si="3"/>
        <v>-1092604.8307694476</v>
      </c>
      <c r="G20" s="291">
        <f t="shared" si="4"/>
        <v>-3575346.3752854825</v>
      </c>
      <c r="H20" s="247">
        <f>+H19</f>
        <v>921329.71</v>
      </c>
      <c r="I20" s="92"/>
      <c r="J20" s="92"/>
      <c r="K20" s="92">
        <f t="shared" si="1"/>
        <v>921329.71</v>
      </c>
      <c r="L20" s="292">
        <f t="shared" si="2"/>
        <v>-3685318.8900000025</v>
      </c>
      <c r="N20" s="175">
        <v>-34841179.885285482</v>
      </c>
      <c r="O20" s="91" t="s">
        <v>94</v>
      </c>
      <c r="P20" s="86"/>
    </row>
    <row r="21" spans="1:16" x14ac:dyDescent="0.35">
      <c r="C21" s="71"/>
      <c r="D21" s="71"/>
      <c r="E21" s="71"/>
      <c r="F21" s="71"/>
      <c r="G21" s="90"/>
      <c r="H21" s="87"/>
      <c r="I21" s="87"/>
      <c r="J21" s="87"/>
      <c r="K21" s="87"/>
      <c r="N21" s="80"/>
      <c r="O21" s="87"/>
      <c r="P21" s="86"/>
    </row>
    <row r="22" spans="1:16" ht="15" thickBot="1" x14ac:dyDescent="0.4">
      <c r="C22" s="71"/>
      <c r="D22" s="71"/>
      <c r="E22" s="71"/>
      <c r="F22" s="71"/>
      <c r="G22" s="89"/>
      <c r="H22" s="88">
        <f>SUM(H9:H21)</f>
        <v>6274375.8399999999</v>
      </c>
      <c r="I22" s="88">
        <f>SUM(I9:I21)</f>
        <v>248297.57</v>
      </c>
      <c r="J22" s="88">
        <f>SUM(J9:J21)</f>
        <v>-11304254.189999999</v>
      </c>
      <c r="K22" s="88">
        <f>SUM(K9:K21)</f>
        <v>-4781580.7799999975</v>
      </c>
      <c r="N22" s="80"/>
      <c r="O22" s="87"/>
      <c r="P22" s="86"/>
    </row>
    <row r="23" spans="1:16" ht="15" thickTop="1" x14ac:dyDescent="0.35">
      <c r="C23" s="71"/>
      <c r="D23" s="71"/>
      <c r="E23" s="71"/>
      <c r="F23" s="71"/>
      <c r="G23" s="71"/>
      <c r="N23" s="80"/>
      <c r="O23" s="87"/>
      <c r="P23" s="86"/>
    </row>
    <row r="24" spans="1:16" x14ac:dyDescent="0.35">
      <c r="C24" s="71"/>
      <c r="D24" s="71"/>
      <c r="E24" s="71"/>
      <c r="F24" s="71"/>
      <c r="N24" s="80"/>
      <c r="O24" s="87"/>
      <c r="P24" s="86"/>
    </row>
    <row r="25" spans="1:16" x14ac:dyDescent="0.35">
      <c r="B25" s="84" t="s">
        <v>95</v>
      </c>
      <c r="C25" s="84"/>
      <c r="D25" s="83" t="s">
        <v>96</v>
      </c>
      <c r="E25" s="83" t="s">
        <v>97</v>
      </c>
      <c r="N25" s="85" t="s">
        <v>128</v>
      </c>
      <c r="O25" s="79" t="s">
        <v>128</v>
      </c>
      <c r="P25" s="78" t="s">
        <v>128</v>
      </c>
    </row>
    <row r="26" spans="1:16" x14ac:dyDescent="0.35">
      <c r="B26" s="84" t="s">
        <v>98</v>
      </c>
      <c r="C26" s="84"/>
      <c r="D26" s="83" t="s">
        <v>99</v>
      </c>
      <c r="E26" s="83" t="s">
        <v>100</v>
      </c>
      <c r="I26" s="82"/>
      <c r="N26" s="80">
        <v>23600201</v>
      </c>
      <c r="O26" s="79" t="s">
        <v>96</v>
      </c>
      <c r="P26" s="78" t="s">
        <v>97</v>
      </c>
    </row>
    <row r="27" spans="1:16" x14ac:dyDescent="0.35">
      <c r="B27" s="81" t="s">
        <v>101</v>
      </c>
      <c r="C27" s="81" t="s">
        <v>102</v>
      </c>
      <c r="D27" s="81" t="s">
        <v>103</v>
      </c>
      <c r="E27" s="81" t="s">
        <v>104</v>
      </c>
      <c r="F27" s="81" t="s">
        <v>80</v>
      </c>
      <c r="G27" s="81" t="s">
        <v>105</v>
      </c>
      <c r="N27" s="80">
        <v>23600211</v>
      </c>
      <c r="O27" s="79" t="s">
        <v>99</v>
      </c>
      <c r="P27" s="78" t="s">
        <v>100</v>
      </c>
    </row>
    <row r="28" spans="1:16" x14ac:dyDescent="0.35">
      <c r="A28" s="77" t="s">
        <v>129</v>
      </c>
      <c r="I28" s="71"/>
      <c r="J28" s="71"/>
      <c r="N28" s="76">
        <v>23600221</v>
      </c>
      <c r="O28" s="75" t="s">
        <v>103</v>
      </c>
      <c r="P28" s="74" t="s">
        <v>104</v>
      </c>
    </row>
    <row r="29" spans="1:16" x14ac:dyDescent="0.35">
      <c r="A29" s="69" t="s">
        <v>84</v>
      </c>
      <c r="B29" s="66">
        <f>N29/1*12</f>
        <v>35438208</v>
      </c>
      <c r="C29" s="67">
        <f>B29/12</f>
        <v>2953184</v>
      </c>
      <c r="D29" s="67">
        <f>+O29</f>
        <v>16172.82</v>
      </c>
      <c r="E29" s="67">
        <f>+P29</f>
        <v>-199.14</v>
      </c>
      <c r="F29" s="71">
        <f>-H9</f>
        <v>274065.46000000002</v>
      </c>
      <c r="G29" s="73">
        <f t="shared" ref="G29:G40" si="5">SUM(C29:F29)</f>
        <v>3243223.1399999997</v>
      </c>
      <c r="I29" s="71"/>
      <c r="N29" s="174">
        <v>2953184</v>
      </c>
      <c r="O29" s="57">
        <v>16172.82</v>
      </c>
      <c r="P29" s="176">
        <v>-199.14</v>
      </c>
    </row>
    <row r="30" spans="1:16" x14ac:dyDescent="0.35">
      <c r="A30" s="69" t="s">
        <v>85</v>
      </c>
      <c r="B30" s="66">
        <f>N30/2*12</f>
        <v>37734228</v>
      </c>
      <c r="C30" s="61">
        <f>B30/12*2-C29</f>
        <v>3335854</v>
      </c>
      <c r="D30" s="61">
        <f>+O30-SUM($D$29:D29)</f>
        <v>1065.0500000000029</v>
      </c>
      <c r="E30" s="61">
        <f>P30-SUM($E$29:E29)</f>
        <v>0</v>
      </c>
      <c r="F30" s="71">
        <f t="shared" ref="F30:F40" si="6">-H10</f>
        <v>274065.46000000002</v>
      </c>
      <c r="G30" s="71">
        <f t="shared" si="5"/>
        <v>3610984.51</v>
      </c>
      <c r="I30" s="71"/>
      <c r="N30" s="175">
        <v>6289038</v>
      </c>
      <c r="O30" s="58">
        <v>17237.870000000003</v>
      </c>
      <c r="P30" s="176">
        <v>-199.14</v>
      </c>
    </row>
    <row r="31" spans="1:16" x14ac:dyDescent="0.35">
      <c r="A31" s="69" t="s">
        <v>86</v>
      </c>
      <c r="B31" s="66">
        <f>N31/3*12</f>
        <v>38611892</v>
      </c>
      <c r="C31" s="61">
        <f>B31/12*3-SUM($C$29:C30)</f>
        <v>3363935</v>
      </c>
      <c r="D31" s="61">
        <f>+O31-SUM($D$29:D30)</f>
        <v>13458</v>
      </c>
      <c r="E31" s="61">
        <f>P31-SUM($E$29:E30)</f>
        <v>0</v>
      </c>
      <c r="F31" s="71">
        <f t="shared" si="6"/>
        <v>274065.46000000002</v>
      </c>
      <c r="G31" s="71">
        <f t="shared" si="5"/>
        <v>3651458.46</v>
      </c>
      <c r="N31" s="175">
        <v>9652973</v>
      </c>
      <c r="O31" s="58">
        <v>30695.870000000003</v>
      </c>
      <c r="P31" s="176">
        <v>-199.14</v>
      </c>
    </row>
    <row r="32" spans="1:16" x14ac:dyDescent="0.35">
      <c r="A32" s="69" t="s">
        <v>87</v>
      </c>
      <c r="B32" s="66">
        <f>N32/4*12</f>
        <v>38611893</v>
      </c>
      <c r="C32" s="61">
        <f>B32/12*4-SUM($C$29:C31)</f>
        <v>3217658</v>
      </c>
      <c r="D32" s="61">
        <f>+O32-SUM($D$29:D31)</f>
        <v>10515.779999999999</v>
      </c>
      <c r="E32" s="61">
        <f>P32-SUM($E$29:E31)</f>
        <v>34.759999999999991</v>
      </c>
      <c r="F32" s="71">
        <f t="shared" si="6"/>
        <v>274065.46000000002</v>
      </c>
      <c r="G32" s="71">
        <f t="shared" si="5"/>
        <v>3502273.9999999995</v>
      </c>
      <c r="N32" s="175">
        <v>12870631</v>
      </c>
      <c r="O32" s="58">
        <v>41211.65</v>
      </c>
      <c r="P32" s="176">
        <v>-164.38</v>
      </c>
    </row>
    <row r="33" spans="1:19" x14ac:dyDescent="0.35">
      <c r="A33" s="69" t="s">
        <v>88</v>
      </c>
      <c r="B33" s="66">
        <f>N33/5*12</f>
        <v>39035200.799999997</v>
      </c>
      <c r="C33" s="61">
        <f>B33/12*5-SUM($C$29:C32)</f>
        <v>3394036</v>
      </c>
      <c r="D33" s="61">
        <f xml:space="preserve"> O33-SUM($D$29:D32)</f>
        <v>3369.1200000000026</v>
      </c>
      <c r="E33" s="61">
        <f>P33-SUM($E$29:E32)</f>
        <v>8269.2299999999977</v>
      </c>
      <c r="F33" s="71">
        <f t="shared" si="6"/>
        <v>-921329.71</v>
      </c>
      <c r="G33" s="71">
        <f t="shared" si="5"/>
        <v>2484344.64</v>
      </c>
      <c r="N33" s="175">
        <v>16264667</v>
      </c>
      <c r="O33" s="58">
        <v>44580.770000000004</v>
      </c>
      <c r="P33" s="176">
        <v>8104.8499999999985</v>
      </c>
    </row>
    <row r="34" spans="1:19" x14ac:dyDescent="0.35">
      <c r="A34" s="69" t="s">
        <v>89</v>
      </c>
      <c r="B34" s="66">
        <f>N34/6*12</f>
        <v>40347156</v>
      </c>
      <c r="C34" s="61">
        <f>B34/12*6-SUM($C$29:C33)</f>
        <v>3908911</v>
      </c>
      <c r="D34" s="61">
        <f>O34-SUM($D$29:D33)</f>
        <v>1413.1400000000067</v>
      </c>
      <c r="E34" s="61">
        <f>P34-SUM($E$29:E33)</f>
        <v>-5338.4099999999989</v>
      </c>
      <c r="F34" s="71">
        <f t="shared" si="6"/>
        <v>-921329.71</v>
      </c>
      <c r="G34" s="71">
        <f t="shared" si="5"/>
        <v>2983656.02</v>
      </c>
      <c r="N34" s="175">
        <v>20173578</v>
      </c>
      <c r="O34" s="58">
        <v>45993.910000000011</v>
      </c>
      <c r="P34" s="176">
        <v>2766.4399999999987</v>
      </c>
    </row>
    <row r="35" spans="1:19" x14ac:dyDescent="0.35">
      <c r="A35" s="69" t="s">
        <v>61</v>
      </c>
      <c r="B35" s="66">
        <f>N35/7*12</f>
        <v>40296761.142857142</v>
      </c>
      <c r="C35" s="61">
        <f>B35/12*7-SUM($C$29:C34)</f>
        <v>3332866</v>
      </c>
      <c r="D35" s="61">
        <f>O35-SUM($D$29:D34)</f>
        <v>4035.3199999999997</v>
      </c>
      <c r="E35" s="61">
        <f>P35-SUM($E$29:E34)</f>
        <v>0</v>
      </c>
      <c r="F35" s="71">
        <f t="shared" si="6"/>
        <v>-921329.71</v>
      </c>
      <c r="G35" s="71">
        <f t="shared" si="5"/>
        <v>2415571.61</v>
      </c>
      <c r="N35" s="175">
        <v>23506444</v>
      </c>
      <c r="O35" s="58">
        <v>50029.23000000001</v>
      </c>
      <c r="P35" s="176">
        <v>2766.4399999999987</v>
      </c>
    </row>
    <row r="36" spans="1:19" x14ac:dyDescent="0.35">
      <c r="A36" s="69" t="s">
        <v>90</v>
      </c>
      <c r="B36" s="66">
        <f>N36/8*12</f>
        <v>39302958</v>
      </c>
      <c r="C36" s="61">
        <f>B36/12*8-SUM($C$29:C35)</f>
        <v>2695528</v>
      </c>
      <c r="D36" s="61">
        <f>O36-SUM($D$29:D35)</f>
        <v>104.34999999999854</v>
      </c>
      <c r="E36" s="61">
        <f>P36-SUM($E$29:E35)</f>
        <v>1821.7600000000002</v>
      </c>
      <c r="F36" s="71">
        <f t="shared" si="6"/>
        <v>-921329.71</v>
      </c>
      <c r="G36" s="71">
        <f t="shared" si="5"/>
        <v>1776124.4</v>
      </c>
      <c r="N36" s="175">
        <v>26201972</v>
      </c>
      <c r="O36" s="58">
        <v>50133.580000000009</v>
      </c>
      <c r="P36" s="176">
        <v>4588.1999999999989</v>
      </c>
    </row>
    <row r="37" spans="1:19" x14ac:dyDescent="0.35">
      <c r="A37" s="69" t="s">
        <v>91</v>
      </c>
      <c r="B37" s="66">
        <f>N37/9*12</f>
        <v>39272952</v>
      </c>
      <c r="C37" s="61">
        <f>B37/12*9-SUM($C$29:C36)</f>
        <v>3252742</v>
      </c>
      <c r="D37" s="61">
        <f>O37-SUM($D$29:D36)</f>
        <v>0</v>
      </c>
      <c r="E37" s="61">
        <f>P37-SUM($E$29:E36)</f>
        <v>0</v>
      </c>
      <c r="F37" s="71">
        <f t="shared" si="6"/>
        <v>-921329.71</v>
      </c>
      <c r="G37" s="71">
        <f t="shared" si="5"/>
        <v>2331412.29</v>
      </c>
      <c r="N37" s="175">
        <v>29454714</v>
      </c>
      <c r="O37" s="58">
        <v>50133.580000000009</v>
      </c>
      <c r="P37" s="176">
        <v>4588.1999999999989</v>
      </c>
    </row>
    <row r="38" spans="1:19" x14ac:dyDescent="0.35">
      <c r="A38" s="69" t="s">
        <v>92</v>
      </c>
      <c r="B38" s="66">
        <f>N38/10*12</f>
        <v>39248947.200000003</v>
      </c>
      <c r="C38" s="61">
        <f>B38/12*10-SUM($C$29:C37)</f>
        <v>3252742</v>
      </c>
      <c r="D38" s="61">
        <f>O38-SUM($D$29:D37)</f>
        <v>2457.5699999999997</v>
      </c>
      <c r="E38" s="61">
        <f>P38-SUM($E$29:E37)</f>
        <v>8582.69</v>
      </c>
      <c r="F38" s="71">
        <f t="shared" si="6"/>
        <v>-921329.71</v>
      </c>
      <c r="G38" s="71">
        <f t="shared" si="5"/>
        <v>2342452.5499999998</v>
      </c>
      <c r="N38" s="175">
        <v>32707456</v>
      </c>
      <c r="O38" s="58">
        <v>52591.150000000009</v>
      </c>
      <c r="P38" s="176">
        <v>13170.89</v>
      </c>
      <c r="S38" s="72"/>
    </row>
    <row r="39" spans="1:19" x14ac:dyDescent="0.35">
      <c r="A39" s="69" t="s">
        <v>93</v>
      </c>
      <c r="B39" s="66">
        <f>N39/11*12</f>
        <v>37788606.545454547</v>
      </c>
      <c r="C39" s="61">
        <f>B39/12*11-SUM($C$29:C38)</f>
        <v>1932100</v>
      </c>
      <c r="D39" s="61">
        <f>O39-SUM($D$29:D38)</f>
        <v>5442.6500000000015</v>
      </c>
      <c r="E39" s="61">
        <f>P39-SUM($E$29:E38)</f>
        <v>172141.93999999994</v>
      </c>
      <c r="F39" s="71">
        <f t="shared" si="6"/>
        <v>-921329.71</v>
      </c>
      <c r="G39" s="71">
        <f t="shared" si="5"/>
        <v>1188354.8799999999</v>
      </c>
      <c r="I39" s="70"/>
      <c r="K39" s="70"/>
      <c r="N39" s="175">
        <v>34639556</v>
      </c>
      <c r="O39" s="58">
        <v>58033.80000000001</v>
      </c>
      <c r="P39" s="176">
        <v>185312.82999999993</v>
      </c>
    </row>
    <row r="40" spans="1:19" ht="15" thickBot="1" x14ac:dyDescent="0.4">
      <c r="A40" s="69" t="s">
        <v>94</v>
      </c>
      <c r="B40" s="66">
        <f>N40</f>
        <v>37304985</v>
      </c>
      <c r="C40" s="61">
        <f>B40/12*12-SUM($C$29:C39)</f>
        <v>2665429</v>
      </c>
      <c r="D40" s="61">
        <f>O40-SUM($D$29:D39)</f>
        <v>1518.1500000000015</v>
      </c>
      <c r="E40" s="61">
        <f>P40-SUM($E$29:E39)</f>
        <v>-9640.4300000000221</v>
      </c>
      <c r="F40" s="71">
        <f t="shared" si="6"/>
        <v>-921329.71</v>
      </c>
      <c r="G40" s="71">
        <f t="shared" si="5"/>
        <v>1735977.0099999998</v>
      </c>
      <c r="I40" s="70"/>
      <c r="K40" s="70"/>
      <c r="N40" s="177">
        <v>37304985</v>
      </c>
      <c r="O40" s="178">
        <v>59551.950000000012</v>
      </c>
      <c r="P40" s="179">
        <v>175672.39999999994</v>
      </c>
      <c r="S40" s="72"/>
    </row>
    <row r="41" spans="1:19" x14ac:dyDescent="0.35">
      <c r="B41" s="60"/>
      <c r="C41" s="61"/>
      <c r="D41" s="61"/>
      <c r="E41" s="61"/>
      <c r="F41" s="71"/>
      <c r="I41" s="70"/>
      <c r="K41" s="70"/>
    </row>
    <row r="42" spans="1:19" x14ac:dyDescent="0.35">
      <c r="I42" s="70"/>
      <c r="K42" s="70"/>
    </row>
    <row r="43" spans="1:19" x14ac:dyDescent="0.35">
      <c r="I43" s="70"/>
      <c r="J43" s="70"/>
      <c r="K43" s="70"/>
    </row>
    <row r="44" spans="1:19" x14ac:dyDescent="0.35">
      <c r="I44" s="70"/>
      <c r="K44" s="70"/>
    </row>
    <row r="45" spans="1:19" x14ac:dyDescent="0.35">
      <c r="I45" s="70"/>
      <c r="K45" s="70"/>
    </row>
    <row r="46" spans="1:19" x14ac:dyDescent="0.35">
      <c r="I46" s="70"/>
      <c r="K46" s="70"/>
    </row>
    <row r="47" spans="1:19" x14ac:dyDescent="0.35">
      <c r="I47" s="70"/>
      <c r="K47" s="70"/>
    </row>
    <row r="48" spans="1:19" x14ac:dyDescent="0.35">
      <c r="I48" s="70"/>
      <c r="K48" s="70"/>
    </row>
    <row r="49" spans="9:12" x14ac:dyDescent="0.35">
      <c r="I49" s="70"/>
      <c r="K49" s="70"/>
    </row>
    <row r="50" spans="9:12" x14ac:dyDescent="0.35">
      <c r="I50" s="70"/>
      <c r="K50" s="70"/>
    </row>
    <row r="51" spans="9:12" x14ac:dyDescent="0.35">
      <c r="L51" s="70"/>
    </row>
    <row r="52" spans="9:12" x14ac:dyDescent="0.35">
      <c r="L52" s="70"/>
    </row>
    <row r="53" spans="9:12" x14ac:dyDescent="0.35">
      <c r="L53" s="70"/>
    </row>
    <row r="54" spans="9:12" x14ac:dyDescent="0.35">
      <c r="L54" s="70"/>
    </row>
    <row r="55" spans="9:12" x14ac:dyDescent="0.35">
      <c r="I55" s="70"/>
      <c r="J55" s="70"/>
      <c r="K55" s="70"/>
      <c r="L55" s="7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workbookViewId="0">
      <selection activeCell="L8" sqref="L8"/>
    </sheetView>
  </sheetViews>
  <sheetFormatPr defaultColWidth="9.1796875" defaultRowHeight="14.5" x14ac:dyDescent="0.35"/>
  <cols>
    <col min="1" max="1" width="10.81640625" style="69" bestFit="1" customWidth="1"/>
    <col min="2" max="2" width="14.26953125" style="69" bestFit="1" customWidth="1"/>
    <col min="3" max="3" width="13.7265625" style="69" bestFit="1" customWidth="1"/>
    <col min="4" max="5" width="13.453125" style="69" bestFit="1" customWidth="1"/>
    <col min="6" max="6" width="13.7265625" style="69" bestFit="1" customWidth="1"/>
    <col min="7" max="7" width="12.26953125" style="69" bestFit="1" customWidth="1"/>
    <col min="8" max="8" width="13.453125" style="69" bestFit="1" customWidth="1"/>
    <col min="9" max="11" width="12.54296875" style="69" customWidth="1"/>
    <col min="12" max="12" width="13.26953125" style="69" bestFit="1" customWidth="1"/>
    <col min="13" max="13" width="9.1796875" style="69"/>
    <col min="14" max="16" width="12.26953125" style="69" bestFit="1" customWidth="1"/>
    <col min="17" max="16384" width="9.1796875" style="69"/>
  </cols>
  <sheetData>
    <row r="1" spans="1:16" ht="15" thickBot="1" x14ac:dyDescent="0.4">
      <c r="A1" s="125" t="s">
        <v>1</v>
      </c>
      <c r="N1" s="124" t="s">
        <v>126</v>
      </c>
      <c r="P1" s="123"/>
    </row>
    <row r="2" spans="1:16" x14ac:dyDescent="0.35">
      <c r="N2" s="122" t="s">
        <v>127</v>
      </c>
      <c r="O2" s="121"/>
      <c r="P2" s="86"/>
    </row>
    <row r="3" spans="1:16" x14ac:dyDescent="0.35">
      <c r="C3" s="120" t="s">
        <v>106</v>
      </c>
      <c r="D3" s="117"/>
      <c r="E3" s="117"/>
      <c r="F3" s="117"/>
      <c r="G3" s="119"/>
      <c r="H3" s="118" t="s">
        <v>107</v>
      </c>
      <c r="I3" s="117"/>
      <c r="J3" s="117"/>
      <c r="K3" s="117"/>
      <c r="L3" s="116"/>
      <c r="N3" s="80"/>
      <c r="O3" s="87"/>
      <c r="P3" s="86"/>
    </row>
    <row r="4" spans="1:16" x14ac:dyDescent="0.35">
      <c r="B4" s="79" t="s">
        <v>66</v>
      </c>
      <c r="C4" s="115" t="s">
        <v>67</v>
      </c>
      <c r="D4" s="114" t="s">
        <v>68</v>
      </c>
      <c r="E4" s="114"/>
      <c r="F4" s="114" t="s">
        <v>67</v>
      </c>
      <c r="G4" s="113"/>
      <c r="H4" s="112"/>
      <c r="I4" s="112"/>
      <c r="J4" s="112"/>
      <c r="K4" s="112"/>
      <c r="L4" s="111"/>
      <c r="N4" s="85" t="s">
        <v>128</v>
      </c>
      <c r="O4" s="87"/>
      <c r="P4" s="86"/>
    </row>
    <row r="5" spans="1:16" x14ac:dyDescent="0.35">
      <c r="B5" s="79" t="s">
        <v>69</v>
      </c>
      <c r="C5" s="110" t="s">
        <v>70</v>
      </c>
      <c r="D5" s="79" t="s">
        <v>71</v>
      </c>
      <c r="E5" s="79"/>
      <c r="F5" s="79" t="s">
        <v>72</v>
      </c>
      <c r="G5" s="53" t="s">
        <v>73</v>
      </c>
      <c r="H5" s="87"/>
      <c r="I5" s="87"/>
      <c r="J5" s="87"/>
      <c r="K5" s="79" t="s">
        <v>74</v>
      </c>
      <c r="L5" s="54" t="s">
        <v>73</v>
      </c>
      <c r="N5" s="85" t="s">
        <v>78</v>
      </c>
      <c r="O5" s="87"/>
      <c r="P5" s="86"/>
    </row>
    <row r="6" spans="1:16" x14ac:dyDescent="0.35">
      <c r="A6" s="108" t="s">
        <v>75</v>
      </c>
      <c r="B6" s="108" t="s">
        <v>76</v>
      </c>
      <c r="C6" s="109" t="s">
        <v>77</v>
      </c>
      <c r="D6" s="108" t="s">
        <v>78</v>
      </c>
      <c r="E6" s="108" t="s">
        <v>79</v>
      </c>
      <c r="F6" s="108" t="s">
        <v>73</v>
      </c>
      <c r="G6" s="107" t="s">
        <v>10</v>
      </c>
      <c r="H6" s="55" t="s">
        <v>80</v>
      </c>
      <c r="I6" s="55" t="s">
        <v>81</v>
      </c>
      <c r="J6" s="55" t="s">
        <v>79</v>
      </c>
      <c r="K6" s="55" t="s">
        <v>60</v>
      </c>
      <c r="L6" s="106" t="s">
        <v>10</v>
      </c>
      <c r="N6" s="85" t="s">
        <v>68</v>
      </c>
      <c r="O6" s="87"/>
      <c r="P6" s="86"/>
    </row>
    <row r="7" spans="1:16" x14ac:dyDescent="0.35">
      <c r="A7" s="77" t="s">
        <v>155</v>
      </c>
      <c r="C7" s="56" t="s">
        <v>82</v>
      </c>
      <c r="D7" s="105"/>
      <c r="E7" s="87"/>
      <c r="F7" s="87"/>
      <c r="G7" s="90"/>
      <c r="H7" s="87"/>
      <c r="I7" s="87"/>
      <c r="J7" s="87"/>
      <c r="K7" s="87"/>
      <c r="L7" s="104"/>
      <c r="N7" s="80"/>
      <c r="O7" s="87"/>
      <c r="P7" s="86"/>
    </row>
    <row r="8" spans="1:16" x14ac:dyDescent="0.35">
      <c r="A8" s="69" t="s">
        <v>83</v>
      </c>
      <c r="C8" s="103"/>
      <c r="D8" s="87"/>
      <c r="E8" s="87"/>
      <c r="F8" s="87"/>
      <c r="G8" s="102">
        <v>-2065923.51</v>
      </c>
      <c r="H8" s="87"/>
      <c r="I8" s="87"/>
      <c r="J8" s="87"/>
      <c r="K8" s="87"/>
      <c r="L8" s="101">
        <v>1138770.68</v>
      </c>
      <c r="N8" s="80"/>
      <c r="O8" s="87"/>
      <c r="P8" s="86"/>
    </row>
    <row r="9" spans="1:16" x14ac:dyDescent="0.35">
      <c r="A9" s="69" t="s">
        <v>84</v>
      </c>
      <c r="B9" s="73"/>
      <c r="C9" s="100">
        <f>G29</f>
        <v>1696464.68</v>
      </c>
      <c r="D9" s="57">
        <f>+N9</f>
        <v>-3152444.0919796801</v>
      </c>
      <c r="E9" s="57"/>
      <c r="F9" s="57">
        <f t="shared" ref="F9:F20" si="0">SUM(C9:E9)</f>
        <v>-1455979.4119796802</v>
      </c>
      <c r="G9" s="63">
        <f>F9+G8</f>
        <v>-3521902.9219796802</v>
      </c>
      <c r="H9" s="97">
        <v>-284692.68</v>
      </c>
      <c r="I9" s="99"/>
      <c r="J9" s="99"/>
      <c r="K9" s="99">
        <f>SUM(H9:J9)</f>
        <v>-284692.68</v>
      </c>
      <c r="L9" s="95">
        <f>L8+K9</f>
        <v>854078</v>
      </c>
      <c r="N9" s="183">
        <v>-3152444.0919796801</v>
      </c>
      <c r="O9" s="87"/>
      <c r="P9" s="86"/>
    </row>
    <row r="10" spans="1:16" x14ac:dyDescent="0.35">
      <c r="A10" s="69" t="s">
        <v>85</v>
      </c>
      <c r="B10" s="71"/>
      <c r="C10" s="98">
        <f>G30</f>
        <v>1694534.28</v>
      </c>
      <c r="D10" s="58">
        <f>N10-SUM($D$9:D9)</f>
        <v>-2391565.4604604798</v>
      </c>
      <c r="E10" s="58"/>
      <c r="F10" s="58">
        <f t="shared" si="0"/>
        <v>-697031.18046047981</v>
      </c>
      <c r="G10" s="63">
        <f>F10+G9</f>
        <v>-4218934.1024401598</v>
      </c>
      <c r="H10" s="97">
        <f>+H9</f>
        <v>-284692.68</v>
      </c>
      <c r="I10" s="58"/>
      <c r="J10" s="58"/>
      <c r="K10" s="58">
        <f t="shared" ref="K10:K20" si="1">SUM(H10:J10)</f>
        <v>-284692.68</v>
      </c>
      <c r="L10" s="64">
        <f t="shared" ref="L10:L20" si="2">L9+K10</f>
        <v>569385.32000000007</v>
      </c>
      <c r="N10" s="175">
        <v>-5544009.55244016</v>
      </c>
      <c r="O10" s="87"/>
      <c r="P10" s="86"/>
    </row>
    <row r="11" spans="1:16" x14ac:dyDescent="0.35">
      <c r="A11" s="69" t="s">
        <v>86</v>
      </c>
      <c r="B11" s="71"/>
      <c r="C11" s="98">
        <f t="shared" ref="C11:C20" si="3">G31</f>
        <v>2066777.68</v>
      </c>
      <c r="D11" s="58">
        <f>N11-SUM($D$9:D10)</f>
        <v>-2317930.3033952406</v>
      </c>
      <c r="E11" s="58"/>
      <c r="F11" s="58">
        <f t="shared" si="0"/>
        <v>-251152.62339524063</v>
      </c>
      <c r="G11" s="63">
        <f t="shared" ref="G11:G19" si="4">F11+G10</f>
        <v>-4470086.7258354006</v>
      </c>
      <c r="H11" s="97">
        <f>+H10</f>
        <v>-284692.68</v>
      </c>
      <c r="I11" s="58">
        <v>812709</v>
      </c>
      <c r="J11" s="58"/>
      <c r="K11" s="58">
        <f t="shared" si="1"/>
        <v>528016.32000000007</v>
      </c>
      <c r="L11" s="64">
        <f t="shared" si="2"/>
        <v>1097401.6400000001</v>
      </c>
      <c r="N11" s="175">
        <v>-7861939.8558354005</v>
      </c>
      <c r="O11" s="87"/>
      <c r="P11" s="86"/>
    </row>
    <row r="12" spans="1:16" x14ac:dyDescent="0.35">
      <c r="A12" s="69" t="s">
        <v>87</v>
      </c>
      <c r="B12" s="71"/>
      <c r="C12" s="98">
        <f t="shared" si="3"/>
        <v>1819260.0799999998</v>
      </c>
      <c r="D12" s="58">
        <f>N12-SUM($D$9:D11)</f>
        <v>-1730007.6338843592</v>
      </c>
      <c r="E12" s="58"/>
      <c r="F12" s="58">
        <f t="shared" si="0"/>
        <v>89252.446115640691</v>
      </c>
      <c r="G12" s="63">
        <f>F12+G11</f>
        <v>-4380834.2797197597</v>
      </c>
      <c r="H12" s="97">
        <f>H11</f>
        <v>-284692.68</v>
      </c>
      <c r="I12" s="58"/>
      <c r="J12" s="58"/>
      <c r="K12" s="58">
        <f t="shared" si="1"/>
        <v>-284692.68</v>
      </c>
      <c r="L12" s="64">
        <f t="shared" si="2"/>
        <v>812708.9600000002</v>
      </c>
      <c r="N12" s="175">
        <v>-9591947.4897197597</v>
      </c>
      <c r="O12" s="91"/>
      <c r="P12" s="86"/>
    </row>
    <row r="13" spans="1:16" x14ac:dyDescent="0.35">
      <c r="A13" s="69" t="s">
        <v>88</v>
      </c>
      <c r="B13" s="71"/>
      <c r="C13" s="98">
        <f>G33</f>
        <v>1430131.4499999981</v>
      </c>
      <c r="D13" s="58">
        <f>N13-SUM($D$9:D12)</f>
        <v>-866007.29291607998</v>
      </c>
      <c r="E13" s="59">
        <f>-J13+797.51</f>
        <v>2066721.02</v>
      </c>
      <c r="F13" s="58">
        <f t="shared" si="0"/>
        <v>2630845.1770839179</v>
      </c>
      <c r="G13" s="181">
        <f>F13+G12</f>
        <v>-1749989.1026358418</v>
      </c>
      <c r="H13" s="97">
        <v>104434.55</v>
      </c>
      <c r="I13" s="58"/>
      <c r="J13" s="58">
        <v>-2065923.51</v>
      </c>
      <c r="K13" s="58">
        <f t="shared" si="1"/>
        <v>-1961488.96</v>
      </c>
      <c r="L13" s="64">
        <f t="shared" si="2"/>
        <v>-1148779.9999999998</v>
      </c>
      <c r="N13" s="175">
        <v>-10457954.78263584</v>
      </c>
      <c r="O13" s="91"/>
      <c r="P13" s="86"/>
    </row>
    <row r="14" spans="1:16" x14ac:dyDescent="0.35">
      <c r="A14" s="60" t="s">
        <v>89</v>
      </c>
      <c r="B14" s="61"/>
      <c r="C14" s="62">
        <f t="shared" si="3"/>
        <v>1430132.4500000018</v>
      </c>
      <c r="D14" s="58">
        <f>N14-SUM($D$9:D13)</f>
        <v>-613771.84256915934</v>
      </c>
      <c r="E14" s="58"/>
      <c r="F14" s="58">
        <f t="shared" si="0"/>
        <v>816360.60743084247</v>
      </c>
      <c r="G14" s="181">
        <f>F14+G13</f>
        <v>-933628.49520499934</v>
      </c>
      <c r="H14" s="97">
        <f>H13</f>
        <v>104434.55</v>
      </c>
      <c r="I14" s="58"/>
      <c r="J14" s="58"/>
      <c r="K14" s="58">
        <f t="shared" si="1"/>
        <v>104434.55</v>
      </c>
      <c r="L14" s="64">
        <f t="shared" si="2"/>
        <v>-1044345.4499999997</v>
      </c>
      <c r="N14" s="175">
        <v>-11071726.625204999</v>
      </c>
      <c r="O14" s="91"/>
      <c r="P14" s="86"/>
    </row>
    <row r="15" spans="1:16" x14ac:dyDescent="0.35">
      <c r="A15" s="69" t="s">
        <v>61</v>
      </c>
      <c r="B15" s="71"/>
      <c r="C15" s="98">
        <f t="shared" si="3"/>
        <v>1430131.4499999981</v>
      </c>
      <c r="D15" s="58">
        <f>N15-SUM($D$9:D14)</f>
        <v>-480950.15229684114</v>
      </c>
      <c r="E15" s="58"/>
      <c r="F15" s="58">
        <f t="shared" si="0"/>
        <v>949181.29770315695</v>
      </c>
      <c r="G15" s="181">
        <f t="shared" si="4"/>
        <v>15552.802498157602</v>
      </c>
      <c r="H15" s="97">
        <f t="shared" ref="H15:H20" si="5">H14</f>
        <v>104434.55</v>
      </c>
      <c r="I15" s="96"/>
      <c r="J15" s="96"/>
      <c r="K15" s="96">
        <f t="shared" si="1"/>
        <v>104434.55</v>
      </c>
      <c r="L15" s="95">
        <f t="shared" si="2"/>
        <v>-939910.89999999967</v>
      </c>
      <c r="N15" s="175">
        <v>-11552676.77750184</v>
      </c>
      <c r="O15" s="87"/>
      <c r="P15" s="86"/>
    </row>
    <row r="16" spans="1:16" x14ac:dyDescent="0.35">
      <c r="A16" s="60" t="s">
        <v>90</v>
      </c>
      <c r="B16" s="61"/>
      <c r="C16" s="62">
        <f t="shared" si="3"/>
        <v>1934791.3800000018</v>
      </c>
      <c r="D16" s="58">
        <f>N16-SUM($D$9:D15)</f>
        <v>-397316.80006999895</v>
      </c>
      <c r="E16" s="58"/>
      <c r="F16" s="58">
        <f t="shared" si="0"/>
        <v>1537474.5799300028</v>
      </c>
      <c r="G16" s="181">
        <f t="shared" si="4"/>
        <v>1553027.3824281604</v>
      </c>
      <c r="H16" s="97">
        <f t="shared" si="5"/>
        <v>104434.55</v>
      </c>
      <c r="I16" s="58"/>
      <c r="J16" s="58"/>
      <c r="K16" s="58">
        <f t="shared" si="1"/>
        <v>104434.55</v>
      </c>
      <c r="L16" s="64">
        <f t="shared" si="2"/>
        <v>-835476.34999999963</v>
      </c>
      <c r="N16" s="175">
        <v>-11949993.577571839</v>
      </c>
      <c r="O16" s="87"/>
      <c r="P16" s="86"/>
    </row>
    <row r="17" spans="1:16" x14ac:dyDescent="0.35">
      <c r="A17" s="60" t="s">
        <v>91</v>
      </c>
      <c r="B17" s="61"/>
      <c r="C17" s="62">
        <f t="shared" si="3"/>
        <v>1493277.45</v>
      </c>
      <c r="D17" s="58">
        <f>N17-SUM($D$9:D16)</f>
        <v>-523249.18049708009</v>
      </c>
      <c r="E17" s="58"/>
      <c r="F17" s="58">
        <f t="shared" si="0"/>
        <v>970028.26950291987</v>
      </c>
      <c r="G17" s="181">
        <f t="shared" si="4"/>
        <v>2523055.65193108</v>
      </c>
      <c r="H17" s="97">
        <f t="shared" si="5"/>
        <v>104434.55</v>
      </c>
      <c r="I17" s="96"/>
      <c r="J17" s="96"/>
      <c r="K17" s="96">
        <f t="shared" si="1"/>
        <v>104434.55</v>
      </c>
      <c r="L17" s="95">
        <f t="shared" si="2"/>
        <v>-731041.79999999958</v>
      </c>
      <c r="N17" s="175">
        <v>-12473242.758068919</v>
      </c>
      <c r="O17" s="91"/>
      <c r="P17" s="86"/>
    </row>
    <row r="18" spans="1:16" x14ac:dyDescent="0.35">
      <c r="A18" s="69" t="s">
        <v>92</v>
      </c>
      <c r="B18" s="71"/>
      <c r="C18" s="98">
        <f t="shared" si="3"/>
        <v>1493276.45</v>
      </c>
      <c r="D18" s="58">
        <f>N18-SUM($D$9:D17)</f>
        <v>-969543.61702300049</v>
      </c>
      <c r="E18" s="96"/>
      <c r="F18" s="96">
        <f t="shared" si="0"/>
        <v>523732.83297699946</v>
      </c>
      <c r="G18" s="182">
        <f t="shared" si="4"/>
        <v>3046788.4849080797</v>
      </c>
      <c r="H18" s="97">
        <f t="shared" si="5"/>
        <v>104434.55</v>
      </c>
      <c r="I18" s="96"/>
      <c r="J18" s="96"/>
      <c r="K18" s="96">
        <f t="shared" si="1"/>
        <v>104434.55</v>
      </c>
      <c r="L18" s="95">
        <f t="shared" si="2"/>
        <v>-626607.24999999953</v>
      </c>
      <c r="N18" s="175">
        <v>-13442786.37509192</v>
      </c>
      <c r="O18" s="87"/>
      <c r="P18" s="86"/>
    </row>
    <row r="19" spans="1:16" x14ac:dyDescent="0.35">
      <c r="A19" s="69" t="s">
        <v>93</v>
      </c>
      <c r="B19" s="71"/>
      <c r="C19" s="98">
        <f t="shared" si="3"/>
        <v>1493276.45</v>
      </c>
      <c r="D19" s="58">
        <f>N19-SUM($D$9:D18)</f>
        <v>-1507831.6794897597</v>
      </c>
      <c r="E19" s="96"/>
      <c r="F19" s="96">
        <f t="shared" si="0"/>
        <v>-14555.229489759775</v>
      </c>
      <c r="G19" s="182">
        <f t="shared" si="4"/>
        <v>3032233.2554183202</v>
      </c>
      <c r="H19" s="97">
        <f t="shared" si="5"/>
        <v>104434.55</v>
      </c>
      <c r="I19" s="96"/>
      <c r="J19" s="96"/>
      <c r="K19" s="96">
        <f t="shared" si="1"/>
        <v>104434.55</v>
      </c>
      <c r="L19" s="95">
        <f t="shared" si="2"/>
        <v>-522172.69999999955</v>
      </c>
      <c r="N19" s="175">
        <v>-14950618.054581679</v>
      </c>
      <c r="O19" s="87"/>
      <c r="P19" s="86"/>
    </row>
    <row r="20" spans="1:16" x14ac:dyDescent="0.35">
      <c r="A20" s="69" t="s">
        <v>94</v>
      </c>
      <c r="B20" s="71"/>
      <c r="C20" s="93">
        <f t="shared" si="3"/>
        <v>1493276.45</v>
      </c>
      <c r="D20" s="58">
        <f>N20-SUM($D$9:D19)</f>
        <v>-1920448.8530808799</v>
      </c>
      <c r="E20" s="65">
        <v>0</v>
      </c>
      <c r="F20" s="92">
        <f t="shared" si="0"/>
        <v>-427172.40308087994</v>
      </c>
      <c r="G20" s="293">
        <f>F20+G19</f>
        <v>2605060.8523374405</v>
      </c>
      <c r="H20" s="97">
        <f t="shared" si="5"/>
        <v>104434.55</v>
      </c>
      <c r="I20" s="92"/>
      <c r="J20" s="92"/>
      <c r="K20" s="92">
        <f t="shared" si="1"/>
        <v>104434.55</v>
      </c>
      <c r="L20" s="292">
        <f t="shared" si="2"/>
        <v>-417738.14999999956</v>
      </c>
      <c r="N20" s="175">
        <v>-16871066.907662559</v>
      </c>
      <c r="O20" s="87"/>
      <c r="P20" s="86"/>
    </row>
    <row r="21" spans="1:16" x14ac:dyDescent="0.35">
      <c r="C21" s="71"/>
      <c r="D21" s="71"/>
      <c r="E21" s="71"/>
      <c r="F21" s="71"/>
      <c r="G21" s="126"/>
      <c r="H21" s="87"/>
      <c r="I21" s="87"/>
      <c r="J21" s="87"/>
      <c r="K21" s="87"/>
      <c r="N21" s="80"/>
      <c r="O21" s="87"/>
      <c r="P21" s="86"/>
    </row>
    <row r="22" spans="1:16" ht="15" thickBot="1" x14ac:dyDescent="0.4">
      <c r="C22" s="71"/>
      <c r="D22" s="71"/>
      <c r="E22" s="71"/>
      <c r="F22" s="71"/>
      <c r="G22" s="126"/>
      <c r="H22" s="88">
        <f>SUM(H9:H21)</f>
        <v>-303294.31999999977</v>
      </c>
      <c r="I22" s="88">
        <f>SUM(I9:I21)</f>
        <v>812709</v>
      </c>
      <c r="J22" s="88">
        <f>SUM(J9:J21)</f>
        <v>-2065923.51</v>
      </c>
      <c r="K22" s="88">
        <f>SUM(K9:K21)</f>
        <v>-1556508.8299999996</v>
      </c>
      <c r="N22" s="80"/>
      <c r="O22" s="87"/>
      <c r="P22" s="86"/>
    </row>
    <row r="23" spans="1:16" ht="15" thickTop="1" x14ac:dyDescent="0.35">
      <c r="C23" s="71"/>
      <c r="D23" s="71"/>
      <c r="E23" s="71"/>
      <c r="F23" s="71"/>
      <c r="G23" s="71"/>
      <c r="N23" s="80"/>
      <c r="O23" s="87"/>
      <c r="P23" s="86"/>
    </row>
    <row r="24" spans="1:16" x14ac:dyDescent="0.35">
      <c r="C24" s="71"/>
      <c r="D24" s="71"/>
      <c r="E24" s="71"/>
      <c r="F24" s="71"/>
      <c r="N24" s="80"/>
      <c r="O24" s="87"/>
      <c r="P24" s="86"/>
    </row>
    <row r="25" spans="1:16" x14ac:dyDescent="0.35">
      <c r="B25" s="84" t="s">
        <v>95</v>
      </c>
      <c r="C25" s="84"/>
      <c r="D25" s="83" t="s">
        <v>96</v>
      </c>
      <c r="E25" s="83" t="s">
        <v>97</v>
      </c>
      <c r="N25" s="80"/>
      <c r="O25" s="79" t="s">
        <v>128</v>
      </c>
      <c r="P25" s="78" t="s">
        <v>128</v>
      </c>
    </row>
    <row r="26" spans="1:16" x14ac:dyDescent="0.35">
      <c r="B26" s="84" t="s">
        <v>98</v>
      </c>
      <c r="C26" s="84"/>
      <c r="D26" s="83" t="s">
        <v>99</v>
      </c>
      <c r="E26" s="83" t="s">
        <v>100</v>
      </c>
      <c r="N26" s="80"/>
      <c r="O26" s="79" t="s">
        <v>96</v>
      </c>
      <c r="P26" s="78" t="s">
        <v>97</v>
      </c>
    </row>
    <row r="27" spans="1:16" x14ac:dyDescent="0.35">
      <c r="B27" s="81" t="s">
        <v>101</v>
      </c>
      <c r="C27" s="81" t="s">
        <v>102</v>
      </c>
      <c r="D27" s="81" t="s">
        <v>103</v>
      </c>
      <c r="E27" s="81" t="s">
        <v>104</v>
      </c>
      <c r="F27" s="81" t="s">
        <v>80</v>
      </c>
      <c r="G27" s="81" t="s">
        <v>105</v>
      </c>
      <c r="N27" s="85" t="s">
        <v>128</v>
      </c>
      <c r="O27" s="79" t="s">
        <v>99</v>
      </c>
      <c r="P27" s="78" t="s">
        <v>100</v>
      </c>
    </row>
    <row r="28" spans="1:16" x14ac:dyDescent="0.35">
      <c r="A28" s="77" t="s">
        <v>155</v>
      </c>
      <c r="N28" s="127">
        <v>23600232</v>
      </c>
      <c r="O28" s="75" t="s">
        <v>103</v>
      </c>
      <c r="P28" s="74" t="s">
        <v>104</v>
      </c>
    </row>
    <row r="29" spans="1:16" x14ac:dyDescent="0.35">
      <c r="A29" s="69" t="s">
        <v>84</v>
      </c>
      <c r="B29" s="66">
        <f>N29/1*12</f>
        <v>16929864</v>
      </c>
      <c r="C29" s="67">
        <f>B29/12</f>
        <v>1410822</v>
      </c>
      <c r="D29" s="67">
        <f>+O29</f>
        <v>950</v>
      </c>
      <c r="E29" s="67">
        <f>+P29</f>
        <v>0</v>
      </c>
      <c r="F29" s="71">
        <f t="shared" ref="F29:F40" si="6">-H9</f>
        <v>284692.68</v>
      </c>
      <c r="G29" s="73">
        <f t="shared" ref="G29:G40" si="7">SUM(C29:F29)</f>
        <v>1696464.68</v>
      </c>
      <c r="N29" s="174">
        <v>1410822</v>
      </c>
      <c r="O29" s="57">
        <v>950</v>
      </c>
      <c r="P29" s="176">
        <v>0</v>
      </c>
    </row>
    <row r="30" spans="1:16" x14ac:dyDescent="0.35">
      <c r="A30" s="69" t="s">
        <v>85</v>
      </c>
      <c r="B30" s="66">
        <f>N30/2*12</f>
        <v>16929684</v>
      </c>
      <c r="C30" s="61">
        <f>B30/12*2-C29</f>
        <v>1410792</v>
      </c>
      <c r="D30" s="61">
        <f>+O30-SUM($D$29:D29)</f>
        <v>-950.4</v>
      </c>
      <c r="E30" s="61">
        <f>P30-SUM($E$29:E29)</f>
        <v>0</v>
      </c>
      <c r="F30" s="71">
        <f t="shared" si="6"/>
        <v>284692.68</v>
      </c>
      <c r="G30" s="71">
        <f t="shared" si="7"/>
        <v>1694534.28</v>
      </c>
      <c r="N30" s="175">
        <v>2821614</v>
      </c>
      <c r="O30" s="58">
        <v>-0.39999999999997726</v>
      </c>
      <c r="P30" s="176">
        <v>0</v>
      </c>
    </row>
    <row r="31" spans="1:16" x14ac:dyDescent="0.35">
      <c r="A31" s="69" t="s">
        <v>86</v>
      </c>
      <c r="B31" s="66">
        <f>N31/3*12</f>
        <v>18414796</v>
      </c>
      <c r="C31" s="61">
        <f>B31/12*3-SUM($C$29:C30)</f>
        <v>1782085</v>
      </c>
      <c r="D31" s="61">
        <f>+O31-SUM($D$29:D30)</f>
        <v>0</v>
      </c>
      <c r="E31" s="61">
        <f>P31-SUM($E$29:E30)</f>
        <v>0</v>
      </c>
      <c r="F31" s="71">
        <f t="shared" si="6"/>
        <v>284692.68</v>
      </c>
      <c r="G31" s="71">
        <f t="shared" si="7"/>
        <v>2066777.68</v>
      </c>
      <c r="N31" s="175">
        <v>4603699</v>
      </c>
      <c r="O31" s="58">
        <v>-0.39999999999997726</v>
      </c>
      <c r="P31" s="176">
        <v>0</v>
      </c>
    </row>
    <row r="32" spans="1:16" x14ac:dyDescent="0.35">
      <c r="A32" s="69" t="s">
        <v>87</v>
      </c>
      <c r="B32" s="66">
        <f>N32/4*12</f>
        <v>18414798</v>
      </c>
      <c r="C32" s="61">
        <f>B32/12*4-SUM($C$29:C31)</f>
        <v>1534567</v>
      </c>
      <c r="D32" s="61">
        <f>+O32-SUM($D$29:D31)</f>
        <v>0.39999999999997726</v>
      </c>
      <c r="E32" s="61">
        <f>P32-SUM($E$29:E31)</f>
        <v>0</v>
      </c>
      <c r="F32" s="71">
        <f t="shared" si="6"/>
        <v>284692.68</v>
      </c>
      <c r="G32" s="71">
        <f t="shared" si="7"/>
        <v>1819260.0799999998</v>
      </c>
      <c r="N32" s="175">
        <v>6138266</v>
      </c>
      <c r="O32" s="58">
        <v>0</v>
      </c>
      <c r="P32" s="176">
        <v>0</v>
      </c>
    </row>
    <row r="33" spans="1:16" x14ac:dyDescent="0.35">
      <c r="A33" s="69" t="s">
        <v>88</v>
      </c>
      <c r="B33" s="66">
        <f>N33/5*12</f>
        <v>18414796.799999997</v>
      </c>
      <c r="C33" s="61">
        <f>B33/12*5-SUM($C$29:C32)</f>
        <v>1534565.9999999981</v>
      </c>
      <c r="D33" s="61">
        <f xml:space="preserve"> O33-SUM($D$29:D32)</f>
        <v>0</v>
      </c>
      <c r="E33" s="61">
        <f>P33-SUM($E$29:E32)</f>
        <v>0</v>
      </c>
      <c r="F33" s="71">
        <f t="shared" si="6"/>
        <v>-104434.55</v>
      </c>
      <c r="G33" s="71">
        <f>SUM(C33:F33)</f>
        <v>1430131.4499999981</v>
      </c>
      <c r="N33" s="175">
        <v>7672832</v>
      </c>
      <c r="O33" s="58">
        <v>0</v>
      </c>
      <c r="P33" s="176">
        <v>0</v>
      </c>
    </row>
    <row r="34" spans="1:16" x14ac:dyDescent="0.35">
      <c r="A34" s="69" t="s">
        <v>89</v>
      </c>
      <c r="B34" s="66">
        <f>N34/6*12</f>
        <v>18414798</v>
      </c>
      <c r="C34" s="61">
        <f>B34/12*6-SUM($C$29:C33)</f>
        <v>1534567.0000000019</v>
      </c>
      <c r="D34" s="61">
        <f>O34-SUM($D$29:D33)</f>
        <v>0</v>
      </c>
      <c r="E34" s="61">
        <f>P34-SUM($E$29:E33)</f>
        <v>0</v>
      </c>
      <c r="F34" s="71">
        <f t="shared" si="6"/>
        <v>-104434.55</v>
      </c>
      <c r="G34" s="71">
        <f t="shared" si="7"/>
        <v>1430132.4500000018</v>
      </c>
      <c r="N34" s="175">
        <v>9207399</v>
      </c>
      <c r="O34" s="58">
        <v>0</v>
      </c>
      <c r="P34" s="176">
        <v>0</v>
      </c>
    </row>
    <row r="35" spans="1:16" x14ac:dyDescent="0.35">
      <c r="A35" s="69" t="s">
        <v>61</v>
      </c>
      <c r="B35" s="66">
        <f>N35/7*12</f>
        <v>18414797.142857142</v>
      </c>
      <c r="C35" s="61">
        <f>B35/12*7-SUM($C$29:C34)</f>
        <v>1534565.9999999981</v>
      </c>
      <c r="D35" s="61">
        <f>O35-SUM($D$29:D34)</f>
        <v>0</v>
      </c>
      <c r="E35" s="61">
        <f>P35-SUM($E$29:E34)</f>
        <v>0</v>
      </c>
      <c r="F35" s="71">
        <f t="shared" si="6"/>
        <v>-104434.55</v>
      </c>
      <c r="G35" s="71">
        <f t="shared" si="7"/>
        <v>1430131.4499999981</v>
      </c>
      <c r="N35" s="175">
        <v>10741965</v>
      </c>
      <c r="O35" s="58">
        <v>0</v>
      </c>
      <c r="P35" s="176">
        <v>0</v>
      </c>
    </row>
    <row r="36" spans="1:16" x14ac:dyDescent="0.35">
      <c r="A36" s="69" t="s">
        <v>90</v>
      </c>
      <c r="B36" s="66">
        <f>N36/8*12</f>
        <v>19172533.5</v>
      </c>
      <c r="C36" s="61">
        <f>B36/12*8-SUM($C$29:C35)</f>
        <v>2039724.0000000019</v>
      </c>
      <c r="D36" s="61">
        <f>O36-SUM($D$29:D35)</f>
        <v>0</v>
      </c>
      <c r="E36" s="61">
        <f>P36-SUM($E$29:E35)</f>
        <v>-498.07</v>
      </c>
      <c r="F36" s="71">
        <f t="shared" si="6"/>
        <v>-104434.55</v>
      </c>
      <c r="G36" s="71">
        <f t="shared" si="7"/>
        <v>1934791.3800000018</v>
      </c>
      <c r="N36" s="175">
        <v>12781689</v>
      </c>
      <c r="O36" s="58">
        <v>0</v>
      </c>
      <c r="P36" s="176">
        <v>-498.07</v>
      </c>
    </row>
    <row r="37" spans="1:16" x14ac:dyDescent="0.35">
      <c r="A37" s="69" t="s">
        <v>91</v>
      </c>
      <c r="B37" s="66">
        <f>N37/9*12</f>
        <v>19172534.666666668</v>
      </c>
      <c r="C37" s="61">
        <f>B37/12*9-SUM($C$29:C36)</f>
        <v>1597712</v>
      </c>
      <c r="D37" s="61">
        <f>O37-SUM($D$29:D36)</f>
        <v>0</v>
      </c>
      <c r="E37" s="61">
        <f>P37-SUM($E$29:E36)</f>
        <v>0</v>
      </c>
      <c r="F37" s="71">
        <f t="shared" si="6"/>
        <v>-104434.55</v>
      </c>
      <c r="G37" s="71">
        <f t="shared" si="7"/>
        <v>1493277.45</v>
      </c>
      <c r="N37" s="175">
        <v>14379401</v>
      </c>
      <c r="O37" s="58">
        <v>0</v>
      </c>
      <c r="P37" s="176">
        <v>-498.07</v>
      </c>
    </row>
    <row r="38" spans="1:16" x14ac:dyDescent="0.35">
      <c r="A38" s="69" t="s">
        <v>92</v>
      </c>
      <c r="B38" s="66">
        <f>N38/10*12</f>
        <v>19172534.399999999</v>
      </c>
      <c r="C38" s="61">
        <f>B38/12*10-SUM($C$29:C37)</f>
        <v>1597711</v>
      </c>
      <c r="D38" s="61">
        <f>O38-SUM($D$29:D37)</f>
        <v>0</v>
      </c>
      <c r="E38" s="61">
        <f>P38-SUM($E$29:E37)</f>
        <v>0</v>
      </c>
      <c r="F38" s="71">
        <f t="shared" si="6"/>
        <v>-104434.55</v>
      </c>
      <c r="G38" s="71">
        <f t="shared" si="7"/>
        <v>1493276.45</v>
      </c>
      <c r="N38" s="175">
        <v>15977112</v>
      </c>
      <c r="O38" s="58">
        <v>0</v>
      </c>
      <c r="P38" s="176">
        <v>-498.07</v>
      </c>
    </row>
    <row r="39" spans="1:16" x14ac:dyDescent="0.35">
      <c r="A39" s="69" t="s">
        <v>93</v>
      </c>
      <c r="B39" s="66">
        <f>N39/11*12</f>
        <v>19172534.181818184</v>
      </c>
      <c r="C39" s="61">
        <f>B39/12*11-SUM($C$29:C38)</f>
        <v>1597711</v>
      </c>
      <c r="D39" s="61">
        <f>O39-SUM($D$29:D38)</f>
        <v>0</v>
      </c>
      <c r="E39" s="61">
        <f>P39-SUM($E$29:E38)</f>
        <v>0</v>
      </c>
      <c r="F39" s="71">
        <f t="shared" si="6"/>
        <v>-104434.55</v>
      </c>
      <c r="G39" s="71">
        <f t="shared" si="7"/>
        <v>1493276.45</v>
      </c>
      <c r="I39" s="70"/>
      <c r="K39" s="70"/>
      <c r="N39" s="175">
        <v>17574823</v>
      </c>
      <c r="O39" s="58">
        <v>0</v>
      </c>
      <c r="P39" s="176">
        <v>-498.07</v>
      </c>
    </row>
    <row r="40" spans="1:16" ht="15" thickBot="1" x14ac:dyDescent="0.4">
      <c r="A40" s="69" t="s">
        <v>94</v>
      </c>
      <c r="B40" s="66">
        <f>N40</f>
        <v>19172534</v>
      </c>
      <c r="C40" s="61">
        <f>B40/12*12-SUM($C$29:C39)</f>
        <v>1597711</v>
      </c>
      <c r="D40" s="61">
        <f>O40-SUM($D$29:D39)</f>
        <v>0</v>
      </c>
      <c r="E40" s="61">
        <f>P40-SUM($E$29:E39)</f>
        <v>0</v>
      </c>
      <c r="F40" s="71">
        <f t="shared" si="6"/>
        <v>-104434.55</v>
      </c>
      <c r="G40" s="71">
        <f t="shared" si="7"/>
        <v>1493276.45</v>
      </c>
      <c r="I40" s="70"/>
      <c r="K40" s="70"/>
      <c r="N40" s="177">
        <v>19172534</v>
      </c>
      <c r="O40" s="178">
        <v>0</v>
      </c>
      <c r="P40" s="179">
        <v>-498.07</v>
      </c>
    </row>
    <row r="41" spans="1:16" x14ac:dyDescent="0.35">
      <c r="B41" s="60"/>
      <c r="C41" s="61"/>
      <c r="D41" s="61"/>
      <c r="E41" s="61"/>
      <c r="F41" s="71"/>
      <c r="I41" s="70"/>
      <c r="K41" s="70"/>
    </row>
    <row r="42" spans="1:16" x14ac:dyDescent="0.35">
      <c r="C42" s="71"/>
      <c r="I42" s="70"/>
      <c r="K42" s="70"/>
    </row>
    <row r="43" spans="1:16" x14ac:dyDescent="0.35">
      <c r="I43" s="70"/>
      <c r="J43" s="70"/>
      <c r="K43" s="70"/>
    </row>
    <row r="44" spans="1:16" x14ac:dyDescent="0.35">
      <c r="I44" s="70"/>
      <c r="K44" s="70"/>
    </row>
    <row r="45" spans="1:16" x14ac:dyDescent="0.35">
      <c r="I45" s="70"/>
      <c r="K45" s="70"/>
    </row>
    <row r="46" spans="1:16" x14ac:dyDescent="0.35">
      <c r="I46" s="70"/>
      <c r="K46" s="70"/>
    </row>
    <row r="47" spans="1:16" x14ac:dyDescent="0.35">
      <c r="I47" s="70"/>
      <c r="K47" s="70"/>
    </row>
    <row r="48" spans="1:16" x14ac:dyDescent="0.35">
      <c r="I48" s="70"/>
      <c r="K48" s="70"/>
    </row>
    <row r="49" spans="9:12" x14ac:dyDescent="0.35">
      <c r="I49" s="70"/>
      <c r="K49" s="70"/>
    </row>
    <row r="50" spans="9:12" x14ac:dyDescent="0.35">
      <c r="I50" s="70"/>
      <c r="K50" s="70"/>
    </row>
    <row r="51" spans="9:12" x14ac:dyDescent="0.35">
      <c r="L51" s="70"/>
    </row>
    <row r="52" spans="9:12" x14ac:dyDescent="0.35">
      <c r="L52" s="70"/>
    </row>
    <row r="53" spans="9:12" x14ac:dyDescent="0.35">
      <c r="L53" s="70"/>
    </row>
    <row r="54" spans="9:12" x14ac:dyDescent="0.35">
      <c r="L54" s="70"/>
    </row>
    <row r="55" spans="9:12" x14ac:dyDescent="0.35">
      <c r="I55" s="70"/>
      <c r="J55" s="70"/>
      <c r="K55" s="70"/>
      <c r="L55" s="7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zoomScaleNormal="100" workbookViewId="0">
      <pane xSplit="3" ySplit="6" topLeftCell="D7" activePane="bottomRight" state="frozen"/>
      <selection activeCell="N23" sqref="N23"/>
      <selection pane="topRight" activeCell="N23" sqref="N23"/>
      <selection pane="bottomLeft" activeCell="N23" sqref="N23"/>
      <selection pane="bottomRight" activeCell="P27" sqref="P27"/>
    </sheetView>
  </sheetViews>
  <sheetFormatPr defaultColWidth="5.54296875" defaultRowHeight="10" x14ac:dyDescent="0.2"/>
  <cols>
    <col min="1" max="1" width="4.7265625" style="147" bestFit="1" customWidth="1"/>
    <col min="2" max="2" width="33.26953125" style="147" bestFit="1" customWidth="1"/>
    <col min="3" max="3" width="12.26953125" style="147" bestFit="1" customWidth="1"/>
    <col min="4" max="4" width="14.26953125" style="147" customWidth="1"/>
    <col min="5" max="5" width="13.54296875" style="147" customWidth="1"/>
    <col min="6" max="6" width="11.26953125" style="147" bestFit="1" customWidth="1"/>
    <col min="7" max="7" width="12.453125" style="147" customWidth="1"/>
    <col min="8" max="8" width="12.81640625" style="147" bestFit="1" customWidth="1"/>
    <col min="9" max="9" width="0.7265625" style="147" customWidth="1"/>
    <col min="10" max="10" width="13.453125" style="147" bestFit="1" customWidth="1"/>
    <col min="11" max="11" width="13.81640625" style="147" bestFit="1" customWidth="1"/>
    <col min="12" max="12" width="10.7265625" style="147" bestFit="1" customWidth="1"/>
    <col min="13" max="13" width="12.7265625" style="147" bestFit="1" customWidth="1"/>
    <col min="14" max="14" width="13.1796875" style="147" bestFit="1" customWidth="1"/>
    <col min="15" max="15" width="1.453125" style="147" customWidth="1"/>
    <col min="16" max="16" width="12.1796875" style="147" bestFit="1" customWidth="1"/>
    <col min="17" max="16384" width="5.54296875" style="147"/>
  </cols>
  <sheetData>
    <row r="1" spans="1:19" s="213" customFormat="1" ht="10.5" x14ac:dyDescent="0.25">
      <c r="A1" s="308" t="s">
        <v>32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</row>
    <row r="2" spans="1:19" s="213" customFormat="1" ht="10.5" x14ac:dyDescent="0.25">
      <c r="A2" s="309" t="s">
        <v>197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</row>
    <row r="3" spans="1:19" s="213" customFormat="1" ht="10.5" x14ac:dyDescent="0.25">
      <c r="A3" s="310" t="s">
        <v>198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214"/>
      <c r="R3" s="214"/>
      <c r="S3" s="214"/>
    </row>
    <row r="4" spans="1:19" s="213" customFormat="1" ht="10.5" x14ac:dyDescent="0.25">
      <c r="E4" s="214"/>
      <c r="K4" s="173"/>
    </row>
    <row r="5" spans="1:19" s="213" customFormat="1" ht="31.5" x14ac:dyDescent="0.25">
      <c r="A5" s="215" t="s">
        <v>31</v>
      </c>
      <c r="B5" s="215" t="s">
        <v>7</v>
      </c>
      <c r="C5" s="215" t="s">
        <v>30</v>
      </c>
      <c r="D5" s="216" t="s">
        <v>199</v>
      </c>
      <c r="E5" s="216" t="s">
        <v>200</v>
      </c>
      <c r="F5" s="217" t="s">
        <v>29</v>
      </c>
      <c r="G5" s="218" t="s">
        <v>201</v>
      </c>
      <c r="H5" s="219" t="s">
        <v>202</v>
      </c>
      <c r="I5" s="220"/>
      <c r="J5" s="221" t="s">
        <v>203</v>
      </c>
      <c r="K5" s="216" t="s">
        <v>204</v>
      </c>
      <c r="L5" s="220" t="s">
        <v>29</v>
      </c>
      <c r="M5" s="219" t="s">
        <v>205</v>
      </c>
      <c r="N5" s="219" t="s">
        <v>206</v>
      </c>
      <c r="O5" s="220"/>
      <c r="P5" s="220" t="s">
        <v>28</v>
      </c>
    </row>
    <row r="6" spans="1:19" ht="10.5" x14ac:dyDescent="0.25">
      <c r="A6" s="195"/>
      <c r="B6" s="195"/>
      <c r="C6" s="195"/>
      <c r="D6" s="195" t="s">
        <v>26</v>
      </c>
      <c r="E6" s="172" t="s">
        <v>25</v>
      </c>
      <c r="F6" s="196" t="s">
        <v>27</v>
      </c>
      <c r="G6" s="171" t="s">
        <v>24</v>
      </c>
      <c r="H6" s="195" t="s">
        <v>23</v>
      </c>
      <c r="I6" s="195"/>
      <c r="J6" s="195" t="s">
        <v>207</v>
      </c>
      <c r="K6" s="172" t="s">
        <v>208</v>
      </c>
      <c r="L6" s="196" t="s">
        <v>209</v>
      </c>
      <c r="M6" s="171" t="s">
        <v>210</v>
      </c>
      <c r="N6" s="195" t="s">
        <v>211</v>
      </c>
      <c r="O6" s="195"/>
      <c r="P6" s="222" t="s">
        <v>212</v>
      </c>
      <c r="Q6" s="195"/>
      <c r="R6" s="195"/>
      <c r="S6" s="195"/>
    </row>
    <row r="7" spans="1:19" ht="10.5" x14ac:dyDescent="0.25">
      <c r="A7" s="195"/>
      <c r="B7" s="195"/>
      <c r="C7" s="195"/>
      <c r="D7" s="195"/>
      <c r="E7" s="172"/>
      <c r="F7" s="196"/>
      <c r="G7" s="223"/>
      <c r="H7" s="195"/>
      <c r="I7" s="195"/>
      <c r="J7" s="195"/>
      <c r="K7" s="172"/>
      <c r="L7" s="196"/>
      <c r="M7" s="171"/>
      <c r="N7" s="195"/>
      <c r="O7" s="195"/>
      <c r="P7" s="224"/>
      <c r="Q7" s="195"/>
      <c r="R7" s="195"/>
      <c r="S7" s="195"/>
    </row>
    <row r="8" spans="1:19" ht="10.5" x14ac:dyDescent="0.25">
      <c r="A8" s="195">
        <v>1</v>
      </c>
      <c r="B8" s="170" t="s">
        <v>37</v>
      </c>
      <c r="C8" s="169">
        <v>7</v>
      </c>
      <c r="D8" s="225">
        <v>4182174194.7807183</v>
      </c>
      <c r="E8" s="225">
        <v>4436460087.6344929</v>
      </c>
      <c r="F8" s="168">
        <f>D8-E8</f>
        <v>-254285892.85377455</v>
      </c>
      <c r="G8" s="226">
        <v>2.6120000000000002E-3</v>
      </c>
      <c r="H8" s="150">
        <f>+G8*F8</f>
        <v>-664194.75213405921</v>
      </c>
      <c r="I8" s="150"/>
      <c r="J8" s="227">
        <v>7050788525.7889328</v>
      </c>
      <c r="K8" s="227">
        <v>6908227056.8405685</v>
      </c>
      <c r="L8" s="168">
        <f>J8-K8</f>
        <v>142561468.94836426</v>
      </c>
      <c r="M8" s="228">
        <v>1.598E-3</v>
      </c>
      <c r="N8" s="150">
        <f>+M8*L8</f>
        <v>227813.22737948608</v>
      </c>
      <c r="O8" s="150"/>
      <c r="P8" s="229">
        <f>H8+N8</f>
        <v>-436381.52475457313</v>
      </c>
      <c r="Q8" s="148"/>
      <c r="S8" s="151"/>
    </row>
    <row r="9" spans="1:19" ht="10.5" x14ac:dyDescent="0.25">
      <c r="A9" s="195">
        <f t="shared" ref="A9:A35" si="0">+A8+1</f>
        <v>2</v>
      </c>
      <c r="B9" s="167" t="s">
        <v>39</v>
      </c>
      <c r="C9" s="163"/>
      <c r="D9" s="160">
        <f>SUM(D8:D8)</f>
        <v>4182174194.7807183</v>
      </c>
      <c r="E9" s="160">
        <f>SUM(E8:E8)</f>
        <v>4436460087.6344929</v>
      </c>
      <c r="F9" s="160">
        <f>SUM(F8:F8)</f>
        <v>-254285892.85377455</v>
      </c>
      <c r="G9" s="230"/>
      <c r="H9" s="165">
        <f>SUM(H8:H8)</f>
        <v>-664194.75213405921</v>
      </c>
      <c r="I9" s="152"/>
      <c r="J9" s="160">
        <f>SUM(J8:J8)</f>
        <v>7050788525.7889328</v>
      </c>
      <c r="K9" s="160">
        <f>SUM(K8:K8)</f>
        <v>6908227056.8405685</v>
      </c>
      <c r="L9" s="160">
        <f>SUM(L8:L8)</f>
        <v>142561468.94836426</v>
      </c>
      <c r="M9" s="230"/>
      <c r="N9" s="165">
        <f>SUM(N8:N8)</f>
        <v>227813.22737948608</v>
      </c>
      <c r="O9" s="152"/>
      <c r="P9" s="231">
        <f>SUM(P8:P8)</f>
        <v>-436381.52475457313</v>
      </c>
      <c r="Q9" s="148"/>
      <c r="S9" s="151"/>
    </row>
    <row r="10" spans="1:19" ht="10.5" x14ac:dyDescent="0.25">
      <c r="A10" s="195">
        <f t="shared" si="0"/>
        <v>3</v>
      </c>
      <c r="B10" s="159"/>
      <c r="C10" s="163"/>
      <c r="D10" s="166"/>
      <c r="E10" s="166"/>
      <c r="F10" s="166"/>
      <c r="G10" s="230"/>
      <c r="H10" s="152"/>
      <c r="I10" s="152"/>
      <c r="J10" s="166"/>
      <c r="K10" s="166"/>
      <c r="L10" s="166"/>
      <c r="M10" s="230"/>
      <c r="N10" s="152"/>
      <c r="O10" s="152"/>
      <c r="P10" s="232"/>
      <c r="Q10" s="148"/>
      <c r="S10" s="151"/>
    </row>
    <row r="11" spans="1:19" ht="10.5" x14ac:dyDescent="0.25">
      <c r="A11" s="195">
        <f t="shared" si="0"/>
        <v>4</v>
      </c>
      <c r="B11" s="156" t="s">
        <v>40</v>
      </c>
      <c r="C11" s="163"/>
      <c r="D11" s="166"/>
      <c r="E11" s="166"/>
      <c r="F11" s="166"/>
      <c r="G11" s="230"/>
      <c r="H11" s="152"/>
      <c r="I11" s="152"/>
      <c r="J11" s="166"/>
      <c r="K11" s="166"/>
      <c r="L11" s="166"/>
      <c r="M11" s="230"/>
      <c r="N11" s="152"/>
      <c r="O11" s="152"/>
      <c r="P11" s="232"/>
      <c r="Q11" s="148"/>
      <c r="S11" s="151"/>
    </row>
    <row r="12" spans="1:19" ht="10.5" x14ac:dyDescent="0.25">
      <c r="A12" s="195">
        <f t="shared" si="0"/>
        <v>5</v>
      </c>
      <c r="B12" s="156" t="s">
        <v>41</v>
      </c>
      <c r="C12" s="163" t="s">
        <v>42</v>
      </c>
      <c r="D12" s="225">
        <v>995034361.70412195</v>
      </c>
      <c r="E12" s="225">
        <v>933269672.28227448</v>
      </c>
      <c r="F12" s="166">
        <f>D12-E12</f>
        <v>61764689.421847463</v>
      </c>
      <c r="G12" s="226">
        <v>2.0930000000000002E-3</v>
      </c>
      <c r="H12" s="150">
        <f>+G12*F12</f>
        <v>129273.49495992676</v>
      </c>
      <c r="I12" s="150"/>
      <c r="J12" s="227">
        <v>1790229355.5095518</v>
      </c>
      <c r="K12" s="227">
        <v>1687106180.5676532</v>
      </c>
      <c r="L12" s="166">
        <f>J12-K12</f>
        <v>103123174.94189858</v>
      </c>
      <c r="M12" s="228">
        <v>1.3259999999999999E-3</v>
      </c>
      <c r="N12" s="150">
        <f>+M12*L12</f>
        <v>136741.32997295752</v>
      </c>
      <c r="O12" s="150"/>
      <c r="P12" s="229">
        <f>H12+N12</f>
        <v>266014.82493288431</v>
      </c>
      <c r="Q12" s="148"/>
      <c r="S12" s="151"/>
    </row>
    <row r="13" spans="1:19" ht="10.5" x14ac:dyDescent="0.25">
      <c r="A13" s="195">
        <f t="shared" si="0"/>
        <v>6</v>
      </c>
      <c r="B13" s="162" t="s">
        <v>43</v>
      </c>
      <c r="C13" s="163" t="s">
        <v>44</v>
      </c>
      <c r="D13" s="225">
        <v>1003674606.5864916</v>
      </c>
      <c r="E13" s="225">
        <v>1032808183.3809468</v>
      </c>
      <c r="F13" s="166">
        <f>D13-E13</f>
        <v>-29133576.794455171</v>
      </c>
      <c r="G13" s="226">
        <v>1.98E-3</v>
      </c>
      <c r="H13" s="150">
        <f>+G13*F13</f>
        <v>-57684.482053021238</v>
      </c>
      <c r="I13" s="150"/>
      <c r="J13" s="227">
        <v>1970371153.3263259</v>
      </c>
      <c r="K13" s="227">
        <v>1954887521.1791906</v>
      </c>
      <c r="L13" s="166">
        <f>J13-K13</f>
        <v>15483632.147135258</v>
      </c>
      <c r="M13" s="228">
        <v>1.2369999999999998E-3</v>
      </c>
      <c r="N13" s="150">
        <f>+M13*L13</f>
        <v>19153.252966006312</v>
      </c>
      <c r="O13" s="150"/>
      <c r="P13" s="229">
        <f>H13+N13</f>
        <v>-38531.22908701493</v>
      </c>
      <c r="Q13" s="148"/>
      <c r="S13" s="151"/>
    </row>
    <row r="14" spans="1:19" ht="10.5" x14ac:dyDescent="0.25">
      <c r="A14" s="195">
        <f t="shared" si="0"/>
        <v>7</v>
      </c>
      <c r="B14" s="162" t="s">
        <v>45</v>
      </c>
      <c r="C14" s="163" t="s">
        <v>46</v>
      </c>
      <c r="D14" s="225">
        <v>603999270.60855365</v>
      </c>
      <c r="E14" s="225">
        <v>638596663.05559015</v>
      </c>
      <c r="F14" s="166">
        <f>D14-E14</f>
        <v>-34597392.447036505</v>
      </c>
      <c r="G14" s="226">
        <v>1.7149999999999999E-3</v>
      </c>
      <c r="H14" s="150">
        <f>+G14*F14</f>
        <v>-59334.528046667605</v>
      </c>
      <c r="I14" s="150"/>
      <c r="J14" s="227">
        <v>1328108842.9079168</v>
      </c>
      <c r="K14" s="227">
        <v>1275838487.7173781</v>
      </c>
      <c r="L14" s="166">
        <f>J14-K14</f>
        <v>52270355.190538645</v>
      </c>
      <c r="M14" s="228">
        <v>1.0119999999999999E-3</v>
      </c>
      <c r="N14" s="150">
        <f>+M14*L14</f>
        <v>52897.599452825103</v>
      </c>
      <c r="O14" s="150"/>
      <c r="P14" s="229">
        <f>H14+N14</f>
        <v>-6436.9285938425019</v>
      </c>
      <c r="Q14" s="148"/>
      <c r="S14" s="151"/>
    </row>
    <row r="15" spans="1:19" ht="10.5" x14ac:dyDescent="0.25">
      <c r="A15" s="195">
        <f t="shared" si="0"/>
        <v>8</v>
      </c>
      <c r="B15" s="162" t="s">
        <v>47</v>
      </c>
      <c r="C15" s="163">
        <v>29</v>
      </c>
      <c r="D15" s="225">
        <v>1164245.5919786629</v>
      </c>
      <c r="E15" s="225">
        <v>1376314.825707336</v>
      </c>
      <c r="F15" s="166">
        <f>D15-E15</f>
        <v>-212069.23372867308</v>
      </c>
      <c r="G15" s="226">
        <v>1.98E-3</v>
      </c>
      <c r="H15" s="150">
        <f>+G15*F15</f>
        <v>-419.89708278277271</v>
      </c>
      <c r="I15" s="150"/>
      <c r="J15" s="227">
        <v>13873066.702590976</v>
      </c>
      <c r="K15" s="227">
        <v>14197159.88747493</v>
      </c>
      <c r="L15" s="166">
        <f>J15-K15</f>
        <v>-324093.184883954</v>
      </c>
      <c r="M15" s="228">
        <v>1.2369999999999998E-3</v>
      </c>
      <c r="N15" s="150">
        <f>+M15*L15</f>
        <v>-400.90326970145105</v>
      </c>
      <c r="O15" s="150"/>
      <c r="P15" s="229">
        <f>H15+N15</f>
        <v>-820.80035248422382</v>
      </c>
      <c r="Q15" s="148"/>
      <c r="S15" s="151"/>
    </row>
    <row r="16" spans="1:19" ht="10.5" x14ac:dyDescent="0.25">
      <c r="A16" s="195">
        <f t="shared" si="0"/>
        <v>9</v>
      </c>
      <c r="B16" s="167" t="s">
        <v>48</v>
      </c>
      <c r="C16" s="163"/>
      <c r="D16" s="160">
        <f>SUM(D12:D15)</f>
        <v>2603872484.4911456</v>
      </c>
      <c r="E16" s="160">
        <f>SUM(E12:E15)</f>
        <v>2606050833.5445189</v>
      </c>
      <c r="F16" s="160">
        <f>SUM(F12:F15)</f>
        <v>-2178349.053372886</v>
      </c>
      <c r="G16" s="230"/>
      <c r="H16" s="165">
        <f>SUM(H12:H15)</f>
        <v>11834.587777455148</v>
      </c>
      <c r="I16" s="152"/>
      <c r="J16" s="160">
        <f>SUM(J12:J15)</f>
        <v>5102582418.4463854</v>
      </c>
      <c r="K16" s="160">
        <f>SUM(K12:K15)</f>
        <v>4932029349.351697</v>
      </c>
      <c r="L16" s="160">
        <f>SUM(L12:L15)</f>
        <v>170553069.09468853</v>
      </c>
      <c r="M16" s="230"/>
      <c r="N16" s="165">
        <f>SUM(N12:N15)</f>
        <v>208391.27912208746</v>
      </c>
      <c r="O16" s="152"/>
      <c r="P16" s="231">
        <f>SUM(P12:P15)</f>
        <v>220225.86689954269</v>
      </c>
      <c r="Q16" s="148"/>
      <c r="S16" s="151"/>
    </row>
    <row r="17" spans="1:19" ht="10.5" x14ac:dyDescent="0.25">
      <c r="A17" s="195">
        <f t="shared" si="0"/>
        <v>10</v>
      </c>
      <c r="B17" s="164"/>
      <c r="C17" s="163"/>
      <c r="D17" s="166"/>
      <c r="E17" s="166"/>
      <c r="F17" s="166"/>
      <c r="G17" s="230"/>
      <c r="H17" s="152"/>
      <c r="I17" s="152"/>
      <c r="J17" s="166"/>
      <c r="K17" s="166"/>
      <c r="L17" s="166"/>
      <c r="M17" s="230"/>
      <c r="N17" s="152"/>
      <c r="O17" s="152"/>
      <c r="P17" s="232"/>
      <c r="Q17" s="148"/>
      <c r="S17" s="151"/>
    </row>
    <row r="18" spans="1:19" ht="10.5" x14ac:dyDescent="0.25">
      <c r="A18" s="195">
        <f t="shared" si="0"/>
        <v>11</v>
      </c>
      <c r="B18" s="156" t="s">
        <v>49</v>
      </c>
      <c r="C18" s="163"/>
      <c r="D18" s="166"/>
      <c r="E18" s="166"/>
      <c r="F18" s="166"/>
      <c r="G18" s="230"/>
      <c r="H18" s="152"/>
      <c r="I18" s="152"/>
      <c r="J18" s="166"/>
      <c r="K18" s="166"/>
      <c r="L18" s="166"/>
      <c r="M18" s="230"/>
      <c r="N18" s="152"/>
      <c r="O18" s="152"/>
      <c r="P18" s="232"/>
      <c r="Q18" s="148"/>
      <c r="S18" s="151"/>
    </row>
    <row r="19" spans="1:19" ht="10.5" x14ac:dyDescent="0.25">
      <c r="A19" s="195">
        <f t="shared" si="0"/>
        <v>12</v>
      </c>
      <c r="B19" s="156" t="s">
        <v>50</v>
      </c>
      <c r="C19" s="163" t="s">
        <v>51</v>
      </c>
      <c r="D19" s="225">
        <v>443824419.55760866</v>
      </c>
      <c r="E19" s="225">
        <v>451836550.26346445</v>
      </c>
      <c r="F19" s="166">
        <f>D19-E19</f>
        <v>-8012130.7058557868</v>
      </c>
      <c r="G19" s="226">
        <v>1.7260000000000001E-3</v>
      </c>
      <c r="H19" s="150">
        <f>+G19*F19</f>
        <v>-13828.93759830709</v>
      </c>
      <c r="I19" s="150"/>
      <c r="J19" s="227">
        <v>942519306.33902204</v>
      </c>
      <c r="K19" s="227">
        <v>901775751.96815193</v>
      </c>
      <c r="L19" s="166">
        <f>J19-K19</f>
        <v>40743554.370870113</v>
      </c>
      <c r="M19" s="228">
        <v>1.0309999999999998E-3</v>
      </c>
      <c r="N19" s="150">
        <f>+M19*L19</f>
        <v>42006.604556367078</v>
      </c>
      <c r="O19" s="150"/>
      <c r="P19" s="229">
        <f>H19+N19</f>
        <v>28177.666958059988</v>
      </c>
      <c r="Q19" s="148"/>
      <c r="S19" s="151"/>
    </row>
    <row r="20" spans="1:19" ht="10.5" x14ac:dyDescent="0.25">
      <c r="A20" s="195">
        <f t="shared" si="0"/>
        <v>13</v>
      </c>
      <c r="B20" s="162" t="s">
        <v>47</v>
      </c>
      <c r="C20" s="163">
        <v>35</v>
      </c>
      <c r="D20" s="225">
        <v>0</v>
      </c>
      <c r="E20" s="225">
        <v>33420</v>
      </c>
      <c r="F20" s="166">
        <f>D20-E20</f>
        <v>-33420</v>
      </c>
      <c r="G20" s="226">
        <v>1.7260000000000001E-3</v>
      </c>
      <c r="H20" s="150">
        <f>+G20*F20</f>
        <v>-57.682920000000003</v>
      </c>
      <c r="I20" s="150"/>
      <c r="J20" s="227">
        <v>4440266.6219169199</v>
      </c>
      <c r="K20" s="227">
        <v>5821740</v>
      </c>
      <c r="L20" s="166">
        <f>J20-K20</f>
        <v>-1381473.3780830801</v>
      </c>
      <c r="M20" s="228">
        <v>1.0309999999999998E-3</v>
      </c>
      <c r="N20" s="150">
        <f>+M20*L20</f>
        <v>-1424.2990528036553</v>
      </c>
      <c r="O20" s="150"/>
      <c r="P20" s="229">
        <f>H20+N20</f>
        <v>-1481.9819728036553</v>
      </c>
      <c r="Q20" s="148"/>
      <c r="S20" s="151"/>
    </row>
    <row r="21" spans="1:19" ht="10.5" x14ac:dyDescent="0.25">
      <c r="A21" s="195">
        <f t="shared" si="0"/>
        <v>14</v>
      </c>
      <c r="B21" s="167" t="s">
        <v>52</v>
      </c>
      <c r="C21" s="163">
        <v>43</v>
      </c>
      <c r="D21" s="225">
        <v>54641183.010218799</v>
      </c>
      <c r="E21" s="225">
        <v>49501332.470059395</v>
      </c>
      <c r="F21" s="166">
        <f>D21-E21</f>
        <v>5139850.5401594043</v>
      </c>
      <c r="G21" s="226">
        <v>1.529E-3</v>
      </c>
      <c r="H21" s="150">
        <f>+G21*F21</f>
        <v>7858.8314759037294</v>
      </c>
      <c r="I21" s="150"/>
      <c r="J21" s="227">
        <v>68994400.971673995</v>
      </c>
      <c r="K21" s="227">
        <v>61619274.6437089</v>
      </c>
      <c r="L21" s="166">
        <f>J21-K21</f>
        <v>7375126.3279650956</v>
      </c>
      <c r="M21" s="228">
        <v>9.5800000000000008E-4</v>
      </c>
      <c r="N21" s="150">
        <f>+M21*L21</f>
        <v>7065.3710221905621</v>
      </c>
      <c r="O21" s="150"/>
      <c r="P21" s="229">
        <f>H21+N21</f>
        <v>14924.202498094292</v>
      </c>
      <c r="Q21" s="148"/>
      <c r="S21" s="151"/>
    </row>
    <row r="22" spans="1:19" ht="10.5" x14ac:dyDescent="0.25">
      <c r="A22" s="195">
        <f t="shared" si="0"/>
        <v>15</v>
      </c>
      <c r="B22" s="167" t="s">
        <v>53</v>
      </c>
      <c r="C22" s="163"/>
      <c r="D22" s="160">
        <f>SUM(D19:D21)</f>
        <v>498465602.56782746</v>
      </c>
      <c r="E22" s="160">
        <f>SUM(E19:E21)</f>
        <v>501371302.73352385</v>
      </c>
      <c r="F22" s="160">
        <f>SUM(F19:F21)</f>
        <v>-2905700.1656963825</v>
      </c>
      <c r="G22" s="230"/>
      <c r="H22" s="165">
        <f>SUM(H19:H21)</f>
        <v>-6027.7890424033594</v>
      </c>
      <c r="I22" s="152"/>
      <c r="J22" s="160">
        <f>SUM(J19:J21)</f>
        <v>1015953973.9326129</v>
      </c>
      <c r="K22" s="160">
        <f>SUM(K19:K21)</f>
        <v>969216766.61186087</v>
      </c>
      <c r="L22" s="160">
        <f>SUM(L19:L21)</f>
        <v>46737207.320752129</v>
      </c>
      <c r="M22" s="230"/>
      <c r="N22" s="165">
        <f>SUM(N19:N21)</f>
        <v>47647.676525753988</v>
      </c>
      <c r="O22" s="152"/>
      <c r="P22" s="231">
        <f>SUM(P19:P21)</f>
        <v>41619.887483350627</v>
      </c>
      <c r="Q22" s="148"/>
      <c r="S22" s="151"/>
    </row>
    <row r="23" spans="1:19" ht="10.5" x14ac:dyDescent="0.25">
      <c r="A23" s="195">
        <f t="shared" si="0"/>
        <v>16</v>
      </c>
      <c r="B23" s="159"/>
      <c r="C23" s="163"/>
      <c r="D23" s="158"/>
      <c r="E23" s="158"/>
      <c r="F23" s="158"/>
      <c r="G23" s="230"/>
      <c r="H23" s="157"/>
      <c r="I23" s="157"/>
      <c r="J23" s="158"/>
      <c r="K23" s="158"/>
      <c r="L23" s="158"/>
      <c r="M23" s="230"/>
      <c r="N23" s="157"/>
      <c r="O23" s="157"/>
      <c r="P23" s="233"/>
      <c r="Q23" s="148"/>
      <c r="S23" s="151"/>
    </row>
    <row r="24" spans="1:19" ht="10.5" x14ac:dyDescent="0.25">
      <c r="A24" s="195">
        <f t="shared" si="0"/>
        <v>17</v>
      </c>
      <c r="B24" s="164" t="s">
        <v>134</v>
      </c>
      <c r="C24" s="161" t="s">
        <v>135</v>
      </c>
      <c r="D24" s="234">
        <v>102593005.381</v>
      </c>
      <c r="E24" s="234">
        <v>103182844.30699998</v>
      </c>
      <c r="F24" s="160">
        <f>D24-E24</f>
        <v>-589838.92599998415</v>
      </c>
      <c r="G24" s="226">
        <v>5.1500000000000005E-4</v>
      </c>
      <c r="H24" s="150">
        <f>+G24*F24</f>
        <v>-303.76704688999189</v>
      </c>
      <c r="I24" s="150"/>
      <c r="J24" s="235">
        <v>205810650.51899999</v>
      </c>
      <c r="K24" s="235">
        <v>201177444.662</v>
      </c>
      <c r="L24" s="160">
        <f>J24-K24</f>
        <v>4633205.8569999933</v>
      </c>
      <c r="M24" s="228">
        <v>3.1E-4</v>
      </c>
      <c r="N24" s="150">
        <f>+M24*L24</f>
        <v>1436.2938156699979</v>
      </c>
      <c r="O24" s="150"/>
      <c r="P24" s="229">
        <f>H24+N24</f>
        <v>1132.526768780006</v>
      </c>
      <c r="Q24" s="148"/>
      <c r="S24" s="151"/>
    </row>
    <row r="25" spans="1:19" ht="10.5" x14ac:dyDescent="0.25">
      <c r="A25" s="195">
        <f>+A24+1</f>
        <v>18</v>
      </c>
      <c r="B25" s="156"/>
      <c r="C25" s="163"/>
      <c r="D25" s="158"/>
      <c r="E25" s="158"/>
      <c r="F25" s="158"/>
      <c r="G25" s="230"/>
      <c r="H25" s="157"/>
      <c r="I25" s="157"/>
      <c r="J25" s="158"/>
      <c r="K25" s="158"/>
      <c r="L25" s="158"/>
      <c r="M25" s="230"/>
      <c r="N25" s="157"/>
      <c r="O25" s="157"/>
      <c r="P25" s="233"/>
      <c r="Q25" s="148"/>
      <c r="S25" s="151"/>
    </row>
    <row r="26" spans="1:19" ht="10.5" x14ac:dyDescent="0.25">
      <c r="A26" s="195">
        <f t="shared" si="0"/>
        <v>19</v>
      </c>
      <c r="B26" s="156" t="s">
        <v>54</v>
      </c>
      <c r="C26" s="163"/>
      <c r="D26" s="166"/>
      <c r="E26" s="166"/>
      <c r="F26" s="166"/>
      <c r="G26" s="230"/>
      <c r="H26" s="152"/>
      <c r="I26" s="152"/>
      <c r="J26" s="166"/>
      <c r="K26" s="166"/>
      <c r="L26" s="166"/>
      <c r="M26" s="230"/>
      <c r="N26" s="152"/>
      <c r="O26" s="152"/>
      <c r="P26" s="232"/>
      <c r="Q26" s="148"/>
      <c r="S26" s="151"/>
    </row>
    <row r="27" spans="1:19" ht="10.5" x14ac:dyDescent="0.25">
      <c r="A27" s="195">
        <f t="shared" si="0"/>
        <v>20</v>
      </c>
      <c r="B27" s="156" t="s">
        <v>38</v>
      </c>
      <c r="C27" s="163">
        <v>46</v>
      </c>
      <c r="D27" s="236">
        <v>27028006.260538481</v>
      </c>
      <c r="E27" s="236">
        <v>35123025.895999998</v>
      </c>
      <c r="F27" s="166">
        <f>D27-E27</f>
        <v>-8095019.6354615167</v>
      </c>
      <c r="G27" s="226">
        <v>9.5E-4</v>
      </c>
      <c r="H27" s="150">
        <f>+G27*F27</f>
        <v>-7690.2686536884412</v>
      </c>
      <c r="I27" s="150"/>
      <c r="J27" s="237">
        <v>66645051.594513245</v>
      </c>
      <c r="K27" s="237">
        <v>66195888.57599999</v>
      </c>
      <c r="L27" s="166">
        <f>J27-K27</f>
        <v>449163.01851325482</v>
      </c>
      <c r="M27" s="228">
        <v>5.6799999999999993E-4</v>
      </c>
      <c r="N27" s="150">
        <f>+M27*L27</f>
        <v>255.12459451552871</v>
      </c>
      <c r="O27" s="150"/>
      <c r="P27" s="229">
        <f>H27+N27</f>
        <v>-7435.1440591729124</v>
      </c>
      <c r="Q27" s="148"/>
      <c r="S27" s="151"/>
    </row>
    <row r="28" spans="1:19" ht="10.5" x14ac:dyDescent="0.25">
      <c r="A28" s="195">
        <f t="shared" si="0"/>
        <v>21</v>
      </c>
      <c r="B28" s="162" t="s">
        <v>50</v>
      </c>
      <c r="C28" s="163">
        <v>49</v>
      </c>
      <c r="D28" s="236">
        <v>166093514.15610456</v>
      </c>
      <c r="E28" s="236">
        <v>164447836.54100001</v>
      </c>
      <c r="F28" s="166">
        <f>D28-E28</f>
        <v>1645677.6151045561</v>
      </c>
      <c r="G28" s="226">
        <v>9.5E-4</v>
      </c>
      <c r="H28" s="150">
        <f>+G28*F28</f>
        <v>1563.3937343493283</v>
      </c>
      <c r="I28" s="150"/>
      <c r="J28" s="237">
        <v>357184921.97298586</v>
      </c>
      <c r="K28" s="237">
        <v>351417676.95100003</v>
      </c>
      <c r="L28" s="166">
        <f>J28-K28</f>
        <v>5767245.0219858289</v>
      </c>
      <c r="M28" s="228">
        <v>5.6799999999999993E-4</v>
      </c>
      <c r="N28" s="150">
        <f>+M28*L28</f>
        <v>3275.7951724879504</v>
      </c>
      <c r="O28" s="150"/>
      <c r="P28" s="229">
        <f>H28+N28</f>
        <v>4839.1889068372784</v>
      </c>
      <c r="Q28" s="148"/>
      <c r="S28" s="151"/>
    </row>
    <row r="29" spans="1:19" ht="10.5" x14ac:dyDescent="0.25">
      <c r="A29" s="195">
        <f t="shared" si="0"/>
        <v>22</v>
      </c>
      <c r="B29" s="162" t="s">
        <v>55</v>
      </c>
      <c r="C29" s="163"/>
      <c r="D29" s="160">
        <f>SUM(D27:D28)</f>
        <v>193121520.41664305</v>
      </c>
      <c r="E29" s="160">
        <f>SUM(E27:E28)</f>
        <v>199570862.43700001</v>
      </c>
      <c r="F29" s="160">
        <f>SUM(F27:F28)</f>
        <v>-6449342.0203569606</v>
      </c>
      <c r="G29" s="230"/>
      <c r="H29" s="165">
        <f>SUM(H27:H28)</f>
        <v>-6126.8749193391131</v>
      </c>
      <c r="I29" s="152"/>
      <c r="J29" s="160">
        <f>SUM(J27:J28)</f>
        <v>423829973.5674991</v>
      </c>
      <c r="K29" s="160">
        <f>SUM(K27:K28)</f>
        <v>417613565.52700001</v>
      </c>
      <c r="L29" s="160">
        <f>SUM(L27:L28)</f>
        <v>6216408.0404990837</v>
      </c>
      <c r="M29" s="230"/>
      <c r="N29" s="165">
        <f>SUM(N27:N28)</f>
        <v>3530.9197670034791</v>
      </c>
      <c r="O29" s="152"/>
      <c r="P29" s="231">
        <f>SUM(P27:P28)</f>
        <v>-2595.955152335634</v>
      </c>
      <c r="Q29" s="148"/>
      <c r="S29" s="151"/>
    </row>
    <row r="30" spans="1:19" ht="10.5" x14ac:dyDescent="0.25">
      <c r="A30" s="195">
        <f t="shared" si="0"/>
        <v>23</v>
      </c>
      <c r="B30" s="164"/>
      <c r="C30" s="163"/>
      <c r="D30" s="158"/>
      <c r="E30" s="158"/>
      <c r="F30" s="158"/>
      <c r="G30" s="230"/>
      <c r="H30" s="157"/>
      <c r="I30" s="157"/>
      <c r="J30" s="158"/>
      <c r="K30" s="158"/>
      <c r="L30" s="158"/>
      <c r="M30" s="230"/>
      <c r="N30" s="157"/>
      <c r="O30" s="157"/>
      <c r="P30" s="233"/>
      <c r="Q30" s="148"/>
      <c r="S30" s="151"/>
    </row>
    <row r="31" spans="1:19" ht="10.5" x14ac:dyDescent="0.25">
      <c r="A31" s="195">
        <f t="shared" si="0"/>
        <v>24</v>
      </c>
      <c r="B31" s="156" t="s">
        <v>56</v>
      </c>
      <c r="C31" s="163" t="s">
        <v>57</v>
      </c>
      <c r="D31" s="234">
        <v>20315405.216200523</v>
      </c>
      <c r="E31" s="234">
        <v>22073289.859413836</v>
      </c>
      <c r="F31" s="160">
        <f>D31-E31</f>
        <v>-1757884.6432133131</v>
      </c>
      <c r="G31" s="226">
        <v>8.5870000000000009E-3</v>
      </c>
      <c r="H31" s="150">
        <f>+G31*F31</f>
        <v>-15094.955431272721</v>
      </c>
      <c r="I31" s="150"/>
      <c r="J31" s="235">
        <v>45091417.268260844</v>
      </c>
      <c r="K31" s="235">
        <v>45772658.450526565</v>
      </c>
      <c r="L31" s="160">
        <f>J31-K31</f>
        <v>-681241.18226572126</v>
      </c>
      <c r="M31" s="228">
        <v>4.9940000000000002E-3</v>
      </c>
      <c r="N31" s="150">
        <f>+M31*L31</f>
        <v>-3402.1184642350122</v>
      </c>
      <c r="O31" s="150"/>
      <c r="P31" s="229">
        <f>H31+N31</f>
        <v>-18497.073895507732</v>
      </c>
      <c r="Q31" s="148"/>
      <c r="S31" s="151"/>
    </row>
    <row r="32" spans="1:19" ht="10.5" x14ac:dyDescent="0.25">
      <c r="A32" s="195">
        <f t="shared" si="0"/>
        <v>25</v>
      </c>
      <c r="B32" s="156"/>
      <c r="C32" s="163"/>
      <c r="D32" s="158"/>
      <c r="E32" s="158"/>
      <c r="F32" s="158"/>
      <c r="G32" s="230"/>
      <c r="H32" s="157"/>
      <c r="I32" s="157"/>
      <c r="J32" s="158"/>
      <c r="K32" s="158"/>
      <c r="L32" s="158"/>
      <c r="M32" s="230"/>
      <c r="N32" s="157"/>
      <c r="O32" s="157"/>
      <c r="P32" s="233"/>
      <c r="Q32" s="148"/>
      <c r="S32" s="151"/>
    </row>
    <row r="33" spans="1:19" ht="10.5" x14ac:dyDescent="0.25">
      <c r="A33" s="195">
        <f t="shared" si="0"/>
        <v>26</v>
      </c>
      <c r="B33" s="162" t="s">
        <v>58</v>
      </c>
      <c r="C33" s="161" t="s">
        <v>133</v>
      </c>
      <c r="D33" s="234">
        <v>632173066.28343606</v>
      </c>
      <c r="E33" s="234">
        <v>655850183.85899997</v>
      </c>
      <c r="F33" s="160">
        <f>D33-E33</f>
        <v>-23677117.575563908</v>
      </c>
      <c r="G33" s="226">
        <v>9.9999999999999985E-3</v>
      </c>
      <c r="H33" s="150">
        <f>+G33*F33</f>
        <v>-236771.17575563904</v>
      </c>
      <c r="I33" s="150"/>
      <c r="J33" s="235">
        <v>1336834632.8941164</v>
      </c>
      <c r="K33" s="235">
        <v>1372131322.8180003</v>
      </c>
      <c r="L33" s="160">
        <f>J33-K33</f>
        <v>-35296689.923883915</v>
      </c>
      <c r="M33" s="228">
        <v>6.3770000000000007E-3</v>
      </c>
      <c r="N33" s="150">
        <f>+M33*L33</f>
        <v>-225086.99164460774</v>
      </c>
      <c r="O33" s="150"/>
      <c r="P33" s="229">
        <f>H33+N33</f>
        <v>-461858.16740024678</v>
      </c>
      <c r="Q33" s="148"/>
      <c r="S33" s="151"/>
    </row>
    <row r="34" spans="1:19" ht="10.5" x14ac:dyDescent="0.25">
      <c r="A34" s="195">
        <f t="shared" si="0"/>
        <v>27</v>
      </c>
      <c r="B34" s="159"/>
      <c r="C34" s="156"/>
      <c r="D34" s="158"/>
      <c r="E34" s="158"/>
      <c r="F34" s="158"/>
      <c r="G34" s="230"/>
      <c r="H34" s="157"/>
      <c r="I34" s="157"/>
      <c r="J34" s="158"/>
      <c r="K34" s="158"/>
      <c r="L34" s="158"/>
      <c r="M34" s="230"/>
      <c r="N34" s="157"/>
      <c r="O34" s="157"/>
      <c r="P34" s="233"/>
      <c r="Q34" s="148"/>
      <c r="S34" s="151"/>
    </row>
    <row r="35" spans="1:19" ht="11" thickBot="1" x14ac:dyDescent="0.3">
      <c r="A35" s="195">
        <f t="shared" si="0"/>
        <v>28</v>
      </c>
      <c r="B35" s="156" t="s">
        <v>59</v>
      </c>
      <c r="C35" s="156"/>
      <c r="D35" s="155">
        <f>SUM(D9,D16,D22,D24,D29,D31,D33)</f>
        <v>8232715279.1369705</v>
      </c>
      <c r="E35" s="155">
        <f>SUM(E9,E16,E22,E24,E29,E31,E33)</f>
        <v>8524559404.3749514</v>
      </c>
      <c r="F35" s="155">
        <f>SUM(F9,F16,F22,F24,F29,F31,F33)</f>
        <v>-291844125.23797798</v>
      </c>
      <c r="G35" s="154"/>
      <c r="H35" s="153">
        <f>SUM(H9,H16,H22,H24,H29,H31,H33)</f>
        <v>-916684.72655214835</v>
      </c>
      <c r="I35" s="152"/>
      <c r="J35" s="155">
        <f>SUM(J9,J16,J22,J24,J29,J31,J33)</f>
        <v>15180891592.416805</v>
      </c>
      <c r="K35" s="155">
        <f>SUM(K9,K16,K22,K24,K29,K31,K33)</f>
        <v>14846168164.261654</v>
      </c>
      <c r="L35" s="155">
        <f>SUM(L9,L16,L22,L24,L29,L31,L33)</f>
        <v>334723428.15515441</v>
      </c>
      <c r="M35" s="154"/>
      <c r="N35" s="153">
        <f>SUM(N9,N16,N22,N24,N29,N31,N33)</f>
        <v>260330.28650115832</v>
      </c>
      <c r="O35" s="152"/>
      <c r="P35" s="294">
        <f>SUM(P9,P16,P22,P24,P29,P31,P33)</f>
        <v>-656354.44005098997</v>
      </c>
      <c r="Q35" s="148"/>
      <c r="S35" s="151"/>
    </row>
    <row r="36" spans="1:19" ht="10.5" thickTop="1" x14ac:dyDescent="0.2">
      <c r="F36" s="150"/>
    </row>
    <row r="37" spans="1:19" x14ac:dyDescent="0.2">
      <c r="C37" s="238" t="s">
        <v>213</v>
      </c>
      <c r="D37" s="192">
        <v>0</v>
      </c>
      <c r="E37" s="192">
        <v>0</v>
      </c>
      <c r="F37" s="239"/>
      <c r="G37" s="240"/>
      <c r="H37" s="240"/>
      <c r="I37" s="240"/>
      <c r="J37" s="241">
        <v>0</v>
      </c>
      <c r="K37" s="192">
        <v>0</v>
      </c>
      <c r="L37" s="149"/>
    </row>
    <row r="38" spans="1:19" x14ac:dyDescent="0.2">
      <c r="E38" s="149"/>
    </row>
    <row r="39" spans="1:19" x14ac:dyDescent="0.2">
      <c r="E39" s="149"/>
      <c r="F39" s="148"/>
    </row>
    <row r="40" spans="1:19" x14ac:dyDescent="0.2">
      <c r="E40" s="149"/>
      <c r="F40" s="148"/>
    </row>
    <row r="41" spans="1:19" x14ac:dyDescent="0.2">
      <c r="E41" s="149"/>
      <c r="F41" s="148"/>
    </row>
  </sheetData>
  <mergeCells count="3">
    <mergeCell ref="A1:P1"/>
    <mergeCell ref="A2:P2"/>
    <mergeCell ref="A3:P3"/>
  </mergeCells>
  <printOptions horizontalCentered="1"/>
  <pageMargins left="0.25" right="0.25" top="0.84" bottom="0.75" header="0.3" footer="0.3"/>
  <pageSetup paperSize="17" scale="75" orientation="landscape" cellComments="asDisplayed" r:id="rId1"/>
  <headerFooter alignWithMargins="0">
    <oddHeader>&amp;RAdvice No. 2015-xx
Electric Schedule 140 Rate Design Workpapers
Page &amp;P of &amp;N</oddHeader>
    <oddFooter>&amp;L&amp;F
&amp;A&amp;R&amp;D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E51B41F39C32E43BA5933166ED67A78" ma:contentTypeVersion="19" ma:contentTypeDescription="" ma:contentTypeScope="" ma:versionID="36a79d7dbf131dbb8f605d684f0552c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250208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D06C60B-633B-4CC9-905C-2CFCC374B8E8}"/>
</file>

<file path=customXml/itemProps2.xml><?xml version="1.0" encoding="utf-8"?>
<ds:datastoreItem xmlns:ds="http://schemas.openxmlformats.org/officeDocument/2006/customXml" ds:itemID="{F0FA6530-20FC-425A-8827-24DE4AD994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C8EAC0-0B8A-4EF8-ABC6-4CEC8C6F11F5}"/>
</file>

<file path=customXml/itemProps4.xml><?xml version="1.0" encoding="utf-8"?>
<ds:datastoreItem xmlns:ds="http://schemas.openxmlformats.org/officeDocument/2006/customXml" ds:itemID="{5C5C9434-1F96-462C-83CC-2EC38FF82287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c463f71-b30c-4ab2-9473-d307f9d35888"/>
    <ds:schemaRef ds:uri="http://schemas.microsoft.com/sharepoint/v3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2025 FINAL Rev Req</vt:lpstr>
      <vt:lpstr>Support=&gt;</vt:lpstr>
      <vt:lpstr>2024 FINAL Rev Req</vt:lpstr>
      <vt:lpstr>Summary for Tracker Filing</vt:lpstr>
      <vt:lpstr>2024 Actual Payment </vt:lpstr>
      <vt:lpstr>Sched 140 Tracker Filing</vt:lpstr>
      <vt:lpstr>Electric summary</vt:lpstr>
      <vt:lpstr>Gas summary </vt:lpstr>
      <vt:lpstr>Elec Load Variance 2024</vt:lpstr>
      <vt:lpstr>Gas Rev Variance 2024</vt:lpstr>
      <vt:lpstr>2024GRC Elec CF</vt:lpstr>
      <vt:lpstr>2024GRC Gas CF</vt:lpstr>
      <vt:lpstr>2022GRC Elec CF</vt:lpstr>
      <vt:lpstr>2022GRC Gas CF</vt:lpstr>
      <vt:lpstr>'Gas Rev Variance 2024'!Print_Area</vt:lpstr>
      <vt:lpstr>'Sched 140 Tracker Filing'!Print_Area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Waltari, Julie</cp:lastModifiedBy>
  <cp:lastPrinted>2019-02-28T17:48:04Z</cp:lastPrinted>
  <dcterms:created xsi:type="dcterms:W3CDTF">2015-03-05T18:56:14Z</dcterms:created>
  <dcterms:modified xsi:type="dcterms:W3CDTF">2025-03-27T16:34:57Z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0x0101006E56B4D1795A2E4DB2F0B01679ED314A002E51B41F39C32E43BA5933166ED67A78</vt:lpwstr>
  </property>
  <property fmtid="{D5CDD505-2E9C-101B-9397-08002B2CF9AE}" pid="3" name="CustomUiType">
    <vt:lpwstr>2</vt:lpwstr>
  </property>
</Properties>
</file>