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Low Income\2025\Eff. 05-01-25 Off-Cycle\Filed 3-28-25\"/>
    </mc:Choice>
  </mc:AlternateContent>
  <bookViews>
    <workbookView xWindow="0" yWindow="0" windowWidth="28800" windowHeight="12300" tabRatio="945"/>
  </bookViews>
  <sheets>
    <sheet name="Rates Summary" sheetId="98" r:id="rId1"/>
    <sheet name="Rates" sheetId="7" r:id="rId2"/>
    <sheet name="Rate Impacts--&gt;" sheetId="16" r:id="rId3"/>
    <sheet name="Rate Impacts Sch 129" sheetId="101" r:id="rId4"/>
    <sheet name="Typical Res Bill Sch 129" sheetId="102" r:id="rId5"/>
    <sheet name="Sch. 129" sheetId="103" r:id="rId6"/>
    <sheet name="Work Papers--&gt;" sheetId="25" r:id="rId7"/>
    <sheet name="Sch 85 87 Rate Calc" sheetId="9" r:id="rId8"/>
    <sheet name="Margin Revenue" sheetId="8" r:id="rId9"/>
    <sheet name="Forecast Therms" sheetId="90" r:id="rId10"/>
    <sheet name="Revenue Requirement" sheetId="100" r:id="rId11"/>
    <sheet name="2024 GRC Rates--&gt;" sheetId="42" r:id="rId12"/>
    <sheet name="Exh JDT-5 (Rate Design)" sheetId="99" r:id="rId13"/>
  </sheets>
  <definedNames>
    <definedName name="_xlnm.Print_Area" localSheetId="12">'Exh JDT-5 (Rate Design)'!$A$1:$T$183</definedName>
    <definedName name="_xlnm.Print_Area" localSheetId="9">'Forecast Therms'!$A$1:$N$25</definedName>
    <definedName name="_xlnm.Print_Area" localSheetId="8">'Margin Revenue'!$A$1:$H$33</definedName>
    <definedName name="_xlnm.Print_Area" localSheetId="3">'Rate Impacts Sch 129'!$A$1:$X$39</definedName>
    <definedName name="_xlnm.Print_Area" localSheetId="1">Rates!$A$1:$J$59</definedName>
    <definedName name="_xlnm.Print_Area" localSheetId="0">'Rates Summary'!$A$1:$G$54</definedName>
    <definedName name="_xlnm.Print_Area" localSheetId="7">'Sch 85 87 Rate Calc'!$A$1:$M$62</definedName>
    <definedName name="_xlnm.Print_Area" localSheetId="5">'Sch. 129'!$A$1:$I$59</definedName>
    <definedName name="_xlnm.Print_Area" localSheetId="4">'Typical Res Bill Sch 129'!$B$1:$H$43</definedName>
    <definedName name="_xlnm.Print_Titles" localSheetId="12">'Exh JDT-5 (Rate Design)'!$1:$7</definedName>
  </definedNames>
  <calcPr calcId="162913"/>
</workbook>
</file>

<file path=xl/calcChain.xml><?xml version="1.0" encoding="utf-8"?>
<calcChain xmlns="http://schemas.openxmlformats.org/spreadsheetml/2006/main">
  <c r="J12" i="103" l="1"/>
  <c r="X18" i="101"/>
  <c r="G11" i="98"/>
  <c r="A4" i="98" l="1"/>
  <c r="D24" i="103"/>
  <c r="D23" i="103"/>
  <c r="D15" i="103"/>
  <c r="D14" i="103"/>
  <c r="D12" i="103"/>
  <c r="D11" i="103"/>
  <c r="E22" i="7"/>
  <c r="E14" i="7"/>
  <c r="E12" i="7"/>
  <c r="E10" i="7"/>
  <c r="F65" i="9" l="1"/>
  <c r="F55" i="9"/>
  <c r="F46" i="9"/>
  <c r="F37" i="9"/>
  <c r="F27" i="9"/>
  <c r="F18" i="9"/>
  <c r="G30" i="8" l="1"/>
  <c r="G27" i="8"/>
  <c r="G26" i="8"/>
  <c r="G25" i="8"/>
  <c r="G21" i="8"/>
  <c r="G20" i="8"/>
  <c r="G17" i="8"/>
  <c r="G15" i="8"/>
  <c r="G13" i="8"/>
  <c r="G10" i="8"/>
  <c r="G15" i="103" l="1"/>
  <c r="G14" i="103"/>
  <c r="G12" i="103"/>
  <c r="G11" i="103"/>
  <c r="D8" i="103"/>
  <c r="D34" i="102"/>
  <c r="E34" i="102" s="1"/>
  <c r="G33" i="102"/>
  <c r="G32" i="102"/>
  <c r="G34" i="102" s="1"/>
  <c r="H34" i="102" s="1"/>
  <c r="E30" i="102"/>
  <c r="G30" i="102"/>
  <c r="H30" i="102" s="1"/>
  <c r="G27" i="102"/>
  <c r="G26" i="102"/>
  <c r="G25" i="102"/>
  <c r="G24" i="102"/>
  <c r="G23" i="102"/>
  <c r="G22" i="102"/>
  <c r="G21" i="102"/>
  <c r="D20" i="102"/>
  <c r="G19" i="102"/>
  <c r="G18" i="102"/>
  <c r="D28" i="102"/>
  <c r="E15" i="102"/>
  <c r="G15" i="102"/>
  <c r="H15" i="102" s="1"/>
  <c r="E12" i="102"/>
  <c r="E13" i="102" s="1"/>
  <c r="D13" i="102"/>
  <c r="B4" i="102"/>
  <c r="B2" i="102"/>
  <c r="V35" i="101"/>
  <c r="T35" i="101"/>
  <c r="Q35" i="101"/>
  <c r="P35" i="101"/>
  <c r="N35" i="101"/>
  <c r="M35" i="101"/>
  <c r="L35" i="101"/>
  <c r="J35" i="101"/>
  <c r="I35" i="101"/>
  <c r="T34" i="101"/>
  <c r="Q34" i="101"/>
  <c r="L34" i="101"/>
  <c r="J34" i="101"/>
  <c r="I34" i="101"/>
  <c r="T33" i="101"/>
  <c r="T31" i="101"/>
  <c r="K31" i="101"/>
  <c r="G31" i="101"/>
  <c r="Q30" i="101"/>
  <c r="I30" i="101"/>
  <c r="K29" i="101"/>
  <c r="G29" i="101"/>
  <c r="S35" i="101"/>
  <c r="R35" i="101"/>
  <c r="O35" i="101"/>
  <c r="K35" i="101"/>
  <c r="G35" i="101"/>
  <c r="E35" i="101"/>
  <c r="D35" i="101"/>
  <c r="S34" i="101"/>
  <c r="R34" i="101"/>
  <c r="P34" i="101"/>
  <c r="O34" i="101"/>
  <c r="N34" i="101"/>
  <c r="K34" i="101"/>
  <c r="G34" i="101"/>
  <c r="E34" i="101"/>
  <c r="F34" i="101" s="1"/>
  <c r="D34" i="101"/>
  <c r="F22" i="101"/>
  <c r="H22" i="101" s="1"/>
  <c r="F21" i="101"/>
  <c r="H21" i="101" s="1"/>
  <c r="S31" i="101"/>
  <c r="O31" i="101"/>
  <c r="F20" i="101"/>
  <c r="H20" i="101" s="1"/>
  <c r="M19" i="101"/>
  <c r="E30" i="101"/>
  <c r="F30" i="101" s="1"/>
  <c r="S29" i="101"/>
  <c r="O29" i="101"/>
  <c r="M18" i="101"/>
  <c r="S33" i="101"/>
  <c r="Q33" i="101"/>
  <c r="P33" i="101"/>
  <c r="O33" i="101"/>
  <c r="L33" i="101"/>
  <c r="K33" i="101"/>
  <c r="J33" i="101"/>
  <c r="I33" i="101"/>
  <c r="G33" i="101"/>
  <c r="E33" i="101"/>
  <c r="F33" i="101" s="1"/>
  <c r="D33" i="101"/>
  <c r="T32" i="101"/>
  <c r="S32" i="101"/>
  <c r="R32" i="101"/>
  <c r="Q32" i="101"/>
  <c r="P32" i="101"/>
  <c r="O32" i="101"/>
  <c r="N32" i="101"/>
  <c r="L32" i="101"/>
  <c r="K32" i="101"/>
  <c r="J32" i="101"/>
  <c r="I32" i="101"/>
  <c r="G32" i="101"/>
  <c r="E32" i="101"/>
  <c r="R31" i="101"/>
  <c r="Q31" i="101"/>
  <c r="P31" i="101"/>
  <c r="N31" i="101"/>
  <c r="L31" i="101"/>
  <c r="J31" i="101"/>
  <c r="I31" i="101"/>
  <c r="E31" i="101"/>
  <c r="F31" i="101" s="1"/>
  <c r="D31" i="101"/>
  <c r="T30" i="101"/>
  <c r="S30" i="101"/>
  <c r="R30" i="101"/>
  <c r="P30" i="101"/>
  <c r="O30" i="101"/>
  <c r="N30" i="101"/>
  <c r="M14" i="101"/>
  <c r="M30" i="101" s="1"/>
  <c r="L30" i="101"/>
  <c r="K30" i="101"/>
  <c r="J30" i="101"/>
  <c r="G30" i="101"/>
  <c r="D30" i="101"/>
  <c r="T29" i="101"/>
  <c r="R29" i="101"/>
  <c r="Q29" i="101"/>
  <c r="P29" i="101"/>
  <c r="N29" i="101"/>
  <c r="M13" i="101"/>
  <c r="L29" i="101"/>
  <c r="J29" i="101"/>
  <c r="I29" i="101"/>
  <c r="E29" i="101"/>
  <c r="F29" i="101" s="1"/>
  <c r="D29" i="101"/>
  <c r="F12" i="101"/>
  <c r="H12" i="101" s="1"/>
  <c r="U12" i="101" s="1"/>
  <c r="A12" i="101"/>
  <c r="A13" i="101" s="1"/>
  <c r="A14" i="101" s="1"/>
  <c r="A15" i="101" s="1"/>
  <c r="A16" i="101" s="1"/>
  <c r="A17" i="101" s="1"/>
  <c r="A18" i="101" s="1"/>
  <c r="A19" i="101" s="1"/>
  <c r="A20" i="101" s="1"/>
  <c r="A21" i="101" s="1"/>
  <c r="A22" i="101" s="1"/>
  <c r="A23" i="101" s="1"/>
  <c r="A24" i="101" s="1"/>
  <c r="A25" i="101" s="1"/>
  <c r="A28" i="101" s="1"/>
  <c r="A29" i="101" s="1"/>
  <c r="A30" i="101" s="1"/>
  <c r="A31" i="101" s="1"/>
  <c r="A32" i="101" s="1"/>
  <c r="A33" i="101" s="1"/>
  <c r="A34" i="101" s="1"/>
  <c r="A35" i="101" s="1"/>
  <c r="A36" i="101" s="1"/>
  <c r="S25" i="101"/>
  <c r="Q28" i="101"/>
  <c r="Q36" i="101" s="1"/>
  <c r="O25" i="101"/>
  <c r="K25" i="101"/>
  <c r="I28" i="101"/>
  <c r="I36" i="101" s="1"/>
  <c r="G25" i="101"/>
  <c r="E28" i="101"/>
  <c r="E7" i="101"/>
  <c r="W6" i="101"/>
  <c r="M29" i="101" l="1"/>
  <c r="E36" i="101"/>
  <c r="X12" i="101"/>
  <c r="W12" i="101"/>
  <c r="D28" i="101"/>
  <c r="D25" i="101"/>
  <c r="J28" i="101"/>
  <c r="J36" i="101" s="1"/>
  <c r="J25" i="101"/>
  <c r="L28" i="101"/>
  <c r="L36" i="101" s="1"/>
  <c r="L25" i="101"/>
  <c r="P28" i="101"/>
  <c r="P36" i="101" s="1"/>
  <c r="P25" i="101"/>
  <c r="T28" i="101"/>
  <c r="T36" i="101" s="1"/>
  <c r="T25" i="101"/>
  <c r="F13" i="101"/>
  <c r="F14" i="101"/>
  <c r="H14" i="101" s="1"/>
  <c r="F15" i="101"/>
  <c r="H15" i="101" s="1"/>
  <c r="D32" i="101"/>
  <c r="F32" i="101" s="1"/>
  <c r="F16" i="101"/>
  <c r="H16" i="101" s="1"/>
  <c r="F17" i="101"/>
  <c r="H17" i="101" s="1"/>
  <c r="N33" i="101"/>
  <c r="R33" i="101"/>
  <c r="F19" i="101"/>
  <c r="H19" i="101" s="1"/>
  <c r="U19" i="101" s="1"/>
  <c r="F23" i="101"/>
  <c r="H23" i="101" s="1"/>
  <c r="F35" i="101"/>
  <c r="E25" i="101"/>
  <c r="F25" i="101" s="1"/>
  <c r="I25" i="101"/>
  <c r="Q25" i="101"/>
  <c r="G28" i="101"/>
  <c r="G36" i="101" s="1"/>
  <c r="K28" i="101"/>
  <c r="K36" i="101" s="1"/>
  <c r="O28" i="101"/>
  <c r="O36" i="101" s="1"/>
  <c r="S28" i="101"/>
  <c r="S36" i="101" s="1"/>
  <c r="D41" i="102"/>
  <c r="D35" i="102"/>
  <c r="E28" i="102"/>
  <c r="E35" i="102" s="1"/>
  <c r="E37" i="102" s="1"/>
  <c r="F11" i="101"/>
  <c r="H11" i="101" s="1"/>
  <c r="N28" i="101"/>
  <c r="N36" i="101" s="1"/>
  <c r="N25" i="101"/>
  <c r="R28" i="101"/>
  <c r="R36" i="101" s="1"/>
  <c r="R25" i="101"/>
  <c r="F24" i="101"/>
  <c r="H24" i="101" s="1"/>
  <c r="G12" i="102"/>
  <c r="G23" i="103"/>
  <c r="G24" i="103"/>
  <c r="M21" i="101" l="1"/>
  <c r="U21" i="101" s="1"/>
  <c r="H35" i="101"/>
  <c r="U24" i="101"/>
  <c r="H34" i="101"/>
  <c r="H33" i="101"/>
  <c r="H30" i="101"/>
  <c r="U14" i="101"/>
  <c r="M16" i="101"/>
  <c r="M32" i="101" s="1"/>
  <c r="H28" i="101"/>
  <c r="H32" i="101"/>
  <c r="H31" i="101"/>
  <c r="F18" i="101"/>
  <c r="H18" i="101" s="1"/>
  <c r="U18" i="101" s="1"/>
  <c r="H13" i="101"/>
  <c r="D36" i="101"/>
  <c r="F36" i="101" s="1"/>
  <c r="F28" i="101"/>
  <c r="H12" i="102"/>
  <c r="H13" i="102" s="1"/>
  <c r="G13" i="102"/>
  <c r="H25" i="101" l="1"/>
  <c r="U30" i="101"/>
  <c r="U35" i="101"/>
  <c r="X35" i="101" s="1"/>
  <c r="X24" i="101"/>
  <c r="W24" i="101"/>
  <c r="W35" i="101" s="1"/>
  <c r="H29" i="101"/>
  <c r="U13" i="101"/>
  <c r="U16" i="101"/>
  <c r="H36" i="101"/>
  <c r="U29" i="101" l="1"/>
  <c r="U32" i="101"/>
  <c r="A57" i="9" l="1"/>
  <c r="A48" i="9"/>
  <c r="A39" i="9"/>
  <c r="A29" i="9"/>
  <c r="A20" i="9"/>
  <c r="A59" i="7"/>
  <c r="A57" i="7"/>
  <c r="A48" i="7"/>
  <c r="A39" i="7"/>
  <c r="A33" i="7"/>
  <c r="A24" i="7"/>
  <c r="A22" i="7"/>
  <c r="A16" i="7"/>
  <c r="A14" i="7"/>
  <c r="A12" i="7"/>
  <c r="A49" i="98" l="1"/>
  <c r="A50" i="98" s="1"/>
  <c r="A51" i="98" s="1"/>
  <c r="A52" i="98" s="1"/>
  <c r="A53" i="98" s="1"/>
  <c r="A54" i="98" s="1"/>
  <c r="A48" i="98"/>
  <c r="A17" i="7"/>
  <c r="A18" i="7" s="1"/>
  <c r="A19" i="7" s="1"/>
  <c r="A20" i="7" s="1"/>
  <c r="A25" i="7" s="1"/>
  <c r="A26" i="7" s="1"/>
  <c r="A27" i="7" s="1"/>
  <c r="A28" i="7" s="1"/>
  <c r="A29" i="7" s="1"/>
  <c r="A30" i="7" s="1"/>
  <c r="A31" i="7" s="1"/>
  <c r="A34" i="7" s="1"/>
  <c r="A35" i="7" s="1"/>
  <c r="A36" i="7" s="1"/>
  <c r="A37" i="7" s="1"/>
  <c r="A40" i="7" s="1"/>
  <c r="A41" i="7" s="1"/>
  <c r="A42" i="7" s="1"/>
  <c r="A43" i="7" s="1"/>
  <c r="A44" i="7" s="1"/>
  <c r="A45" i="7" s="1"/>
  <c r="A46" i="7" s="1"/>
  <c r="A49" i="7" s="1"/>
  <c r="A50" i="7" s="1"/>
  <c r="A51" i="7" s="1"/>
  <c r="A52" i="7" s="1"/>
  <c r="A53" i="7" s="1"/>
  <c r="A54" i="7" s="1"/>
  <c r="A55" i="7" s="1"/>
  <c r="A12" i="9"/>
  <c r="A13" i="9"/>
  <c r="A14" i="9" s="1"/>
  <c r="A15" i="9" s="1"/>
  <c r="A16" i="9" s="1"/>
  <c r="A17" i="9" s="1"/>
  <c r="A18" i="9" s="1"/>
  <c r="A21" i="9" s="1"/>
  <c r="A22" i="9" s="1"/>
  <c r="A23" i="9" s="1"/>
  <c r="A24" i="9" s="1"/>
  <c r="A25" i="9" s="1"/>
  <c r="A26" i="9" s="1"/>
  <c r="A27" i="9" s="1"/>
  <c r="A30" i="9" s="1"/>
  <c r="A31" i="9" s="1"/>
  <c r="A32" i="9" s="1"/>
  <c r="A33" i="9" s="1"/>
  <c r="A34" i="9" s="1"/>
  <c r="A35" i="9" s="1"/>
  <c r="A36" i="9" s="1"/>
  <c r="A37" i="9" s="1"/>
  <c r="A40" i="9" s="1"/>
  <c r="A41" i="9" s="1"/>
  <c r="A42" i="9" s="1"/>
  <c r="A43" i="9" s="1"/>
  <c r="A44" i="9" s="1"/>
  <c r="A45" i="9" s="1"/>
  <c r="A46" i="9" s="1"/>
  <c r="A49" i="9" s="1"/>
  <c r="A50" i="9" s="1"/>
  <c r="A51" i="9" s="1"/>
  <c r="A52" i="9" s="1"/>
  <c r="A53" i="9" s="1"/>
  <c r="A54" i="9" s="1"/>
  <c r="A55" i="9" s="1"/>
  <c r="A58" i="9" s="1"/>
  <c r="A11" i="9"/>
  <c r="D55" i="9" l="1"/>
  <c r="E53" i="9" s="1"/>
  <c r="A28" i="8"/>
  <c r="A29" i="8" s="1"/>
  <c r="A27" i="8"/>
  <c r="F53" i="9" l="1"/>
  <c r="E53" i="7" s="1"/>
  <c r="D55" i="103" s="1"/>
  <c r="E49" i="9"/>
  <c r="F49" i="9" s="1"/>
  <c r="E50" i="9"/>
  <c r="F50" i="9" s="1"/>
  <c r="E50" i="7" s="1"/>
  <c r="D52" i="103" s="1"/>
  <c r="E51" i="9"/>
  <c r="F51" i="9" s="1"/>
  <c r="E51" i="7" s="1"/>
  <c r="D53" i="103" s="1"/>
  <c r="E54" i="9"/>
  <c r="F54" i="9" s="1"/>
  <c r="E54" i="7" s="1"/>
  <c r="D56" i="103" s="1"/>
  <c r="E52" i="9"/>
  <c r="F52" i="9" s="1"/>
  <c r="E52" i="7" s="1"/>
  <c r="D54" i="103" s="1"/>
  <c r="A20" i="100"/>
  <c r="A19" i="100"/>
  <c r="A18" i="100"/>
  <c r="A17" i="100"/>
  <c r="A16" i="100"/>
  <c r="A15" i="100"/>
  <c r="F18" i="100"/>
  <c r="A14" i="100"/>
  <c r="A13" i="100"/>
  <c r="A12" i="100"/>
  <c r="A11" i="100"/>
  <c r="F20" i="100" l="1"/>
  <c r="G18" i="100"/>
  <c r="G56" i="103"/>
  <c r="G52" i="103"/>
  <c r="G55" i="103"/>
  <c r="G54" i="103"/>
  <c r="G53" i="103"/>
  <c r="E49" i="7"/>
  <c r="D51" i="103" s="1"/>
  <c r="F68" i="9"/>
  <c r="E55" i="7"/>
  <c r="G20" i="100"/>
  <c r="H11" i="100"/>
  <c r="H20" i="100" l="1"/>
  <c r="H59" i="7"/>
  <c r="D57" i="103"/>
  <c r="G51" i="103"/>
  <c r="D37" i="9"/>
  <c r="G57" i="103" l="1"/>
  <c r="D36" i="9"/>
  <c r="R183" i="99"/>
  <c r="N171" i="99"/>
  <c r="L171" i="99"/>
  <c r="N170" i="99"/>
  <c r="N169" i="99"/>
  <c r="L169" i="99"/>
  <c r="N168" i="99"/>
  <c r="L168" i="99"/>
  <c r="N167" i="99"/>
  <c r="L167" i="99"/>
  <c r="Q164" i="99"/>
  <c r="P164" i="99"/>
  <c r="T163" i="99"/>
  <c r="I163" i="99"/>
  <c r="P163" i="99" s="1"/>
  <c r="L163" i="99"/>
  <c r="N151" i="99"/>
  <c r="N149" i="99"/>
  <c r="L149" i="99"/>
  <c r="L147" i="99"/>
  <c r="Q144" i="99"/>
  <c r="P144" i="99"/>
  <c r="T143" i="99"/>
  <c r="S143" i="99"/>
  <c r="N143" i="99"/>
  <c r="T142" i="99"/>
  <c r="I142" i="99"/>
  <c r="M142" i="99"/>
  <c r="M137" i="99"/>
  <c r="L137" i="99"/>
  <c r="N135" i="99"/>
  <c r="N134" i="99"/>
  <c r="M134" i="99"/>
  <c r="L134" i="99"/>
  <c r="N133" i="99"/>
  <c r="M133" i="99"/>
  <c r="L133" i="99"/>
  <c r="M132" i="99"/>
  <c r="L132" i="99"/>
  <c r="Q129" i="99"/>
  <c r="P129" i="99"/>
  <c r="M128" i="99"/>
  <c r="T127" i="99"/>
  <c r="T126" i="99"/>
  <c r="L116" i="99"/>
  <c r="F117" i="99"/>
  <c r="Q112" i="99"/>
  <c r="P112" i="99"/>
  <c r="T111" i="99"/>
  <c r="S111" i="99"/>
  <c r="I111" i="99" s="1"/>
  <c r="J111" i="99" s="1"/>
  <c r="N111" i="99"/>
  <c r="M111" i="99"/>
  <c r="L111" i="99"/>
  <c r="I110" i="99"/>
  <c r="M110" i="99"/>
  <c r="L110" i="99"/>
  <c r="N105" i="99"/>
  <c r="L105" i="99"/>
  <c r="F106" i="99"/>
  <c r="E106" i="99"/>
  <c r="Q101" i="99"/>
  <c r="P101" i="99"/>
  <c r="L100" i="99"/>
  <c r="T99" i="99"/>
  <c r="I99" i="99"/>
  <c r="J99" i="99" s="1"/>
  <c r="T98" i="99"/>
  <c r="I98" i="99"/>
  <c r="J98" i="99" s="1"/>
  <c r="L98" i="99"/>
  <c r="L88" i="99"/>
  <c r="L87" i="99"/>
  <c r="F89" i="99"/>
  <c r="E89" i="99"/>
  <c r="D25" i="8" s="1"/>
  <c r="L86" i="99"/>
  <c r="T83" i="99"/>
  <c r="S83" i="99"/>
  <c r="Q83" i="99"/>
  <c r="P83" i="99"/>
  <c r="T82" i="99"/>
  <c r="S82" i="99"/>
  <c r="T81" i="99"/>
  <c r="I81" i="99"/>
  <c r="N81" i="99"/>
  <c r="M81" i="99"/>
  <c r="L81" i="99"/>
  <c r="N76" i="99"/>
  <c r="N75" i="99"/>
  <c r="N74" i="99"/>
  <c r="M74" i="99"/>
  <c r="L74" i="99"/>
  <c r="Q71" i="99"/>
  <c r="P71" i="99"/>
  <c r="N70" i="99"/>
  <c r="T69" i="99"/>
  <c r="L69" i="99"/>
  <c r="T68" i="99"/>
  <c r="L57" i="99"/>
  <c r="L53" i="99"/>
  <c r="S52" i="99"/>
  <c r="N51" i="99"/>
  <c r="L46" i="99"/>
  <c r="L45" i="99"/>
  <c r="N40" i="99"/>
  <c r="T39" i="99"/>
  <c r="I39" i="99"/>
  <c r="N39" i="99"/>
  <c r="M39" i="99"/>
  <c r="T38" i="99"/>
  <c r="I38" i="99"/>
  <c r="J38" i="99" s="1"/>
  <c r="Q38" i="99" s="1"/>
  <c r="M38" i="99"/>
  <c r="L38" i="99"/>
  <c r="L30" i="99"/>
  <c r="I29" i="99"/>
  <c r="J29" i="99" s="1"/>
  <c r="M29" i="99"/>
  <c r="D13" i="8"/>
  <c r="L25" i="99"/>
  <c r="T24" i="99"/>
  <c r="I24" i="99"/>
  <c r="J24" i="99" s="1"/>
  <c r="B17" i="99"/>
  <c r="M16" i="99"/>
  <c r="B16" i="99"/>
  <c r="T15" i="99"/>
  <c r="L13" i="99"/>
  <c r="B11" i="99"/>
  <c r="B10" i="99"/>
  <c r="A10" i="99"/>
  <c r="A11" i="99" s="1"/>
  <c r="A12" i="99" s="1"/>
  <c r="A13" i="99" s="1"/>
  <c r="A14" i="99" s="1"/>
  <c r="A15" i="99" s="1"/>
  <c r="A16" i="99" s="1"/>
  <c r="A17" i="99" s="1"/>
  <c r="A18" i="99" s="1"/>
  <c r="A19" i="99" s="1"/>
  <c r="A20" i="99" s="1"/>
  <c r="A21" i="99" s="1"/>
  <c r="A22" i="99" s="1"/>
  <c r="A23" i="99" s="1"/>
  <c r="A24" i="99" s="1"/>
  <c r="A25" i="99" s="1"/>
  <c r="A26" i="99" s="1"/>
  <c r="A27" i="99" s="1"/>
  <c r="A28" i="99" s="1"/>
  <c r="A29" i="99" s="1"/>
  <c r="A30" i="99" s="1"/>
  <c r="A31" i="99" s="1"/>
  <c r="A32" i="99" s="1"/>
  <c r="A33" i="99" s="1"/>
  <c r="A34" i="99" s="1"/>
  <c r="A35" i="99" s="1"/>
  <c r="A36" i="99" s="1"/>
  <c r="A37" i="99" s="1"/>
  <c r="A38" i="99" s="1"/>
  <c r="A39" i="99" s="1"/>
  <c r="A40" i="99" s="1"/>
  <c r="A41" i="99" s="1"/>
  <c r="A42" i="99" s="1"/>
  <c r="A43" i="99" s="1"/>
  <c r="A44" i="99" s="1"/>
  <c r="A45" i="99" s="1"/>
  <c r="A46" i="99" s="1"/>
  <c r="A47" i="99" s="1"/>
  <c r="A48" i="99" s="1"/>
  <c r="A49" i="99" s="1"/>
  <c r="A50" i="99" s="1"/>
  <c r="A51" i="99" s="1"/>
  <c r="A52" i="99" s="1"/>
  <c r="A53" i="99" s="1"/>
  <c r="A54" i="99" s="1"/>
  <c r="A55" i="99" s="1"/>
  <c r="A56" i="99" s="1"/>
  <c r="A57" i="99" s="1"/>
  <c r="A58" i="99" s="1"/>
  <c r="A59" i="99" s="1"/>
  <c r="A60" i="99" s="1"/>
  <c r="A61" i="99" s="1"/>
  <c r="A62" i="99" s="1"/>
  <c r="A63" i="99" s="1"/>
  <c r="A64" i="99" s="1"/>
  <c r="A65" i="99" s="1"/>
  <c r="A66" i="99" s="1"/>
  <c r="A67" i="99" s="1"/>
  <c r="A68" i="99" s="1"/>
  <c r="A69" i="99" s="1"/>
  <c r="A70" i="99" s="1"/>
  <c r="A71" i="99" s="1"/>
  <c r="A72" i="99" s="1"/>
  <c r="A73" i="99" s="1"/>
  <c r="A74" i="99" s="1"/>
  <c r="A75" i="99" s="1"/>
  <c r="A76" i="99" s="1"/>
  <c r="A77" i="99" s="1"/>
  <c r="A78" i="99" s="1"/>
  <c r="A79" i="99" s="1"/>
  <c r="A80" i="99" s="1"/>
  <c r="A81" i="99" s="1"/>
  <c r="A82" i="99" s="1"/>
  <c r="A83" i="99" s="1"/>
  <c r="A84" i="99" s="1"/>
  <c r="A85" i="99" s="1"/>
  <c r="A86" i="99" s="1"/>
  <c r="A87" i="99" s="1"/>
  <c r="A88" i="99" s="1"/>
  <c r="A89" i="99" s="1"/>
  <c r="A90" i="99" s="1"/>
  <c r="A91" i="99" s="1"/>
  <c r="A92" i="99" s="1"/>
  <c r="A93" i="99" s="1"/>
  <c r="A94" i="99" s="1"/>
  <c r="A95" i="99" s="1"/>
  <c r="A96" i="99" s="1"/>
  <c r="A97" i="99" s="1"/>
  <c r="A98" i="99" s="1"/>
  <c r="A99" i="99" s="1"/>
  <c r="A100" i="99" s="1"/>
  <c r="A101" i="99" s="1"/>
  <c r="A102" i="99" s="1"/>
  <c r="A103" i="99" s="1"/>
  <c r="A104" i="99" s="1"/>
  <c r="A105" i="99" s="1"/>
  <c r="A106" i="99" s="1"/>
  <c r="A107" i="99" s="1"/>
  <c r="A108" i="99" s="1"/>
  <c r="A109" i="99" s="1"/>
  <c r="A110" i="99" s="1"/>
  <c r="A111" i="99" s="1"/>
  <c r="A112" i="99" s="1"/>
  <c r="A113" i="99" s="1"/>
  <c r="A114" i="99" s="1"/>
  <c r="A115" i="99" s="1"/>
  <c r="A116" i="99" s="1"/>
  <c r="A117" i="99" s="1"/>
  <c r="A118" i="99" s="1"/>
  <c r="A119" i="99" s="1"/>
  <c r="A120" i="99" s="1"/>
  <c r="A121" i="99" s="1"/>
  <c r="A122" i="99" s="1"/>
  <c r="A123" i="99" s="1"/>
  <c r="A124" i="99" s="1"/>
  <c r="A125" i="99" s="1"/>
  <c r="A126" i="99" s="1"/>
  <c r="A127" i="99" s="1"/>
  <c r="A128" i="99" s="1"/>
  <c r="A129" i="99" s="1"/>
  <c r="A130" i="99" s="1"/>
  <c r="A131" i="99" s="1"/>
  <c r="A132" i="99" s="1"/>
  <c r="A133" i="99" s="1"/>
  <c r="A134" i="99" s="1"/>
  <c r="A135" i="99" s="1"/>
  <c r="A136" i="99" s="1"/>
  <c r="A137" i="99" s="1"/>
  <c r="A138" i="99" s="1"/>
  <c r="A139" i="99" s="1"/>
  <c r="A140" i="99" s="1"/>
  <c r="A141" i="99" s="1"/>
  <c r="A142" i="99" s="1"/>
  <c r="A143" i="99" s="1"/>
  <c r="A144" i="99" s="1"/>
  <c r="A145" i="99" s="1"/>
  <c r="A146" i="99" s="1"/>
  <c r="A147" i="99" s="1"/>
  <c r="A148" i="99" s="1"/>
  <c r="A149" i="99" s="1"/>
  <c r="A150" i="99" s="1"/>
  <c r="A151" i="99" s="1"/>
  <c r="A152" i="99" s="1"/>
  <c r="A153" i="99" s="1"/>
  <c r="A154" i="99" s="1"/>
  <c r="A155" i="99" s="1"/>
  <c r="A156" i="99" s="1"/>
  <c r="A157" i="99" s="1"/>
  <c r="A158" i="99" s="1"/>
  <c r="A159" i="99" s="1"/>
  <c r="A160" i="99" s="1"/>
  <c r="A161" i="99" s="1"/>
  <c r="A162" i="99" s="1"/>
  <c r="A163" i="99" s="1"/>
  <c r="A164" i="99" s="1"/>
  <c r="A165" i="99" s="1"/>
  <c r="A166" i="99" s="1"/>
  <c r="A167" i="99" s="1"/>
  <c r="A168" i="99" s="1"/>
  <c r="A169" i="99" s="1"/>
  <c r="A170" i="99" s="1"/>
  <c r="A171" i="99" s="1"/>
  <c r="A172" i="99" s="1"/>
  <c r="A173" i="99" s="1"/>
  <c r="A174" i="99" s="1"/>
  <c r="A175" i="99" s="1"/>
  <c r="A176" i="99" s="1"/>
  <c r="A177" i="99" s="1"/>
  <c r="A178" i="99" s="1"/>
  <c r="A179" i="99" s="1"/>
  <c r="A180" i="99" s="1"/>
  <c r="A181" i="99" s="1"/>
  <c r="A182" i="99" s="1"/>
  <c r="A183" i="99" s="1"/>
  <c r="A184" i="99" s="1"/>
  <c r="A185" i="99" s="1"/>
  <c r="A186" i="99" s="1"/>
  <c r="A187" i="99" s="1"/>
  <c r="A188" i="99" s="1"/>
  <c r="A189" i="99" s="1"/>
  <c r="A190" i="99" s="1"/>
  <c r="A191" i="99" s="1"/>
  <c r="S9" i="99"/>
  <c r="S15" i="99" s="1"/>
  <c r="I9" i="99"/>
  <c r="J9" i="99" s="1"/>
  <c r="N15" i="99" l="1"/>
  <c r="Q29" i="99"/>
  <c r="N38" i="99"/>
  <c r="P39" i="99"/>
  <c r="L41" i="99"/>
  <c r="N110" i="99"/>
  <c r="N137" i="99"/>
  <c r="N142" i="99"/>
  <c r="F47" i="99"/>
  <c r="M82" i="99"/>
  <c r="M104" i="99"/>
  <c r="M106" i="99" s="1"/>
  <c r="M105" i="99"/>
  <c r="M127" i="99"/>
  <c r="N136" i="99"/>
  <c r="M23" i="101"/>
  <c r="I82" i="99"/>
  <c r="J82" i="99" s="1"/>
  <c r="Q82" i="99" s="1"/>
  <c r="P81" i="99"/>
  <c r="N13" i="99"/>
  <c r="L70" i="99"/>
  <c r="J81" i="99"/>
  <c r="L99" i="99"/>
  <c r="L104" i="99"/>
  <c r="L136" i="99"/>
  <c r="L142" i="99"/>
  <c r="L51" i="99"/>
  <c r="D59" i="99"/>
  <c r="L76" i="99"/>
  <c r="L82" i="99"/>
  <c r="P110" i="99"/>
  <c r="N128" i="99"/>
  <c r="M136" i="99"/>
  <c r="L29" i="99"/>
  <c r="L31" i="99" s="1"/>
  <c r="L52" i="99"/>
  <c r="L68" i="99"/>
  <c r="M76" i="99"/>
  <c r="M88" i="99"/>
  <c r="L150" i="99"/>
  <c r="L170" i="99"/>
  <c r="N104" i="99"/>
  <c r="D10" i="8"/>
  <c r="N29" i="99"/>
  <c r="F59" i="99"/>
  <c r="M69" i="99"/>
  <c r="N82" i="99"/>
  <c r="L143" i="99"/>
  <c r="P29" i="99"/>
  <c r="L58" i="99"/>
  <c r="L59" i="99" s="1"/>
  <c r="L61" i="99" s="1"/>
  <c r="I69" i="99"/>
  <c r="P69" i="99" s="1"/>
  <c r="M86" i="99"/>
  <c r="M143" i="99"/>
  <c r="L40" i="99"/>
  <c r="E47" i="99"/>
  <c r="L135" i="99"/>
  <c r="F138" i="99"/>
  <c r="M135" i="99"/>
  <c r="M138" i="99" s="1"/>
  <c r="L152" i="99"/>
  <c r="L172" i="99"/>
  <c r="L173" i="99" s="1"/>
  <c r="S181" i="99"/>
  <c r="T181" i="99" s="1"/>
  <c r="L16" i="99"/>
  <c r="M30" i="99"/>
  <c r="M31" i="99" s="1"/>
  <c r="M70" i="99"/>
  <c r="L75" i="99"/>
  <c r="L77" i="99" s="1"/>
  <c r="L79" i="99" s="1"/>
  <c r="I143" i="99"/>
  <c r="J143" i="99" s="1"/>
  <c r="Q143" i="99" s="1"/>
  <c r="N163" i="99"/>
  <c r="M15" i="99"/>
  <c r="M17" i="99" s="1"/>
  <c r="N30" i="99"/>
  <c r="N41" i="99"/>
  <c r="E59" i="99"/>
  <c r="M75" i="99"/>
  <c r="M77" i="99" s="1"/>
  <c r="M87" i="99"/>
  <c r="M89" i="99" s="1"/>
  <c r="M91" i="99" s="1"/>
  <c r="N132" i="99"/>
  <c r="N138" i="99" s="1"/>
  <c r="N152" i="99"/>
  <c r="N172" i="99"/>
  <c r="N173" i="99" s="1"/>
  <c r="M26" i="99"/>
  <c r="T52" i="99"/>
  <c r="J39" i="99"/>
  <c r="Q39" i="99" s="1"/>
  <c r="N46" i="99"/>
  <c r="N87" i="99"/>
  <c r="P111" i="99"/>
  <c r="N127" i="99"/>
  <c r="M149" i="99"/>
  <c r="P99" i="99"/>
  <c r="M99" i="99"/>
  <c r="I127" i="99"/>
  <c r="J127" i="99" s="1"/>
  <c r="Q127" i="99" s="1"/>
  <c r="J163" i="99"/>
  <c r="Q163" i="99" s="1"/>
  <c r="L10" i="99"/>
  <c r="M52" i="99"/>
  <c r="M10" i="99"/>
  <c r="I15" i="99"/>
  <c r="M25" i="99"/>
  <c r="P38" i="99"/>
  <c r="M40" i="99"/>
  <c r="D47" i="99"/>
  <c r="Q99" i="99"/>
  <c r="N99" i="99"/>
  <c r="J110" i="99"/>
  <c r="Q110" i="99" s="1"/>
  <c r="N116" i="99"/>
  <c r="L127" i="99"/>
  <c r="M163" i="99"/>
  <c r="M116" i="99"/>
  <c r="N25" i="99"/>
  <c r="N52" i="99"/>
  <c r="I52" i="99"/>
  <c r="J52" i="99" s="1"/>
  <c r="Q52" i="99" s="1"/>
  <c r="M147" i="99"/>
  <c r="D173" i="99"/>
  <c r="N58" i="99"/>
  <c r="D77" i="99"/>
  <c r="L15" i="99"/>
  <c r="L17" i="99" s="1"/>
  <c r="L106" i="99"/>
  <c r="L108" i="99" s="1"/>
  <c r="D117" i="99"/>
  <c r="L128" i="99"/>
  <c r="N147" i="99"/>
  <c r="M150" i="99"/>
  <c r="D153" i="99"/>
  <c r="L26" i="99"/>
  <c r="D188" i="99"/>
  <c r="L39" i="99"/>
  <c r="N57" i="99"/>
  <c r="N68" i="99"/>
  <c r="Q81" i="99"/>
  <c r="L89" i="99"/>
  <c r="N88" i="99"/>
  <c r="E117" i="99"/>
  <c r="D17" i="8" s="1"/>
  <c r="N150" i="99"/>
  <c r="E153" i="99"/>
  <c r="D26" i="8" s="1"/>
  <c r="D28" i="8" s="1"/>
  <c r="M46" i="99"/>
  <c r="N16" i="99"/>
  <c r="N17" i="99" s="1"/>
  <c r="L47" i="99"/>
  <c r="M126" i="99"/>
  <c r="M162" i="99"/>
  <c r="Q98" i="99"/>
  <c r="N98" i="99"/>
  <c r="L9" i="99"/>
  <c r="L11" i="99" s="1"/>
  <c r="D186" i="99"/>
  <c r="P9" i="99"/>
  <c r="M9" i="99"/>
  <c r="E186" i="99"/>
  <c r="M45" i="99"/>
  <c r="M47" i="99" s="1"/>
  <c r="M53" i="99"/>
  <c r="I68" i="99"/>
  <c r="J68" i="99" s="1"/>
  <c r="Q68" i="99" s="1"/>
  <c r="N77" i="99"/>
  <c r="N86" i="99"/>
  <c r="N126" i="99"/>
  <c r="L148" i="99"/>
  <c r="N162" i="99"/>
  <c r="E188" i="99"/>
  <c r="M51" i="99"/>
  <c r="Q24" i="99"/>
  <c r="N24" i="99"/>
  <c r="N115" i="99"/>
  <c r="M152" i="99"/>
  <c r="N10" i="99"/>
  <c r="Q9" i="99"/>
  <c r="N9" i="99"/>
  <c r="N11" i="99" s="1"/>
  <c r="F186" i="99"/>
  <c r="M13" i="99"/>
  <c r="N45" i="99"/>
  <c r="N47" i="99" s="1"/>
  <c r="N49" i="99" s="1"/>
  <c r="L91" i="99"/>
  <c r="N100" i="99"/>
  <c r="Q111" i="99"/>
  <c r="L115" i="99"/>
  <c r="L117" i="99" s="1"/>
  <c r="L119" i="99" s="1"/>
  <c r="L126" i="99"/>
  <c r="I126" i="99"/>
  <c r="J126" i="99" s="1"/>
  <c r="Q126" i="99" s="1"/>
  <c r="M148" i="99"/>
  <c r="L151" i="99"/>
  <c r="L162" i="99"/>
  <c r="I162" i="99"/>
  <c r="J162" i="99" s="1"/>
  <c r="Q162" i="99" s="1"/>
  <c r="F188" i="99"/>
  <c r="P24" i="99"/>
  <c r="M24" i="99"/>
  <c r="M27" i="99" s="1"/>
  <c r="L24" i="99"/>
  <c r="N26" i="99"/>
  <c r="M41" i="99"/>
  <c r="N53" i="99"/>
  <c r="D89" i="99"/>
  <c r="P98" i="99"/>
  <c r="M98" i="99"/>
  <c r="N106" i="99"/>
  <c r="M115" i="99"/>
  <c r="M117" i="99" s="1"/>
  <c r="M119" i="99" s="1"/>
  <c r="J142" i="99"/>
  <c r="Q142" i="99" s="1"/>
  <c r="P142" i="99"/>
  <c r="N148" i="99"/>
  <c r="M151" i="99"/>
  <c r="F153" i="99"/>
  <c r="M57" i="99"/>
  <c r="M58" i="99"/>
  <c r="M68" i="99"/>
  <c r="N69" i="99"/>
  <c r="E77" i="99"/>
  <c r="D20" i="8" s="1"/>
  <c r="M100" i="99"/>
  <c r="D138" i="99"/>
  <c r="E173" i="99"/>
  <c r="D27" i="8" s="1"/>
  <c r="F77" i="99"/>
  <c r="D106" i="99"/>
  <c r="E138" i="99"/>
  <c r="D21" i="8" s="1"/>
  <c r="F173" i="99"/>
  <c r="I51" i="99"/>
  <c r="J51" i="99" s="1"/>
  <c r="Q51" i="99" s="1"/>
  <c r="M167" i="99"/>
  <c r="M168" i="99"/>
  <c r="M169" i="99"/>
  <c r="M170" i="99"/>
  <c r="M171" i="99"/>
  <c r="M172" i="99"/>
  <c r="N175" i="99" l="1"/>
  <c r="N177" i="99" s="1"/>
  <c r="L93" i="99"/>
  <c r="P126" i="99"/>
  <c r="L49" i="99"/>
  <c r="M49" i="99"/>
  <c r="L138" i="99"/>
  <c r="U23" i="101"/>
  <c r="M34" i="101"/>
  <c r="M173" i="99"/>
  <c r="N140" i="99"/>
  <c r="M33" i="99"/>
  <c r="N89" i="99"/>
  <c r="N91" i="99" s="1"/>
  <c r="D190" i="99"/>
  <c r="L175" i="99"/>
  <c r="L177" i="99" s="1"/>
  <c r="E193" i="99"/>
  <c r="N117" i="99"/>
  <c r="N119" i="99" s="1"/>
  <c r="N31" i="99"/>
  <c r="F190" i="99"/>
  <c r="L153" i="99"/>
  <c r="L155" i="99" s="1"/>
  <c r="N27" i="99"/>
  <c r="N33" i="99" s="1"/>
  <c r="D15" i="8"/>
  <c r="P82" i="99"/>
  <c r="L63" i="99"/>
  <c r="J69" i="99"/>
  <c r="Q69" i="99" s="1"/>
  <c r="P143" i="99"/>
  <c r="M79" i="99"/>
  <c r="M93" i="99" s="1"/>
  <c r="E190" i="99"/>
  <c r="P127" i="99"/>
  <c r="L19" i="99"/>
  <c r="N108" i="99"/>
  <c r="N121" i="99" s="1"/>
  <c r="N79" i="99"/>
  <c r="N93" i="99" s="1"/>
  <c r="N153" i="99"/>
  <c r="N155" i="99" s="1"/>
  <c r="N157" i="99" s="1"/>
  <c r="P52" i="99"/>
  <c r="M140" i="99"/>
  <c r="L140" i="99"/>
  <c r="N59" i="99"/>
  <c r="N61" i="99" s="1"/>
  <c r="N19" i="99"/>
  <c r="J15" i="99"/>
  <c r="Q15" i="99" s="1"/>
  <c r="P15" i="99"/>
  <c r="L27" i="99"/>
  <c r="L33" i="99" s="1"/>
  <c r="M11" i="99"/>
  <c r="M59" i="99"/>
  <c r="M61" i="99" s="1"/>
  <c r="M63" i="99" s="1"/>
  <c r="M175" i="99"/>
  <c r="M177" i="99" s="1"/>
  <c r="L121" i="99"/>
  <c r="P51" i="99"/>
  <c r="M108" i="99"/>
  <c r="M121" i="99" s="1"/>
  <c r="P162" i="99"/>
  <c r="P68" i="99"/>
  <c r="M153" i="99"/>
  <c r="M155" i="99" s="1"/>
  <c r="U34" i="101" l="1"/>
  <c r="L157" i="99"/>
  <c r="S34" i="99"/>
  <c r="N63" i="99"/>
  <c r="N183" i="99"/>
  <c r="S64" i="99"/>
  <c r="L183" i="99"/>
  <c r="M157" i="99"/>
  <c r="M19" i="99"/>
  <c r="M183" i="99"/>
  <c r="S122" i="99"/>
  <c r="T122" i="99" s="1"/>
  <c r="S94" i="99"/>
  <c r="T94" i="99" s="1"/>
  <c r="S178" i="99"/>
  <c r="T34" i="99" l="1"/>
  <c r="S20" i="99"/>
  <c r="I40" i="99"/>
  <c r="S167" i="99"/>
  <c r="T178" i="99"/>
  <c r="S158" i="99"/>
  <c r="T64" i="99"/>
  <c r="I26" i="99" l="1"/>
  <c r="P26" i="99" s="1"/>
  <c r="S25" i="99" s="1"/>
  <c r="J26" i="99"/>
  <c r="Q26" i="99" s="1"/>
  <c r="T158" i="99"/>
  <c r="S183" i="99"/>
  <c r="S13" i="99"/>
  <c r="T20" i="99"/>
  <c r="P40" i="99"/>
  <c r="I70" i="99"/>
  <c r="S168" i="99"/>
  <c r="I167" i="99"/>
  <c r="J40" i="99"/>
  <c r="Q40" i="99" s="1"/>
  <c r="I100" i="99"/>
  <c r="T183" i="99" l="1"/>
  <c r="S30" i="99"/>
  <c r="I30" i="99" s="1"/>
  <c r="I25" i="99"/>
  <c r="S169" i="99"/>
  <c r="I168" i="99"/>
  <c r="P167" i="99"/>
  <c r="P70" i="99"/>
  <c r="J70" i="99"/>
  <c r="Q70" i="99" s="1"/>
  <c r="S45" i="99"/>
  <c r="J100" i="99"/>
  <c r="Q100" i="99" s="1"/>
  <c r="P100" i="99"/>
  <c r="I13" i="99"/>
  <c r="T13" i="99"/>
  <c r="I128" i="99"/>
  <c r="P25" i="99" l="1"/>
  <c r="P27" i="99" s="1"/>
  <c r="T25" i="99"/>
  <c r="T30" i="99" s="1"/>
  <c r="J30" i="99"/>
  <c r="Q30" i="99" s="1"/>
  <c r="Q31" i="99" s="1"/>
  <c r="P30" i="99"/>
  <c r="P31" i="99" s="1"/>
  <c r="S104" i="99"/>
  <c r="S74" i="99"/>
  <c r="S46" i="99"/>
  <c r="S44" i="99"/>
  <c r="S57" i="99"/>
  <c r="I57" i="99" s="1"/>
  <c r="I45" i="99"/>
  <c r="S41" i="99"/>
  <c r="P128" i="99"/>
  <c r="J128" i="99"/>
  <c r="Q128" i="99" s="1"/>
  <c r="P168" i="99"/>
  <c r="S170" i="99"/>
  <c r="I169" i="99"/>
  <c r="J13" i="99"/>
  <c r="Q13" i="99" s="1"/>
  <c r="P13" i="99"/>
  <c r="S10" i="99" s="1"/>
  <c r="J25" i="99" l="1"/>
  <c r="Q25" i="99" s="1"/>
  <c r="Q27" i="99" s="1"/>
  <c r="Q33" i="99"/>
  <c r="E13" i="8"/>
  <c r="P33" i="99"/>
  <c r="P57" i="99"/>
  <c r="S132" i="99"/>
  <c r="P45" i="99"/>
  <c r="P169" i="99"/>
  <c r="S16" i="99"/>
  <c r="I16" i="99" s="1"/>
  <c r="I10" i="99"/>
  <c r="S56" i="99"/>
  <c r="I56" i="99" s="1"/>
  <c r="I44" i="99"/>
  <c r="S171" i="99"/>
  <c r="I170" i="99"/>
  <c r="S53" i="99"/>
  <c r="I53" i="99" s="1"/>
  <c r="I41" i="99"/>
  <c r="S58" i="99"/>
  <c r="I58" i="99" s="1"/>
  <c r="I46" i="99"/>
  <c r="S86" i="99"/>
  <c r="I86" i="99" s="1"/>
  <c r="I74" i="99"/>
  <c r="S75" i="99"/>
  <c r="S115" i="99"/>
  <c r="I115" i="99" s="1"/>
  <c r="I104" i="99"/>
  <c r="S105" i="99"/>
  <c r="P35" i="99" l="1"/>
  <c r="S35" i="99"/>
  <c r="T35" i="99"/>
  <c r="Q35" i="99"/>
  <c r="P16" i="99"/>
  <c r="P17" i="99" s="1"/>
  <c r="T10" i="99"/>
  <c r="T16" i="99" s="1"/>
  <c r="J16" i="99" s="1"/>
  <c r="Q16" i="99" s="1"/>
  <c r="Q17" i="99" s="1"/>
  <c r="P10" i="99"/>
  <c r="P11" i="99" s="1"/>
  <c r="E10" i="8" s="1"/>
  <c r="S87" i="99"/>
  <c r="I87" i="99" s="1"/>
  <c r="I75" i="99"/>
  <c r="S76" i="99"/>
  <c r="P104" i="99"/>
  <c r="P74" i="99"/>
  <c r="P115" i="99"/>
  <c r="P58" i="99"/>
  <c r="I65" i="99"/>
  <c r="I184" i="99" s="1"/>
  <c r="S116" i="99"/>
  <c r="I116" i="99" s="1"/>
  <c r="I105" i="99"/>
  <c r="P86" i="99"/>
  <c r="P46" i="99"/>
  <c r="P47" i="99" s="1"/>
  <c r="S147" i="99"/>
  <c r="I147" i="99" s="1"/>
  <c r="G40" i="9" s="1"/>
  <c r="G49" i="9" s="1"/>
  <c r="S133" i="99"/>
  <c r="I132" i="99"/>
  <c r="T45" i="99"/>
  <c r="P41" i="99"/>
  <c r="P53" i="99"/>
  <c r="P59" i="99"/>
  <c r="P170" i="99"/>
  <c r="S172" i="99"/>
  <c r="I172" i="99" s="1"/>
  <c r="I171" i="99"/>
  <c r="P61" i="99" l="1"/>
  <c r="P49" i="99"/>
  <c r="P172" i="99"/>
  <c r="P19" i="99"/>
  <c r="P75" i="99"/>
  <c r="P116" i="99"/>
  <c r="P117" i="99" s="1"/>
  <c r="P119" i="99" s="1"/>
  <c r="P171" i="99"/>
  <c r="P173" i="99" s="1"/>
  <c r="P175" i="99" s="1"/>
  <c r="E27" i="8" s="1"/>
  <c r="F27" i="8" s="1"/>
  <c r="H27" i="8" s="1"/>
  <c r="F55" i="7" s="1"/>
  <c r="T167" i="99"/>
  <c r="P63" i="99"/>
  <c r="P87" i="99"/>
  <c r="P105" i="99"/>
  <c r="P106" i="99" s="1"/>
  <c r="P108" i="99" s="1"/>
  <c r="T104" i="99"/>
  <c r="S88" i="99"/>
  <c r="I88" i="99" s="1"/>
  <c r="I76" i="99"/>
  <c r="T46" i="99"/>
  <c r="T44" i="99"/>
  <c r="T57" i="99"/>
  <c r="J57" i="99" s="1"/>
  <c r="Q57" i="99" s="1"/>
  <c r="T41" i="99"/>
  <c r="J45" i="99"/>
  <c r="Q45" i="99" s="1"/>
  <c r="P132" i="99"/>
  <c r="S148" i="99"/>
  <c r="I148" i="99" s="1"/>
  <c r="G41" i="9" s="1"/>
  <c r="G50" i="9" s="1"/>
  <c r="S134" i="99"/>
  <c r="I133" i="99"/>
  <c r="J10" i="99"/>
  <c r="Q10" i="99" s="1"/>
  <c r="Q11" i="99" s="1"/>
  <c r="P147" i="99"/>
  <c r="P121" i="99" l="1"/>
  <c r="E17" i="8"/>
  <c r="P177" i="99"/>
  <c r="E15" i="8"/>
  <c r="S123" i="99"/>
  <c r="P123" i="99"/>
  <c r="P179" i="99"/>
  <c r="S179" i="99"/>
  <c r="T56" i="99"/>
  <c r="J56" i="99" s="1"/>
  <c r="J44" i="99"/>
  <c r="P65" i="99"/>
  <c r="S65" i="99"/>
  <c r="T53" i="99"/>
  <c r="J53" i="99" s="1"/>
  <c r="Q53" i="99" s="1"/>
  <c r="J41" i="99"/>
  <c r="Q41" i="99" s="1"/>
  <c r="P88" i="99"/>
  <c r="P89" i="99" s="1"/>
  <c r="P91" i="99" s="1"/>
  <c r="E25" i="8" s="1"/>
  <c r="S149" i="99"/>
  <c r="I149" i="99" s="1"/>
  <c r="G42" i="9" s="1"/>
  <c r="G51" i="9" s="1"/>
  <c r="S135" i="99"/>
  <c r="I134" i="99"/>
  <c r="Q19" i="99"/>
  <c r="P148" i="99"/>
  <c r="T115" i="99"/>
  <c r="J115" i="99" s="1"/>
  <c r="Q115" i="99" s="1"/>
  <c r="T105" i="99"/>
  <c r="J104" i="99"/>
  <c r="Q104" i="99" s="1"/>
  <c r="T168" i="99"/>
  <c r="J167" i="99"/>
  <c r="Q167" i="99" s="1"/>
  <c r="T58" i="99"/>
  <c r="J58" i="99" s="1"/>
  <c r="Q58" i="99" s="1"/>
  <c r="Q59" i="99" s="1"/>
  <c r="J46" i="99"/>
  <c r="Q46" i="99" s="1"/>
  <c r="Q47" i="99" s="1"/>
  <c r="P76" i="99"/>
  <c r="P77" i="99" s="1"/>
  <c r="P79" i="99" s="1"/>
  <c r="E20" i="8" s="1"/>
  <c r="T74" i="99"/>
  <c r="P133" i="99"/>
  <c r="P21" i="99"/>
  <c r="S21" i="99"/>
  <c r="Q61" i="99" l="1"/>
  <c r="T169" i="99"/>
  <c r="J168" i="99"/>
  <c r="Q168" i="99" s="1"/>
  <c r="Q49" i="99"/>
  <c r="P149" i="99"/>
  <c r="T116" i="99"/>
  <c r="J116" i="99" s="1"/>
  <c r="Q116" i="99" s="1"/>
  <c r="J105" i="99"/>
  <c r="Q105" i="99" s="1"/>
  <c r="Q106" i="99" s="1"/>
  <c r="Q108" i="99" s="1"/>
  <c r="T86" i="99"/>
  <c r="J86" i="99" s="1"/>
  <c r="Q86" i="99" s="1"/>
  <c r="T75" i="99"/>
  <c r="J74" i="99"/>
  <c r="Q74" i="99" s="1"/>
  <c r="P93" i="99"/>
  <c r="P134" i="99"/>
  <c r="Q117" i="99"/>
  <c r="Q119" i="99" s="1"/>
  <c r="J65" i="99"/>
  <c r="J184" i="99" s="1"/>
  <c r="Q21" i="99"/>
  <c r="T21" i="99"/>
  <c r="S150" i="99"/>
  <c r="I150" i="99" s="1"/>
  <c r="G43" i="9" s="1"/>
  <c r="G52" i="9" s="1"/>
  <c r="S136" i="99"/>
  <c r="I135" i="99"/>
  <c r="Q121" i="99" l="1"/>
  <c r="Q123" i="99" s="1"/>
  <c r="T76" i="99"/>
  <c r="T87" i="99"/>
  <c r="J87" i="99" s="1"/>
  <c r="Q87" i="99" s="1"/>
  <c r="J75" i="99"/>
  <c r="Q75" i="99" s="1"/>
  <c r="P95" i="99"/>
  <c r="S95" i="99"/>
  <c r="P135" i="99"/>
  <c r="S151" i="99"/>
  <c r="I151" i="99" s="1"/>
  <c r="G44" i="9" s="1"/>
  <c r="G53" i="9" s="1"/>
  <c r="S137" i="99"/>
  <c r="I136" i="99"/>
  <c r="P150" i="99"/>
  <c r="Q63" i="99"/>
  <c r="T170" i="99"/>
  <c r="J169" i="99"/>
  <c r="Q169" i="99" s="1"/>
  <c r="T123" i="99" l="1"/>
  <c r="S152" i="99"/>
  <c r="I152" i="99" s="1"/>
  <c r="G45" i="9" s="1"/>
  <c r="G54" i="9" s="1"/>
  <c r="I137" i="99"/>
  <c r="Q65" i="99"/>
  <c r="T65" i="99"/>
  <c r="P151" i="99"/>
  <c r="T171" i="99"/>
  <c r="J170" i="99"/>
  <c r="Q170" i="99" s="1"/>
  <c r="T88" i="99"/>
  <c r="J88" i="99" s="1"/>
  <c r="Q88" i="99" s="1"/>
  <c r="Q89" i="99" s="1"/>
  <c r="Q91" i="99" s="1"/>
  <c r="J76" i="99"/>
  <c r="Q76" i="99" s="1"/>
  <c r="Q77" i="99" s="1"/>
  <c r="Q79" i="99" s="1"/>
  <c r="P136" i="99"/>
  <c r="Q93" i="99" l="1"/>
  <c r="P137" i="99"/>
  <c r="P138" i="99" s="1"/>
  <c r="P140" i="99" s="1"/>
  <c r="E21" i="8" s="1"/>
  <c r="T172" i="99"/>
  <c r="J172" i="99" s="1"/>
  <c r="Q172" i="99" s="1"/>
  <c r="J171" i="99"/>
  <c r="Q171" i="99" s="1"/>
  <c r="P152" i="99"/>
  <c r="P153" i="99" s="1"/>
  <c r="P155" i="99" s="1"/>
  <c r="E26" i="8" s="1"/>
  <c r="E28" i="8" s="1"/>
  <c r="T132" i="99"/>
  <c r="Q173" i="99" l="1"/>
  <c r="Q175" i="99" s="1"/>
  <c r="Q177" i="99" s="1"/>
  <c r="Q179" i="99"/>
  <c r="T179" i="99"/>
  <c r="P157" i="99"/>
  <c r="P183" i="99"/>
  <c r="Q95" i="99"/>
  <c r="T95" i="99"/>
  <c r="T147" i="99"/>
  <c r="J147" i="99" s="1"/>
  <c r="Q147" i="99" s="1"/>
  <c r="T133" i="99"/>
  <c r="J132" i="99"/>
  <c r="Q132" i="99" s="1"/>
  <c r="T148" i="99" l="1"/>
  <c r="J148" i="99" s="1"/>
  <c r="Q148" i="99" s="1"/>
  <c r="T134" i="99"/>
  <c r="J133" i="99"/>
  <c r="Q133" i="99" s="1"/>
  <c r="S159" i="99"/>
  <c r="P159" i="99"/>
  <c r="T149" i="99" l="1"/>
  <c r="J149" i="99" s="1"/>
  <c r="Q149" i="99" s="1"/>
  <c r="T135" i="99"/>
  <c r="J134" i="99"/>
  <c r="Q134" i="99" s="1"/>
  <c r="T150" i="99" l="1"/>
  <c r="J150" i="99" s="1"/>
  <c r="Q150" i="99" s="1"/>
  <c r="T136" i="99"/>
  <c r="J135" i="99"/>
  <c r="Q135" i="99" s="1"/>
  <c r="T151" i="99" l="1"/>
  <c r="J151" i="99" s="1"/>
  <c r="Q151" i="99" s="1"/>
  <c r="T137" i="99"/>
  <c r="J136" i="99"/>
  <c r="Q136" i="99" s="1"/>
  <c r="T152" i="99" l="1"/>
  <c r="J152" i="99" s="1"/>
  <c r="Q152" i="99" s="1"/>
  <c r="Q153" i="99" s="1"/>
  <c r="Q155" i="99" s="1"/>
  <c r="J137" i="99"/>
  <c r="Q137" i="99" s="1"/>
  <c r="Q138" i="99" s="1"/>
  <c r="Q140" i="99" s="1"/>
  <c r="Q157" i="99" l="1"/>
  <c r="Q183" i="99"/>
  <c r="Q159" i="99" l="1"/>
  <c r="T159" i="99"/>
  <c r="G28" i="8" l="1"/>
  <c r="A34" i="98"/>
  <c r="A35" i="98" s="1"/>
  <c r="A36" i="98" s="1"/>
  <c r="A37" i="98" s="1"/>
  <c r="A38" i="98" s="1"/>
  <c r="A40" i="98" s="1"/>
  <c r="A41" i="98" s="1"/>
  <c r="A42" i="98" s="1"/>
  <c r="A43" i="98" s="1"/>
  <c r="A44" i="98" s="1"/>
  <c r="A45" i="98" s="1"/>
  <c r="A46" i="98" s="1"/>
  <c r="D18" i="9" l="1"/>
  <c r="N21" i="90" l="1"/>
  <c r="A2" i="90" l="1"/>
  <c r="M23" i="90"/>
  <c r="L23" i="90"/>
  <c r="K23" i="90"/>
  <c r="J23" i="90"/>
  <c r="I23" i="90"/>
  <c r="H23" i="90"/>
  <c r="G23" i="90"/>
  <c r="F23" i="90"/>
  <c r="E23" i="90"/>
  <c r="D23" i="90"/>
  <c r="C23" i="90"/>
  <c r="B23" i="90"/>
  <c r="N22" i="90"/>
  <c r="N20" i="90"/>
  <c r="N19" i="90"/>
  <c r="N18" i="90"/>
  <c r="N17" i="90"/>
  <c r="N16" i="90"/>
  <c r="N15" i="90"/>
  <c r="N14" i="90"/>
  <c r="N13" i="90"/>
  <c r="N12" i="90"/>
  <c r="N11" i="90"/>
  <c r="N10" i="90"/>
  <c r="N9" i="90"/>
  <c r="N8" i="90"/>
  <c r="C7" i="90"/>
  <c r="D7" i="90" s="1"/>
  <c r="E7" i="90" s="1"/>
  <c r="F7" i="90" s="1"/>
  <c r="G7" i="90" s="1"/>
  <c r="H7" i="90" s="1"/>
  <c r="I7" i="90" s="1"/>
  <c r="J7" i="90" s="1"/>
  <c r="K7" i="90" s="1"/>
  <c r="L7" i="90" s="1"/>
  <c r="M7" i="90" s="1"/>
  <c r="A4" i="90" s="1"/>
  <c r="N23" i="90" l="1"/>
  <c r="D9" i="103" l="1"/>
  <c r="G9" i="103" l="1"/>
  <c r="A4" i="9"/>
  <c r="M11" i="101" l="1"/>
  <c r="A2" i="8"/>
  <c r="M28" i="101" l="1"/>
  <c r="U11" i="101"/>
  <c r="A2" i="9"/>
  <c r="U28" i="101" l="1"/>
  <c r="E11" i="9" l="1"/>
  <c r="F57" i="9" l="1"/>
  <c r="G11" i="9"/>
  <c r="A12" i="8" l="1"/>
  <c r="A13" i="8" s="1"/>
  <c r="A15" i="8" l="1"/>
  <c r="A17" i="8" s="1"/>
  <c r="A19" i="8" s="1"/>
  <c r="A20" i="8" s="1"/>
  <c r="A21" i="8" s="1"/>
  <c r="A22" i="8" s="1"/>
  <c r="F6" i="8"/>
  <c r="F26" i="8"/>
  <c r="H26" i="8" s="1"/>
  <c r="F25" i="8"/>
  <c r="H25" i="8" s="1"/>
  <c r="F21" i="8"/>
  <c r="H21" i="8" s="1"/>
  <c r="F20" i="8"/>
  <c r="H20" i="8" s="1"/>
  <c r="F17" i="8"/>
  <c r="H17" i="8" s="1"/>
  <c r="F15" i="8"/>
  <c r="H15" i="8" s="1"/>
  <c r="F13" i="8"/>
  <c r="H13" i="8" s="1"/>
  <c r="F10" i="8"/>
  <c r="H10" i="8" s="1"/>
  <c r="H28" i="8" l="1"/>
  <c r="A24" i="8"/>
  <c r="A25" i="8" s="1"/>
  <c r="A26" i="8" s="1"/>
  <c r="G13" i="9" l="1"/>
  <c r="G15" i="9"/>
  <c r="D17" i="9"/>
  <c r="E12" i="9" s="1"/>
  <c r="F12" i="9" s="1"/>
  <c r="G21" i="9"/>
  <c r="G23" i="9"/>
  <c r="G25" i="9"/>
  <c r="D27" i="9"/>
  <c r="G30" i="9"/>
  <c r="G31" i="9"/>
  <c r="G32" i="9"/>
  <c r="G33" i="9"/>
  <c r="G34" i="9"/>
  <c r="G35" i="9"/>
  <c r="E30" i="9"/>
  <c r="G22" i="9"/>
  <c r="G14" i="9"/>
  <c r="G16" i="9"/>
  <c r="D46" i="9"/>
  <c r="E6" i="8"/>
  <c r="H6" i="8"/>
  <c r="D22" i="8"/>
  <c r="E22" i="8"/>
  <c r="F6" i="7"/>
  <c r="D57" i="9" l="1"/>
  <c r="E23" i="9"/>
  <c r="F23" i="9" s="1"/>
  <c r="H23" i="9" s="1"/>
  <c r="E40" i="9"/>
  <c r="F40" i="9" s="1"/>
  <c r="F30" i="9"/>
  <c r="H30" i="9" s="1"/>
  <c r="E29" i="8"/>
  <c r="E30" i="8" s="1"/>
  <c r="E31" i="9"/>
  <c r="F31" i="9" s="1"/>
  <c r="E35" i="7" s="1"/>
  <c r="D37" i="103" s="1"/>
  <c r="G37" i="103" s="1"/>
  <c r="D29" i="8"/>
  <c r="D30" i="8" s="1"/>
  <c r="E24" i="9"/>
  <c r="F24" i="9" s="1"/>
  <c r="E22" i="9"/>
  <c r="F22" i="9" s="1"/>
  <c r="E26" i="9"/>
  <c r="F26" i="9" s="1"/>
  <c r="E21" i="9"/>
  <c r="E25" i="9"/>
  <c r="F25" i="9" s="1"/>
  <c r="E18" i="7"/>
  <c r="D19" i="103" s="1"/>
  <c r="E33" i="9"/>
  <c r="F33" i="9" s="1"/>
  <c r="H33" i="9" s="1"/>
  <c r="E35" i="9"/>
  <c r="F35" i="9" s="1"/>
  <c r="H35" i="9" s="1"/>
  <c r="E34" i="9"/>
  <c r="F34" i="9" s="1"/>
  <c r="H34" i="9" s="1"/>
  <c r="E32" i="9"/>
  <c r="F32" i="9" s="1"/>
  <c r="E27" i="7"/>
  <c r="D29" i="103" s="1"/>
  <c r="E13" i="9"/>
  <c r="F13" i="9" s="1"/>
  <c r="G24" i="9"/>
  <c r="E16" i="9"/>
  <c r="F16" i="9" s="1"/>
  <c r="H16" i="9" s="1"/>
  <c r="G12" i="9"/>
  <c r="H12" i="9" s="1"/>
  <c r="E15" i="9"/>
  <c r="F15" i="9" s="1"/>
  <c r="H15" i="9" s="1"/>
  <c r="E45" i="9"/>
  <c r="F45" i="9" s="1"/>
  <c r="E44" i="9"/>
  <c r="F44" i="9" s="1"/>
  <c r="E43" i="9"/>
  <c r="F43" i="9" s="1"/>
  <c r="E42" i="9"/>
  <c r="F42" i="9" s="1"/>
  <c r="E41" i="9"/>
  <c r="F41" i="9" s="1"/>
  <c r="G26" i="9"/>
  <c r="E14" i="9"/>
  <c r="F14" i="9" s="1"/>
  <c r="H14" i="9" s="1"/>
  <c r="G19" i="103" l="1"/>
  <c r="G29" i="103"/>
  <c r="F69" i="9"/>
  <c r="E40" i="7"/>
  <c r="D42" i="103" s="1"/>
  <c r="H50" i="9"/>
  <c r="H52" i="9"/>
  <c r="E55" i="9"/>
  <c r="H54" i="9"/>
  <c r="H51" i="9"/>
  <c r="H53" i="9"/>
  <c r="E37" i="9"/>
  <c r="H40" i="9"/>
  <c r="E34" i="7"/>
  <c r="D36" i="103" s="1"/>
  <c r="E46" i="9"/>
  <c r="F21" i="9"/>
  <c r="H21" i="9" s="1"/>
  <c r="E27" i="9"/>
  <c r="F11" i="9"/>
  <c r="H11" i="9" s="1"/>
  <c r="E18" i="9"/>
  <c r="H31" i="9"/>
  <c r="H42" i="9"/>
  <c r="E42" i="7"/>
  <c r="D44" i="103" s="1"/>
  <c r="F17" i="9"/>
  <c r="H13" i="9"/>
  <c r="H24" i="9"/>
  <c r="E28" i="7"/>
  <c r="D30" i="103" s="1"/>
  <c r="E43" i="7"/>
  <c r="D45" i="103" s="1"/>
  <c r="H43" i="9"/>
  <c r="H44" i="9"/>
  <c r="E44" i="7"/>
  <c r="D46" i="103" s="1"/>
  <c r="H26" i="9"/>
  <c r="E30" i="7"/>
  <c r="D32" i="103" s="1"/>
  <c r="E41" i="7"/>
  <c r="D43" i="103" s="1"/>
  <c r="H41" i="9"/>
  <c r="E45" i="7"/>
  <c r="D47" i="103" s="1"/>
  <c r="H45" i="9"/>
  <c r="H22" i="9"/>
  <c r="E26" i="7"/>
  <c r="D28" i="103" s="1"/>
  <c r="H25" i="9"/>
  <c r="E29" i="7"/>
  <c r="D31" i="103" s="1"/>
  <c r="H32" i="9"/>
  <c r="F36" i="9"/>
  <c r="F67" i="9"/>
  <c r="G47" i="103" l="1"/>
  <c r="G43" i="103"/>
  <c r="G45" i="103"/>
  <c r="G42" i="103"/>
  <c r="D48" i="103"/>
  <c r="G31" i="103"/>
  <c r="G28" i="103"/>
  <c r="G32" i="103"/>
  <c r="G46" i="103"/>
  <c r="G30" i="103"/>
  <c r="G44" i="103"/>
  <c r="G36" i="103"/>
  <c r="H49" i="9"/>
  <c r="F66" i="9"/>
  <c r="E25" i="7"/>
  <c r="E17" i="7"/>
  <c r="D18" i="103" s="1"/>
  <c r="E46" i="7"/>
  <c r="H36" i="9"/>
  <c r="H46" i="9"/>
  <c r="H18" i="9"/>
  <c r="H17" i="9"/>
  <c r="H27" i="9"/>
  <c r="E19" i="7"/>
  <c r="D20" i="103" s="1"/>
  <c r="E36" i="7"/>
  <c r="H37" i="9"/>
  <c r="E37" i="7" l="1"/>
  <c r="D38" i="103"/>
  <c r="D21" i="103"/>
  <c r="G18" i="103"/>
  <c r="G48" i="103"/>
  <c r="G20" i="103"/>
  <c r="E31" i="7"/>
  <c r="D27" i="103"/>
  <c r="H55" i="9"/>
  <c r="H57" i="9" s="1"/>
  <c r="E20" i="7"/>
  <c r="M22" i="101" l="1"/>
  <c r="U22" i="101" s="1"/>
  <c r="G38" i="103"/>
  <c r="G39" i="103" s="1"/>
  <c r="D39" i="103"/>
  <c r="E57" i="7"/>
  <c r="G27" i="103"/>
  <c r="G33" i="103" s="1"/>
  <c r="D33" i="103"/>
  <c r="D59" i="103" s="1"/>
  <c r="G21" i="103"/>
  <c r="G22" i="8"/>
  <c r="G29" i="8" s="1"/>
  <c r="F46" i="7"/>
  <c r="F31" i="7"/>
  <c r="F14" i="7"/>
  <c r="F22" i="7"/>
  <c r="F12" i="7"/>
  <c r="M15" i="101" l="1"/>
  <c r="G59" i="103"/>
  <c r="M17" i="101"/>
  <c r="M20" i="101"/>
  <c r="U20" i="101" s="1"/>
  <c r="F20" i="7"/>
  <c r="F37" i="7"/>
  <c r="M33" i="101" l="1"/>
  <c r="U17" i="101"/>
  <c r="M31" i="101"/>
  <c r="M36" i="101" s="1"/>
  <c r="U15" i="101"/>
  <c r="M25" i="101"/>
  <c r="H22" i="8"/>
  <c r="H29" i="8" s="1"/>
  <c r="F10" i="7"/>
  <c r="F57" i="7" s="1"/>
  <c r="U33" i="101" l="1"/>
  <c r="U31" i="101"/>
  <c r="U25" i="101"/>
  <c r="G10" i="7"/>
  <c r="H10" i="7" s="1"/>
  <c r="G55" i="7"/>
  <c r="H55" i="7" s="1"/>
  <c r="I55" i="9" s="1"/>
  <c r="G22" i="7"/>
  <c r="H22" i="7" s="1"/>
  <c r="I22" i="7" s="1"/>
  <c r="F23" i="98" s="1"/>
  <c r="G23" i="98" s="1"/>
  <c r="G12" i="7"/>
  <c r="H12" i="7" s="1"/>
  <c r="I12" i="7" s="1"/>
  <c r="F13" i="98" s="1"/>
  <c r="G13" i="98" s="1"/>
  <c r="G31" i="7"/>
  <c r="H31" i="7" s="1"/>
  <c r="I27" i="9" s="1"/>
  <c r="G14" i="7"/>
  <c r="H14" i="7" s="1"/>
  <c r="I14" i="7" s="1"/>
  <c r="F15" i="98" s="1"/>
  <c r="G15" i="98" s="1"/>
  <c r="G20" i="7"/>
  <c r="H20" i="7" s="1"/>
  <c r="I18" i="9" s="1"/>
  <c r="G46" i="7"/>
  <c r="H46" i="7" s="1"/>
  <c r="I46" i="9" s="1"/>
  <c r="G37" i="7"/>
  <c r="H37" i="7" s="1"/>
  <c r="I37" i="9" s="1"/>
  <c r="I57" i="9" l="1"/>
  <c r="I58" i="9" s="1"/>
  <c r="F24" i="103"/>
  <c r="H24" i="103" s="1"/>
  <c r="I24" i="103" s="1"/>
  <c r="F23" i="103"/>
  <c r="H23" i="103" s="1"/>
  <c r="I23" i="103" s="1"/>
  <c r="I10" i="7"/>
  <c r="F11" i="98" s="1"/>
  <c r="F9" i="103" s="1"/>
  <c r="H57" i="7"/>
  <c r="F15" i="103"/>
  <c r="H15" i="103" s="1"/>
  <c r="I15" i="103" s="1"/>
  <c r="F14" i="103"/>
  <c r="H14" i="103" s="1"/>
  <c r="I14" i="103" s="1"/>
  <c r="F12" i="103"/>
  <c r="H12" i="103" s="1"/>
  <c r="I12" i="103" s="1"/>
  <c r="V18" i="101" s="1"/>
  <c r="W18" i="101" s="1"/>
  <c r="F11" i="103"/>
  <c r="H11" i="103" s="1"/>
  <c r="I11" i="103" s="1"/>
  <c r="U36" i="101"/>
  <c r="J14" i="7"/>
  <c r="J12" i="7"/>
  <c r="J22" i="7"/>
  <c r="G57" i="7"/>
  <c r="V19" i="101" l="1"/>
  <c r="J15" i="103"/>
  <c r="V21" i="101"/>
  <c r="J24" i="103"/>
  <c r="G20" i="102"/>
  <c r="G28" i="102" s="1"/>
  <c r="H9" i="103"/>
  <c r="I9" i="103" s="1"/>
  <c r="V13" i="101"/>
  <c r="J11" i="103"/>
  <c r="V14" i="101"/>
  <c r="J14" i="103"/>
  <c r="V16" i="101"/>
  <c r="J23" i="103"/>
  <c r="J10" i="7"/>
  <c r="V11" i="101" l="1"/>
  <c r="J9" i="103"/>
  <c r="V32" i="101"/>
  <c r="X32" i="101" s="1"/>
  <c r="W16" i="101"/>
  <c r="X16" i="101"/>
  <c r="X14" i="101"/>
  <c r="V30" i="101"/>
  <c r="X30" i="101" s="1"/>
  <c r="W14" i="101"/>
  <c r="V29" i="101"/>
  <c r="X29" i="101" s="1"/>
  <c r="W13" i="101"/>
  <c r="W29" i="101" s="1"/>
  <c r="X13" i="101"/>
  <c r="H28" i="102"/>
  <c r="H35" i="102" s="1"/>
  <c r="H37" i="102" s="1"/>
  <c r="H38" i="102" s="1"/>
  <c r="H39" i="102" s="1"/>
  <c r="G41" i="102"/>
  <c r="G35" i="102"/>
  <c r="X21" i="101"/>
  <c r="W21" i="101"/>
  <c r="W19" i="101"/>
  <c r="X19" i="101"/>
  <c r="J12" i="9"/>
  <c r="J53" i="9"/>
  <c r="J54" i="9"/>
  <c r="J50" i="9"/>
  <c r="J51" i="9"/>
  <c r="J52" i="9"/>
  <c r="J49" i="9"/>
  <c r="J23" i="9"/>
  <c r="J32" i="9"/>
  <c r="J26" i="9"/>
  <c r="J40" i="9"/>
  <c r="K40" i="9" s="1"/>
  <c r="J30" i="9"/>
  <c r="J43" i="9"/>
  <c r="K43" i="9" s="1"/>
  <c r="J11" i="9"/>
  <c r="J25" i="9"/>
  <c r="J22" i="9"/>
  <c r="J44" i="9"/>
  <c r="K44" i="9" s="1"/>
  <c r="J35" i="9"/>
  <c r="J13" i="9"/>
  <c r="J41" i="9"/>
  <c r="K41" i="9" s="1"/>
  <c r="J21" i="9"/>
  <c r="J31" i="9"/>
  <c r="J42" i="9"/>
  <c r="K42" i="9" s="1"/>
  <c r="J45" i="9"/>
  <c r="K45" i="9" s="1"/>
  <c r="J34" i="9"/>
  <c r="J14" i="9"/>
  <c r="J16" i="9"/>
  <c r="J24" i="9"/>
  <c r="J33" i="9"/>
  <c r="J15" i="9"/>
  <c r="W30" i="101" l="1"/>
  <c r="W32" i="101"/>
  <c r="V28" i="101"/>
  <c r="X11" i="101"/>
  <c r="W11" i="101"/>
  <c r="K26" i="9"/>
  <c r="I30" i="7" s="1"/>
  <c r="K54" i="9"/>
  <c r="K31" i="9"/>
  <c r="K12" i="9" s="1"/>
  <c r="I18" i="7" s="1"/>
  <c r="K50" i="9"/>
  <c r="L42" i="9"/>
  <c r="K51" i="9"/>
  <c r="L44" i="9"/>
  <c r="K53" i="9"/>
  <c r="K24" i="9"/>
  <c r="I28" i="7" s="1"/>
  <c r="K52" i="9"/>
  <c r="K30" i="9"/>
  <c r="I34" i="7" s="1"/>
  <c r="K49" i="9"/>
  <c r="J55" i="9"/>
  <c r="I45" i="7"/>
  <c r="F46" i="98" s="1"/>
  <c r="G46" i="98" s="1"/>
  <c r="F47" i="103" s="1"/>
  <c r="H47" i="103" s="1"/>
  <c r="I47" i="103" s="1"/>
  <c r="J47" i="103" s="1"/>
  <c r="I43" i="7"/>
  <c r="F44" i="98" s="1"/>
  <c r="G44" i="98" s="1"/>
  <c r="F45" i="103" s="1"/>
  <c r="H45" i="103" s="1"/>
  <c r="I45" i="103" s="1"/>
  <c r="J45" i="103" s="1"/>
  <c r="K21" i="9"/>
  <c r="L21" i="9" s="1"/>
  <c r="K25" i="9"/>
  <c r="I29" i="7" s="1"/>
  <c r="L40" i="9"/>
  <c r="I40" i="7"/>
  <c r="F41" i="98" s="1"/>
  <c r="G41" i="98" s="1"/>
  <c r="F42" i="103" s="1"/>
  <c r="H42" i="103" s="1"/>
  <c r="K22" i="9"/>
  <c r="I26" i="7" s="1"/>
  <c r="I41" i="7"/>
  <c r="F42" i="98" s="1"/>
  <c r="G42" i="98" s="1"/>
  <c r="F43" i="103" s="1"/>
  <c r="H43" i="103" s="1"/>
  <c r="I43" i="103" s="1"/>
  <c r="J43" i="103" s="1"/>
  <c r="L43" i="9"/>
  <c r="J46" i="9"/>
  <c r="K23" i="9"/>
  <c r="L23" i="9" s="1"/>
  <c r="I42" i="7"/>
  <c r="F43" i="98" s="1"/>
  <c r="G43" i="98" s="1"/>
  <c r="F44" i="103" s="1"/>
  <c r="H44" i="103" s="1"/>
  <c r="I44" i="103" s="1"/>
  <c r="J44" i="103" s="1"/>
  <c r="J36" i="9"/>
  <c r="J27" i="9"/>
  <c r="I44" i="7"/>
  <c r="F45" i="98" s="1"/>
  <c r="G45" i="98" s="1"/>
  <c r="F46" i="103" s="1"/>
  <c r="H46" i="103" s="1"/>
  <c r="I46" i="103" s="1"/>
  <c r="J46" i="103" s="1"/>
  <c r="L41" i="9"/>
  <c r="L45" i="9"/>
  <c r="J37" i="9"/>
  <c r="J17" i="9"/>
  <c r="J18" i="9"/>
  <c r="L30" i="9" l="1"/>
  <c r="L12" i="9"/>
  <c r="L26" i="9"/>
  <c r="H48" i="103"/>
  <c r="I42" i="103"/>
  <c r="W28" i="101"/>
  <c r="X28" i="101"/>
  <c r="F31" i="98"/>
  <c r="G31" i="98" s="1"/>
  <c r="F32" i="103" s="1"/>
  <c r="H32" i="103" s="1"/>
  <c r="I32" i="103" s="1"/>
  <c r="J32" i="103" s="1"/>
  <c r="J57" i="9"/>
  <c r="K11" i="9"/>
  <c r="I17" i="7" s="1"/>
  <c r="I35" i="7"/>
  <c r="F36" i="98" s="1"/>
  <c r="G36" i="98" s="1"/>
  <c r="F37" i="103" s="1"/>
  <c r="H37" i="103" s="1"/>
  <c r="I37" i="103" s="1"/>
  <c r="J37" i="103" s="1"/>
  <c r="L24" i="9"/>
  <c r="L31" i="9"/>
  <c r="F29" i="98"/>
  <c r="G29" i="98" s="1"/>
  <c r="F30" i="103" s="1"/>
  <c r="H30" i="103" s="1"/>
  <c r="I30" i="103" s="1"/>
  <c r="J30" i="103" s="1"/>
  <c r="L49" i="9"/>
  <c r="I49" i="7"/>
  <c r="F49" i="98" s="1"/>
  <c r="G49" i="98" s="1"/>
  <c r="F51" i="103" s="1"/>
  <c r="H51" i="103" s="1"/>
  <c r="L52" i="9"/>
  <c r="I52" i="7"/>
  <c r="F52" i="98" s="1"/>
  <c r="G52" i="98" s="1"/>
  <c r="F54" i="103" s="1"/>
  <c r="H54" i="103" s="1"/>
  <c r="I54" i="103" s="1"/>
  <c r="J54" i="103" s="1"/>
  <c r="L53" i="9"/>
  <c r="I53" i="7"/>
  <c r="F53" i="98" s="1"/>
  <c r="G53" i="98" s="1"/>
  <c r="F55" i="103" s="1"/>
  <c r="H55" i="103" s="1"/>
  <c r="I55" i="103" s="1"/>
  <c r="J55" i="103" s="1"/>
  <c r="L51" i="9"/>
  <c r="I51" i="7"/>
  <c r="F51" i="98" s="1"/>
  <c r="G51" i="98" s="1"/>
  <c r="F53" i="103" s="1"/>
  <c r="H53" i="103" s="1"/>
  <c r="I53" i="103" s="1"/>
  <c r="J53" i="103" s="1"/>
  <c r="L50" i="9"/>
  <c r="L55" i="9" s="1"/>
  <c r="I50" i="7"/>
  <c r="F50" i="98" s="1"/>
  <c r="G50" i="98" s="1"/>
  <c r="F52" i="103" s="1"/>
  <c r="H52" i="103" s="1"/>
  <c r="I52" i="103" s="1"/>
  <c r="J52" i="103" s="1"/>
  <c r="L54" i="9"/>
  <c r="I54" i="7"/>
  <c r="F54" i="98" s="1"/>
  <c r="G54" i="98" s="1"/>
  <c r="F56" i="103" s="1"/>
  <c r="H56" i="103" s="1"/>
  <c r="I56" i="103" s="1"/>
  <c r="J56" i="103" s="1"/>
  <c r="F27" i="98"/>
  <c r="G27" i="98" s="1"/>
  <c r="F28" i="103" s="1"/>
  <c r="H28" i="103" s="1"/>
  <c r="I28" i="103" s="1"/>
  <c r="J28" i="103" s="1"/>
  <c r="F30" i="98"/>
  <c r="G30" i="98" s="1"/>
  <c r="F31" i="103" s="1"/>
  <c r="H31" i="103" s="1"/>
  <c r="I31" i="103" s="1"/>
  <c r="J31" i="103" s="1"/>
  <c r="F35" i="98"/>
  <c r="G35" i="98" s="1"/>
  <c r="F36" i="103" s="1"/>
  <c r="H36" i="103" s="1"/>
  <c r="F19" i="98"/>
  <c r="G19" i="98" s="1"/>
  <c r="F19" i="103" s="1"/>
  <c r="H19" i="103" s="1"/>
  <c r="I19" i="103" s="1"/>
  <c r="J19" i="103" s="1"/>
  <c r="K36" i="9"/>
  <c r="K17" i="9" s="1"/>
  <c r="I19" i="7" s="1"/>
  <c r="I25" i="7"/>
  <c r="L22" i="9"/>
  <c r="L25" i="9"/>
  <c r="L46" i="9"/>
  <c r="I27" i="7"/>
  <c r="M46" i="9" l="1"/>
  <c r="J46" i="7"/>
  <c r="L11" i="9"/>
  <c r="I36" i="103"/>
  <c r="I48" i="103"/>
  <c r="J42" i="103"/>
  <c r="H57" i="103"/>
  <c r="I51" i="103"/>
  <c r="M55" i="9"/>
  <c r="J55" i="7"/>
  <c r="F26" i="98"/>
  <c r="G26" i="98" s="1"/>
  <c r="F27" i="103" s="1"/>
  <c r="H27" i="103" s="1"/>
  <c r="F18" i="98"/>
  <c r="G18" i="98" s="1"/>
  <c r="F18" i="103" s="1"/>
  <c r="H18" i="103" s="1"/>
  <c r="F28" i="98"/>
  <c r="G28" i="98" s="1"/>
  <c r="F29" i="103" s="1"/>
  <c r="H29" i="103" s="1"/>
  <c r="I29" i="103" s="1"/>
  <c r="J29" i="103" s="1"/>
  <c r="F20" i="98"/>
  <c r="G20" i="98" s="1"/>
  <c r="F20" i="103" s="1"/>
  <c r="H20" i="103" s="1"/>
  <c r="I20" i="103" s="1"/>
  <c r="J20" i="103" s="1"/>
  <c r="L27" i="9"/>
  <c r="M27" i="9" s="1"/>
  <c r="L17" i="9"/>
  <c r="L18" i="9" s="1"/>
  <c r="I36" i="7"/>
  <c r="L36" i="9"/>
  <c r="L37" i="9" s="1"/>
  <c r="J37" i="7" s="1"/>
  <c r="H33" i="103" l="1"/>
  <c r="I27" i="103"/>
  <c r="I57" i="103"/>
  <c r="J51" i="103"/>
  <c r="J36" i="103"/>
  <c r="H21" i="103"/>
  <c r="I18" i="103"/>
  <c r="V22" i="101"/>
  <c r="J48" i="103"/>
  <c r="M18" i="9"/>
  <c r="L57" i="9"/>
  <c r="F37" i="98"/>
  <c r="G37" i="98" s="1"/>
  <c r="F38" i="103" s="1"/>
  <c r="H38" i="103" s="1"/>
  <c r="J31" i="7"/>
  <c r="M37" i="9"/>
  <c r="J20" i="7"/>
  <c r="J57" i="7" s="1"/>
  <c r="I57" i="7" s="1"/>
  <c r="I21" i="103" l="1"/>
  <c r="J18" i="103"/>
  <c r="J27" i="103"/>
  <c r="I33" i="103"/>
  <c r="I38" i="103"/>
  <c r="H39" i="103"/>
  <c r="H59" i="103" s="1"/>
  <c r="X22" i="101"/>
  <c r="W22" i="101"/>
  <c r="V23" i="101"/>
  <c r="J57" i="103"/>
  <c r="M57" i="9"/>
  <c r="M58" i="9" s="1"/>
  <c r="K57" i="7"/>
  <c r="K58" i="7" s="1"/>
  <c r="V17" i="101" l="1"/>
  <c r="J33" i="103"/>
  <c r="V34" i="101"/>
  <c r="X34" i="101" s="1"/>
  <c r="X23" i="101"/>
  <c r="W23" i="101"/>
  <c r="W34" i="101" s="1"/>
  <c r="J38" i="103"/>
  <c r="I39" i="103"/>
  <c r="V15" i="101"/>
  <c r="J21" i="103"/>
  <c r="I59" i="103"/>
  <c r="J59" i="103" s="1"/>
  <c r="X15" i="101" l="1"/>
  <c r="W15" i="101"/>
  <c r="V20" i="101"/>
  <c r="V25" i="101" s="1"/>
  <c r="X25" i="101" s="1"/>
  <c r="J39" i="103"/>
  <c r="X17" i="101"/>
  <c r="V33" i="101"/>
  <c r="X33" i="101" s="1"/>
  <c r="W17" i="101"/>
  <c r="W33" i="101" s="1"/>
  <c r="X20" i="101" l="1"/>
  <c r="W20" i="101"/>
  <c r="W31" i="101" s="1"/>
  <c r="W36" i="101" s="1"/>
  <c r="V31" i="101"/>
  <c r="W25" i="101" l="1"/>
  <c r="X31" i="101"/>
  <c r="V36" i="101"/>
  <c r="X36" i="101" s="1"/>
</calcChain>
</file>

<file path=xl/sharedStrings.xml><?xml version="1.0" encoding="utf-8"?>
<sst xmlns="http://schemas.openxmlformats.org/spreadsheetml/2006/main" count="788" uniqueCount="280">
  <si>
    <t>Total</t>
  </si>
  <si>
    <t>Subtotal</t>
  </si>
  <si>
    <t>87T</t>
  </si>
  <si>
    <t>85T</t>
  </si>
  <si>
    <t>Interruptible</t>
  </si>
  <si>
    <t>Residential</t>
  </si>
  <si>
    <t>Revenue</t>
  </si>
  <si>
    <t>Schedule</t>
  </si>
  <si>
    <t>Rate Class</t>
  </si>
  <si>
    <t>Margin</t>
  </si>
  <si>
    <t>Volume</t>
  </si>
  <si>
    <t>Rate</t>
  </si>
  <si>
    <t>Puget Sound Energy</t>
  </si>
  <si>
    <t>Check</t>
  </si>
  <si>
    <t>Next 300,000 therms</t>
  </si>
  <si>
    <t>Next 100,000 therms</t>
  </si>
  <si>
    <t>Next 50,000 therms</t>
  </si>
  <si>
    <t>Next 25,000 therms</t>
  </si>
  <si>
    <t>First 25,000 therms</t>
  </si>
  <si>
    <t>Over 500,000 therms</t>
  </si>
  <si>
    <t>Transportation</t>
  </si>
  <si>
    <t>Over 50,000 therms</t>
  </si>
  <si>
    <t>Large volume</t>
  </si>
  <si>
    <t>Commercial &amp; industrial</t>
  </si>
  <si>
    <t>23/53</t>
  </si>
  <si>
    <t>Customer Class</t>
  </si>
  <si>
    <t>Proposed</t>
  </si>
  <si>
    <t>Estimated</t>
  </si>
  <si>
    <t>(2)</t>
  </si>
  <si>
    <t>(1)</t>
  </si>
  <si>
    <t>86/86T</t>
  </si>
  <si>
    <t>41/41T</t>
  </si>
  <si>
    <t>31/31T</t>
  </si>
  <si>
    <t>Requirement</t>
  </si>
  <si>
    <t>Spread</t>
  </si>
  <si>
    <t>Line</t>
  </si>
  <si>
    <t>Margin at</t>
  </si>
  <si>
    <t>Low Income</t>
  </si>
  <si>
    <t xml:space="preserve">   Subtotal</t>
  </si>
  <si>
    <t>Non exclusive interruptible</t>
  </si>
  <si>
    <t>Limited interruptible</t>
  </si>
  <si>
    <t>General service</t>
  </si>
  <si>
    <t>Revenue at</t>
  </si>
  <si>
    <t>Percent of revenue at Schedule 87T base rates</t>
  </si>
  <si>
    <t>Subtotal over 50,000 therms</t>
  </si>
  <si>
    <t>Transportation Schedule 85T</t>
  </si>
  <si>
    <t>Interruptible Schedule 87</t>
  </si>
  <si>
    <t>Interruptible Schedule 85</t>
  </si>
  <si>
    <t>Therm</t>
  </si>
  <si>
    <t>Base Rates</t>
  </si>
  <si>
    <t>(Therms)</t>
  </si>
  <si>
    <t>% to Total</t>
  </si>
  <si>
    <t>Rate Schedule</t>
  </si>
  <si>
    <t>Rate per</t>
  </si>
  <si>
    <t>Allocated</t>
  </si>
  <si>
    <t>Gas</t>
  </si>
  <si>
    <t>Electric</t>
  </si>
  <si>
    <r>
      <t>Volume</t>
    </r>
    <r>
      <rPr>
        <vertAlign val="superscript"/>
        <sz val="10"/>
        <rFont val="Arial"/>
        <family val="2"/>
      </rPr>
      <t xml:space="preserve"> (1)</t>
    </r>
  </si>
  <si>
    <r>
      <t xml:space="preserve">(Therms) </t>
    </r>
    <r>
      <rPr>
        <vertAlign val="superscript"/>
        <sz val="10"/>
        <rFont val="Arial"/>
        <family val="2"/>
      </rPr>
      <t>(1)</t>
    </r>
  </si>
  <si>
    <t>Base</t>
  </si>
  <si>
    <r>
      <t>Revenue</t>
    </r>
    <r>
      <rPr>
        <vertAlign val="superscript"/>
        <sz val="10"/>
        <rFont val="Arial"/>
        <family val="2"/>
      </rPr>
      <t xml:space="preserve"> (2)</t>
    </r>
  </si>
  <si>
    <t>Percent</t>
  </si>
  <si>
    <t>Change</t>
  </si>
  <si>
    <t>A</t>
  </si>
  <si>
    <t>B</t>
  </si>
  <si>
    <t>C</t>
  </si>
  <si>
    <t>D</t>
  </si>
  <si>
    <t>H</t>
  </si>
  <si>
    <t>I</t>
  </si>
  <si>
    <t>J</t>
  </si>
  <si>
    <t>Charges</t>
  </si>
  <si>
    <t>Rates</t>
  </si>
  <si>
    <t>Sch. 140</t>
  </si>
  <si>
    <t>Current</t>
  </si>
  <si>
    <t>Basic Charge</t>
  </si>
  <si>
    <t>Delivery Charge</t>
  </si>
  <si>
    <t>Therms</t>
  </si>
  <si>
    <t>Procurement Charge</t>
  </si>
  <si>
    <t>Minimum Bill</t>
  </si>
  <si>
    <t>Demand Charge</t>
  </si>
  <si>
    <t>Delivery Charge:</t>
  </si>
  <si>
    <t>First 900 therms</t>
  </si>
  <si>
    <t>Next 4,100 therms</t>
  </si>
  <si>
    <t>All over 5,000 therms</t>
  </si>
  <si>
    <t>Minimum Bills</t>
  </si>
  <si>
    <t>First 25,000 Therms</t>
  </si>
  <si>
    <t>Next 25,000 Therms</t>
  </si>
  <si>
    <t>All over 50,000 Therms</t>
  </si>
  <si>
    <t>Next 50,000 Therms</t>
  </si>
  <si>
    <t>First 1,000 therms</t>
  </si>
  <si>
    <t>All over 1,000 therms</t>
  </si>
  <si>
    <t>All over 500,000 therms</t>
  </si>
  <si>
    <t>Sch. 129</t>
  </si>
  <si>
    <t>Proposed Rates</t>
  </si>
  <si>
    <t>Total Delivery Charges</t>
  </si>
  <si>
    <t>Rate Change Impacts by Rate Schedule</t>
  </si>
  <si>
    <t>Forecasted</t>
  </si>
  <si>
    <t>Total Forecasted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</si>
  <si>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</si>
  <si>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</si>
  <si>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</si>
  <si>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E=D/C</t>
  </si>
  <si>
    <t xml:space="preserve">F </t>
  </si>
  <si>
    <t xml:space="preserve">G=E*F </t>
  </si>
  <si>
    <t>K</t>
  </si>
  <si>
    <t>L</t>
  </si>
  <si>
    <t>M</t>
  </si>
  <si>
    <t>N</t>
  </si>
  <si>
    <t>O</t>
  </si>
  <si>
    <t>P</t>
  </si>
  <si>
    <t>23,53</t>
  </si>
  <si>
    <t>Residential Gas Lights</t>
  </si>
  <si>
    <t>Commercial &amp; Industrial</t>
  </si>
  <si>
    <t>Large Volume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</si>
  <si>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</si>
  <si>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</si>
  <si>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</si>
  <si>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</si>
  <si>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</si>
  <si>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</si>
  <si>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</si>
  <si>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Limited Interruptible Transportation</t>
  </si>
  <si>
    <t>86T</t>
  </si>
  <si>
    <t>Non-exclusive Interruptible Transportation</t>
  </si>
  <si>
    <t>Contracts</t>
  </si>
  <si>
    <t>By Customer Class:</t>
  </si>
  <si>
    <t>Typical Residential Bill Impacts</t>
  </si>
  <si>
    <t>Current Rates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</si>
  <si>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</si>
  <si>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</si>
  <si>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</si>
  <si>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</si>
  <si>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</si>
  <si>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</si>
  <si>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</si>
  <si>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</si>
  <si>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</si>
  <si>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Volume (Therms)</t>
  </si>
  <si>
    <t xml:space="preserve">Rate </t>
  </si>
  <si>
    <t>Base Sch.</t>
  </si>
  <si>
    <t>Base Schedule</t>
  </si>
  <si>
    <t>Sch. 101</t>
  </si>
  <si>
    <t>Sch. 106</t>
  </si>
  <si>
    <t>Sch. 120</t>
  </si>
  <si>
    <t>Sch. 142</t>
  </si>
  <si>
    <t>16,23,53</t>
  </si>
  <si>
    <t>31,31T</t>
  </si>
  <si>
    <t>41,41T</t>
  </si>
  <si>
    <t>85,85T</t>
  </si>
  <si>
    <t>86,86T</t>
  </si>
  <si>
    <t>Non-exclusive interruptible</t>
  </si>
  <si>
    <t>87,87T</t>
  </si>
  <si>
    <t>Rate Change</t>
  </si>
  <si>
    <t>Basic charge (Sch. 23)</t>
  </si>
  <si>
    <t>Delivery charge (Sch. 23)</t>
  </si>
  <si>
    <t>Decoupling charge (Sch. 142)</t>
  </si>
  <si>
    <t>Conservation charge (Sch. 120)</t>
  </si>
  <si>
    <t>Gas cost charge (Sch. 101)</t>
  </si>
  <si>
    <t>Gas cost amort. charge (Sch. 106)</t>
  </si>
  <si>
    <t>Sch. 129D</t>
  </si>
  <si>
    <t>Total Base Revenues</t>
  </si>
  <si>
    <t>Average Base</t>
  </si>
  <si>
    <t>Sch. 141R</t>
  </si>
  <si>
    <t>Sch. 141D</t>
  </si>
  <si>
    <t>Q</t>
  </si>
  <si>
    <t>R</t>
  </si>
  <si>
    <t>Low Income charge (Sch. 129)</t>
  </si>
  <si>
    <t>Low Income Discount charge (Sch. 129D)</t>
  </si>
  <si>
    <t>Property Tax charge (Sch. 140)</t>
  </si>
  <si>
    <t>Dist. Pipeline Provisional (Sch. 141D)</t>
  </si>
  <si>
    <t>Rates Subject to Refund (Sch. 141R)</t>
  </si>
  <si>
    <t>Total revenue requirement for low income program</t>
  </si>
  <si>
    <t>PUGET SOUND ENERGY</t>
  </si>
  <si>
    <t>LOW INCOME PROGRAM</t>
  </si>
  <si>
    <t xml:space="preserve">REVENUE REQUIREMENTS </t>
  </si>
  <si>
    <t>LINE 
NO.</t>
  </si>
  <si>
    <t>ELECTRIC</t>
  </si>
  <si>
    <t>GAS</t>
  </si>
  <si>
    <t>TOTAL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</si>
  <si>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</si>
  <si>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</si>
  <si>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</si>
  <si>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</si>
  <si>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</si>
  <si>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</si>
  <si>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</si>
  <si>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</si>
  <si>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</si>
  <si>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Revenue Sensitive Items:</t>
  </si>
  <si>
    <t>Current Annual Filing Fee</t>
  </si>
  <si>
    <t xml:space="preserve">Current State Utility Tax </t>
  </si>
  <si>
    <t>Conversion Factor</t>
  </si>
  <si>
    <t>Schedule 129 Low Income</t>
  </si>
  <si>
    <t>Gas Schedule 129</t>
  </si>
  <si>
    <t>Low Income Program</t>
  </si>
  <si>
    <t>Sched 129</t>
  </si>
  <si>
    <t>No.</t>
  </si>
  <si>
    <t>(c)</t>
  </si>
  <si>
    <t>Forecasted Margin Revenue at Current Rates</t>
  </si>
  <si>
    <t>Forecasted Therm Volumes</t>
  </si>
  <si>
    <t>88T</t>
  </si>
  <si>
    <t xml:space="preserve">Source: F2024 Load Forecast Calendar Month Therms (5-30-2024)  </t>
  </si>
  <si>
    <t>Calculation of Low Income Program Rates by Block for Schedules 85, 85T, 87, 87T and 88T</t>
  </si>
  <si>
    <r>
      <t xml:space="preserve">Base Rates </t>
    </r>
    <r>
      <rPr>
        <vertAlign val="superscript"/>
        <sz val="10"/>
        <rFont val="Arial"/>
        <family val="2"/>
      </rPr>
      <t>(2)</t>
    </r>
  </si>
  <si>
    <t>(j)</t>
  </si>
  <si>
    <t>Sch. 111</t>
  </si>
  <si>
    <t>Sch. 141LNG</t>
  </si>
  <si>
    <t>Sch. 141PFG</t>
  </si>
  <si>
    <t xml:space="preserve">Revenue at </t>
  </si>
  <si>
    <t>Sept. 2025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</si>
  <si>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</si>
  <si>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S</t>
  </si>
  <si>
    <t>Exclusive Interruptible Transportation</t>
  </si>
  <si>
    <t>Exclusive interruptible</t>
  </si>
  <si>
    <t>Cap &amp; Invest Non-Vol Credit (Sch. 111)</t>
  </si>
  <si>
    <t>LNG charge (Sch. 141LNG)</t>
  </si>
  <si>
    <t>Participatory Funding (Sch. 141PFG)</t>
  </si>
  <si>
    <t>Cap &amp; Invest charge (Sch. 111)</t>
  </si>
  <si>
    <t>Summary of Schedule 129 Rates</t>
  </si>
  <si>
    <t>Additional</t>
  </si>
  <si>
    <t>Funding</t>
  </si>
  <si>
    <t>2025 Gas Schedule 129 Low Income Program Rate Filing</t>
  </si>
  <si>
    <t>5/1/25 - 9/30/25</t>
  </si>
  <si>
    <t>Base Rate Design</t>
  </si>
  <si>
    <t>Bill Determinants</t>
  </si>
  <si>
    <t>Revenues (Current Rates)</t>
  </si>
  <si>
    <t>Revenues (Proposed Rates)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</si>
  <si>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</si>
  <si>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</si>
  <si>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</si>
  <si>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</si>
  <si>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</si>
  <si>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</si>
  <si>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</si>
  <si>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(k)</t>
  </si>
  <si>
    <t>(l)</t>
  </si>
  <si>
    <t>(m)</t>
  </si>
  <si>
    <t>(n)</t>
  </si>
  <si>
    <t>(o)</t>
  </si>
  <si>
    <t>Total Sch. 16/23/53 Revenue</t>
  </si>
  <si>
    <t>Revenue Target</t>
  </si>
  <si>
    <t>Total Sch. 31/31T Revenue</t>
  </si>
  <si>
    <t>In Minimum Bills</t>
  </si>
  <si>
    <t>Total Sch. 41/41T Revenue</t>
  </si>
  <si>
    <t>Total Sch. 85/85T Revenue</t>
  </si>
  <si>
    <t>Total Sch. 86/86T Revenue</t>
  </si>
  <si>
    <t>Total Sch. 87/87T Revenue</t>
  </si>
  <si>
    <t>Total Sch. 88T Revenue</t>
  </si>
  <si>
    <t>Total Revenues</t>
  </si>
  <si>
    <t>Total Bills</t>
  </si>
  <si>
    <t>Total Demand</t>
  </si>
  <si>
    <t>Total Therms</t>
  </si>
  <si>
    <t>UG-240005</t>
  </si>
  <si>
    <t>Calculation of Additional Funding Schedule 129 Rates</t>
  </si>
  <si>
    <t>MAY 2025 THROUGH SEPTEMBER 2025</t>
  </si>
  <si>
    <t>Additional Funding requested for period 05/25 - 09/25</t>
  </si>
  <si>
    <t xml:space="preserve">Bad Debts Conversion Factor used in 2024 GRC </t>
  </si>
  <si>
    <t>Additional Low income revenue requirement to be recovered in rates May 2025 through September 2025</t>
  </si>
  <si>
    <t>Interruptible Schedule 88T</t>
  </si>
  <si>
    <t>Transportation Schedule 87T</t>
  </si>
  <si>
    <t>2025 Gas Schedule 129 Low Income Filing</t>
  </si>
  <si>
    <t>Proposed Rates Effective May 1, 2025</t>
  </si>
  <si>
    <t>5ME Sept. 2025</t>
  </si>
  <si>
    <t>May 2025 -</t>
  </si>
  <si>
    <t>T=sum(G:S)</t>
  </si>
  <si>
    <t>U</t>
  </si>
  <si>
    <t>V=T+U</t>
  </si>
  <si>
    <t>W=U/T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</si>
  <si>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29, 2025.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</si>
  <si>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29, 2025.</t>
    </r>
  </si>
  <si>
    <t>5/1/25 - 4/30/26</t>
  </si>
  <si>
    <t>Proposed Effective May 1, 2025</t>
  </si>
  <si>
    <t>Calendar volume for May 1, 2024 through September 30, 2024 from Customer Information System (CIS).</t>
  </si>
  <si>
    <t>Current Schedule 87T Base Rates effective January 29, 2025.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</si>
  <si>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</rPr>
      <t>Forecasted</t>
    </r>
    <r>
      <rPr>
        <sz val="11"/>
        <color theme="1"/>
        <rFont val="Calibri"/>
        <family val="2"/>
        <scheme val="minor"/>
      </rPr>
      <t xml:space="preserve"> volume and base schedule revenue for the 12 months ending January 28, 2026 from the UG-240005 GRC compliance filing.</t>
    </r>
  </si>
  <si>
    <t>Forecasted volume for the 12 months ending January 28, 2026 from the 2024 General Rate Case Compliance Filing (UG-240005).</t>
  </si>
  <si>
    <t>Base schedule revenue for the 12 months ending January 28, 2026 from the 2024 General Rate Case Compliance Filing (UG-240005).</t>
  </si>
  <si>
    <t>2024 Gas General Rate Case (Dockets UE-240004 &amp; UG-240005)</t>
  </si>
  <si>
    <t>Gas Rate Spread &amp; Design</t>
  </si>
  <si>
    <t>Add.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</si>
</sst>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_(&quot;$&quot;* #,##0.0000_);_(&quot;$&quot;* \(#,##0.0000\);_(&quot;$&quot;* &quot;-&quot;??_);_(@_)"/>
    <numFmt numFmtId="171" formatCode="0.0000%"/>
    <numFmt numFmtId="172" formatCode="_(&quot;$&quot;* #,##0.00_);_(&quot;$&quot;* \(#,##0.00\);_(&quot;$&quot;* &quot;-&quot;_);_(@_)"/>
    <numFmt numFmtId="173" formatCode="#,##0.000000_);\(#,##0.000000\)"/>
    <numFmt numFmtId="174" formatCode="0.0000000"/>
    <numFmt numFmtId="175" formatCode="_(* #,##0.0000000_);_(* \(#,##0.0000000\);_(* &quot;-&quot;??_);_(@_)"/>
    <numFmt numFmtId="176" formatCode="_(&quot;$&quot;* #,##0.000000_);_(&quot;$&quot;* \(#,##0.000000\);_(&quot;$&quot;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indexed="21"/>
      <name val="Arial"/>
      <family val="2"/>
    </font>
    <font>
      <sz val="10"/>
      <color theme="1"/>
      <name val="Arial"/>
      <family val="2"/>
    </font>
    <font>
      <sz val="10"/>
      <color rgb="FF009999"/>
      <name val="Arial"/>
      <family val="2"/>
    </font>
    <font>
      <vertAlign val="superscript"/>
      <sz val="10"/>
      <name val="Arial"/>
      <family val="2"/>
    </font>
    <font>
      <sz val="10"/>
      <color rgb="FF006666"/>
      <name val="Arial"/>
      <family val="2"/>
    </font>
    <font>
      <sz val="10"/>
      <color rgb="FF00808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i/>
      <sz val="10"/>
      <color rgb="FF0000FF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u/>
      <sz val="10"/>
      <name val="Arial"/>
      <family val="2"/>
    </font>
    <font>
      <sz val="10"/>
      <color theme="0" tint="-0.249977111117893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33CC"/>
      <name val="Arial"/>
      <family val="2"/>
    </font>
    <font>
      <sz val="10"/>
      <name val="Arial"/>
    </font>
    <font>
      <sz val="11"/>
      <color rgb="FF0000FF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33" fillId="0" borderId="0" applyFont="0" applyFill="0" applyBorder="0" applyAlignment="0" applyProtection="0"/>
  </cellStyleXfs>
  <cellXfs count="373">
    <xf numFmtId="0" fontId="0" fillId="0" borderId="0" xfId="0"/>
    <xf numFmtId="3" fontId="7" fillId="0" borderId="0" xfId="0" applyNumberFormat="1" applyFont="1" applyFill="1"/>
    <xf numFmtId="3" fontId="3" fillId="0" borderId="0" xfId="0" applyNumberFormat="1" applyFont="1" applyFill="1"/>
    <xf numFmtId="166" fontId="1" fillId="0" borderId="0" xfId="0" applyNumberFormat="1" applyFont="1" applyFill="1"/>
    <xf numFmtId="166" fontId="1" fillId="0" borderId="0" xfId="0" applyNumberFormat="1" applyFont="1" applyFill="1" applyBorder="1"/>
    <xf numFmtId="164" fontId="1" fillId="0" borderId="0" xfId="0" applyNumberFormat="1" applyFont="1" applyFill="1" applyBorder="1"/>
    <xf numFmtId="42" fontId="3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42" fontId="1" fillId="0" borderId="1" xfId="0" applyNumberFormat="1" applyFont="1" applyFill="1" applyBorder="1"/>
    <xf numFmtId="3" fontId="4" fillId="0" borderId="3" xfId="0" applyNumberFormat="1" applyFont="1" applyFill="1" applyBorder="1"/>
    <xf numFmtId="3" fontId="1" fillId="0" borderId="1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0" fontId="1" fillId="0" borderId="9" xfId="0" applyFont="1" applyFill="1" applyBorder="1" applyAlignment="1">
      <alignment horizontal="center"/>
    </xf>
    <xf numFmtId="42" fontId="5" fillId="0" borderId="4" xfId="0" applyNumberFormat="1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164" fontId="1" fillId="0" borderId="3" xfId="0" applyNumberFormat="1" applyFont="1" applyFill="1" applyBorder="1"/>
    <xf numFmtId="167" fontId="1" fillId="0" borderId="0" xfId="0" applyNumberFormat="1" applyFont="1" applyFill="1"/>
    <xf numFmtId="164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10" fontId="1" fillId="0" borderId="1" xfId="0" applyNumberFormat="1" applyFont="1" applyFill="1" applyBorder="1" applyAlignment="1">
      <alignment horizontal="right"/>
    </xf>
    <xf numFmtId="10" fontId="8" fillId="0" borderId="2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/>
    <xf numFmtId="165" fontId="8" fillId="0" borderId="0" xfId="0" applyNumberFormat="1" applyFont="1" applyFill="1"/>
    <xf numFmtId="164" fontId="7" fillId="0" borderId="0" xfId="0" applyNumberFormat="1" applyFont="1" applyFill="1"/>
    <xf numFmtId="164" fontId="12" fillId="0" borderId="0" xfId="0" applyNumberFormat="1" applyFont="1" applyFill="1"/>
    <xf numFmtId="3" fontId="7" fillId="0" borderId="0" xfId="0" applyNumberFormat="1" applyFont="1" applyFill="1" applyBorder="1"/>
    <xf numFmtId="10" fontId="1" fillId="0" borderId="0" xfId="0" applyNumberFormat="1" applyFont="1" applyFill="1"/>
    <xf numFmtId="8" fontId="1" fillId="0" borderId="0" xfId="0" applyNumberFormat="1" applyFont="1" applyFill="1"/>
    <xf numFmtId="3" fontId="8" fillId="0" borderId="0" xfId="0" applyNumberFormat="1" applyFont="1" applyFill="1"/>
    <xf numFmtId="3" fontId="8" fillId="0" borderId="3" xfId="0" applyNumberFormat="1" applyFont="1" applyFill="1" applyBorder="1"/>
    <xf numFmtId="0" fontId="1" fillId="0" borderId="0" xfId="0" applyFont="1" applyFill="1" applyAlignment="1">
      <alignment horizontal="centerContinuous"/>
    </xf>
    <xf numFmtId="10" fontId="8" fillId="0" borderId="3" xfId="0" applyNumberFormat="1" applyFont="1" applyFill="1" applyBorder="1"/>
    <xf numFmtId="0" fontId="2" fillId="0" borderId="0" xfId="0" applyFont="1" applyFill="1" applyAlignment="1">
      <alignment horizontal="centerContinuous"/>
    </xf>
    <xf numFmtId="0" fontId="1" fillId="0" borderId="0" xfId="0" applyFont="1" applyFill="1" applyBorder="1" applyProtection="1">
      <protection locked="0"/>
    </xf>
    <xf numFmtId="0" fontId="8" fillId="0" borderId="0" xfId="0" applyFont="1" applyFill="1" applyAlignment="1">
      <alignment horizontal="centerContinuous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18" fillId="0" borderId="0" xfId="0" applyNumberFormat="1" applyFont="1"/>
    <xf numFmtId="168" fontId="0" fillId="0" borderId="0" xfId="0" applyNumberFormat="1"/>
    <xf numFmtId="42" fontId="0" fillId="0" borderId="0" xfId="0" applyNumberFormat="1"/>
    <xf numFmtId="42" fontId="14" fillId="0" borderId="0" xfId="0" applyNumberFormat="1" applyFont="1"/>
    <xf numFmtId="10" fontId="0" fillId="0" borderId="0" xfId="0" applyNumberFormat="1" applyFont="1"/>
    <xf numFmtId="42" fontId="15" fillId="0" borderId="0" xfId="0" applyNumberFormat="1" applyFont="1"/>
    <xf numFmtId="168" fontId="0" fillId="0" borderId="2" xfId="0" applyNumberFormat="1" applyBorder="1"/>
    <xf numFmtId="3" fontId="0" fillId="0" borderId="1" xfId="0" applyNumberFormat="1" applyBorder="1"/>
    <xf numFmtId="42" fontId="0" fillId="0" borderId="1" xfId="0" applyNumberFormat="1" applyBorder="1"/>
    <xf numFmtId="42" fontId="14" fillId="0" borderId="1" xfId="0" applyNumberFormat="1" applyFont="1" applyBorder="1"/>
    <xf numFmtId="10" fontId="0" fillId="0" borderId="1" xfId="0" applyNumberFormat="1" applyFont="1" applyBorder="1"/>
    <xf numFmtId="3" fontId="0" fillId="0" borderId="0" xfId="0" applyNumberFormat="1"/>
    <xf numFmtId="10" fontId="0" fillId="0" borderId="0" xfId="0" applyNumberFormat="1"/>
    <xf numFmtId="0" fontId="19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3" fontId="21" fillId="0" borderId="0" xfId="0" applyNumberFormat="1" applyFont="1" applyBorder="1"/>
    <xf numFmtId="42" fontId="21" fillId="0" borderId="0" xfId="0" applyNumberFormat="1" applyFont="1" applyBorder="1"/>
    <xf numFmtId="0" fontId="21" fillId="0" borderId="0" xfId="0" applyFont="1"/>
    <xf numFmtId="42" fontId="21" fillId="0" borderId="0" xfId="0" applyNumberFormat="1" applyFont="1"/>
    <xf numFmtId="10" fontId="21" fillId="0" borderId="0" xfId="0" applyNumberFormat="1" applyFont="1"/>
    <xf numFmtId="0" fontId="21" fillId="0" borderId="0" xfId="0" applyFont="1" applyAlignment="1">
      <alignment horizontal="left"/>
    </xf>
    <xf numFmtId="164" fontId="21" fillId="0" borderId="0" xfId="0" applyNumberFormat="1" applyFont="1" applyFill="1"/>
    <xf numFmtId="166" fontId="21" fillId="0" borderId="0" xfId="0" applyNumberFormat="1" applyFont="1" applyFill="1"/>
    <xf numFmtId="0" fontId="21" fillId="0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164" fontId="21" fillId="0" borderId="1" xfId="0" applyNumberFormat="1" applyFont="1" applyFill="1" applyBorder="1"/>
    <xf numFmtId="168" fontId="0" fillId="0" borderId="1" xfId="0" applyNumberFormat="1" applyBorder="1"/>
    <xf numFmtId="166" fontId="21" fillId="0" borderId="1" xfId="0" applyNumberFormat="1" applyFont="1" applyFill="1" applyBorder="1"/>
    <xf numFmtId="0" fontId="21" fillId="0" borderId="0" xfId="0" applyFont="1" applyFill="1"/>
    <xf numFmtId="0" fontId="21" fillId="0" borderId="0" xfId="0" applyFont="1" applyBorder="1"/>
    <xf numFmtId="44" fontId="21" fillId="0" borderId="0" xfId="0" applyNumberFormat="1" applyFont="1"/>
    <xf numFmtId="0" fontId="14" fillId="0" borderId="0" xfId="0" applyFont="1"/>
    <xf numFmtId="0" fontId="14" fillId="0" borderId="2" xfId="0" applyFont="1" applyBorder="1" applyAlignment="1">
      <alignment horizontal="centerContinuous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23" fillId="0" borderId="0" xfId="0" applyFont="1"/>
    <xf numFmtId="172" fontId="14" fillId="0" borderId="0" xfId="0" applyNumberFormat="1" applyFont="1"/>
    <xf numFmtId="0" fontId="23" fillId="0" borderId="0" xfId="0" applyFont="1" applyBorder="1"/>
    <xf numFmtId="44" fontId="23" fillId="0" borderId="0" xfId="0" applyNumberFormat="1" applyFont="1" applyBorder="1"/>
    <xf numFmtId="44" fontId="14" fillId="0" borderId="0" xfId="0" applyNumberFormat="1" applyFont="1"/>
    <xf numFmtId="44" fontId="14" fillId="0" borderId="0" xfId="0" applyNumberFormat="1" applyFont="1" applyBorder="1"/>
    <xf numFmtId="44" fontId="14" fillId="0" borderId="1" xfId="0" applyNumberFormat="1" applyFont="1" applyBorder="1"/>
    <xf numFmtId="0" fontId="14" fillId="0" borderId="0" xfId="0" applyFont="1" applyBorder="1"/>
    <xf numFmtId="167" fontId="18" fillId="0" borderId="0" xfId="0" applyNumberFormat="1" applyFont="1"/>
    <xf numFmtId="167" fontId="23" fillId="0" borderId="0" xfId="0" applyNumberFormat="1" applyFont="1" applyBorder="1"/>
    <xf numFmtId="167" fontId="14" fillId="0" borderId="0" xfId="0" applyNumberFormat="1" applyFont="1"/>
    <xf numFmtId="167" fontId="0" fillId="0" borderId="0" xfId="0" applyNumberFormat="1" applyFont="1"/>
    <xf numFmtId="167" fontId="14" fillId="0" borderId="1" xfId="0" applyNumberFormat="1" applyFont="1" applyBorder="1"/>
    <xf numFmtId="167" fontId="0" fillId="0" borderId="0" xfId="0" applyNumberFormat="1" applyFont="1" applyFill="1"/>
    <xf numFmtId="172" fontId="14" fillId="0" borderId="1" xfId="0" applyNumberFormat="1" applyFont="1" applyBorder="1"/>
    <xf numFmtId="167" fontId="14" fillId="0" borderId="0" xfId="0" applyNumberFormat="1" applyFont="1" applyBorder="1"/>
    <xf numFmtId="165" fontId="14" fillId="0" borderId="0" xfId="0" applyNumberFormat="1" applyFont="1"/>
    <xf numFmtId="165" fontId="14" fillId="0" borderId="0" xfId="0" applyNumberFormat="1" applyFont="1" applyBorder="1"/>
    <xf numFmtId="10" fontId="14" fillId="0" borderId="0" xfId="0" applyNumberFormat="1" applyFont="1"/>
    <xf numFmtId="0" fontId="14" fillId="0" borderId="0" xfId="0" applyFont="1" applyFill="1" applyAlignment="1"/>
    <xf numFmtId="0" fontId="14" fillId="0" borderId="0" xfId="0" applyFont="1" applyAlignment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  <xf numFmtId="164" fontId="0" fillId="0" borderId="0" xfId="0" applyNumberFormat="1" applyFont="1"/>
    <xf numFmtId="0" fontId="14" fillId="0" borderId="2" xfId="0" applyFont="1" applyFill="1" applyBorder="1" applyAlignment="1">
      <alignment horizontal="center"/>
    </xf>
    <xf numFmtId="168" fontId="15" fillId="0" borderId="0" xfId="0" applyNumberFormat="1" applyFont="1"/>
    <xf numFmtId="164" fontId="14" fillId="0" borderId="0" xfId="0" applyNumberFormat="1" applyFont="1"/>
    <xf numFmtId="3" fontId="14" fillId="0" borderId="0" xfId="0" applyNumberFormat="1" applyFont="1"/>
    <xf numFmtId="168" fontId="15" fillId="0" borderId="0" xfId="0" applyNumberFormat="1" applyFont="1" applyBorder="1"/>
    <xf numFmtId="3" fontId="14" fillId="0" borderId="1" xfId="0" applyNumberFormat="1" applyFont="1" applyFill="1" applyBorder="1"/>
    <xf numFmtId="164" fontId="0" fillId="0" borderId="1" xfId="0" applyNumberFormat="1" applyFont="1" applyBorder="1"/>
    <xf numFmtId="165" fontId="14" fillId="0" borderId="1" xfId="0" applyNumberFormat="1" applyFont="1" applyBorder="1"/>
    <xf numFmtId="3" fontId="14" fillId="0" borderId="0" xfId="0" applyNumberFormat="1" applyFont="1" applyFill="1"/>
    <xf numFmtId="8" fontId="14" fillId="0" borderId="0" xfId="0" applyNumberFormat="1" applyFont="1"/>
    <xf numFmtId="168" fontId="15" fillId="0" borderId="0" xfId="0" applyNumberFormat="1" applyFont="1" applyFill="1"/>
    <xf numFmtId="3" fontId="14" fillId="0" borderId="1" xfId="0" applyNumberFormat="1" applyFont="1" applyBorder="1"/>
    <xf numFmtId="0" fontId="14" fillId="0" borderId="0" xfId="0" applyFont="1" applyFill="1" applyBorder="1"/>
    <xf numFmtId="164" fontId="14" fillId="0" borderId="0" xfId="0" applyNumberFormat="1" applyFont="1" applyBorder="1"/>
    <xf numFmtId="0" fontId="14" fillId="0" borderId="0" xfId="0" applyFont="1" applyFill="1"/>
    <xf numFmtId="0" fontId="14" fillId="0" borderId="0" xfId="0" quotePrefix="1" applyFont="1" applyAlignment="1">
      <alignment vertical="top"/>
    </xf>
    <xf numFmtId="0" fontId="24" fillId="0" borderId="0" xfId="0" applyFont="1"/>
    <xf numFmtId="0" fontId="24" fillId="0" borderId="0" xfId="0" applyFont="1" applyFill="1"/>
    <xf numFmtId="41" fontId="14" fillId="0" borderId="0" xfId="0" quotePrefix="1" applyNumberFormat="1" applyFont="1" applyAlignment="1">
      <alignment horizontal="right"/>
    </xf>
    <xf numFmtId="0" fontId="14" fillId="0" borderId="0" xfId="0" applyFont="1" applyFill="1" applyBorder="1" applyAlignment="1">
      <alignment horizontal="left"/>
    </xf>
    <xf numFmtId="3" fontId="14" fillId="0" borderId="0" xfId="0" applyNumberFormat="1" applyFont="1" applyFill="1" applyBorder="1"/>
    <xf numFmtId="168" fontId="18" fillId="0" borderId="0" xfId="0" applyNumberFormat="1" applyFont="1"/>
    <xf numFmtId="168" fontId="18" fillId="0" borderId="0" xfId="0" applyNumberFormat="1" applyFont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2" xfId="0" quotePrefix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Fill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168" fontId="8" fillId="0" borderId="0" xfId="0" applyNumberFormat="1" applyFont="1" applyFill="1"/>
    <xf numFmtId="166" fontId="8" fillId="0" borderId="0" xfId="0" applyNumberFormat="1" applyFont="1" applyFill="1"/>
    <xf numFmtId="169" fontId="1" fillId="0" borderId="0" xfId="0" applyNumberFormat="1" applyFont="1" applyFill="1"/>
    <xf numFmtId="164" fontId="8" fillId="0" borderId="0" xfId="0" applyNumberFormat="1" applyFont="1" applyFill="1" applyBorder="1"/>
    <xf numFmtId="169" fontId="8" fillId="0" borderId="0" xfId="0" applyNumberFormat="1" applyFont="1" applyFill="1"/>
    <xf numFmtId="164" fontId="5" fillId="0" borderId="6" xfId="0" applyNumberFormat="1" applyFont="1" applyFill="1" applyBorder="1"/>
    <xf numFmtId="10" fontId="5" fillId="0" borderId="5" xfId="0" applyNumberFormat="1" applyFont="1" applyFill="1" applyBorder="1"/>
    <xf numFmtId="0" fontId="10" fillId="0" borderId="0" xfId="0" quotePrefix="1" applyFont="1" applyFill="1" applyAlignment="1">
      <alignment horizontal="center" vertical="top"/>
    </xf>
    <xf numFmtId="0" fontId="1" fillId="0" borderId="3" xfId="0" applyFont="1" applyFill="1" applyBorder="1"/>
    <xf numFmtId="3" fontId="8" fillId="0" borderId="1" xfId="0" applyNumberFormat="1" applyFont="1" applyFill="1" applyBorder="1"/>
    <xf numFmtId="0" fontId="1" fillId="0" borderId="0" xfId="0" applyFont="1" applyFill="1" applyAlignment="1">
      <alignment wrapText="1"/>
    </xf>
    <xf numFmtId="0" fontId="8" fillId="0" borderId="0" xfId="0" applyFont="1" applyFill="1" applyAlignment="1"/>
    <xf numFmtId="42" fontId="1" fillId="0" borderId="0" xfId="0" applyNumberFormat="1" applyFont="1" applyFill="1"/>
    <xf numFmtId="0" fontId="1" fillId="0" borderId="0" xfId="0" applyFont="1" applyFill="1" applyAlignment="1">
      <alignment horizontal="left" indent="1"/>
    </xf>
    <xf numFmtId="164" fontId="4" fillId="0" borderId="0" xfId="0" applyNumberFormat="1" applyFont="1" applyFill="1" applyBorder="1"/>
    <xf numFmtId="170" fontId="1" fillId="0" borderId="0" xfId="0" applyNumberFormat="1" applyFont="1" applyFill="1" applyBorder="1"/>
    <xf numFmtId="3" fontId="15" fillId="0" borderId="0" xfId="0" applyNumberFormat="1" applyFont="1"/>
    <xf numFmtId="167" fontId="15" fillId="0" borderId="0" xfId="0" applyNumberFormat="1" applyFont="1" applyFill="1"/>
    <xf numFmtId="3" fontId="6" fillId="0" borderId="0" xfId="0" applyNumberFormat="1" applyFont="1" applyFill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7" fontId="18" fillId="0" borderId="0" xfId="0" applyNumberFormat="1" applyFont="1" applyFill="1"/>
    <xf numFmtId="0" fontId="18" fillId="0" borderId="2" xfId="0" applyFont="1" applyFill="1" applyBorder="1" applyAlignment="1">
      <alignment horizontal="center"/>
    </xf>
    <xf numFmtId="0" fontId="32" fillId="0" borderId="0" xfId="0" applyFont="1" applyFill="1" applyAlignment="1">
      <alignment horizontal="right"/>
    </xf>
    <xf numFmtId="164" fontId="4" fillId="0" borderId="3" xfId="0" applyNumberFormat="1" applyFont="1" applyFill="1" applyBorder="1"/>
    <xf numFmtId="3" fontId="12" fillId="0" borderId="0" xfId="0" applyNumberFormat="1" applyFont="1" applyFill="1"/>
    <xf numFmtId="42" fontId="12" fillId="0" borderId="0" xfId="0" applyNumberFormat="1" applyFont="1" applyFill="1"/>
    <xf numFmtId="3" fontId="3" fillId="0" borderId="0" xfId="0" applyNumberFormat="1" applyFont="1" applyFill="1" applyBorder="1"/>
    <xf numFmtId="3" fontId="12" fillId="0" borderId="1" xfId="0" applyNumberFormat="1" applyFont="1" applyFill="1" applyBorder="1"/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2" xfId="0" applyFont="1" applyFill="1" applyBorder="1"/>
    <xf numFmtId="17" fontId="6" fillId="0" borderId="2" xfId="0" applyNumberFormat="1" applyFont="1" applyFill="1" applyBorder="1" applyAlignment="1">
      <alignment horizontal="center"/>
    </xf>
    <xf numFmtId="17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42" fontId="0" fillId="0" borderId="0" xfId="0" applyNumberFormat="1" applyFont="1"/>
    <xf numFmtId="0" fontId="34" fillId="0" borderId="0" xfId="0" applyFont="1"/>
    <xf numFmtId="44" fontId="14" fillId="0" borderId="1" xfId="0" applyNumberFormat="1" applyFont="1" applyFill="1" applyBorder="1"/>
    <xf numFmtId="44" fontId="14" fillId="0" borderId="0" xfId="0" applyNumberFormat="1" applyFont="1" applyFill="1" applyBorder="1"/>
    <xf numFmtId="44" fontId="0" fillId="0" borderId="0" xfId="0" applyNumberFormat="1" applyFont="1"/>
    <xf numFmtId="44" fontId="23" fillId="0" borderId="0" xfId="0" applyNumberFormat="1" applyFont="1" applyFill="1"/>
    <xf numFmtId="167" fontId="14" fillId="0" borderId="1" xfId="0" applyNumberFormat="1" applyFont="1" applyFill="1" applyBorder="1"/>
    <xf numFmtId="165" fontId="14" fillId="0" borderId="2" xfId="0" applyNumberFormat="1" applyFont="1" applyBorder="1"/>
    <xf numFmtId="168" fontId="18" fillId="0" borderId="0" xfId="0" applyNumberFormat="1" applyFont="1" applyFill="1"/>
    <xf numFmtId="168" fontId="15" fillId="0" borderId="0" xfId="0" applyNumberFormat="1" applyFont="1" applyFill="1" applyBorder="1"/>
    <xf numFmtId="44" fontId="15" fillId="0" borderId="0" xfId="0" applyNumberFormat="1" applyFont="1" applyFill="1"/>
    <xf numFmtId="43" fontId="28" fillId="0" borderId="0" xfId="0" applyNumberFormat="1" applyFont="1" applyFill="1"/>
    <xf numFmtId="164" fontId="1" fillId="0" borderId="0" xfId="0" applyNumberFormat="1" applyFont="1" applyFill="1" applyProtection="1"/>
    <xf numFmtId="10" fontId="6" fillId="0" borderId="0" xfId="0" applyNumberFormat="1" applyFont="1" applyFill="1"/>
    <xf numFmtId="10" fontId="8" fillId="0" borderId="0" xfId="0" applyNumberFormat="1" applyFont="1" applyFill="1"/>
    <xf numFmtId="0" fontId="12" fillId="0" borderId="0" xfId="0" applyFont="1" applyFill="1"/>
    <xf numFmtId="0" fontId="1" fillId="0" borderId="0" xfId="0" applyFont="1" applyFill="1"/>
    <xf numFmtId="164" fontId="1" fillId="0" borderId="1" xfId="0" applyNumberFormat="1" applyFont="1" applyFill="1" applyBorder="1" applyProtection="1"/>
    <xf numFmtId="176" fontId="12" fillId="0" borderId="0" xfId="0" applyNumberFormat="1" applyFont="1" applyFill="1"/>
    <xf numFmtId="176" fontId="1" fillId="0" borderId="0" xfId="0" applyNumberFormat="1" applyFont="1" applyFill="1"/>
    <xf numFmtId="9" fontId="8" fillId="0" borderId="0" xfId="0" applyNumberFormat="1" applyFont="1" applyFill="1"/>
    <xf numFmtId="164" fontId="8" fillId="0" borderId="0" xfId="0" applyNumberFormat="1" applyFont="1" applyFill="1"/>
    <xf numFmtId="171" fontId="28" fillId="0" borderId="0" xfId="0" applyNumberFormat="1" applyFont="1" applyFill="1" applyBorder="1"/>
    <xf numFmtId="164" fontId="28" fillId="0" borderId="0" xfId="0" applyNumberFormat="1" applyFont="1" applyFill="1" applyProtection="1"/>
    <xf numFmtId="164" fontId="28" fillId="0" borderId="0" xfId="0" applyNumberFormat="1" applyFont="1" applyFill="1"/>
    <xf numFmtId="171" fontId="12" fillId="0" borderId="0" xfId="0" applyNumberFormat="1" applyFont="1" applyFill="1" applyBorder="1"/>
    <xf numFmtId="171" fontId="1" fillId="0" borderId="0" xfId="0" applyNumberFormat="1" applyFont="1" applyFill="1" applyBorder="1"/>
    <xf numFmtId="164" fontId="1" fillId="0" borderId="0" xfId="0" applyNumberFormat="1" applyFont="1" applyFill="1" applyBorder="1" applyProtection="1"/>
    <xf numFmtId="44" fontId="1" fillId="0" borderId="0" xfId="0" applyNumberFormat="1" applyFont="1" applyFill="1" applyBorder="1"/>
    <xf numFmtId="164" fontId="1" fillId="0" borderId="0" xfId="0" applyNumberFormat="1" applyFont="1" applyFill="1" applyAlignment="1" applyProtection="1">
      <alignment horizontal="centerContinuous"/>
    </xf>
    <xf numFmtId="44" fontId="28" fillId="0" borderId="0" xfId="0" applyNumberFormat="1" applyFont="1" applyFill="1" applyBorder="1"/>
    <xf numFmtId="44" fontId="1" fillId="0" borderId="0" xfId="0" applyNumberFormat="1" applyFont="1" applyFill="1"/>
    <xf numFmtId="168" fontId="1" fillId="0" borderId="0" xfId="0" applyNumberFormat="1" applyFont="1" applyFill="1"/>
    <xf numFmtId="168" fontId="12" fillId="0" borderId="0" xfId="0" applyNumberFormat="1" applyFont="1" applyFill="1"/>
    <xf numFmtId="44" fontId="12" fillId="0" borderId="0" xfId="0" applyNumberFormat="1" applyFont="1" applyFill="1"/>
    <xf numFmtId="42" fontId="8" fillId="0" borderId="0" xfId="0" applyNumberFormat="1" applyFont="1" applyFill="1"/>
    <xf numFmtId="164" fontId="8" fillId="0" borderId="3" xfId="0" applyNumberFormat="1" applyFont="1" applyFill="1" applyBorder="1"/>
    <xf numFmtId="43" fontId="28" fillId="0" borderId="0" xfId="0" applyNumberFormat="1" applyFont="1" applyFill="1" applyBorder="1"/>
    <xf numFmtId="41" fontId="28" fillId="0" borderId="0" xfId="0" applyNumberFormat="1" applyFont="1" applyFill="1" applyBorder="1"/>
    <xf numFmtId="0" fontId="13" fillId="0" borderId="0" xfId="0" applyFont="1" applyFill="1" applyAlignment="1"/>
    <xf numFmtId="0" fontId="2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17" fontId="2" fillId="0" borderId="2" xfId="0" quotePrefix="1" applyNumberFormat="1" applyFont="1" applyFill="1" applyBorder="1" applyAlignment="1">
      <alignment horizontal="center" wrapText="1"/>
    </xf>
    <xf numFmtId="17" fontId="2" fillId="0" borderId="0" xfId="0" quotePrefix="1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17" fontId="1" fillId="0" borderId="0" xfId="0" quotePrefix="1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166" fontId="12" fillId="0" borderId="0" xfId="0" applyNumberFormat="1" applyFont="1" applyFill="1"/>
    <xf numFmtId="0" fontId="8" fillId="0" borderId="0" xfId="0" applyFont="1" applyFill="1" applyBorder="1"/>
    <xf numFmtId="166" fontId="8" fillId="0" borderId="1" xfId="0" applyNumberFormat="1" applyFont="1" applyFill="1" applyBorder="1"/>
    <xf numFmtId="164" fontId="8" fillId="0" borderId="1" xfId="0" applyNumberFormat="1" applyFont="1" applyFill="1" applyBorder="1"/>
    <xf numFmtId="0" fontId="8" fillId="0" borderId="3" xfId="0" applyFont="1" applyFill="1" applyBorder="1"/>
    <xf numFmtId="44" fontId="28" fillId="0" borderId="0" xfId="0" applyNumberFormat="1" applyFont="1" applyFill="1"/>
    <xf numFmtId="43" fontId="1" fillId="0" borderId="0" xfId="0" applyNumberFormat="1" applyFont="1" applyFill="1"/>
    <xf numFmtId="164" fontId="3" fillId="0" borderId="0" xfId="0" applyNumberFormat="1" applyFont="1" applyFill="1"/>
    <xf numFmtId="0" fontId="26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36" fillId="0" borderId="0" xfId="0" applyFont="1" applyFill="1"/>
    <xf numFmtId="0" fontId="36" fillId="0" borderId="0" xfId="0" applyFont="1"/>
    <xf numFmtId="0" fontId="1" fillId="0" borderId="0" xfId="0" applyFont="1" applyFill="1" applyBorder="1" applyAlignment="1">
      <alignment horizontal="centerContinuous"/>
    </xf>
    <xf numFmtId="0" fontId="27" fillId="0" borderId="0" xfId="0" applyFont="1" applyBorder="1"/>
    <xf numFmtId="0" fontId="27" fillId="0" borderId="0" xfId="0" applyFont="1"/>
    <xf numFmtId="0" fontId="26" fillId="0" borderId="0" xfId="0" applyFont="1" applyFill="1" applyBorder="1" applyAlignment="1">
      <alignment horizontal="right" vertical="top"/>
    </xf>
    <xf numFmtId="0" fontId="26" fillId="0" borderId="0" xfId="0" applyFont="1" applyFill="1" applyBorder="1" applyAlignment="1">
      <alignment horizontal="left" vertical="top"/>
    </xf>
    <xf numFmtId="0" fontId="27" fillId="0" borderId="10" xfId="0" applyFont="1" applyFill="1" applyBorder="1" applyAlignment="1">
      <alignment horizontal="centerContinuous"/>
    </xf>
    <xf numFmtId="0" fontId="27" fillId="0" borderId="10" xfId="0" applyFont="1" applyFill="1" applyBorder="1"/>
    <xf numFmtId="0" fontId="27" fillId="0" borderId="0" xfId="0" applyFont="1" applyFill="1"/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/>
    </xf>
    <xf numFmtId="0" fontId="36" fillId="0" borderId="13" xfId="0" applyFont="1" applyFill="1" applyBorder="1"/>
    <xf numFmtId="0" fontId="36" fillId="0" borderId="13" xfId="0" applyFont="1" applyFill="1" applyBorder="1" applyAlignment="1">
      <alignment horizontal="center"/>
    </xf>
    <xf numFmtId="0" fontId="36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18" xfId="0" applyFont="1" applyFill="1" applyBorder="1" applyAlignment="1">
      <alignment horizontal="center"/>
    </xf>
    <xf numFmtId="0" fontId="36" fillId="0" borderId="19" xfId="0" applyFont="1" applyFill="1" applyBorder="1" applyAlignment="1">
      <alignment horizontal="center"/>
    </xf>
    <xf numFmtId="42" fontId="1" fillId="0" borderId="16" xfId="0" applyNumberFormat="1" applyFont="1" applyFill="1" applyBorder="1" applyAlignment="1"/>
    <xf numFmtId="0" fontId="1" fillId="0" borderId="17" xfId="0" applyFont="1" applyFill="1" applyBorder="1" applyAlignment="1">
      <alignment horizontal="left"/>
    </xf>
    <xf numFmtId="0" fontId="36" fillId="0" borderId="0" xfId="0" applyFont="1" applyFill="1" applyBorder="1"/>
    <xf numFmtId="9" fontId="36" fillId="0" borderId="0" xfId="0" applyNumberFormat="1" applyFont="1" applyFill="1" applyBorder="1"/>
    <xf numFmtId="164" fontId="1" fillId="0" borderId="16" xfId="0" applyNumberFormat="1" applyFont="1" applyFill="1" applyBorder="1" applyAlignment="1"/>
    <xf numFmtId="0" fontId="28" fillId="0" borderId="0" xfId="0" applyFont="1" applyFill="1"/>
    <xf numFmtId="0" fontId="6" fillId="0" borderId="0" xfId="0" applyFont="1" applyFill="1"/>
    <xf numFmtId="171" fontId="36" fillId="0" borderId="0" xfId="0" applyNumberFormat="1" applyFont="1" applyFill="1" applyBorder="1"/>
    <xf numFmtId="171" fontId="36" fillId="0" borderId="18" xfId="0" applyNumberFormat="1" applyFont="1" applyFill="1" applyBorder="1"/>
    <xf numFmtId="165" fontId="31" fillId="0" borderId="16" xfId="0" applyNumberFormat="1" applyFont="1" applyFill="1" applyBorder="1" applyAlignment="1"/>
    <xf numFmtId="164" fontId="36" fillId="0" borderId="16" xfId="0" applyNumberFormat="1" applyFont="1" applyFill="1" applyBorder="1" applyAlignment="1">
      <alignment horizontal="center"/>
    </xf>
    <xf numFmtId="41" fontId="1" fillId="0" borderId="16" xfId="0" applyNumberFormat="1" applyFont="1" applyFill="1" applyBorder="1" applyAlignment="1"/>
    <xf numFmtId="0" fontId="1" fillId="0" borderId="17" xfId="0" applyFont="1" applyFill="1" applyBorder="1"/>
    <xf numFmtId="0" fontId="36" fillId="0" borderId="0" xfId="0" applyFont="1" applyFill="1" applyBorder="1" applyAlignment="1">
      <alignment horizontal="left"/>
    </xf>
    <xf numFmtId="41" fontId="1" fillId="0" borderId="0" xfId="0" applyNumberFormat="1" applyFont="1" applyFill="1" applyBorder="1" applyAlignment="1"/>
    <xf numFmtId="0" fontId="30" fillId="0" borderId="17" xfId="0" applyFont="1" applyFill="1" applyBorder="1"/>
    <xf numFmtId="0" fontId="36" fillId="0" borderId="18" xfId="0" applyFont="1" applyFill="1" applyBorder="1"/>
    <xf numFmtId="164" fontId="1" fillId="0" borderId="16" xfId="0" applyNumberFormat="1" applyFont="1" applyFill="1" applyBorder="1"/>
    <xf numFmtId="0" fontId="36" fillId="0" borderId="17" xfId="0" applyFont="1" applyFill="1" applyBorder="1"/>
    <xf numFmtId="173" fontId="1" fillId="0" borderId="16" xfId="0" applyNumberFormat="1" applyFont="1" applyFill="1" applyBorder="1"/>
    <xf numFmtId="174" fontId="1" fillId="0" borderId="16" xfId="0" applyNumberFormat="1" applyFont="1" applyFill="1" applyBorder="1"/>
    <xf numFmtId="173" fontId="1" fillId="0" borderId="20" xfId="0" applyNumberFormat="1" applyFont="1" applyFill="1" applyBorder="1"/>
    <xf numFmtId="175" fontId="1" fillId="0" borderId="20" xfId="0" applyNumberFormat="1" applyFont="1" applyFill="1" applyBorder="1"/>
    <xf numFmtId="0" fontId="2" fillId="0" borderId="17" xfId="0" applyFont="1" applyFill="1" applyBorder="1"/>
    <xf numFmtId="0" fontId="2" fillId="0" borderId="0" xfId="0" applyFont="1" applyFill="1" applyBorder="1"/>
    <xf numFmtId="0" fontId="2" fillId="0" borderId="18" xfId="0" applyFont="1" applyFill="1" applyBorder="1"/>
    <xf numFmtId="42" fontId="2" fillId="0" borderId="21" xfId="0" applyNumberFormat="1" applyFont="1" applyFill="1" applyBorder="1"/>
    <xf numFmtId="0" fontId="1" fillId="0" borderId="0" xfId="0" applyFont="1" applyFill="1" applyBorder="1" applyAlignment="1">
      <alignment horizontal="center"/>
    </xf>
    <xf numFmtId="9" fontId="1" fillId="0" borderId="16" xfId="0" applyNumberFormat="1" applyFont="1" applyFill="1" applyBorder="1" applyAlignment="1">
      <alignment horizontal="center"/>
    </xf>
    <xf numFmtId="0" fontId="1" fillId="0" borderId="0" xfId="0" applyFont="1" applyFill="1" applyBorder="1"/>
    <xf numFmtId="37" fontId="8" fillId="0" borderId="0" xfId="0" applyNumberFormat="1" applyFont="1" applyFill="1" applyBorder="1"/>
    <xf numFmtId="42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42" fontId="2" fillId="0" borderId="0" xfId="0" applyNumberFormat="1" applyFont="1" applyFill="1" applyBorder="1"/>
    <xf numFmtId="43" fontId="1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0" fontId="37" fillId="0" borderId="0" xfId="0" applyFo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173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1" fontId="1" fillId="0" borderId="0" xfId="0" applyNumberFormat="1" applyFont="1" applyFill="1" applyBorder="1"/>
    <xf numFmtId="41" fontId="1" fillId="0" borderId="0" xfId="0" applyNumberFormat="1" applyFont="1" applyFill="1" applyBorder="1" applyAlignment="1">
      <alignment vertical="top"/>
    </xf>
    <xf numFmtId="0" fontId="36" fillId="0" borderId="0" xfId="0" applyFont="1" applyBorder="1"/>
    <xf numFmtId="0" fontId="29" fillId="0" borderId="0" xfId="0" quotePrefix="1" applyFont="1" applyFill="1" applyBorder="1"/>
    <xf numFmtId="44" fontId="36" fillId="0" borderId="0" xfId="0" applyNumberFormat="1" applyFont="1" applyFill="1" applyBorder="1"/>
    <xf numFmtId="44" fontId="36" fillId="0" borderId="0" xfId="0" applyNumberFormat="1" applyFont="1" applyFill="1"/>
    <xf numFmtId="164" fontId="36" fillId="0" borderId="0" xfId="0" applyNumberFormat="1" applyFont="1" applyFill="1"/>
    <xf numFmtId="164" fontId="36" fillId="0" borderId="0" xfId="0" applyNumberFormat="1" applyFont="1"/>
    <xf numFmtId="44" fontId="36" fillId="0" borderId="0" xfId="0" applyNumberFormat="1" applyFont="1"/>
    <xf numFmtId="167" fontId="12" fillId="0" borderId="0" xfId="0" applyNumberFormat="1" applyFont="1" applyFill="1"/>
    <xf numFmtId="10" fontId="8" fillId="0" borderId="1" xfId="0" applyNumberFormat="1" applyFont="1" applyFill="1" applyBorder="1"/>
    <xf numFmtId="165" fontId="8" fillId="0" borderId="1" xfId="0" applyNumberFormat="1" applyFont="1" applyFill="1" applyBorder="1"/>
    <xf numFmtId="169" fontId="28" fillId="0" borderId="0" xfId="0" applyNumberFormat="1" applyFont="1" applyFill="1"/>
    <xf numFmtId="168" fontId="28" fillId="0" borderId="0" xfId="0" applyNumberFormat="1" applyFont="1" applyFill="1"/>
    <xf numFmtId="10" fontId="28" fillId="0" borderId="0" xfId="0" applyNumberFormat="1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3" fontId="18" fillId="0" borderId="0" xfId="0" applyNumberFormat="1" applyFont="1"/>
    <xf numFmtId="166" fontId="34" fillId="0" borderId="0" xfId="1" applyNumberFormat="1" applyFont="1"/>
    <xf numFmtId="167" fontId="14" fillId="0" borderId="0" xfId="0" applyNumberFormat="1" applyFont="1" applyFill="1"/>
    <xf numFmtId="3" fontId="18" fillId="0" borderId="0" xfId="0" applyNumberFormat="1" applyFont="1" applyFill="1"/>
    <xf numFmtId="3" fontId="18" fillId="0" borderId="0" xfId="0" quotePrefix="1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8" fontId="6" fillId="0" borderId="0" xfId="0" applyNumberFormat="1" applyFont="1" applyFill="1"/>
    <xf numFmtId="168" fontId="6" fillId="0" borderId="0" xfId="0" applyNumberFormat="1" applyFont="1" applyFill="1" applyBorder="1"/>
    <xf numFmtId="41" fontId="1" fillId="0" borderId="0" xfId="0" quotePrefix="1" applyNumberFormat="1" applyFont="1" applyFill="1" applyAlignment="1">
      <alignment horizontal="right"/>
    </xf>
    <xf numFmtId="3" fontId="9" fillId="0" borderId="0" xfId="0" applyNumberFormat="1" applyFont="1" applyFill="1"/>
    <xf numFmtId="168" fontId="7" fillId="0" borderId="0" xfId="0" applyNumberFormat="1" applyFont="1" applyFill="1" applyBorder="1"/>
    <xf numFmtId="3" fontId="7" fillId="0" borderId="2" xfId="0" applyNumberFormat="1" applyFont="1" applyFill="1" applyBorder="1"/>
    <xf numFmtId="3" fontId="11" fillId="0" borderId="0" xfId="0" applyNumberFormat="1" applyFont="1" applyFill="1"/>
    <xf numFmtId="168" fontId="7" fillId="0" borderId="0" xfId="0" applyNumberFormat="1" applyFont="1" applyFill="1"/>
    <xf numFmtId="0" fontId="1" fillId="0" borderId="0" xfId="0" quotePrefix="1" applyFont="1" applyFill="1" applyAlignment="1">
      <alignment vertical="top"/>
    </xf>
    <xf numFmtId="0" fontId="5" fillId="0" borderId="0" xfId="0" applyFont="1" applyFill="1"/>
    <xf numFmtId="0" fontId="6" fillId="0" borderId="2" xfId="0" applyFont="1" applyFill="1" applyBorder="1" applyAlignment="1">
      <alignment horizontal="center"/>
    </xf>
    <xf numFmtId="0" fontId="10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left"/>
    </xf>
    <xf numFmtId="3" fontId="6" fillId="0" borderId="2" xfId="0" applyNumberFormat="1" applyFont="1" applyFill="1" applyBorder="1"/>
    <xf numFmtId="42" fontId="12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/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quotePrefix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5" fillId="0" borderId="0" xfId="0" applyFont="1" applyFill="1"/>
    <xf numFmtId="8" fontId="6" fillId="0" borderId="0" xfId="0" applyNumberFormat="1" applyFont="1" applyFill="1"/>
    <xf numFmtId="166" fontId="6" fillId="0" borderId="0" xfId="0" applyNumberFormat="1" applyFont="1" applyFill="1"/>
    <xf numFmtId="44" fontId="6" fillId="0" borderId="0" xfId="0" applyNumberFormat="1" applyFont="1" applyFill="1"/>
    <xf numFmtId="166" fontId="6" fillId="0" borderId="0" xfId="0" applyNumberFormat="1" applyFont="1" applyFill="1" applyBorder="1"/>
    <xf numFmtId="176" fontId="6" fillId="0" borderId="0" xfId="0" applyNumberFormat="1" applyFont="1" applyFill="1"/>
    <xf numFmtId="10" fontId="6" fillId="0" borderId="0" xfId="0" applyNumberFormat="1" applyFont="1" applyFill="1" applyBorder="1"/>
    <xf numFmtId="171" fontId="6" fillId="0" borderId="0" xfId="0" applyNumberFormat="1" applyFont="1" applyFill="1" applyBorder="1"/>
    <xf numFmtId="8" fontId="6" fillId="0" borderId="0" xfId="0" applyNumberFormat="1" applyFont="1" applyFill="1" applyBorder="1"/>
    <xf numFmtId="44" fontId="6" fillId="0" borderId="0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164" fontId="6" fillId="0" borderId="0" xfId="0" applyNumberFormat="1" applyFont="1" applyFill="1" applyProtection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4" fillId="0" borderId="2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7" fontId="8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C9E7A7"/>
      <color rgb="FF008080"/>
      <color rgb="FFFFCCFF"/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="90" zoomScaleNormal="90" workbookViewId="0">
      <pane ySplit="10" topLeftCell="A11" activePane="bottomLeft" state="frozen"/>
      <selection pane="bottomLeft" activeCell="I16" sqref="I16"/>
    </sheetView>
  </sheetViews>
  <sheetFormatPr defaultColWidth="8.85546875" defaultRowHeight="12.75" x14ac:dyDescent="0.2"/>
  <cols>
    <col min="1" max="1" width="4.5703125" style="192" customWidth="1"/>
    <col min="2" max="2" width="2.85546875" style="192" customWidth="1"/>
    <col min="3" max="3" width="26.7109375" style="192" customWidth="1"/>
    <col min="4" max="4" width="8.85546875" style="192" customWidth="1"/>
    <col min="5" max="7" width="12.5703125" style="192" customWidth="1"/>
    <col min="8" max="10" width="8.85546875" style="192" customWidth="1"/>
    <col min="11" max="16384" width="8.85546875" style="192"/>
  </cols>
  <sheetData>
    <row r="1" spans="1:10" ht="15" customHeight="1" x14ac:dyDescent="0.2">
      <c r="A1" s="40" t="s">
        <v>12</v>
      </c>
      <c r="B1" s="40"/>
      <c r="C1" s="40"/>
      <c r="D1" s="40"/>
      <c r="E1" s="40"/>
      <c r="F1" s="40"/>
      <c r="G1" s="40"/>
    </row>
    <row r="2" spans="1:10" ht="15" customHeight="1" x14ac:dyDescent="0.2">
      <c r="A2" s="40" t="s">
        <v>221</v>
      </c>
      <c r="B2" s="40"/>
      <c r="C2" s="40"/>
      <c r="D2" s="40"/>
      <c r="E2" s="136"/>
      <c r="F2" s="136"/>
      <c r="G2" s="136"/>
    </row>
    <row r="3" spans="1:10" ht="15" customHeight="1" x14ac:dyDescent="0.2">
      <c r="A3" s="36" t="s">
        <v>218</v>
      </c>
      <c r="B3" s="36"/>
      <c r="C3" s="36"/>
      <c r="D3" s="36"/>
      <c r="E3" s="36"/>
      <c r="F3" s="36"/>
      <c r="G3" s="36"/>
    </row>
    <row r="4" spans="1:10" ht="15" customHeight="1" x14ac:dyDescent="0.2">
      <c r="A4" s="36" t="str">
        <f>Rates!A4</f>
        <v>Proposed Effective May 1, 2025</v>
      </c>
      <c r="B4" s="36"/>
      <c r="C4" s="36"/>
      <c r="D4" s="36"/>
      <c r="E4" s="38"/>
      <c r="F4" s="38"/>
      <c r="G4" s="38"/>
    </row>
    <row r="5" spans="1:10" x14ac:dyDescent="0.2">
      <c r="E5" s="322"/>
      <c r="F5" s="322" t="s">
        <v>26</v>
      </c>
    </row>
    <row r="6" spans="1:10" x14ac:dyDescent="0.2">
      <c r="E6" s="322"/>
      <c r="F6" s="322" t="s">
        <v>219</v>
      </c>
      <c r="G6" s="322" t="s">
        <v>0</v>
      </c>
    </row>
    <row r="7" spans="1:10" x14ac:dyDescent="0.2">
      <c r="E7" s="322" t="s">
        <v>73</v>
      </c>
      <c r="F7" s="322" t="s">
        <v>220</v>
      </c>
      <c r="G7" s="361" t="s">
        <v>26</v>
      </c>
    </row>
    <row r="8" spans="1:10" x14ac:dyDescent="0.2">
      <c r="A8" s="322" t="s">
        <v>35</v>
      </c>
      <c r="D8" s="322" t="s">
        <v>11</v>
      </c>
      <c r="E8" s="322" t="s">
        <v>92</v>
      </c>
      <c r="F8" s="322" t="s">
        <v>92</v>
      </c>
      <c r="G8" s="322" t="s">
        <v>92</v>
      </c>
    </row>
    <row r="9" spans="1:10" x14ac:dyDescent="0.2">
      <c r="A9" s="320" t="s">
        <v>196</v>
      </c>
      <c r="B9" s="362" t="s">
        <v>25</v>
      </c>
      <c r="C9" s="363"/>
      <c r="D9" s="321" t="s">
        <v>7</v>
      </c>
      <c r="E9" s="321" t="s">
        <v>71</v>
      </c>
      <c r="F9" s="321" t="s">
        <v>71</v>
      </c>
      <c r="G9" s="321" t="s">
        <v>71</v>
      </c>
    </row>
    <row r="10" spans="1:10" x14ac:dyDescent="0.2">
      <c r="A10" s="312"/>
      <c r="B10" s="313"/>
      <c r="C10" s="320" t="s">
        <v>179</v>
      </c>
      <c r="D10" s="320" t="s">
        <v>180</v>
      </c>
      <c r="E10" s="320" t="s">
        <v>197</v>
      </c>
      <c r="F10" s="320" t="s">
        <v>182</v>
      </c>
      <c r="G10" s="320" t="s">
        <v>183</v>
      </c>
    </row>
    <row r="11" spans="1:10" x14ac:dyDescent="0.2">
      <c r="A11" s="322">
        <v>1</v>
      </c>
      <c r="B11" s="192" t="s">
        <v>5</v>
      </c>
      <c r="D11" s="322" t="s">
        <v>24</v>
      </c>
      <c r="E11" s="324">
        <v>1.3089999999999999E-2</v>
      </c>
      <c r="F11" s="209">
        <f>Rates!I10</f>
        <v>5.5449999999999999E-2</v>
      </c>
      <c r="G11" s="138">
        <f>E11+F11</f>
        <v>6.8540000000000004E-2</v>
      </c>
      <c r="H11" s="140"/>
      <c r="I11" s="208"/>
      <c r="J11" s="32"/>
    </row>
    <row r="12" spans="1:10" x14ac:dyDescent="0.2">
      <c r="A12" s="322"/>
      <c r="D12" s="322"/>
      <c r="E12" s="324"/>
      <c r="F12" s="209"/>
      <c r="G12" s="138"/>
      <c r="H12" s="140"/>
      <c r="I12" s="208"/>
      <c r="J12" s="32"/>
    </row>
    <row r="13" spans="1:10" x14ac:dyDescent="0.2">
      <c r="A13" s="322">
        <v>2</v>
      </c>
      <c r="B13" s="192" t="s">
        <v>23</v>
      </c>
      <c r="D13" s="322" t="s">
        <v>32</v>
      </c>
      <c r="E13" s="324">
        <v>1.107E-2</v>
      </c>
      <c r="F13" s="209">
        <f>Rates!I12</f>
        <v>3.6569999999999998E-2</v>
      </c>
      <c r="G13" s="138">
        <f t="shared" ref="G13:G46" si="0">E13+F13</f>
        <v>4.7640000000000002E-2</v>
      </c>
      <c r="H13" s="140"/>
      <c r="I13" s="208"/>
      <c r="J13" s="32"/>
    </row>
    <row r="14" spans="1:10" x14ac:dyDescent="0.2">
      <c r="A14" s="322"/>
      <c r="D14" s="322"/>
      <c r="E14" s="324"/>
      <c r="F14" s="209"/>
      <c r="G14" s="138"/>
      <c r="H14" s="140"/>
      <c r="I14" s="208"/>
      <c r="J14" s="32"/>
    </row>
    <row r="15" spans="1:10" x14ac:dyDescent="0.2">
      <c r="A15" s="322">
        <v>3</v>
      </c>
      <c r="B15" s="192" t="s">
        <v>22</v>
      </c>
      <c r="D15" s="322" t="s">
        <v>31</v>
      </c>
      <c r="E15" s="324">
        <v>5.47E-3</v>
      </c>
      <c r="F15" s="209">
        <f>Rates!I14</f>
        <v>1.3270000000000001E-2</v>
      </c>
      <c r="G15" s="138">
        <f t="shared" si="0"/>
        <v>1.874E-2</v>
      </c>
      <c r="H15" s="140"/>
      <c r="I15" s="208"/>
      <c r="J15" s="32"/>
    </row>
    <row r="16" spans="1:10" x14ac:dyDescent="0.2">
      <c r="A16" s="322"/>
      <c r="D16" s="322"/>
      <c r="E16" s="324"/>
      <c r="F16" s="209"/>
      <c r="G16" s="138"/>
      <c r="H16" s="140"/>
      <c r="I16" s="208"/>
      <c r="J16" s="32"/>
    </row>
    <row r="17" spans="1:10" x14ac:dyDescent="0.2">
      <c r="A17" s="322">
        <v>4</v>
      </c>
      <c r="B17" s="192" t="s">
        <v>4</v>
      </c>
      <c r="D17" s="322">
        <v>85</v>
      </c>
      <c r="E17" s="324"/>
      <c r="F17" s="209"/>
      <c r="G17" s="138"/>
      <c r="H17" s="140"/>
      <c r="I17" s="208"/>
      <c r="J17" s="32"/>
    </row>
    <row r="18" spans="1:10" x14ac:dyDescent="0.2">
      <c r="A18" s="322">
        <v>5</v>
      </c>
      <c r="C18" s="192" t="s">
        <v>18</v>
      </c>
      <c r="D18" s="322"/>
      <c r="E18" s="325">
        <v>3.8500000000000001E-3</v>
      </c>
      <c r="F18" s="209">
        <f>Rates!I17</f>
        <v>6.96E-3</v>
      </c>
      <c r="G18" s="138">
        <f t="shared" si="0"/>
        <v>1.081E-2</v>
      </c>
      <c r="H18" s="140"/>
      <c r="I18" s="208"/>
      <c r="J18" s="32"/>
    </row>
    <row r="19" spans="1:10" x14ac:dyDescent="0.2">
      <c r="A19" s="322">
        <v>6</v>
      </c>
      <c r="C19" s="192" t="s">
        <v>17</v>
      </c>
      <c r="D19" s="322"/>
      <c r="E19" s="325">
        <v>2.32E-3</v>
      </c>
      <c r="F19" s="209">
        <f>Rates!I18</f>
        <v>4.1999999999999997E-3</v>
      </c>
      <c r="G19" s="138">
        <f t="shared" si="0"/>
        <v>6.5199999999999998E-3</v>
      </c>
      <c r="H19" s="140"/>
      <c r="I19" s="208"/>
      <c r="J19" s="32"/>
    </row>
    <row r="20" spans="1:10" x14ac:dyDescent="0.2">
      <c r="A20" s="322">
        <v>7</v>
      </c>
      <c r="C20" s="192" t="s">
        <v>21</v>
      </c>
      <c r="D20" s="322"/>
      <c r="E20" s="325">
        <v>1.2800000000000001E-3</v>
      </c>
      <c r="F20" s="209">
        <f>Rates!I19</f>
        <v>2.4199999999999998E-3</v>
      </c>
      <c r="G20" s="138">
        <f t="shared" si="0"/>
        <v>3.7000000000000002E-3</v>
      </c>
      <c r="H20" s="140"/>
      <c r="I20" s="208"/>
      <c r="J20" s="32"/>
    </row>
    <row r="21" spans="1:10" x14ac:dyDescent="0.2">
      <c r="A21" s="322">
        <v>8</v>
      </c>
      <c r="C21" s="192" t="s">
        <v>0</v>
      </c>
      <c r="D21" s="322"/>
      <c r="E21" s="324"/>
      <c r="F21" s="209"/>
      <c r="G21" s="138"/>
      <c r="H21" s="140"/>
      <c r="I21" s="208"/>
      <c r="J21" s="32"/>
    </row>
    <row r="22" spans="1:10" x14ac:dyDescent="0.2">
      <c r="A22" s="322"/>
      <c r="D22" s="322"/>
      <c r="E22" s="324"/>
      <c r="F22" s="209"/>
      <c r="G22" s="138"/>
      <c r="H22" s="140"/>
      <c r="I22" s="208"/>
      <c r="J22" s="32"/>
    </row>
    <row r="23" spans="1:10" x14ac:dyDescent="0.2">
      <c r="A23" s="322">
        <v>9</v>
      </c>
      <c r="B23" s="192" t="s">
        <v>4</v>
      </c>
      <c r="D23" s="322" t="s">
        <v>30</v>
      </c>
      <c r="E23" s="324">
        <v>4.1900000000000001E-3</v>
      </c>
      <c r="F23" s="209">
        <f>Rates!I22</f>
        <v>1.226E-2</v>
      </c>
      <c r="G23" s="138">
        <f t="shared" si="0"/>
        <v>1.6449999999999999E-2</v>
      </c>
      <c r="H23" s="140"/>
      <c r="I23" s="208"/>
      <c r="J23" s="32"/>
    </row>
    <row r="24" spans="1:10" x14ac:dyDescent="0.2">
      <c r="A24" s="322"/>
      <c r="D24" s="322"/>
      <c r="E24" s="324"/>
      <c r="F24" s="209"/>
      <c r="G24" s="138"/>
      <c r="H24" s="140"/>
      <c r="I24" s="208"/>
      <c r="J24" s="32"/>
    </row>
    <row r="25" spans="1:10" x14ac:dyDescent="0.2">
      <c r="A25" s="322">
        <v>10</v>
      </c>
      <c r="B25" s="192" t="s">
        <v>4</v>
      </c>
      <c r="D25" s="322">
        <v>87</v>
      </c>
      <c r="E25" s="324"/>
      <c r="F25" s="209"/>
      <c r="G25" s="138"/>
      <c r="H25" s="140"/>
      <c r="I25" s="208"/>
      <c r="J25" s="32"/>
    </row>
    <row r="26" spans="1:10" x14ac:dyDescent="0.2">
      <c r="A26" s="322">
        <v>11</v>
      </c>
      <c r="C26" s="192" t="s">
        <v>18</v>
      </c>
      <c r="D26" s="322"/>
      <c r="E26" s="325">
        <v>3.8500000000000001E-3</v>
      </c>
      <c r="F26" s="209">
        <f>Rates!I25</f>
        <v>6.96E-3</v>
      </c>
      <c r="G26" s="138">
        <f t="shared" si="0"/>
        <v>1.081E-2</v>
      </c>
      <c r="H26" s="140"/>
      <c r="I26" s="208"/>
      <c r="J26" s="32"/>
    </row>
    <row r="27" spans="1:10" x14ac:dyDescent="0.2">
      <c r="A27" s="322">
        <v>12</v>
      </c>
      <c r="C27" s="192" t="s">
        <v>17</v>
      </c>
      <c r="D27" s="322"/>
      <c r="E27" s="325">
        <v>2.32E-3</v>
      </c>
      <c r="F27" s="209">
        <f>Rates!I26</f>
        <v>4.1999999999999997E-3</v>
      </c>
      <c r="G27" s="138">
        <f t="shared" si="0"/>
        <v>6.5199999999999998E-3</v>
      </c>
      <c r="H27" s="140"/>
      <c r="I27" s="208"/>
      <c r="J27" s="32"/>
    </row>
    <row r="28" spans="1:10" x14ac:dyDescent="0.2">
      <c r="A28" s="322">
        <v>13</v>
      </c>
      <c r="C28" s="192" t="s">
        <v>16</v>
      </c>
      <c r="D28" s="322"/>
      <c r="E28" s="325">
        <v>1.48E-3</v>
      </c>
      <c r="F28" s="209">
        <f>Rates!I27</f>
        <v>2.6700000000000001E-3</v>
      </c>
      <c r="G28" s="138">
        <f t="shared" si="0"/>
        <v>4.15E-3</v>
      </c>
      <c r="H28" s="140"/>
      <c r="I28" s="208"/>
      <c r="J28" s="32"/>
    </row>
    <row r="29" spans="1:10" x14ac:dyDescent="0.2">
      <c r="A29" s="322">
        <v>14</v>
      </c>
      <c r="C29" s="192" t="s">
        <v>15</v>
      </c>
      <c r="D29" s="322"/>
      <c r="E29" s="325">
        <v>9.5E-4</v>
      </c>
      <c r="F29" s="209">
        <f>Rates!I28</f>
        <v>1.72E-3</v>
      </c>
      <c r="G29" s="138">
        <f t="shared" si="0"/>
        <v>2.6700000000000001E-3</v>
      </c>
      <c r="H29" s="140"/>
      <c r="I29" s="208"/>
      <c r="J29" s="32"/>
    </row>
    <row r="30" spans="1:10" x14ac:dyDescent="0.2">
      <c r="A30" s="322">
        <v>15</v>
      </c>
      <c r="C30" s="192" t="s">
        <v>14</v>
      </c>
      <c r="D30" s="322"/>
      <c r="E30" s="325">
        <v>6.8000000000000005E-4</v>
      </c>
      <c r="F30" s="209">
        <f>Rates!I29</f>
        <v>1.23E-3</v>
      </c>
      <c r="G30" s="138">
        <f t="shared" si="0"/>
        <v>1.91E-3</v>
      </c>
      <c r="H30" s="140"/>
      <c r="I30" s="208"/>
      <c r="J30" s="32"/>
    </row>
    <row r="31" spans="1:10" x14ac:dyDescent="0.2">
      <c r="A31" s="322">
        <v>16</v>
      </c>
      <c r="C31" s="192" t="s">
        <v>19</v>
      </c>
      <c r="D31" s="322"/>
      <c r="E31" s="325">
        <v>4.6000000000000001E-4</v>
      </c>
      <c r="F31" s="209">
        <f>Rates!I30</f>
        <v>8.3000000000000001E-4</v>
      </c>
      <c r="G31" s="138">
        <f t="shared" si="0"/>
        <v>1.2899999999999999E-3</v>
      </c>
      <c r="H31" s="140"/>
      <c r="I31" s="208"/>
      <c r="J31" s="32"/>
    </row>
    <row r="32" spans="1:10" x14ac:dyDescent="0.2">
      <c r="A32" s="322">
        <v>17</v>
      </c>
      <c r="C32" s="192" t="s">
        <v>0</v>
      </c>
      <c r="D32" s="322"/>
      <c r="E32" s="324"/>
      <c r="F32" s="209"/>
      <c r="G32" s="138"/>
      <c r="H32" s="140"/>
      <c r="I32" s="208"/>
      <c r="J32" s="32"/>
    </row>
    <row r="33" spans="1:10" x14ac:dyDescent="0.2">
      <c r="A33" s="322"/>
      <c r="D33" s="322"/>
      <c r="E33" s="324"/>
      <c r="F33" s="209"/>
      <c r="G33" s="138"/>
      <c r="H33" s="142"/>
      <c r="I33" s="208"/>
      <c r="J33" s="32"/>
    </row>
    <row r="34" spans="1:10" x14ac:dyDescent="0.2">
      <c r="A34" s="322">
        <f>A32+1</f>
        <v>18</v>
      </c>
      <c r="B34" s="192" t="s">
        <v>20</v>
      </c>
      <c r="D34" s="322" t="s">
        <v>3</v>
      </c>
      <c r="E34" s="324"/>
      <c r="F34" s="209"/>
      <c r="G34" s="138"/>
      <c r="H34" s="142"/>
      <c r="I34" s="208"/>
      <c r="J34" s="32"/>
    </row>
    <row r="35" spans="1:10" x14ac:dyDescent="0.2">
      <c r="A35" s="322">
        <f>A34+1</f>
        <v>19</v>
      </c>
      <c r="C35" s="192" t="s">
        <v>18</v>
      </c>
      <c r="D35" s="322"/>
      <c r="E35" s="324">
        <v>3.8500000000000001E-3</v>
      </c>
      <c r="F35" s="209">
        <f>Rates!I34</f>
        <v>6.96E-3</v>
      </c>
      <c r="G35" s="138">
        <f t="shared" si="0"/>
        <v>1.081E-2</v>
      </c>
      <c r="H35" s="142"/>
      <c r="I35" s="208"/>
      <c r="J35" s="32"/>
    </row>
    <row r="36" spans="1:10" x14ac:dyDescent="0.2">
      <c r="A36" s="322">
        <f>A35+1</f>
        <v>20</v>
      </c>
      <c r="C36" s="192" t="s">
        <v>17</v>
      </c>
      <c r="D36" s="322"/>
      <c r="E36" s="324">
        <v>2.32E-3</v>
      </c>
      <c r="F36" s="209">
        <f>Rates!I35</f>
        <v>4.1999999999999997E-3</v>
      </c>
      <c r="G36" s="138">
        <f t="shared" si="0"/>
        <v>6.5199999999999998E-3</v>
      </c>
      <c r="H36" s="142"/>
      <c r="I36" s="208"/>
      <c r="J36" s="32"/>
    </row>
    <row r="37" spans="1:10" x14ac:dyDescent="0.2">
      <c r="A37" s="322">
        <f>A36+1</f>
        <v>21</v>
      </c>
      <c r="C37" s="192" t="s">
        <v>21</v>
      </c>
      <c r="D37" s="322"/>
      <c r="E37" s="324">
        <v>1.2800000000000001E-3</v>
      </c>
      <c r="F37" s="209">
        <f>Rates!I36</f>
        <v>2.4199999999999998E-3</v>
      </c>
      <c r="G37" s="138">
        <f t="shared" si="0"/>
        <v>3.7000000000000002E-3</v>
      </c>
      <c r="H37" s="142"/>
      <c r="I37" s="208"/>
      <c r="J37" s="32"/>
    </row>
    <row r="38" spans="1:10" x14ac:dyDescent="0.2">
      <c r="A38" s="322">
        <f>A37+1</f>
        <v>22</v>
      </c>
      <c r="C38" s="192" t="s">
        <v>0</v>
      </c>
      <c r="D38" s="322"/>
      <c r="E38" s="324"/>
      <c r="F38" s="209"/>
      <c r="G38" s="138"/>
      <c r="H38" s="140"/>
      <c r="I38" s="208"/>
      <c r="J38" s="32"/>
    </row>
    <row r="39" spans="1:10" x14ac:dyDescent="0.2">
      <c r="A39" s="322"/>
      <c r="D39" s="322"/>
      <c r="E39" s="324"/>
      <c r="F39" s="209"/>
      <c r="G39" s="138"/>
      <c r="H39" s="142"/>
      <c r="I39" s="208"/>
      <c r="J39" s="32"/>
    </row>
    <row r="40" spans="1:10" x14ac:dyDescent="0.2">
      <c r="A40" s="322">
        <f>A38+1</f>
        <v>23</v>
      </c>
      <c r="B40" s="192" t="s">
        <v>20</v>
      </c>
      <c r="D40" s="322" t="s">
        <v>2</v>
      </c>
      <c r="E40" s="324"/>
      <c r="F40" s="209"/>
      <c r="G40" s="138"/>
      <c r="H40" s="142"/>
      <c r="I40" s="208"/>
      <c r="J40" s="32"/>
    </row>
    <row r="41" spans="1:10" x14ac:dyDescent="0.2">
      <c r="A41" s="322">
        <f t="shared" ref="A41:A46" si="1">A40+1</f>
        <v>24</v>
      </c>
      <c r="C41" s="192" t="s">
        <v>18</v>
      </c>
      <c r="D41" s="322"/>
      <c r="E41" s="324">
        <v>3.8500000000000001E-3</v>
      </c>
      <c r="F41" s="209">
        <f>Rates!I40</f>
        <v>6.96E-3</v>
      </c>
      <c r="G41" s="138">
        <f t="shared" si="0"/>
        <v>1.081E-2</v>
      </c>
      <c r="H41" s="142"/>
      <c r="I41" s="208"/>
      <c r="J41" s="32"/>
    </row>
    <row r="42" spans="1:10" x14ac:dyDescent="0.2">
      <c r="A42" s="322">
        <f t="shared" si="1"/>
        <v>25</v>
      </c>
      <c r="C42" s="192" t="s">
        <v>17</v>
      </c>
      <c r="D42" s="322"/>
      <c r="E42" s="324">
        <v>2.32E-3</v>
      </c>
      <c r="F42" s="209">
        <f>Rates!I41</f>
        <v>4.1999999999999997E-3</v>
      </c>
      <c r="G42" s="138">
        <f t="shared" si="0"/>
        <v>6.5199999999999998E-3</v>
      </c>
      <c r="H42" s="142"/>
      <c r="I42" s="208"/>
      <c r="J42" s="32"/>
    </row>
    <row r="43" spans="1:10" x14ac:dyDescent="0.2">
      <c r="A43" s="322">
        <f t="shared" si="1"/>
        <v>26</v>
      </c>
      <c r="C43" s="192" t="s">
        <v>16</v>
      </c>
      <c r="D43" s="322"/>
      <c r="E43" s="324">
        <v>1.48E-3</v>
      </c>
      <c r="F43" s="209">
        <f>Rates!I42</f>
        <v>2.6700000000000001E-3</v>
      </c>
      <c r="G43" s="138">
        <f t="shared" si="0"/>
        <v>4.15E-3</v>
      </c>
      <c r="H43" s="142"/>
      <c r="I43" s="208"/>
      <c r="J43" s="32"/>
    </row>
    <row r="44" spans="1:10" x14ac:dyDescent="0.2">
      <c r="A44" s="322">
        <f t="shared" si="1"/>
        <v>27</v>
      </c>
      <c r="C44" s="192" t="s">
        <v>15</v>
      </c>
      <c r="D44" s="322"/>
      <c r="E44" s="324">
        <v>9.5E-4</v>
      </c>
      <c r="F44" s="209">
        <f>Rates!I43</f>
        <v>1.72E-3</v>
      </c>
      <c r="G44" s="138">
        <f t="shared" si="0"/>
        <v>2.6700000000000001E-3</v>
      </c>
      <c r="H44" s="142"/>
      <c r="I44" s="208"/>
      <c r="J44" s="32"/>
    </row>
    <row r="45" spans="1:10" x14ac:dyDescent="0.2">
      <c r="A45" s="322">
        <f t="shared" si="1"/>
        <v>28</v>
      </c>
      <c r="C45" s="192" t="s">
        <v>14</v>
      </c>
      <c r="D45" s="322"/>
      <c r="E45" s="324">
        <v>6.8000000000000005E-4</v>
      </c>
      <c r="F45" s="209">
        <f>Rates!I44</f>
        <v>1.23E-3</v>
      </c>
      <c r="G45" s="138">
        <f t="shared" si="0"/>
        <v>1.91E-3</v>
      </c>
      <c r="H45" s="142"/>
      <c r="I45" s="208"/>
      <c r="J45" s="32"/>
    </row>
    <row r="46" spans="1:10" x14ac:dyDescent="0.2">
      <c r="A46" s="322">
        <f t="shared" si="1"/>
        <v>29</v>
      </c>
      <c r="C46" s="192" t="s">
        <v>19</v>
      </c>
      <c r="D46" s="322"/>
      <c r="E46" s="324">
        <v>4.6000000000000001E-4</v>
      </c>
      <c r="F46" s="209">
        <f>Rates!I45</f>
        <v>8.3000000000000001E-4</v>
      </c>
      <c r="G46" s="138">
        <f t="shared" si="0"/>
        <v>1.2899999999999999E-3</v>
      </c>
      <c r="H46" s="142"/>
      <c r="I46" s="208"/>
      <c r="J46" s="32"/>
    </row>
    <row r="47" spans="1:10" x14ac:dyDescent="0.2">
      <c r="B47" s="285"/>
      <c r="C47" s="326"/>
      <c r="D47" s="285"/>
      <c r="F47" s="138"/>
    </row>
    <row r="48" spans="1:10" x14ac:dyDescent="0.2">
      <c r="A48" s="322">
        <f>A46+1</f>
        <v>30</v>
      </c>
      <c r="B48" s="192" t="s">
        <v>20</v>
      </c>
      <c r="D48" s="322" t="s">
        <v>200</v>
      </c>
      <c r="E48" s="324"/>
      <c r="F48" s="209"/>
      <c r="G48" s="138"/>
    </row>
    <row r="49" spans="1:7" x14ac:dyDescent="0.2">
      <c r="A49" s="322">
        <f t="shared" ref="A49:A54" si="2">A48+1</f>
        <v>31</v>
      </c>
      <c r="C49" s="192" t="s">
        <v>18</v>
      </c>
      <c r="D49" s="322"/>
      <c r="E49" s="324">
        <v>3.8500000000000001E-3</v>
      </c>
      <c r="F49" s="209">
        <f>Rates!I49</f>
        <v>6.96E-3</v>
      </c>
      <c r="G49" s="138">
        <f t="shared" ref="G49:G54" si="3">E49+F49</f>
        <v>1.081E-2</v>
      </c>
    </row>
    <row r="50" spans="1:7" x14ac:dyDescent="0.2">
      <c r="A50" s="322">
        <f t="shared" si="2"/>
        <v>32</v>
      </c>
      <c r="C50" s="192" t="s">
        <v>17</v>
      </c>
      <c r="D50" s="322"/>
      <c r="E50" s="324">
        <v>2.32E-3</v>
      </c>
      <c r="F50" s="209">
        <f>Rates!I50</f>
        <v>4.1999999999999997E-3</v>
      </c>
      <c r="G50" s="138">
        <f t="shared" si="3"/>
        <v>6.5199999999999998E-3</v>
      </c>
    </row>
    <row r="51" spans="1:7" x14ac:dyDescent="0.2">
      <c r="A51" s="322">
        <f t="shared" si="2"/>
        <v>33</v>
      </c>
      <c r="C51" s="192" t="s">
        <v>16</v>
      </c>
      <c r="D51" s="322"/>
      <c r="E51" s="324">
        <v>1.48E-3</v>
      </c>
      <c r="F51" s="209">
        <f>Rates!I51</f>
        <v>2.6700000000000001E-3</v>
      </c>
      <c r="G51" s="138">
        <f t="shared" si="3"/>
        <v>4.15E-3</v>
      </c>
    </row>
    <row r="52" spans="1:7" x14ac:dyDescent="0.2">
      <c r="A52" s="322">
        <f t="shared" si="2"/>
        <v>34</v>
      </c>
      <c r="C52" s="192" t="s">
        <v>15</v>
      </c>
      <c r="D52" s="322"/>
      <c r="E52" s="324">
        <v>9.5E-4</v>
      </c>
      <c r="F52" s="209">
        <f>Rates!I52</f>
        <v>1.72E-3</v>
      </c>
      <c r="G52" s="138">
        <f t="shared" si="3"/>
        <v>2.6700000000000001E-3</v>
      </c>
    </row>
    <row r="53" spans="1:7" x14ac:dyDescent="0.2">
      <c r="A53" s="322">
        <f t="shared" si="2"/>
        <v>35</v>
      </c>
      <c r="C53" s="192" t="s">
        <v>14</v>
      </c>
      <c r="D53" s="322"/>
      <c r="E53" s="324">
        <v>6.8000000000000005E-4</v>
      </c>
      <c r="F53" s="209">
        <f>Rates!I53</f>
        <v>1.23E-3</v>
      </c>
      <c r="G53" s="138">
        <f t="shared" si="3"/>
        <v>1.91E-3</v>
      </c>
    </row>
    <row r="54" spans="1:7" x14ac:dyDescent="0.2">
      <c r="A54" s="322">
        <f t="shared" si="2"/>
        <v>36</v>
      </c>
      <c r="C54" s="192" t="s">
        <v>19</v>
      </c>
      <c r="D54" s="322"/>
      <c r="E54" s="324">
        <v>4.6000000000000001E-4</v>
      </c>
      <c r="F54" s="209">
        <f>Rates!I54</f>
        <v>8.3000000000000001E-4</v>
      </c>
      <c r="G54" s="138">
        <f t="shared" si="3"/>
        <v>1.2899999999999999E-3</v>
      </c>
    </row>
  </sheetData>
  <mergeCells count="1">
    <mergeCell ref="B9:C9"/>
  </mergeCells>
  <printOptions horizontalCentered="1"/>
  <pageMargins left="0.75" right="0.75" top="1" bottom="1" header="0.5" footer="0.5"/>
  <pageSetup scale="97" orientation="portrait" blackAndWhite="1" horizontalDpi="300" verticalDpi="300" r:id="rId1"/>
  <headerFooter alignWithMargins="0">
    <oddFooter>&amp;L&amp;F 
&amp;A&amp;C&amp;P&amp;R&amp;D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90" zoomScaleNormal="90" workbookViewId="0">
      <selection activeCell="A7" sqref="A7"/>
    </sheetView>
  </sheetViews>
  <sheetFormatPr defaultColWidth="9.140625" defaultRowHeight="12.75" x14ac:dyDescent="0.2"/>
  <cols>
    <col min="1" max="1" width="10.7109375" style="168" customWidth="1"/>
    <col min="2" max="2" width="12.140625" style="168" bestFit="1" customWidth="1"/>
    <col min="3" max="7" width="12.42578125" style="168" bestFit="1" customWidth="1"/>
    <col min="8" max="12" width="12.5703125" style="168" bestFit="1" customWidth="1"/>
    <col min="13" max="13" width="12.140625" style="168" bestFit="1" customWidth="1"/>
    <col min="14" max="14" width="13.85546875" style="168" customWidth="1"/>
    <col min="15" max="16384" width="9.140625" style="168"/>
  </cols>
  <sheetData>
    <row r="1" spans="1:14" x14ac:dyDescent="0.2">
      <c r="A1" s="369" t="s">
        <v>12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x14ac:dyDescent="0.2">
      <c r="A2" s="368" t="str">
        <f>Rates!A2</f>
        <v>2025 Gas Schedule 129 Low Income Program Rate Filing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</row>
    <row r="3" spans="1:14" x14ac:dyDescent="0.2">
      <c r="A3" s="368" t="s">
        <v>199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4" x14ac:dyDescent="0.2">
      <c r="A4" s="370" t="str">
        <f>TEXT(B7,"Mmmm YYYY - ")&amp;TEXT(M7,"Mmmm YYYY")</f>
        <v>May 2025 - April 2026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</row>
    <row r="5" spans="1:14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169"/>
      <c r="N5" s="169"/>
    </row>
    <row r="6" spans="1:14" x14ac:dyDescent="0.2">
      <c r="A6" s="170" t="s">
        <v>11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169"/>
      <c r="N6" s="169"/>
    </row>
    <row r="7" spans="1:14" x14ac:dyDescent="0.2">
      <c r="A7" s="171" t="s">
        <v>7</v>
      </c>
      <c r="B7" s="172">
        <v>45778</v>
      </c>
      <c r="C7" s="173">
        <f>EDATE(B7,1)</f>
        <v>45809</v>
      </c>
      <c r="D7" s="173">
        <f t="shared" ref="D7:M7" si="0">EDATE(C7,1)</f>
        <v>45839</v>
      </c>
      <c r="E7" s="173">
        <f t="shared" si="0"/>
        <v>45870</v>
      </c>
      <c r="F7" s="173">
        <f t="shared" si="0"/>
        <v>45901</v>
      </c>
      <c r="G7" s="173">
        <f t="shared" si="0"/>
        <v>45931</v>
      </c>
      <c r="H7" s="173">
        <f t="shared" si="0"/>
        <v>45962</v>
      </c>
      <c r="I7" s="173">
        <f t="shared" si="0"/>
        <v>45992</v>
      </c>
      <c r="J7" s="173">
        <f t="shared" si="0"/>
        <v>46023</v>
      </c>
      <c r="K7" s="173">
        <f t="shared" si="0"/>
        <v>46054</v>
      </c>
      <c r="L7" s="173">
        <f t="shared" si="0"/>
        <v>46082</v>
      </c>
      <c r="M7" s="173">
        <f t="shared" si="0"/>
        <v>46113</v>
      </c>
      <c r="N7" s="174" t="s">
        <v>0</v>
      </c>
    </row>
    <row r="8" spans="1:14" x14ac:dyDescent="0.2">
      <c r="A8" s="170">
        <v>16</v>
      </c>
      <c r="B8" s="156">
        <v>513</v>
      </c>
      <c r="C8" s="156">
        <v>513</v>
      </c>
      <c r="D8" s="156">
        <v>513</v>
      </c>
      <c r="E8" s="156">
        <v>513</v>
      </c>
      <c r="F8" s="156">
        <v>513</v>
      </c>
      <c r="G8" s="156">
        <v>513</v>
      </c>
      <c r="H8" s="156">
        <v>513</v>
      </c>
      <c r="I8" s="156">
        <v>513</v>
      </c>
      <c r="J8" s="156">
        <v>513</v>
      </c>
      <c r="K8" s="156">
        <v>513</v>
      </c>
      <c r="L8" s="156">
        <v>513</v>
      </c>
      <c r="M8" s="156">
        <v>513</v>
      </c>
      <c r="N8" s="34">
        <f t="shared" ref="N8:N22" si="1">SUM(B8:M8)</f>
        <v>6156</v>
      </c>
    </row>
    <row r="9" spans="1:14" x14ac:dyDescent="0.2">
      <c r="A9" s="170">
        <v>23</v>
      </c>
      <c r="B9" s="156">
        <v>27871265</v>
      </c>
      <c r="C9" s="156">
        <v>19273637</v>
      </c>
      <c r="D9" s="156">
        <v>14492879</v>
      </c>
      <c r="E9" s="156">
        <v>14574848</v>
      </c>
      <c r="F9" s="156">
        <v>19979616</v>
      </c>
      <c r="G9" s="156">
        <v>42276981</v>
      </c>
      <c r="H9" s="156">
        <v>67463742</v>
      </c>
      <c r="I9" s="156">
        <v>87179749</v>
      </c>
      <c r="J9" s="156">
        <v>84088299</v>
      </c>
      <c r="K9" s="156">
        <v>72700008</v>
      </c>
      <c r="L9" s="156">
        <v>65210104</v>
      </c>
      <c r="M9" s="156">
        <v>45106920</v>
      </c>
      <c r="N9" s="34">
        <f t="shared" si="1"/>
        <v>560218048</v>
      </c>
    </row>
    <row r="10" spans="1:14" x14ac:dyDescent="0.2">
      <c r="A10" s="170">
        <v>53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34">
        <f t="shared" si="1"/>
        <v>0</v>
      </c>
    </row>
    <row r="11" spans="1:14" x14ac:dyDescent="0.2">
      <c r="A11" s="170">
        <v>31</v>
      </c>
      <c r="B11" s="156">
        <v>12050268</v>
      </c>
      <c r="C11" s="156">
        <v>9905036</v>
      </c>
      <c r="D11" s="156">
        <v>8713537</v>
      </c>
      <c r="E11" s="156">
        <v>9689232</v>
      </c>
      <c r="F11" s="156">
        <v>11580729</v>
      </c>
      <c r="G11" s="156">
        <v>19315268</v>
      </c>
      <c r="H11" s="156">
        <v>27775687</v>
      </c>
      <c r="I11" s="156">
        <v>34075567</v>
      </c>
      <c r="J11" s="156">
        <v>29791928</v>
      </c>
      <c r="K11" s="156">
        <v>26304426</v>
      </c>
      <c r="L11" s="156">
        <v>23537062</v>
      </c>
      <c r="M11" s="156">
        <v>16945517</v>
      </c>
      <c r="N11" s="34">
        <f t="shared" si="1"/>
        <v>229684257</v>
      </c>
    </row>
    <row r="12" spans="1:14" x14ac:dyDescent="0.2">
      <c r="A12" s="170">
        <v>41</v>
      </c>
      <c r="B12" s="156">
        <v>3787419</v>
      </c>
      <c r="C12" s="156">
        <v>3273804</v>
      </c>
      <c r="D12" s="156">
        <v>2790751</v>
      </c>
      <c r="E12" s="156">
        <v>3064107</v>
      </c>
      <c r="F12" s="156">
        <v>3691483</v>
      </c>
      <c r="G12" s="156">
        <v>5652301</v>
      </c>
      <c r="H12" s="156">
        <v>7486386</v>
      </c>
      <c r="I12" s="156">
        <v>8238591</v>
      </c>
      <c r="J12" s="156">
        <v>7101406</v>
      </c>
      <c r="K12" s="156">
        <v>6611232</v>
      </c>
      <c r="L12" s="156">
        <v>6137670</v>
      </c>
      <c r="M12" s="156">
        <v>4762533</v>
      </c>
      <c r="N12" s="34">
        <f t="shared" si="1"/>
        <v>62597683</v>
      </c>
    </row>
    <row r="13" spans="1:14" x14ac:dyDescent="0.2">
      <c r="A13" s="170">
        <v>85</v>
      </c>
      <c r="B13" s="156">
        <v>1422984</v>
      </c>
      <c r="C13" s="156">
        <v>1209166</v>
      </c>
      <c r="D13" s="156">
        <v>1112660</v>
      </c>
      <c r="E13" s="156">
        <v>1070071</v>
      </c>
      <c r="F13" s="156">
        <v>1005779</v>
      </c>
      <c r="G13" s="156">
        <v>1463922</v>
      </c>
      <c r="H13" s="156">
        <v>1455079</v>
      </c>
      <c r="I13" s="156">
        <v>1821391</v>
      </c>
      <c r="J13" s="156">
        <v>1848407</v>
      </c>
      <c r="K13" s="156">
        <v>1598249</v>
      </c>
      <c r="L13" s="156">
        <v>1663521</v>
      </c>
      <c r="M13" s="156">
        <v>1501607</v>
      </c>
      <c r="N13" s="34">
        <f t="shared" si="1"/>
        <v>17172836</v>
      </c>
    </row>
    <row r="14" spans="1:14" x14ac:dyDescent="0.2">
      <c r="A14" s="170">
        <v>86</v>
      </c>
      <c r="B14" s="156">
        <v>381780</v>
      </c>
      <c r="C14" s="156">
        <v>224267</v>
      </c>
      <c r="D14" s="156">
        <v>109878</v>
      </c>
      <c r="E14" s="156">
        <v>44384</v>
      </c>
      <c r="F14" s="156">
        <v>69259</v>
      </c>
      <c r="G14" s="156">
        <v>294326</v>
      </c>
      <c r="H14" s="156">
        <v>477731</v>
      </c>
      <c r="I14" s="156">
        <v>745018</v>
      </c>
      <c r="J14" s="156">
        <v>791924</v>
      </c>
      <c r="K14" s="156">
        <v>660701</v>
      </c>
      <c r="L14" s="156">
        <v>663439</v>
      </c>
      <c r="M14" s="156">
        <v>504592</v>
      </c>
      <c r="N14" s="34">
        <f t="shared" si="1"/>
        <v>4967299</v>
      </c>
    </row>
    <row r="15" spans="1:14" x14ac:dyDescent="0.2">
      <c r="A15" s="170">
        <v>87</v>
      </c>
      <c r="B15" s="156">
        <v>1346088</v>
      </c>
      <c r="C15" s="156">
        <v>1193038</v>
      </c>
      <c r="D15" s="156">
        <v>1170945</v>
      </c>
      <c r="E15" s="156">
        <v>1098169</v>
      </c>
      <c r="F15" s="156">
        <v>1005515</v>
      </c>
      <c r="G15" s="156">
        <v>1783820</v>
      </c>
      <c r="H15" s="156">
        <v>1650516</v>
      </c>
      <c r="I15" s="156">
        <v>2067159</v>
      </c>
      <c r="J15" s="156">
        <v>1964001</v>
      </c>
      <c r="K15" s="156">
        <v>1628246</v>
      </c>
      <c r="L15" s="156">
        <v>1627367</v>
      </c>
      <c r="M15" s="156">
        <v>1375995</v>
      </c>
      <c r="N15" s="34">
        <f t="shared" si="1"/>
        <v>17910859</v>
      </c>
    </row>
    <row r="16" spans="1:14" x14ac:dyDescent="0.2">
      <c r="A16" s="170" t="s">
        <v>117</v>
      </c>
      <c r="B16" s="156">
        <v>0</v>
      </c>
      <c r="C16" s="156">
        <v>0</v>
      </c>
      <c r="D16" s="156">
        <v>0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34">
        <f t="shared" si="1"/>
        <v>0</v>
      </c>
    </row>
    <row r="17" spans="1:14" x14ac:dyDescent="0.2">
      <c r="A17" s="170" t="s">
        <v>119</v>
      </c>
      <c r="B17" s="156">
        <v>1715751</v>
      </c>
      <c r="C17" s="156">
        <v>1834118</v>
      </c>
      <c r="D17" s="156">
        <v>1639656</v>
      </c>
      <c r="E17" s="156">
        <v>1657073</v>
      </c>
      <c r="F17" s="156">
        <v>1664657</v>
      </c>
      <c r="G17" s="156">
        <v>1620165</v>
      </c>
      <c r="H17" s="156">
        <v>1867820</v>
      </c>
      <c r="I17" s="156">
        <v>1853820</v>
      </c>
      <c r="J17" s="156">
        <v>1760137</v>
      </c>
      <c r="K17" s="156">
        <v>1922524</v>
      </c>
      <c r="L17" s="156">
        <v>1682572</v>
      </c>
      <c r="M17" s="156">
        <v>1787431</v>
      </c>
      <c r="N17" s="34">
        <f t="shared" si="1"/>
        <v>21005724</v>
      </c>
    </row>
    <row r="18" spans="1:14" x14ac:dyDescent="0.2">
      <c r="A18" s="170" t="s">
        <v>3</v>
      </c>
      <c r="B18" s="156">
        <v>4556924</v>
      </c>
      <c r="C18" s="156">
        <v>4680219</v>
      </c>
      <c r="D18" s="156">
        <v>4330088</v>
      </c>
      <c r="E18" s="156">
        <v>4365135</v>
      </c>
      <c r="F18" s="156">
        <v>4729457</v>
      </c>
      <c r="G18" s="156">
        <v>4625269</v>
      </c>
      <c r="H18" s="156">
        <v>4807079</v>
      </c>
      <c r="I18" s="156">
        <v>5096644</v>
      </c>
      <c r="J18" s="156">
        <v>4292838</v>
      </c>
      <c r="K18" s="156">
        <v>5036300</v>
      </c>
      <c r="L18" s="156">
        <v>4399159</v>
      </c>
      <c r="M18" s="156">
        <v>4882211</v>
      </c>
      <c r="N18" s="34">
        <f t="shared" si="1"/>
        <v>55801323</v>
      </c>
    </row>
    <row r="19" spans="1:14" x14ac:dyDescent="0.2">
      <c r="A19" s="170" t="s">
        <v>122</v>
      </c>
      <c r="B19" s="156">
        <v>113495</v>
      </c>
      <c r="C19" s="156">
        <v>121199</v>
      </c>
      <c r="D19" s="156">
        <v>106268</v>
      </c>
      <c r="E19" s="156">
        <v>102961</v>
      </c>
      <c r="F19" s="156">
        <v>115379</v>
      </c>
      <c r="G19" s="156">
        <v>107961</v>
      </c>
      <c r="H19" s="156">
        <v>120350</v>
      </c>
      <c r="I19" s="156">
        <v>118522</v>
      </c>
      <c r="J19" s="156">
        <v>105353</v>
      </c>
      <c r="K19" s="156">
        <v>123375</v>
      </c>
      <c r="L19" s="156">
        <v>109458</v>
      </c>
      <c r="M19" s="156">
        <v>125016</v>
      </c>
      <c r="N19" s="34">
        <f t="shared" si="1"/>
        <v>1369337</v>
      </c>
    </row>
    <row r="20" spans="1:14" x14ac:dyDescent="0.2">
      <c r="A20" s="170" t="s">
        <v>2</v>
      </c>
      <c r="B20" s="156">
        <v>6072939</v>
      </c>
      <c r="C20" s="156">
        <v>6159153</v>
      </c>
      <c r="D20" s="156">
        <v>6412814</v>
      </c>
      <c r="E20" s="156">
        <v>6009451</v>
      </c>
      <c r="F20" s="156">
        <v>6460599</v>
      </c>
      <c r="G20" s="156">
        <v>5693897</v>
      </c>
      <c r="H20" s="156">
        <v>5928224</v>
      </c>
      <c r="I20" s="156">
        <v>6961545</v>
      </c>
      <c r="J20" s="156">
        <v>5317831</v>
      </c>
      <c r="K20" s="156">
        <v>7132693</v>
      </c>
      <c r="L20" s="156">
        <v>5535129</v>
      </c>
      <c r="M20" s="156">
        <v>6283998</v>
      </c>
      <c r="N20" s="34">
        <f t="shared" si="1"/>
        <v>73968273</v>
      </c>
    </row>
    <row r="21" spans="1:14" x14ac:dyDescent="0.2">
      <c r="A21" s="170" t="s">
        <v>200</v>
      </c>
      <c r="B21" s="156">
        <v>2799650</v>
      </c>
      <c r="C21" s="156">
        <v>2799650</v>
      </c>
      <c r="D21" s="156">
        <v>2799650</v>
      </c>
      <c r="E21" s="156">
        <v>2799650</v>
      </c>
      <c r="F21" s="156">
        <v>2799650</v>
      </c>
      <c r="G21" s="156">
        <v>2799650</v>
      </c>
      <c r="H21" s="156">
        <v>2799650</v>
      </c>
      <c r="I21" s="156">
        <v>2799650</v>
      </c>
      <c r="J21" s="156">
        <v>4286964</v>
      </c>
      <c r="K21" s="156">
        <v>4286964</v>
      </c>
      <c r="L21" s="156">
        <v>4286964</v>
      </c>
      <c r="M21" s="156">
        <v>4286964</v>
      </c>
      <c r="N21" s="34">
        <f t="shared" si="1"/>
        <v>39545056</v>
      </c>
    </row>
    <row r="22" spans="1:14" x14ac:dyDescent="0.2">
      <c r="A22" s="175" t="s">
        <v>124</v>
      </c>
      <c r="B22" s="156">
        <v>2280034</v>
      </c>
      <c r="C22" s="156">
        <v>2083748</v>
      </c>
      <c r="D22" s="156">
        <v>1865291</v>
      </c>
      <c r="E22" s="156">
        <v>1746292</v>
      </c>
      <c r="F22" s="156">
        <v>2093490</v>
      </c>
      <c r="G22" s="156">
        <v>2578594</v>
      </c>
      <c r="H22" s="156">
        <v>3487417</v>
      </c>
      <c r="I22" s="156">
        <v>4215409</v>
      </c>
      <c r="J22" s="156">
        <v>3472600</v>
      </c>
      <c r="K22" s="156">
        <v>4222568</v>
      </c>
      <c r="L22" s="156">
        <v>3027183</v>
      </c>
      <c r="M22" s="156">
        <v>2964594</v>
      </c>
      <c r="N22" s="34">
        <f t="shared" si="1"/>
        <v>34037220</v>
      </c>
    </row>
    <row r="23" spans="1:14" x14ac:dyDescent="0.2">
      <c r="A23" s="170" t="s">
        <v>0</v>
      </c>
      <c r="B23" s="147">
        <f>SUM(B8:B22)</f>
        <v>64399110</v>
      </c>
      <c r="C23" s="147">
        <f t="shared" ref="C23:M23" si="2">SUM(C8:C22)</f>
        <v>52757548</v>
      </c>
      <c r="D23" s="147">
        <f t="shared" si="2"/>
        <v>45544930</v>
      </c>
      <c r="E23" s="147">
        <f t="shared" si="2"/>
        <v>46221886</v>
      </c>
      <c r="F23" s="147">
        <f t="shared" si="2"/>
        <v>55196126</v>
      </c>
      <c r="G23" s="147">
        <f t="shared" si="2"/>
        <v>88212667</v>
      </c>
      <c r="H23" s="147">
        <f t="shared" si="2"/>
        <v>125320194</v>
      </c>
      <c r="I23" s="147">
        <f t="shared" si="2"/>
        <v>155173578</v>
      </c>
      <c r="J23" s="147">
        <f t="shared" si="2"/>
        <v>144822201</v>
      </c>
      <c r="K23" s="147">
        <f t="shared" si="2"/>
        <v>132227799</v>
      </c>
      <c r="L23" s="147">
        <f t="shared" si="2"/>
        <v>117880141</v>
      </c>
      <c r="M23" s="147">
        <f t="shared" si="2"/>
        <v>90527891</v>
      </c>
      <c r="N23" s="147">
        <f>SUM(N8:N22)</f>
        <v>1118284071</v>
      </c>
    </row>
    <row r="24" spans="1:14" x14ac:dyDescent="0.2">
      <c r="A24" s="17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x14ac:dyDescent="0.2">
      <c r="A25" s="169" t="s">
        <v>201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</row>
    <row r="26" spans="1:14" x14ac:dyDescent="0.2"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0" orientation="landscape" blackAndWhite="1" r:id="rId1"/>
  <headerFooter>
    <oddFooter>&amp;L&amp;F 
&amp;A&amp;C&amp;P&amp;R&amp;D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="90" zoomScaleNormal="90" workbookViewId="0">
      <pane xSplit="5" ySplit="6" topLeftCell="F7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RowHeight="12.75" x14ac:dyDescent="0.2"/>
  <cols>
    <col min="1" max="1" width="8.5703125" style="236" customWidth="1"/>
    <col min="2" max="2" width="43.140625" style="236" customWidth="1"/>
    <col min="3" max="3" width="38.85546875" style="236" customWidth="1"/>
    <col min="4" max="5" width="10.42578125" style="236" customWidth="1"/>
    <col min="6" max="6" width="14.85546875" style="235" bestFit="1" customWidth="1"/>
    <col min="7" max="7" width="13.85546875" style="235" bestFit="1" customWidth="1"/>
    <col min="8" max="8" width="14.5703125" style="235" bestFit="1" customWidth="1"/>
    <col min="9" max="11" width="9.85546875" style="235" customWidth="1"/>
    <col min="12" max="20" width="9.140625" style="235"/>
    <col min="21" max="16384" width="9.140625" style="236"/>
  </cols>
  <sheetData>
    <row r="1" spans="1:20" ht="18" x14ac:dyDescent="0.25">
      <c r="A1" s="233" t="s">
        <v>172</v>
      </c>
      <c r="B1" s="234"/>
      <c r="C1" s="234"/>
      <c r="D1" s="234"/>
      <c r="E1" s="234"/>
      <c r="F1" s="234"/>
      <c r="G1" s="234"/>
      <c r="H1" s="234"/>
    </row>
    <row r="2" spans="1:20" ht="18" x14ac:dyDescent="0.25">
      <c r="A2" s="233" t="s">
        <v>173</v>
      </c>
      <c r="B2" s="234"/>
      <c r="C2" s="234"/>
      <c r="D2" s="234"/>
      <c r="E2" s="234"/>
      <c r="F2" s="234"/>
      <c r="G2" s="234"/>
      <c r="H2" s="234"/>
    </row>
    <row r="3" spans="1:20" ht="18" x14ac:dyDescent="0.25">
      <c r="A3" s="233" t="s">
        <v>174</v>
      </c>
      <c r="B3" s="237"/>
      <c r="C3" s="237"/>
      <c r="D3" s="237"/>
      <c r="E3" s="237"/>
      <c r="F3" s="237"/>
      <c r="G3" s="237"/>
      <c r="H3" s="237"/>
    </row>
    <row r="4" spans="1:20" ht="18" x14ac:dyDescent="0.25">
      <c r="A4" s="233" t="s">
        <v>254</v>
      </c>
      <c r="B4" s="237"/>
      <c r="C4" s="237"/>
      <c r="D4" s="237"/>
      <c r="E4" s="237"/>
      <c r="F4" s="237"/>
      <c r="G4" s="237"/>
      <c r="H4" s="237"/>
    </row>
    <row r="5" spans="1:20" s="239" customFormat="1" ht="17.25" customHeight="1" x14ac:dyDescent="0.25">
      <c r="A5" s="238"/>
      <c r="C5" s="240"/>
      <c r="D5" s="241"/>
      <c r="E5" s="242"/>
      <c r="F5" s="243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</row>
    <row r="6" spans="1:20" ht="39.75" customHeight="1" thickBot="1" x14ac:dyDescent="0.25">
      <c r="A6" s="245" t="s">
        <v>175</v>
      </c>
      <c r="B6" s="246"/>
      <c r="C6" s="247"/>
      <c r="D6" s="248" t="s">
        <v>56</v>
      </c>
      <c r="E6" s="249" t="s">
        <v>55</v>
      </c>
      <c r="F6" s="250" t="s">
        <v>176</v>
      </c>
      <c r="G6" s="250" t="s">
        <v>177</v>
      </c>
      <c r="H6" s="250" t="s">
        <v>178</v>
      </c>
    </row>
    <row r="7" spans="1:20" x14ac:dyDescent="0.2">
      <c r="A7" s="251" t="s">
        <v>179</v>
      </c>
      <c r="B7" s="252" t="s">
        <v>180</v>
      </c>
      <c r="C7" s="253" t="s">
        <v>181</v>
      </c>
      <c r="D7" s="253" t="s">
        <v>182</v>
      </c>
      <c r="E7" s="254" t="s">
        <v>183</v>
      </c>
      <c r="F7" s="255" t="s">
        <v>184</v>
      </c>
      <c r="G7" s="255" t="s">
        <v>185</v>
      </c>
      <c r="H7" s="255" t="s">
        <v>186</v>
      </c>
    </row>
    <row r="8" spans="1:20" x14ac:dyDescent="0.2">
      <c r="A8" s="251"/>
      <c r="B8" s="252"/>
      <c r="C8" s="253"/>
      <c r="D8" s="253"/>
      <c r="E8" s="253"/>
      <c r="F8" s="256"/>
      <c r="G8" s="253"/>
      <c r="H8" s="253"/>
    </row>
    <row r="9" spans="1:20" x14ac:dyDescent="0.2">
      <c r="A9" s="251"/>
      <c r="B9" s="257"/>
      <c r="C9" s="258"/>
      <c r="D9" s="259"/>
      <c r="E9" s="259"/>
      <c r="F9" s="256"/>
      <c r="G9" s="260"/>
      <c r="H9" s="256"/>
      <c r="I9" s="261"/>
      <c r="K9" s="262"/>
    </row>
    <row r="10" spans="1:20" s="235" customFormat="1" x14ac:dyDescent="0.2">
      <c r="A10" s="251"/>
      <c r="B10" s="257"/>
      <c r="C10" s="258"/>
      <c r="D10" s="263"/>
      <c r="E10" s="264"/>
      <c r="F10" s="265"/>
      <c r="G10" s="265"/>
      <c r="H10" s="266"/>
    </row>
    <row r="11" spans="1:20" ht="13.5" customHeight="1" x14ac:dyDescent="0.2">
      <c r="A11" s="251">
        <f>ROW()</f>
        <v>11</v>
      </c>
      <c r="B11" s="257" t="s">
        <v>255</v>
      </c>
      <c r="C11" s="258"/>
      <c r="D11" s="263"/>
      <c r="E11" s="264"/>
      <c r="F11" s="260">
        <v>33067623.395843402</v>
      </c>
      <c r="G11" s="260">
        <v>7445170.1430239528</v>
      </c>
      <c r="H11" s="267">
        <f>F11+G11</f>
        <v>40512793.538867354</v>
      </c>
    </row>
    <row r="12" spans="1:20" x14ac:dyDescent="0.2">
      <c r="A12" s="251">
        <f>ROW()</f>
        <v>12</v>
      </c>
      <c r="B12" s="268"/>
      <c r="C12" s="258"/>
      <c r="D12" s="258"/>
      <c r="E12" s="269"/>
      <c r="F12" s="270"/>
      <c r="G12" s="270"/>
      <c r="H12" s="270"/>
    </row>
    <row r="13" spans="1:20" x14ac:dyDescent="0.2">
      <c r="A13" s="251">
        <f>ROW()</f>
        <v>13</v>
      </c>
      <c r="B13" s="271" t="s">
        <v>188</v>
      </c>
      <c r="C13" s="258"/>
      <c r="D13" s="258"/>
      <c r="E13" s="272"/>
      <c r="F13" s="273"/>
      <c r="G13" s="273"/>
      <c r="H13" s="273"/>
    </row>
    <row r="14" spans="1:20" s="235" customFormat="1" ht="14.1" customHeight="1" x14ac:dyDescent="0.2">
      <c r="A14" s="251">
        <f>ROW()</f>
        <v>14</v>
      </c>
      <c r="B14" s="274" t="s">
        <v>256</v>
      </c>
      <c r="C14" s="258"/>
      <c r="D14" s="258"/>
      <c r="E14" s="272"/>
      <c r="F14" s="275">
        <v>6.4879999999999998E-3</v>
      </c>
      <c r="G14" s="275">
        <v>2.8909999999999999E-3</v>
      </c>
      <c r="H14" s="273"/>
    </row>
    <row r="15" spans="1:20" s="235" customFormat="1" ht="14.1" customHeight="1" x14ac:dyDescent="0.2">
      <c r="A15" s="251">
        <f>ROW()</f>
        <v>15</v>
      </c>
      <c r="B15" s="274" t="s">
        <v>189</v>
      </c>
      <c r="C15" s="258"/>
      <c r="D15" s="258"/>
      <c r="E15" s="272"/>
      <c r="F15" s="275">
        <v>5.0000000000000001E-3</v>
      </c>
      <c r="G15" s="275">
        <v>5.0000000000000001E-3</v>
      </c>
      <c r="H15" s="273"/>
    </row>
    <row r="16" spans="1:20" s="235" customFormat="1" ht="14.1" customHeight="1" x14ac:dyDescent="0.2">
      <c r="A16" s="251">
        <f>ROW()</f>
        <v>16</v>
      </c>
      <c r="B16" s="274" t="s">
        <v>190</v>
      </c>
      <c r="C16" s="258"/>
      <c r="D16" s="258"/>
      <c r="E16" s="272"/>
      <c r="F16" s="275">
        <v>3.8483000000000003E-2</v>
      </c>
      <c r="G16" s="275">
        <v>3.8408999999999999E-2</v>
      </c>
      <c r="H16" s="273"/>
    </row>
    <row r="17" spans="1:16" s="235" customFormat="1" ht="14.1" customHeight="1" x14ac:dyDescent="0.2">
      <c r="A17" s="251">
        <f>ROW()</f>
        <v>17</v>
      </c>
      <c r="B17" s="274"/>
      <c r="C17" s="258"/>
      <c r="D17" s="258"/>
      <c r="E17" s="272"/>
      <c r="F17" s="276"/>
      <c r="G17" s="276"/>
      <c r="H17" s="273"/>
    </row>
    <row r="18" spans="1:16" s="235" customFormat="1" ht="14.1" customHeight="1" x14ac:dyDescent="0.2">
      <c r="A18" s="251">
        <f>ROW()</f>
        <v>18</v>
      </c>
      <c r="B18" s="268" t="s">
        <v>191</v>
      </c>
      <c r="C18" s="258"/>
      <c r="D18" s="258"/>
      <c r="E18" s="272"/>
      <c r="F18" s="277">
        <f>1-SUM(F14:F16)</f>
        <v>0.95002900000000001</v>
      </c>
      <c r="G18" s="277">
        <f>1-SUM(G14:G16)</f>
        <v>0.95369999999999999</v>
      </c>
      <c r="H18" s="278"/>
      <c r="L18" s="261"/>
    </row>
    <row r="19" spans="1:16" s="235" customFormat="1" ht="14.1" customHeight="1" x14ac:dyDescent="0.2">
      <c r="A19" s="251">
        <f>ROW()</f>
        <v>19</v>
      </c>
      <c r="B19" s="274"/>
      <c r="C19" s="258"/>
      <c r="D19" s="258"/>
      <c r="E19" s="272"/>
      <c r="F19" s="273"/>
      <c r="G19" s="273"/>
      <c r="H19" s="273"/>
    </row>
    <row r="20" spans="1:16" s="235" customFormat="1" ht="14.1" customHeight="1" thickBot="1" x14ac:dyDescent="0.25">
      <c r="A20" s="251">
        <f>ROW()</f>
        <v>20</v>
      </c>
      <c r="B20" s="279" t="s">
        <v>257</v>
      </c>
      <c r="C20" s="280"/>
      <c r="D20" s="280"/>
      <c r="E20" s="281"/>
      <c r="F20" s="282">
        <f>MROUND(F11/F18,1000)</f>
        <v>34807000</v>
      </c>
      <c r="G20" s="282">
        <f>MROUND(G11/G18,1000)</f>
        <v>7807000</v>
      </c>
      <c r="H20" s="282">
        <f>SUM(F20:G20)</f>
        <v>42614000</v>
      </c>
    </row>
    <row r="21" spans="1:16" s="235" customFormat="1" ht="14.1" customHeight="1" thickTop="1" x14ac:dyDescent="0.2">
      <c r="A21" s="251"/>
    </row>
    <row r="22" spans="1:16" s="235" customFormat="1" ht="14.1" customHeight="1" x14ac:dyDescent="0.2">
      <c r="A22" s="251"/>
    </row>
    <row r="23" spans="1:16" s="235" customFormat="1" ht="14.1" customHeight="1" x14ac:dyDescent="0.2">
      <c r="A23" s="251"/>
    </row>
    <row r="24" spans="1:16" s="235" customFormat="1" ht="14.1" customHeight="1" x14ac:dyDescent="0.2">
      <c r="A24" s="283"/>
      <c r="B24" s="258"/>
      <c r="C24" s="258"/>
      <c r="D24" s="258"/>
      <c r="E24" s="272"/>
      <c r="F24" s="284"/>
      <c r="G24" s="284"/>
      <c r="H24" s="284"/>
    </row>
    <row r="25" spans="1:16" s="235" customFormat="1" ht="14.1" customHeight="1" x14ac:dyDescent="0.2">
      <c r="A25" s="283"/>
      <c r="B25" s="285"/>
      <c r="C25" s="258"/>
      <c r="D25" s="258"/>
      <c r="E25" s="258"/>
      <c r="F25" s="286"/>
      <c r="G25" s="286"/>
      <c r="H25" s="287"/>
      <c r="P25" s="262"/>
    </row>
    <row r="26" spans="1:16" s="235" customFormat="1" x14ac:dyDescent="0.2">
      <c r="A26" s="283"/>
      <c r="B26" s="288"/>
      <c r="C26" s="280"/>
      <c r="D26" s="280"/>
      <c r="E26" s="280"/>
      <c r="F26" s="258"/>
      <c r="G26" s="258"/>
      <c r="H26" s="258"/>
    </row>
    <row r="27" spans="1:16" s="235" customFormat="1" x14ac:dyDescent="0.2">
      <c r="A27" s="252"/>
      <c r="B27" s="285"/>
      <c r="C27" s="280"/>
      <c r="D27" s="280"/>
      <c r="E27" s="280"/>
      <c r="F27" s="289"/>
      <c r="G27" s="289"/>
      <c r="H27" s="289"/>
    </row>
    <row r="28" spans="1:16" s="235" customFormat="1" x14ac:dyDescent="0.2">
      <c r="A28" s="253"/>
      <c r="B28" s="253"/>
      <c r="C28" s="258"/>
      <c r="D28" s="258"/>
      <c r="E28" s="258"/>
      <c r="F28" s="258"/>
      <c r="G28" s="258"/>
      <c r="H28" s="258"/>
    </row>
    <row r="29" spans="1:16" s="235" customFormat="1" ht="14.1" customHeight="1" x14ac:dyDescent="0.2">
      <c r="B29" s="253"/>
      <c r="C29" s="258"/>
      <c r="D29" s="258"/>
      <c r="E29" s="258"/>
      <c r="F29" s="290"/>
      <c r="G29" s="290"/>
      <c r="H29" s="291"/>
    </row>
    <row r="30" spans="1:16" s="235" customFormat="1" ht="14.1" customHeight="1" x14ac:dyDescent="0.25">
      <c r="A30" s="292"/>
      <c r="B30" s="253"/>
      <c r="C30" s="258"/>
      <c r="D30" s="258"/>
      <c r="E30" s="258"/>
      <c r="F30" s="290"/>
      <c r="G30" s="290"/>
      <c r="H30" s="291"/>
    </row>
    <row r="31" spans="1:16" s="235" customFormat="1" ht="14.1" customHeight="1" x14ac:dyDescent="0.2">
      <c r="B31" s="253"/>
      <c r="C31" s="258"/>
      <c r="D31" s="258"/>
      <c r="E31" s="258"/>
      <c r="F31" s="290"/>
      <c r="G31" s="290"/>
      <c r="H31" s="291"/>
    </row>
    <row r="32" spans="1:16" s="235" customFormat="1" ht="14.1" customHeight="1" x14ac:dyDescent="0.2">
      <c r="A32" s="293"/>
      <c r="C32" s="258"/>
      <c r="D32" s="258"/>
      <c r="E32" s="258"/>
      <c r="F32" s="288"/>
      <c r="G32" s="288"/>
      <c r="H32" s="291"/>
    </row>
    <row r="33" spans="1:8" s="235" customFormat="1" ht="14.1" customHeight="1" x14ac:dyDescent="0.2">
      <c r="A33" s="294"/>
      <c r="C33" s="258"/>
      <c r="D33" s="258"/>
      <c r="E33" s="258"/>
      <c r="F33" s="295"/>
      <c r="G33" s="295"/>
      <c r="H33" s="290"/>
    </row>
    <row r="34" spans="1:8" s="235" customFormat="1" ht="14.1" customHeight="1" x14ac:dyDescent="0.2">
      <c r="A34" s="296"/>
      <c r="C34" s="258"/>
      <c r="D34" s="258"/>
      <c r="E34" s="258"/>
      <c r="F34" s="297"/>
      <c r="G34" s="297"/>
      <c r="H34" s="297"/>
    </row>
    <row r="35" spans="1:8" s="235" customFormat="1" ht="14.1" customHeight="1" x14ac:dyDescent="0.2">
      <c r="A35" s="257"/>
      <c r="C35" s="258"/>
      <c r="D35" s="258"/>
      <c r="E35" s="258"/>
      <c r="F35" s="297"/>
      <c r="G35" s="297"/>
      <c r="H35" s="297"/>
    </row>
    <row r="36" spans="1:8" s="235" customFormat="1" x14ac:dyDescent="0.2">
      <c r="A36" s="371"/>
      <c r="B36" s="371"/>
      <c r="C36" s="371"/>
      <c r="D36" s="371"/>
      <c r="E36" s="371"/>
      <c r="F36" s="298"/>
      <c r="G36" s="298"/>
      <c r="H36" s="298"/>
    </row>
    <row r="37" spans="1:8" s="235" customFormat="1" x14ac:dyDescent="0.2">
      <c r="A37" s="294"/>
      <c r="F37" s="297"/>
      <c r="G37" s="297"/>
      <c r="H37" s="298"/>
    </row>
    <row r="38" spans="1:8" s="235" customFormat="1" x14ac:dyDescent="0.2">
      <c r="A38" s="296"/>
      <c r="F38" s="297"/>
      <c r="G38" s="297"/>
      <c r="H38" s="298"/>
    </row>
    <row r="39" spans="1:8" s="235" customFormat="1" x14ac:dyDescent="0.2">
      <c r="A39" s="296"/>
      <c r="F39" s="297"/>
      <c r="G39" s="297"/>
      <c r="H39" s="298"/>
    </row>
    <row r="40" spans="1:8" s="235" customFormat="1" x14ac:dyDescent="0.2">
      <c r="A40" s="258"/>
      <c r="B40" s="258"/>
      <c r="C40" s="258"/>
      <c r="D40" s="258"/>
      <c r="E40" s="258"/>
      <c r="F40" s="297"/>
      <c r="G40" s="297"/>
      <c r="H40" s="298"/>
    </row>
    <row r="41" spans="1:8" s="235" customFormat="1" x14ac:dyDescent="0.2">
      <c r="A41" s="293"/>
      <c r="B41" s="258"/>
      <c r="C41" s="258"/>
      <c r="D41" s="258"/>
      <c r="E41" s="258"/>
      <c r="F41" s="289"/>
      <c r="G41" s="289"/>
      <c r="H41" s="289"/>
    </row>
    <row r="42" spans="1:8" s="235" customFormat="1" x14ac:dyDescent="0.2">
      <c r="A42" s="299"/>
      <c r="B42" s="258"/>
      <c r="C42" s="258"/>
      <c r="D42" s="258"/>
      <c r="E42" s="258"/>
      <c r="F42" s="258"/>
      <c r="G42" s="258"/>
      <c r="H42" s="258"/>
    </row>
    <row r="43" spans="1:8" s="235" customFormat="1" x14ac:dyDescent="0.2">
      <c r="A43" s="258"/>
      <c r="B43" s="258"/>
      <c r="C43" s="258"/>
      <c r="D43" s="258"/>
      <c r="E43" s="258"/>
      <c r="F43" s="258"/>
      <c r="G43" s="258"/>
      <c r="H43" s="258"/>
    </row>
    <row r="44" spans="1:8" s="235" customFormat="1" x14ac:dyDescent="0.2">
      <c r="A44" s="300"/>
      <c r="B44" s="258"/>
      <c r="C44" s="258"/>
      <c r="D44" s="258"/>
      <c r="E44" s="258"/>
      <c r="F44" s="301"/>
      <c r="G44" s="301"/>
      <c r="H44" s="258"/>
    </row>
    <row r="45" spans="1:8" s="235" customFormat="1" x14ac:dyDescent="0.2">
      <c r="F45" s="302"/>
      <c r="G45" s="302"/>
    </row>
    <row r="46" spans="1:8" s="235" customFormat="1" x14ac:dyDescent="0.2">
      <c r="C46" s="303"/>
      <c r="D46" s="303"/>
    </row>
    <row r="47" spans="1:8" s="235" customFormat="1" x14ac:dyDescent="0.2"/>
    <row r="48" spans="1:8" s="235" customFormat="1" x14ac:dyDescent="0.2">
      <c r="A48" s="236"/>
      <c r="B48" s="236"/>
      <c r="C48" s="304"/>
      <c r="D48" s="304"/>
      <c r="E48" s="236"/>
    </row>
    <row r="49" spans="1:5" s="235" customFormat="1" x14ac:dyDescent="0.2">
      <c r="A49" s="236"/>
      <c r="B49" s="236"/>
      <c r="C49" s="305"/>
      <c r="D49" s="305"/>
      <c r="E49" s="236"/>
    </row>
  </sheetData>
  <mergeCells count="1">
    <mergeCell ref="A36:E3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R34" sqref="R34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3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F50" sqref="F50"/>
    </sheetView>
  </sheetViews>
  <sheetFormatPr defaultColWidth="9.140625" defaultRowHeight="12.75" x14ac:dyDescent="0.2"/>
  <cols>
    <col min="1" max="1" width="5.7109375" style="169" customWidth="1"/>
    <col min="2" max="2" width="6.42578125" style="323" bestFit="1" customWidth="1"/>
    <col min="3" max="3" width="24.5703125" style="169" bestFit="1" customWidth="1"/>
    <col min="4" max="4" width="13.42578125" style="169" bestFit="1" customWidth="1"/>
    <col min="5" max="5" width="17.7109375" style="192" bestFit="1" customWidth="1"/>
    <col min="6" max="6" width="13.42578125" style="192" bestFit="1" customWidth="1"/>
    <col min="7" max="7" width="2.5703125" style="192" customWidth="1"/>
    <col min="8" max="8" width="12.140625" style="169" customWidth="1"/>
    <col min="9" max="9" width="11.7109375" style="169" bestFit="1" customWidth="1"/>
    <col min="10" max="10" width="13.42578125" style="169" bestFit="1" customWidth="1"/>
    <col min="11" max="11" width="2.5703125" style="169" customWidth="1"/>
    <col min="12" max="14" width="14.5703125" style="169" bestFit="1" customWidth="1"/>
    <col min="15" max="15" width="2.5703125" style="169" customWidth="1"/>
    <col min="16" max="16" width="14.5703125" style="169" customWidth="1"/>
    <col min="17" max="17" width="17.28515625" style="169" bestFit="1" customWidth="1"/>
    <col min="18" max="18" width="2.5703125" style="169" customWidth="1"/>
    <col min="19" max="20" width="16.28515625" style="169" bestFit="1" customWidth="1"/>
    <col min="21" max="16384" width="9.140625" style="169"/>
  </cols>
  <sheetData>
    <row r="1" spans="1:20" s="217" customFormat="1" x14ac:dyDescent="0.2">
      <c r="A1" s="339" t="s">
        <v>12</v>
      </c>
      <c r="B1" s="218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0" s="217" customFormat="1" x14ac:dyDescent="0.2">
      <c r="A2" s="339" t="s">
        <v>277</v>
      </c>
      <c r="B2" s="218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0" s="217" customFormat="1" x14ac:dyDescent="0.2">
      <c r="A3" s="339" t="s">
        <v>278</v>
      </c>
      <c r="B3" s="218"/>
      <c r="C3" s="215"/>
      <c r="D3" s="340"/>
      <c r="E3" s="216"/>
      <c r="F3" s="216"/>
      <c r="G3" s="216"/>
    </row>
    <row r="4" spans="1:20" s="217" customFormat="1" x14ac:dyDescent="0.2">
      <c r="A4" s="339" t="s">
        <v>223</v>
      </c>
      <c r="B4" s="340"/>
      <c r="C4" s="341"/>
      <c r="D4" s="340"/>
      <c r="E4" s="216"/>
      <c r="F4" s="216"/>
      <c r="G4" s="216"/>
    </row>
    <row r="5" spans="1:20" s="217" customFormat="1" x14ac:dyDescent="0.2">
      <c r="A5" s="339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</row>
    <row r="6" spans="1:20" s="217" customFormat="1" x14ac:dyDescent="0.2">
      <c r="B6" s="218"/>
      <c r="D6" s="372" t="s">
        <v>224</v>
      </c>
      <c r="E6" s="372"/>
      <c r="F6" s="372"/>
      <c r="G6" s="219"/>
      <c r="H6" s="372" t="s">
        <v>71</v>
      </c>
      <c r="I6" s="372"/>
      <c r="J6" s="372"/>
      <c r="L6" s="372" t="s">
        <v>225</v>
      </c>
      <c r="M6" s="372"/>
      <c r="N6" s="372"/>
      <c r="P6" s="372" t="s">
        <v>226</v>
      </c>
      <c r="Q6" s="372"/>
      <c r="S6" s="372" t="s">
        <v>227</v>
      </c>
      <c r="T6" s="372"/>
    </row>
    <row r="7" spans="1:20" s="222" customFormat="1" ht="25.5" x14ac:dyDescent="0.2">
      <c r="A7" s="342" t="s">
        <v>228</v>
      </c>
      <c r="B7" s="342" t="s">
        <v>229</v>
      </c>
      <c r="C7" s="342" t="s">
        <v>230</v>
      </c>
      <c r="D7" s="220" t="s">
        <v>231</v>
      </c>
      <c r="E7" s="220" t="s">
        <v>232</v>
      </c>
      <c r="F7" s="220" t="s">
        <v>233</v>
      </c>
      <c r="G7" s="221"/>
      <c r="H7" s="220" t="s">
        <v>231</v>
      </c>
      <c r="I7" s="220" t="s">
        <v>232</v>
      </c>
      <c r="J7" s="220" t="s">
        <v>233</v>
      </c>
      <c r="L7" s="220" t="s">
        <v>231</v>
      </c>
      <c r="M7" s="220" t="s">
        <v>232</v>
      </c>
      <c r="N7" s="220" t="s">
        <v>233</v>
      </c>
      <c r="P7" s="220" t="s">
        <v>232</v>
      </c>
      <c r="Q7" s="220" t="s">
        <v>233</v>
      </c>
      <c r="S7" s="220" t="s">
        <v>232</v>
      </c>
      <c r="T7" s="220" t="s">
        <v>233</v>
      </c>
    </row>
    <row r="8" spans="1:20" s="222" customFormat="1" x14ac:dyDescent="0.2">
      <c r="A8" s="343"/>
      <c r="B8" s="344" t="s">
        <v>179</v>
      </c>
      <c r="C8" s="344" t="s">
        <v>180</v>
      </c>
      <c r="D8" s="223" t="s">
        <v>197</v>
      </c>
      <c r="E8" s="223" t="s">
        <v>182</v>
      </c>
      <c r="F8" s="223" t="s">
        <v>183</v>
      </c>
      <c r="G8" s="223"/>
      <c r="H8" s="223" t="s">
        <v>184</v>
      </c>
      <c r="I8" s="223" t="s">
        <v>185</v>
      </c>
      <c r="J8" s="223" t="s">
        <v>186</v>
      </c>
      <c r="K8" s="224"/>
      <c r="L8" s="223" t="s">
        <v>187</v>
      </c>
      <c r="M8" s="223" t="s">
        <v>204</v>
      </c>
      <c r="N8" s="223" t="s">
        <v>234</v>
      </c>
      <c r="O8" s="224"/>
      <c r="P8" s="223" t="s">
        <v>235</v>
      </c>
      <c r="Q8" s="223" t="s">
        <v>236</v>
      </c>
      <c r="R8" s="224"/>
      <c r="S8" s="223" t="s">
        <v>237</v>
      </c>
      <c r="T8" s="223" t="s">
        <v>238</v>
      </c>
    </row>
    <row r="9" spans="1:20" x14ac:dyDescent="0.2">
      <c r="A9" s="323">
        <v>1</v>
      </c>
      <c r="B9" s="322">
        <v>23</v>
      </c>
      <c r="C9" s="169" t="s">
        <v>74</v>
      </c>
      <c r="D9" s="156">
        <v>9826946.2076458335</v>
      </c>
      <c r="E9" s="156">
        <v>9898104</v>
      </c>
      <c r="F9" s="156">
        <v>9898104</v>
      </c>
      <c r="G9" s="262"/>
      <c r="H9" s="349">
        <v>12.5</v>
      </c>
      <c r="I9" s="207">
        <f>H9*(1+S9)</f>
        <v>14.000000000000002</v>
      </c>
      <c r="J9" s="207">
        <f>I9*(1+T9)</f>
        <v>14.000000000000002</v>
      </c>
      <c r="L9" s="188">
        <f>D9*$H9</f>
        <v>122836827.59557292</v>
      </c>
      <c r="M9" s="188">
        <f t="shared" ref="M9:N10" si="0">E9*$H9</f>
        <v>123726300</v>
      </c>
      <c r="N9" s="188">
        <f t="shared" si="0"/>
        <v>123726300</v>
      </c>
      <c r="P9" s="188">
        <f>E9*I9</f>
        <v>138573456.00000003</v>
      </c>
      <c r="Q9" s="188">
        <f>F9*J9</f>
        <v>138573456.00000003</v>
      </c>
      <c r="S9" s="189">
        <f>1.5/12.5</f>
        <v>0.12</v>
      </c>
      <c r="T9" s="189">
        <v>0</v>
      </c>
    </row>
    <row r="10" spans="1:20" x14ac:dyDescent="0.2">
      <c r="A10" s="323">
        <f>A9+1</f>
        <v>2</v>
      </c>
      <c r="B10" s="323">
        <f>B9</f>
        <v>23</v>
      </c>
      <c r="C10" s="169" t="s">
        <v>75</v>
      </c>
      <c r="D10" s="156">
        <v>576566861.3574605</v>
      </c>
      <c r="E10" s="156">
        <v>539959592</v>
      </c>
      <c r="F10" s="156">
        <v>534322352</v>
      </c>
      <c r="G10" s="262"/>
      <c r="H10" s="324">
        <v>0.45612999999999998</v>
      </c>
      <c r="I10" s="208">
        <f>H10*(1+S10)</f>
        <v>0.61957776856730451</v>
      </c>
      <c r="J10" s="208">
        <f>I10*(1+T10)</f>
        <v>0.6440653103971401</v>
      </c>
      <c r="L10" s="188">
        <f>D10*$H10</f>
        <v>262989442.47097844</v>
      </c>
      <c r="M10" s="188">
        <f t="shared" si="0"/>
        <v>246291768.69895998</v>
      </c>
      <c r="N10" s="188">
        <f t="shared" si="0"/>
        <v>243720454.41775998</v>
      </c>
      <c r="P10" s="188">
        <f>E10*I10</f>
        <v>334546959.12787217</v>
      </c>
      <c r="Q10" s="188">
        <f>F10*J10</f>
        <v>344138491.49300992</v>
      </c>
      <c r="S10" s="190">
        <f>(S$20-(SUM(P9,P13,P15)-SUM(M9,M13,M15)))/(M19-SUM(M9,M13,M15))</f>
        <v>0.3583359317898504</v>
      </c>
      <c r="T10" s="190">
        <f>((Q20-SUM(Q9,Q13,Q15))/F10)/I10-1</f>
        <v>3.9522951067886058E-2</v>
      </c>
    </row>
    <row r="11" spans="1:20" x14ac:dyDescent="0.2">
      <c r="A11" s="323">
        <f t="shared" ref="A11:A74" si="1">A10+1</f>
        <v>3</v>
      </c>
      <c r="B11" s="323">
        <f>B10</f>
        <v>23</v>
      </c>
      <c r="C11" s="169" t="s">
        <v>160</v>
      </c>
      <c r="D11" s="350"/>
      <c r="E11" s="350"/>
      <c r="F11" s="350"/>
      <c r="G11" s="350"/>
      <c r="H11" s="262"/>
      <c r="I11" s="192"/>
      <c r="J11" s="192"/>
      <c r="K11" s="34"/>
      <c r="L11" s="193">
        <f>SUM(L9:L10)</f>
        <v>385826270.06655133</v>
      </c>
      <c r="M11" s="193">
        <f t="shared" ref="M11:N11" si="2">SUM(M9:M10)</f>
        <v>370018068.69895995</v>
      </c>
      <c r="N11" s="193">
        <f t="shared" si="2"/>
        <v>367446754.41776001</v>
      </c>
      <c r="P11" s="193">
        <f>SUM(P9:P10)</f>
        <v>473120415.12787223</v>
      </c>
      <c r="Q11" s="193">
        <f>SUM(Q9:Q10)</f>
        <v>482711947.49300992</v>
      </c>
      <c r="S11" s="190"/>
      <c r="T11" s="190"/>
    </row>
    <row r="12" spans="1:20" x14ac:dyDescent="0.2">
      <c r="A12" s="323">
        <f t="shared" si="1"/>
        <v>4</v>
      </c>
      <c r="D12" s="262"/>
      <c r="E12" s="262"/>
      <c r="F12" s="262"/>
      <c r="G12" s="262"/>
      <c r="H12" s="351"/>
      <c r="I12" s="207"/>
      <c r="J12" s="207"/>
      <c r="L12" s="188"/>
      <c r="M12" s="188"/>
      <c r="N12" s="188"/>
      <c r="P12" s="188"/>
      <c r="S12" s="190"/>
      <c r="T12" s="190"/>
    </row>
    <row r="13" spans="1:20" x14ac:dyDescent="0.2">
      <c r="A13" s="323">
        <f t="shared" si="1"/>
        <v>5</v>
      </c>
      <c r="B13" s="345">
        <v>16</v>
      </c>
      <c r="C13" s="169" t="s">
        <v>75</v>
      </c>
      <c r="D13" s="156">
        <v>343.27700000000004</v>
      </c>
      <c r="E13" s="156">
        <v>368.21052631578942</v>
      </c>
      <c r="F13" s="156">
        <v>368.21052631578942</v>
      </c>
      <c r="G13" s="262"/>
      <c r="H13" s="349">
        <v>12.14</v>
      </c>
      <c r="I13" s="207">
        <f>H13*(1+S13)</f>
        <v>15.522706390658247</v>
      </c>
      <c r="J13" s="207">
        <f>I13*(1+T13)</f>
        <v>16.066792294254899</v>
      </c>
      <c r="L13" s="188">
        <f>D13*$H13</f>
        <v>4167.3827800000008</v>
      </c>
      <c r="M13" s="188">
        <f t="shared" ref="M13:N13" si="3">E13*$H13</f>
        <v>4470.0757894736835</v>
      </c>
      <c r="N13" s="188">
        <f t="shared" si="3"/>
        <v>4470.0757894736835</v>
      </c>
      <c r="P13" s="188">
        <f>E13*I13</f>
        <v>5715.6238899497412</v>
      </c>
      <c r="Q13" s="188">
        <f>F13*J13</f>
        <v>5915.9620468740659</v>
      </c>
      <c r="S13" s="190">
        <f>S20/M19</f>
        <v>0.27864138308552272</v>
      </c>
      <c r="T13" s="190">
        <f>SUM(S20:T20)/N19-S13</f>
        <v>3.5050969199809767E-2</v>
      </c>
    </row>
    <row r="14" spans="1:20" x14ac:dyDescent="0.2">
      <c r="A14" s="323">
        <f t="shared" si="1"/>
        <v>6</v>
      </c>
      <c r="D14" s="350"/>
      <c r="E14" s="350"/>
      <c r="F14" s="350"/>
      <c r="G14" s="350"/>
      <c r="H14" s="262"/>
      <c r="L14" s="188"/>
      <c r="M14" s="188"/>
      <c r="N14" s="188"/>
      <c r="P14" s="188"/>
      <c r="Q14" s="188"/>
      <c r="S14" s="190"/>
      <c r="T14" s="190"/>
    </row>
    <row r="15" spans="1:20" x14ac:dyDescent="0.2">
      <c r="A15" s="323">
        <f t="shared" si="1"/>
        <v>7</v>
      </c>
      <c r="B15" s="323">
        <v>53</v>
      </c>
      <c r="C15" s="169" t="s">
        <v>74</v>
      </c>
      <c r="D15" s="350">
        <v>0</v>
      </c>
      <c r="E15" s="350">
        <v>0</v>
      </c>
      <c r="F15" s="350">
        <v>0</v>
      </c>
      <c r="G15" s="350"/>
      <c r="H15" s="349">
        <v>12.5</v>
      </c>
      <c r="I15" s="207">
        <f>H15*(1+S15)</f>
        <v>14.000000000000002</v>
      </c>
      <c r="J15" s="207">
        <f>I15*(1+T15)</f>
        <v>14.000000000000002</v>
      </c>
      <c r="L15" s="188">
        <f>D15*$H15</f>
        <v>0</v>
      </c>
      <c r="M15" s="188">
        <f t="shared" ref="M15:N16" si="4">E15*$H15</f>
        <v>0</v>
      </c>
      <c r="N15" s="188">
        <f t="shared" si="4"/>
        <v>0</v>
      </c>
      <c r="P15" s="188">
        <f t="shared" ref="P15:Q16" si="5">E15*I15</f>
        <v>0</v>
      </c>
      <c r="Q15" s="188">
        <f t="shared" si="5"/>
        <v>0</v>
      </c>
      <c r="S15" s="190">
        <f>S9</f>
        <v>0.12</v>
      </c>
      <c r="T15" s="190">
        <f>T9</f>
        <v>0</v>
      </c>
    </row>
    <row r="16" spans="1:20" x14ac:dyDescent="0.2">
      <c r="A16" s="323">
        <f t="shared" si="1"/>
        <v>8</v>
      </c>
      <c r="B16" s="323">
        <f t="shared" ref="B16:B17" si="6">+B15</f>
        <v>53</v>
      </c>
      <c r="C16" s="169" t="s">
        <v>75</v>
      </c>
      <c r="D16" s="350">
        <v>0</v>
      </c>
      <c r="E16" s="350">
        <v>0</v>
      </c>
      <c r="F16" s="350">
        <v>0</v>
      </c>
      <c r="G16" s="350"/>
      <c r="H16" s="324">
        <v>0.45612999999999998</v>
      </c>
      <c r="I16" s="208">
        <f t="shared" ref="I16:J16" si="7">H16*(1+S16)</f>
        <v>0.61957776856730451</v>
      </c>
      <c r="J16" s="208">
        <f t="shared" si="7"/>
        <v>0.6440653103971401</v>
      </c>
      <c r="L16" s="188">
        <f>D16*$H16</f>
        <v>0</v>
      </c>
      <c r="M16" s="188">
        <f t="shared" si="4"/>
        <v>0</v>
      </c>
      <c r="N16" s="188">
        <f t="shared" si="4"/>
        <v>0</v>
      </c>
      <c r="P16" s="188">
        <f t="shared" si="5"/>
        <v>0</v>
      </c>
      <c r="Q16" s="188">
        <f t="shared" si="5"/>
        <v>0</v>
      </c>
      <c r="S16" s="190">
        <f>S10</f>
        <v>0.3583359317898504</v>
      </c>
      <c r="T16" s="190">
        <f>T10</f>
        <v>3.9522951067886058E-2</v>
      </c>
    </row>
    <row r="17" spans="1:20" x14ac:dyDescent="0.2">
      <c r="A17" s="323">
        <f t="shared" si="1"/>
        <v>9</v>
      </c>
      <c r="B17" s="323">
        <f t="shared" si="6"/>
        <v>53</v>
      </c>
      <c r="C17" s="169" t="s">
        <v>160</v>
      </c>
      <c r="D17" s="352"/>
      <c r="E17" s="352"/>
      <c r="F17" s="352"/>
      <c r="G17" s="352"/>
      <c r="H17" s="353"/>
      <c r="I17" s="195"/>
      <c r="J17" s="195"/>
      <c r="L17" s="193">
        <f>SUM(L15:L16)</f>
        <v>0</v>
      </c>
      <c r="M17" s="193">
        <f t="shared" ref="M17:N17" si="8">SUM(M15:M16)</f>
        <v>0</v>
      </c>
      <c r="N17" s="193">
        <f t="shared" si="8"/>
        <v>0</v>
      </c>
      <c r="P17" s="193">
        <f>SUM(P15:P16)</f>
        <v>0</v>
      </c>
      <c r="Q17" s="193">
        <f>SUM(Q15:Q16)</f>
        <v>0</v>
      </c>
      <c r="S17" s="196"/>
      <c r="T17" s="196"/>
    </row>
    <row r="18" spans="1:20" x14ac:dyDescent="0.2">
      <c r="A18" s="323">
        <f t="shared" si="1"/>
        <v>10</v>
      </c>
      <c r="D18" s="350"/>
      <c r="E18" s="350"/>
      <c r="F18" s="350"/>
      <c r="G18" s="350"/>
      <c r="H18" s="351"/>
      <c r="I18" s="207"/>
      <c r="J18" s="207"/>
      <c r="L18" s="188"/>
      <c r="M18" s="188"/>
      <c r="N18" s="188"/>
      <c r="P18" s="188"/>
    </row>
    <row r="19" spans="1:20" x14ac:dyDescent="0.2">
      <c r="A19" s="323">
        <f t="shared" si="1"/>
        <v>11</v>
      </c>
      <c r="C19" s="169" t="s">
        <v>239</v>
      </c>
      <c r="D19" s="350"/>
      <c r="E19" s="350"/>
      <c r="F19" s="350"/>
      <c r="G19" s="350"/>
      <c r="H19" s="351"/>
      <c r="I19" s="207"/>
      <c r="J19" s="207"/>
      <c r="L19" s="188">
        <f>SUM(L11,L13,L17)</f>
        <v>385830437.44933134</v>
      </c>
      <c r="M19" s="188">
        <f t="shared" ref="M19:N19" si="9">SUM(M11,M13,M17)</f>
        <v>370022538.7747494</v>
      </c>
      <c r="N19" s="188">
        <f t="shared" si="9"/>
        <v>367451224.49354947</v>
      </c>
      <c r="P19" s="188">
        <f>SUM(P11,P13,P17)</f>
        <v>473126130.75176215</v>
      </c>
      <c r="Q19" s="188">
        <f>SUM(Q11,Q13,Q17)</f>
        <v>482717863.45505679</v>
      </c>
      <c r="S19" s="359">
        <v>473126130.75176203</v>
      </c>
      <c r="T19" s="359">
        <v>482717863.45505679</v>
      </c>
    </row>
    <row r="20" spans="1:20" x14ac:dyDescent="0.2">
      <c r="A20" s="323">
        <f t="shared" si="1"/>
        <v>12</v>
      </c>
      <c r="C20" s="169" t="s">
        <v>240</v>
      </c>
      <c r="D20" s="350"/>
      <c r="E20" s="350"/>
      <c r="F20" s="350"/>
      <c r="G20" s="350"/>
      <c r="H20" s="351"/>
      <c r="I20" s="207"/>
      <c r="J20" s="207"/>
      <c r="L20" s="188"/>
      <c r="M20" s="188"/>
      <c r="N20" s="188"/>
      <c r="P20" s="359">
        <v>473126130.75176203</v>
      </c>
      <c r="Q20" s="359">
        <v>482717863.45505679</v>
      </c>
      <c r="R20" s="191"/>
      <c r="S20" s="197">
        <f>S19-M19</f>
        <v>103103591.97701263</v>
      </c>
      <c r="T20" s="197">
        <f>T19-N19-S20</f>
        <v>12163046.984494686</v>
      </c>
    </row>
    <row r="21" spans="1:20" s="261" customFormat="1" x14ac:dyDescent="0.2">
      <c r="A21" s="323">
        <f t="shared" si="1"/>
        <v>13</v>
      </c>
      <c r="B21" s="346"/>
      <c r="C21" s="261" t="s">
        <v>13</v>
      </c>
      <c r="D21" s="350"/>
      <c r="E21" s="350"/>
      <c r="F21" s="350"/>
      <c r="G21" s="350"/>
      <c r="H21" s="354"/>
      <c r="I21" s="198"/>
      <c r="J21" s="198"/>
      <c r="L21" s="199">
        <v>0</v>
      </c>
      <c r="M21" s="199">
        <v>0</v>
      </c>
      <c r="N21" s="199">
        <v>0</v>
      </c>
      <c r="P21" s="200">
        <f>P19-P20</f>
        <v>0</v>
      </c>
      <c r="Q21" s="200">
        <f>Q19-Q20</f>
        <v>0</v>
      </c>
      <c r="S21" s="200">
        <f>S19-P19</f>
        <v>0</v>
      </c>
      <c r="T21" s="200">
        <f>T19-Q19</f>
        <v>0</v>
      </c>
    </row>
    <row r="22" spans="1:20" x14ac:dyDescent="0.2">
      <c r="A22" s="323">
        <f t="shared" si="1"/>
        <v>14</v>
      </c>
      <c r="D22" s="350"/>
      <c r="E22" s="350"/>
      <c r="F22" s="350"/>
      <c r="G22" s="350"/>
      <c r="H22" s="355"/>
      <c r="I22" s="202"/>
      <c r="J22" s="202"/>
      <c r="L22" s="188"/>
      <c r="M22" s="188"/>
      <c r="N22" s="188"/>
      <c r="S22" s="190"/>
      <c r="T22" s="190"/>
    </row>
    <row r="23" spans="1:20" x14ac:dyDescent="0.2">
      <c r="A23" s="323">
        <f t="shared" si="1"/>
        <v>15</v>
      </c>
      <c r="D23" s="350"/>
      <c r="E23" s="350"/>
      <c r="F23" s="350"/>
      <c r="G23" s="350"/>
      <c r="H23" s="355"/>
      <c r="I23" s="202"/>
      <c r="J23" s="202"/>
      <c r="L23" s="188"/>
      <c r="M23" s="188"/>
      <c r="N23" s="188"/>
    </row>
    <row r="24" spans="1:20" x14ac:dyDescent="0.2">
      <c r="A24" s="323">
        <f t="shared" si="1"/>
        <v>16</v>
      </c>
      <c r="B24" s="323">
        <v>31</v>
      </c>
      <c r="C24" s="169" t="s">
        <v>74</v>
      </c>
      <c r="D24" s="350">
        <v>704963.44880883337</v>
      </c>
      <c r="E24" s="350">
        <v>712854</v>
      </c>
      <c r="F24" s="350">
        <v>715502</v>
      </c>
      <c r="G24" s="350"/>
      <c r="H24" s="356">
        <v>38.89</v>
      </c>
      <c r="I24" s="207">
        <f>H24*(1+S24)</f>
        <v>50.557000000000002</v>
      </c>
      <c r="J24" s="207">
        <f>I24*(1+T24)</f>
        <v>65.724100000000007</v>
      </c>
      <c r="L24" s="188">
        <f>D24*$H24</f>
        <v>27416028.524175532</v>
      </c>
      <c r="M24" s="188">
        <f t="shared" ref="M24:N26" si="10">E24*$H24</f>
        <v>27722892.059999999</v>
      </c>
      <c r="N24" s="188">
        <f t="shared" si="10"/>
        <v>27825872.780000001</v>
      </c>
      <c r="P24" s="188">
        <f>E24*I24</f>
        <v>36039759.678000003</v>
      </c>
      <c r="Q24" s="188">
        <f>F24*J24</f>
        <v>47025724.998200007</v>
      </c>
      <c r="S24" s="189">
        <v>0.3</v>
      </c>
      <c r="T24" s="189">
        <f>S24</f>
        <v>0.3</v>
      </c>
    </row>
    <row r="25" spans="1:20" x14ac:dyDescent="0.2">
      <c r="A25" s="323">
        <f t="shared" si="1"/>
        <v>17</v>
      </c>
      <c r="B25" s="323">
        <v>31</v>
      </c>
      <c r="C25" s="169" t="s">
        <v>75</v>
      </c>
      <c r="D25" s="350">
        <v>233381197.66869646</v>
      </c>
      <c r="E25" s="350">
        <v>228527070</v>
      </c>
      <c r="F25" s="350">
        <v>228425254</v>
      </c>
      <c r="G25" s="350"/>
      <c r="H25" s="325">
        <v>0.41249000000000002</v>
      </c>
      <c r="I25" s="208">
        <f t="shared" ref="I25:J26" si="11">H25*(1+S25)</f>
        <v>0.58485869238343302</v>
      </c>
      <c r="J25" s="208">
        <f t="shared" si="11"/>
        <v>0.56413171293476005</v>
      </c>
      <c r="L25" s="188">
        <f t="shared" ref="L25:L26" si="12">D25*$H25</f>
        <v>96267410.226360604</v>
      </c>
      <c r="M25" s="188">
        <f t="shared" si="10"/>
        <v>94265131.104300007</v>
      </c>
      <c r="N25" s="188">
        <f t="shared" si="10"/>
        <v>94223133.022459999</v>
      </c>
      <c r="P25" s="188">
        <f t="shared" ref="P25:Q30" si="13">E25*I25</f>
        <v>133656043.33441727</v>
      </c>
      <c r="Q25" s="188">
        <f t="shared" si="13"/>
        <v>128861929.81657766</v>
      </c>
      <c r="S25" s="190">
        <f>(S$34-(SUM(P24,P26,P29)-SUM(M24,M26,M29)))/(M33-SUM(M24,M26,M29))</f>
        <v>0.41787362695685487</v>
      </c>
      <c r="T25" s="190">
        <f>((Q34-SUM(Q24,Q26,Q29))/F25)/I25-1</f>
        <v>-3.5439294514382214E-2</v>
      </c>
    </row>
    <row r="26" spans="1:20" x14ac:dyDescent="0.2">
      <c r="A26" s="323">
        <f t="shared" si="1"/>
        <v>18</v>
      </c>
      <c r="B26" s="323">
        <v>31</v>
      </c>
      <c r="C26" s="169" t="s">
        <v>77</v>
      </c>
      <c r="D26" s="350">
        <v>233381197.66869646</v>
      </c>
      <c r="E26" s="350">
        <v>228527070</v>
      </c>
      <c r="F26" s="350">
        <v>228425254</v>
      </c>
      <c r="G26" s="350"/>
      <c r="H26" s="325">
        <v>1.4919999999999999E-2</v>
      </c>
      <c r="I26" s="208">
        <f>H26*(1+S26)</f>
        <v>1.8514105689995088E-2</v>
      </c>
      <c r="J26" s="208">
        <f t="shared" si="11"/>
        <v>1.8514105689995088E-2</v>
      </c>
      <c r="L26" s="188">
        <f t="shared" si="12"/>
        <v>3482047.4692169512</v>
      </c>
      <c r="M26" s="188">
        <f t="shared" si="10"/>
        <v>3409623.8843999999</v>
      </c>
      <c r="N26" s="188">
        <f t="shared" si="10"/>
        <v>3408104.7896799999</v>
      </c>
      <c r="O26" s="226"/>
      <c r="P26" s="188">
        <f t="shared" si="13"/>
        <v>4230974.3270049058</v>
      </c>
      <c r="Q26" s="188">
        <f t="shared" si="13"/>
        <v>4229089.2948199734</v>
      </c>
      <c r="S26" s="190">
        <v>0.24089180227849125</v>
      </c>
      <c r="T26" s="190">
        <v>0</v>
      </c>
    </row>
    <row r="27" spans="1:20" x14ac:dyDescent="0.2">
      <c r="A27" s="323">
        <f t="shared" si="1"/>
        <v>19</v>
      </c>
      <c r="B27" s="323">
        <v>31</v>
      </c>
      <c r="C27" s="169" t="s">
        <v>160</v>
      </c>
      <c r="D27" s="350"/>
      <c r="E27" s="350"/>
      <c r="F27" s="350"/>
      <c r="G27" s="350"/>
      <c r="H27" s="357"/>
      <c r="I27" s="207"/>
      <c r="J27" s="207"/>
      <c r="L27" s="193">
        <f>SUM(L24:L26)</f>
        <v>127165486.2197531</v>
      </c>
      <c r="M27" s="193">
        <f t="shared" ref="M27:N27" si="14">SUM(M24:M26)</f>
        <v>125397647.0487</v>
      </c>
      <c r="N27" s="193">
        <f t="shared" si="14"/>
        <v>125457110.59214</v>
      </c>
      <c r="O27" s="203"/>
      <c r="P27" s="193">
        <f t="shared" ref="P27:Q27" si="15">SUM(P24:P26)</f>
        <v>173926777.33942217</v>
      </c>
      <c r="Q27" s="193">
        <f t="shared" si="15"/>
        <v>180116744.10959765</v>
      </c>
      <c r="S27" s="190"/>
      <c r="T27" s="190"/>
    </row>
    <row r="28" spans="1:20" x14ac:dyDescent="0.2">
      <c r="A28" s="323">
        <f t="shared" si="1"/>
        <v>20</v>
      </c>
      <c r="D28" s="350"/>
      <c r="E28" s="350"/>
      <c r="F28" s="350"/>
      <c r="G28" s="350"/>
      <c r="H28" s="357"/>
      <c r="I28" s="207"/>
      <c r="J28" s="207"/>
      <c r="L28" s="188"/>
      <c r="M28" s="188"/>
      <c r="N28" s="188"/>
      <c r="O28" s="226"/>
      <c r="P28" s="188"/>
      <c r="Q28" s="188"/>
      <c r="S28" s="190"/>
      <c r="T28" s="190"/>
    </row>
    <row r="29" spans="1:20" x14ac:dyDescent="0.2">
      <c r="A29" s="323">
        <f t="shared" si="1"/>
        <v>21</v>
      </c>
      <c r="B29" s="323" t="s">
        <v>117</v>
      </c>
      <c r="C29" s="169" t="s">
        <v>74</v>
      </c>
      <c r="D29" s="350">
        <v>12</v>
      </c>
      <c r="E29" s="350">
        <v>0</v>
      </c>
      <c r="F29" s="350">
        <v>0</v>
      </c>
      <c r="G29" s="350"/>
      <c r="H29" s="356">
        <v>364.04</v>
      </c>
      <c r="I29" s="207">
        <f t="shared" ref="I29:J30" si="16">H29*(1+S29)</f>
        <v>364.04</v>
      </c>
      <c r="J29" s="207">
        <f t="shared" si="16"/>
        <v>364.04</v>
      </c>
      <c r="L29" s="188">
        <f t="shared" ref="L29:N30" si="17">D29*$H29</f>
        <v>4368.4800000000005</v>
      </c>
      <c r="M29" s="188">
        <f t="shared" si="17"/>
        <v>0</v>
      </c>
      <c r="N29" s="188">
        <f t="shared" si="17"/>
        <v>0</v>
      </c>
      <c r="O29" s="226"/>
      <c r="P29" s="188">
        <f t="shared" si="13"/>
        <v>0</v>
      </c>
      <c r="Q29" s="188">
        <f t="shared" si="13"/>
        <v>0</v>
      </c>
      <c r="S29" s="189">
        <v>0</v>
      </c>
      <c r="T29" s="189">
        <v>0</v>
      </c>
    </row>
    <row r="30" spans="1:20" x14ac:dyDescent="0.2">
      <c r="A30" s="323">
        <f t="shared" si="1"/>
        <v>22</v>
      </c>
      <c r="B30" s="323" t="s">
        <v>117</v>
      </c>
      <c r="C30" s="169" t="s">
        <v>75</v>
      </c>
      <c r="D30" s="350">
        <v>1047.2599999999998</v>
      </c>
      <c r="E30" s="350">
        <v>0</v>
      </c>
      <c r="F30" s="350">
        <v>0</v>
      </c>
      <c r="G30" s="350"/>
      <c r="H30" s="325">
        <v>0.41249000000000002</v>
      </c>
      <c r="I30" s="208">
        <f t="shared" si="16"/>
        <v>0.58485869238343302</v>
      </c>
      <c r="J30" s="208">
        <f t="shared" si="16"/>
        <v>0.56413171293476005</v>
      </c>
      <c r="L30" s="188">
        <f t="shared" si="17"/>
        <v>431.98427739999994</v>
      </c>
      <c r="M30" s="188">
        <f t="shared" si="17"/>
        <v>0</v>
      </c>
      <c r="N30" s="188">
        <f t="shared" si="17"/>
        <v>0</v>
      </c>
      <c r="O30" s="226"/>
      <c r="P30" s="188">
        <f t="shared" si="13"/>
        <v>0</v>
      </c>
      <c r="Q30" s="188">
        <f t="shared" si="13"/>
        <v>0</v>
      </c>
      <c r="S30" s="190">
        <f>S25</f>
        <v>0.41787362695685487</v>
      </c>
      <c r="T30" s="190">
        <f>T25</f>
        <v>-3.5439294514382214E-2</v>
      </c>
    </row>
    <row r="31" spans="1:20" x14ac:dyDescent="0.2">
      <c r="A31" s="323">
        <f t="shared" si="1"/>
        <v>23</v>
      </c>
      <c r="B31" s="323" t="s">
        <v>117</v>
      </c>
      <c r="C31" s="169" t="s">
        <v>160</v>
      </c>
      <c r="D31" s="350"/>
      <c r="E31" s="350"/>
      <c r="F31" s="350"/>
      <c r="G31" s="350"/>
      <c r="H31" s="355"/>
      <c r="I31" s="202"/>
      <c r="J31" s="202"/>
      <c r="L31" s="193">
        <f>SUM(L29:L30)</f>
        <v>4800.4642774000004</v>
      </c>
      <c r="M31" s="193">
        <f t="shared" ref="M31:N31" si="18">SUM(M29:M30)</f>
        <v>0</v>
      </c>
      <c r="N31" s="193">
        <f t="shared" si="18"/>
        <v>0</v>
      </c>
      <c r="O31" s="203"/>
      <c r="P31" s="193">
        <f t="shared" ref="P31:Q31" si="19">SUM(P29:P30)</f>
        <v>0</v>
      </c>
      <c r="Q31" s="193">
        <f t="shared" si="19"/>
        <v>0</v>
      </c>
    </row>
    <row r="32" spans="1:20" x14ac:dyDescent="0.2">
      <c r="A32" s="323">
        <f t="shared" si="1"/>
        <v>24</v>
      </c>
      <c r="D32" s="350"/>
      <c r="E32" s="350"/>
      <c r="F32" s="350"/>
      <c r="G32" s="350"/>
      <c r="H32" s="355"/>
      <c r="I32" s="202"/>
      <c r="J32" s="202"/>
      <c r="L32" s="188"/>
      <c r="M32" s="188"/>
      <c r="N32" s="188"/>
    </row>
    <row r="33" spans="1:20" x14ac:dyDescent="0.2">
      <c r="A33" s="323">
        <f t="shared" si="1"/>
        <v>25</v>
      </c>
      <c r="C33" s="169" t="s">
        <v>241</v>
      </c>
      <c r="D33" s="350"/>
      <c r="E33" s="350"/>
      <c r="F33" s="350"/>
      <c r="G33" s="350"/>
      <c r="H33" s="355"/>
      <c r="I33" s="202"/>
      <c r="J33" s="202"/>
      <c r="L33" s="188">
        <f>SUM(L27,L31)</f>
        <v>127170286.6840305</v>
      </c>
      <c r="M33" s="188">
        <f t="shared" ref="M33:Q33" si="20">SUM(M27,M31)</f>
        <v>125397647.0487</v>
      </c>
      <c r="N33" s="188">
        <f t="shared" si="20"/>
        <v>125457110.59214</v>
      </c>
      <c r="O33" s="188"/>
      <c r="P33" s="188">
        <f t="shared" si="20"/>
        <v>173926777.33942217</v>
      </c>
      <c r="Q33" s="188">
        <f t="shared" si="20"/>
        <v>180116744.10959765</v>
      </c>
      <c r="S33" s="359">
        <v>173926777.3394222</v>
      </c>
      <c r="T33" s="359">
        <v>180116744.10959762</v>
      </c>
    </row>
    <row r="34" spans="1:20" x14ac:dyDescent="0.2">
      <c r="A34" s="323">
        <f t="shared" si="1"/>
        <v>26</v>
      </c>
      <c r="C34" s="169" t="s">
        <v>240</v>
      </c>
      <c r="D34" s="350"/>
      <c r="E34" s="350"/>
      <c r="F34" s="350"/>
      <c r="G34" s="350"/>
      <c r="H34" s="355"/>
      <c r="I34" s="202"/>
      <c r="J34" s="202"/>
      <c r="L34" s="188"/>
      <c r="M34" s="188"/>
      <c r="N34" s="188"/>
      <c r="P34" s="359">
        <v>173926777.3394222</v>
      </c>
      <c r="Q34" s="359">
        <v>180116744.10959762</v>
      </c>
      <c r="R34" s="191"/>
      <c r="S34" s="197">
        <f>S33-M33</f>
        <v>48529130.290722191</v>
      </c>
      <c r="T34" s="197">
        <f>T33-N33-S34</f>
        <v>6130503.226735428</v>
      </c>
    </row>
    <row r="35" spans="1:20" x14ac:dyDescent="0.2">
      <c r="A35" s="323">
        <f t="shared" si="1"/>
        <v>27</v>
      </c>
      <c r="C35" s="261" t="s">
        <v>13</v>
      </c>
      <c r="D35" s="350"/>
      <c r="E35" s="350"/>
      <c r="F35" s="350"/>
      <c r="G35" s="350"/>
      <c r="H35" s="355"/>
      <c r="I35" s="198"/>
      <c r="J35" s="198"/>
      <c r="K35" s="261"/>
      <c r="L35" s="199">
        <v>0</v>
      </c>
      <c r="M35" s="199">
        <v>0</v>
      </c>
      <c r="N35" s="199">
        <v>0</v>
      </c>
      <c r="O35" s="261"/>
      <c r="P35" s="200">
        <f>P33-P34</f>
        <v>0</v>
      </c>
      <c r="Q35" s="200">
        <f>Q33-Q34</f>
        <v>0</v>
      </c>
      <c r="R35" s="261"/>
      <c r="S35" s="200">
        <f>S33-P33</f>
        <v>0</v>
      </c>
      <c r="T35" s="200">
        <f>T33-Q33</f>
        <v>0</v>
      </c>
    </row>
    <row r="36" spans="1:20" x14ac:dyDescent="0.2">
      <c r="A36" s="323">
        <f t="shared" si="1"/>
        <v>28</v>
      </c>
      <c r="D36" s="350"/>
      <c r="E36" s="350"/>
      <c r="F36" s="350"/>
      <c r="G36" s="350"/>
      <c r="H36" s="355"/>
      <c r="I36" s="202"/>
      <c r="J36" s="202"/>
      <c r="L36" s="188"/>
      <c r="M36" s="188"/>
      <c r="N36" s="188"/>
    </row>
    <row r="37" spans="1:20" x14ac:dyDescent="0.2">
      <c r="A37" s="323">
        <f t="shared" si="1"/>
        <v>29</v>
      </c>
      <c r="D37" s="350"/>
      <c r="E37" s="350"/>
      <c r="F37" s="350"/>
      <c r="G37" s="350"/>
      <c r="H37" s="355"/>
      <c r="I37" s="202"/>
      <c r="J37" s="202"/>
      <c r="L37" s="188"/>
      <c r="M37" s="188"/>
      <c r="N37" s="188"/>
    </row>
    <row r="38" spans="1:20" x14ac:dyDescent="0.2">
      <c r="A38" s="323">
        <f t="shared" si="1"/>
        <v>30</v>
      </c>
      <c r="B38" s="323">
        <v>41</v>
      </c>
      <c r="C38" s="39" t="s">
        <v>74</v>
      </c>
      <c r="D38" s="350">
        <v>15038.317323823621</v>
      </c>
      <c r="E38" s="350">
        <v>15068</v>
      </c>
      <c r="F38" s="350">
        <v>15045</v>
      </c>
      <c r="G38" s="350"/>
      <c r="H38" s="356">
        <v>130.33000000000001</v>
      </c>
      <c r="I38" s="207">
        <f>H38*(1+S38)</f>
        <v>169.42900000000003</v>
      </c>
      <c r="J38" s="207">
        <f>I38*(1+T38)</f>
        <v>220.25770000000006</v>
      </c>
      <c r="L38" s="188">
        <f>D38*$H38</f>
        <v>1959943.8968139328</v>
      </c>
      <c r="M38" s="188">
        <f t="shared" ref="M38:N46" si="21">E38*$H38</f>
        <v>1963812.4400000002</v>
      </c>
      <c r="N38" s="188">
        <f t="shared" si="21"/>
        <v>1960814.85</v>
      </c>
      <c r="P38" s="188">
        <f>E38*I38</f>
        <v>2552956.1720000003</v>
      </c>
      <c r="Q38" s="188">
        <f>F38*J38</f>
        <v>3313777.0965000009</v>
      </c>
      <c r="S38" s="189">
        <v>0.3</v>
      </c>
      <c r="T38" s="189">
        <f>S38</f>
        <v>0.3</v>
      </c>
    </row>
    <row r="39" spans="1:20" x14ac:dyDescent="0.2">
      <c r="A39" s="323">
        <f t="shared" si="1"/>
        <v>31</v>
      </c>
      <c r="B39" s="323">
        <v>41</v>
      </c>
      <c r="C39" s="285" t="s">
        <v>79</v>
      </c>
      <c r="D39" s="350">
        <v>4963628.5204616161</v>
      </c>
      <c r="E39" s="350">
        <v>4954236</v>
      </c>
      <c r="F39" s="350">
        <v>4954236</v>
      </c>
      <c r="G39" s="350"/>
      <c r="H39" s="356">
        <v>1.37</v>
      </c>
      <c r="I39" s="207">
        <f>H39*(1+S39)</f>
        <v>1.6166</v>
      </c>
      <c r="J39" s="207">
        <f>I39*(1+T39)</f>
        <v>1.9075879999999998</v>
      </c>
      <c r="L39" s="188">
        <f t="shared" ref="L39:L46" si="22">D39*$H39</f>
        <v>6800171.0730324145</v>
      </c>
      <c r="M39" s="188">
        <f t="shared" si="21"/>
        <v>6787303.3200000003</v>
      </c>
      <c r="N39" s="188">
        <f t="shared" si="21"/>
        <v>6787303.3200000003</v>
      </c>
      <c r="P39" s="188">
        <f t="shared" ref="P39:Q46" si="23">E39*I39</f>
        <v>8009017.9176000003</v>
      </c>
      <c r="Q39" s="188">
        <f t="shared" si="23"/>
        <v>9450641.1427679993</v>
      </c>
      <c r="S39" s="189">
        <v>0.18</v>
      </c>
      <c r="T39" s="189">
        <f>S39</f>
        <v>0.18</v>
      </c>
    </row>
    <row r="40" spans="1:20" x14ac:dyDescent="0.2">
      <c r="A40" s="323">
        <f t="shared" si="1"/>
        <v>32</v>
      </c>
      <c r="B40" s="323">
        <v>41</v>
      </c>
      <c r="C40" s="39" t="s">
        <v>77</v>
      </c>
      <c r="D40" s="350">
        <v>66864863.353552669</v>
      </c>
      <c r="E40" s="350">
        <v>60329188.999999993</v>
      </c>
      <c r="F40" s="350">
        <v>59497852</v>
      </c>
      <c r="G40" s="350"/>
      <c r="H40" s="325">
        <v>1.119E-2</v>
      </c>
      <c r="I40" s="208">
        <f t="shared" ref="I40:J41" si="24">H40*(1+S40)</f>
        <v>1.5000885315999673E-2</v>
      </c>
      <c r="J40" s="208">
        <f t="shared" si="24"/>
        <v>1.5013592424837232E-2</v>
      </c>
      <c r="L40" s="188">
        <f t="shared" si="22"/>
        <v>748217.82092625438</v>
      </c>
      <c r="M40" s="188">
        <f t="shared" si="21"/>
        <v>675083.6249099999</v>
      </c>
      <c r="N40" s="188">
        <f t="shared" si="21"/>
        <v>665780.96388000005</v>
      </c>
      <c r="P40" s="188">
        <f t="shared" si="23"/>
        <v>904991.2453962689</v>
      </c>
      <c r="Q40" s="188">
        <f t="shared" si="23"/>
        <v>893276.50008128677</v>
      </c>
      <c r="S40" s="190">
        <v>0.34056169043786161</v>
      </c>
      <c r="T40" s="190">
        <v>8.4709059298017169E-4</v>
      </c>
    </row>
    <row r="41" spans="1:20" x14ac:dyDescent="0.2">
      <c r="A41" s="323">
        <f t="shared" si="1"/>
        <v>33</v>
      </c>
      <c r="B41" s="323">
        <v>41</v>
      </c>
      <c r="C41" s="285" t="s">
        <v>78</v>
      </c>
      <c r="D41" s="350">
        <v>15038.317323823621</v>
      </c>
      <c r="E41" s="350">
        <v>15068</v>
      </c>
      <c r="F41" s="350">
        <v>15045</v>
      </c>
      <c r="G41" s="350"/>
      <c r="H41" s="356">
        <v>126.28</v>
      </c>
      <c r="I41" s="207">
        <f t="shared" si="24"/>
        <v>187.0585317531125</v>
      </c>
      <c r="J41" s="207">
        <f t="shared" si="24"/>
        <v>169.39512460712169</v>
      </c>
      <c r="L41" s="188">
        <f t="shared" si="22"/>
        <v>1899038.711652447</v>
      </c>
      <c r="M41" s="188">
        <f t="shared" si="21"/>
        <v>1902787.04</v>
      </c>
      <c r="N41" s="188">
        <f t="shared" si="21"/>
        <v>1899882.6</v>
      </c>
      <c r="P41" s="188">
        <f t="shared" si="23"/>
        <v>2818597.9564558994</v>
      </c>
      <c r="Q41" s="188">
        <f t="shared" si="23"/>
        <v>2548549.6497141458</v>
      </c>
      <c r="S41" s="190">
        <f>S45</f>
        <v>0.48129974463978864</v>
      </c>
      <c r="T41" s="190">
        <f>T45</f>
        <v>-9.4427166622390146E-2</v>
      </c>
    </row>
    <row r="42" spans="1:20" x14ac:dyDescent="0.2">
      <c r="A42" s="323">
        <f t="shared" si="1"/>
        <v>34</v>
      </c>
      <c r="D42" s="350"/>
      <c r="E42" s="350"/>
      <c r="F42" s="350"/>
      <c r="G42" s="350"/>
      <c r="H42" s="357"/>
      <c r="I42" s="204"/>
      <c r="J42" s="204"/>
      <c r="L42" s="188"/>
      <c r="M42" s="188"/>
      <c r="N42" s="188"/>
      <c r="P42" s="188"/>
      <c r="Q42" s="188"/>
      <c r="S42" s="190"/>
      <c r="T42" s="190"/>
    </row>
    <row r="43" spans="1:20" x14ac:dyDescent="0.2">
      <c r="A43" s="323">
        <f t="shared" si="1"/>
        <v>35</v>
      </c>
      <c r="B43" s="323">
        <v>41</v>
      </c>
      <c r="C43" s="285" t="s">
        <v>80</v>
      </c>
      <c r="D43" s="350"/>
      <c r="E43" s="350"/>
      <c r="F43" s="350"/>
      <c r="G43" s="350"/>
      <c r="H43" s="357"/>
      <c r="I43" s="204"/>
      <c r="J43" s="204"/>
      <c r="L43" s="188"/>
      <c r="M43" s="188"/>
      <c r="N43" s="188"/>
      <c r="P43" s="188"/>
      <c r="Q43" s="188"/>
      <c r="S43" s="190"/>
      <c r="T43" s="190"/>
    </row>
    <row r="44" spans="1:20" x14ac:dyDescent="0.2">
      <c r="A44" s="323">
        <f t="shared" si="1"/>
        <v>36</v>
      </c>
      <c r="B44" s="323">
        <v>41</v>
      </c>
      <c r="C44" s="285" t="s">
        <v>81</v>
      </c>
      <c r="D44" s="350">
        <v>12370998.835000003</v>
      </c>
      <c r="E44" s="350">
        <v>11140115.685099758</v>
      </c>
      <c r="F44" s="350">
        <v>11000787.386478601</v>
      </c>
      <c r="G44" s="350"/>
      <c r="H44" s="325">
        <v>0.14030999999999999</v>
      </c>
      <c r="I44" s="208">
        <f t="shared" ref="I44:J46" si="25">H44*(1+S44)</f>
        <v>0.20784116717040874</v>
      </c>
      <c r="J44" s="208">
        <f t="shared" si="25"/>
        <v>0.18821531464701652</v>
      </c>
      <c r="L44" s="205" t="s">
        <v>242</v>
      </c>
      <c r="M44" s="205"/>
      <c r="N44" s="205"/>
      <c r="P44" s="205" t="s">
        <v>242</v>
      </c>
      <c r="Q44" s="205"/>
      <c r="S44" s="190">
        <f>S45</f>
        <v>0.48129974463978864</v>
      </c>
      <c r="T44" s="190">
        <f>T45</f>
        <v>-9.4427166622390146E-2</v>
      </c>
    </row>
    <row r="45" spans="1:20" x14ac:dyDescent="0.2">
      <c r="A45" s="323">
        <f t="shared" si="1"/>
        <v>37</v>
      </c>
      <c r="B45" s="323">
        <v>41</v>
      </c>
      <c r="C45" s="285" t="s">
        <v>82</v>
      </c>
      <c r="D45" s="350">
        <v>30224223.691999998</v>
      </c>
      <c r="E45" s="350">
        <v>27234497.836222988</v>
      </c>
      <c r="F45" s="350">
        <v>26882406.013379473</v>
      </c>
      <c r="G45" s="350"/>
      <c r="H45" s="325">
        <v>0.14030999999999999</v>
      </c>
      <c r="I45" s="208">
        <f t="shared" si="25"/>
        <v>0.20784116717040874</v>
      </c>
      <c r="J45" s="208">
        <f t="shared" si="25"/>
        <v>0.18821531464701652</v>
      </c>
      <c r="L45" s="188">
        <f t="shared" si="22"/>
        <v>4240760.8262245199</v>
      </c>
      <c r="M45" s="188">
        <f t="shared" si="21"/>
        <v>3821272.3914004471</v>
      </c>
      <c r="N45" s="188">
        <f t="shared" si="21"/>
        <v>3771870.3877372737</v>
      </c>
      <c r="P45" s="188">
        <f t="shared" si="23"/>
        <v>5660449.8175805574</v>
      </c>
      <c r="Q45" s="188">
        <f t="shared" si="23"/>
        <v>5059680.5062770667</v>
      </c>
      <c r="S45" s="190">
        <f>(S$64-(SUM(P38,P39,P40,P51,P52)-SUM(M38,M39,M40,M51,M52)))/(M63-SUM(M38,M39,M40,M51,M52))</f>
        <v>0.48129974463978864</v>
      </c>
      <c r="T45" s="190">
        <f>((Q64-SUM(Q38:Q40,Q51:Q52)))/((I41*SUM(F41,F53))+(I45*SUM(F45,F57))+(I46*SUM(F46,F58)))-1</f>
        <v>-9.4427166622390146E-2</v>
      </c>
    </row>
    <row r="46" spans="1:20" x14ac:dyDescent="0.2">
      <c r="A46" s="323">
        <f t="shared" si="1"/>
        <v>38</v>
      </c>
      <c r="B46" s="323">
        <v>41</v>
      </c>
      <c r="C46" s="285" t="s">
        <v>83</v>
      </c>
      <c r="D46" s="350">
        <v>24269640.826552667</v>
      </c>
      <c r="E46" s="350">
        <v>21954575.478677247</v>
      </c>
      <c r="F46" s="350">
        <v>21614658.600141924</v>
      </c>
      <c r="G46" s="350"/>
      <c r="H46" s="325">
        <v>0.12131</v>
      </c>
      <c r="I46" s="208">
        <f t="shared" si="25"/>
        <v>0.17969647202225275</v>
      </c>
      <c r="J46" s="208">
        <f t="shared" si="25"/>
        <v>0.16272824331715183</v>
      </c>
      <c r="L46" s="188">
        <f t="shared" si="22"/>
        <v>2944150.1286691041</v>
      </c>
      <c r="M46" s="188">
        <f t="shared" si="21"/>
        <v>2663309.5513183367</v>
      </c>
      <c r="N46" s="188">
        <f t="shared" si="21"/>
        <v>2622074.2347832168</v>
      </c>
      <c r="P46" s="188">
        <f t="shared" si="23"/>
        <v>3945159.7582645621</v>
      </c>
      <c r="Q46" s="188">
        <f t="shared" si="23"/>
        <v>3517315.4239010634</v>
      </c>
      <c r="S46" s="190">
        <f>S45</f>
        <v>0.48129974463978864</v>
      </c>
      <c r="T46" s="190">
        <f>T45</f>
        <v>-9.4427166622390146E-2</v>
      </c>
    </row>
    <row r="47" spans="1:20" x14ac:dyDescent="0.2">
      <c r="A47" s="323">
        <f t="shared" si="1"/>
        <v>39</v>
      </c>
      <c r="B47" s="323">
        <v>41</v>
      </c>
      <c r="C47" s="39" t="s">
        <v>94</v>
      </c>
      <c r="D47" s="227">
        <f>SUM(D44:D46)</f>
        <v>66864863.353552669</v>
      </c>
      <c r="E47" s="227">
        <f t="shared" ref="E47:F47" si="26">SUM(E44:E46)</f>
        <v>60329188.999999985</v>
      </c>
      <c r="F47" s="227">
        <f t="shared" si="26"/>
        <v>59497852</v>
      </c>
      <c r="G47" s="3"/>
      <c r="H47" s="201"/>
      <c r="I47" s="202"/>
      <c r="J47" s="202"/>
      <c r="L47" s="193">
        <f>SUM(L45:L46)</f>
        <v>7184910.9548936244</v>
      </c>
      <c r="M47" s="193">
        <f t="shared" ref="M47:N47" si="27">SUM(M45:M46)</f>
        <v>6484581.9427187834</v>
      </c>
      <c r="N47" s="193">
        <f t="shared" si="27"/>
        <v>6393944.6225204905</v>
      </c>
      <c r="O47" s="203"/>
      <c r="P47" s="193">
        <f>SUM(P45:P46)</f>
        <v>9605609.5758451186</v>
      </c>
      <c r="Q47" s="193">
        <f>SUM(Q45:Q46)</f>
        <v>8576995.93017813</v>
      </c>
      <c r="S47" s="190"/>
      <c r="T47" s="190"/>
    </row>
    <row r="48" spans="1:20" x14ac:dyDescent="0.2">
      <c r="A48" s="323">
        <f t="shared" si="1"/>
        <v>40</v>
      </c>
      <c r="D48" s="225"/>
      <c r="E48" s="225"/>
      <c r="F48" s="225"/>
      <c r="G48" s="3"/>
      <c r="H48" s="201"/>
      <c r="I48" s="202"/>
      <c r="J48" s="202"/>
      <c r="L48" s="188"/>
      <c r="M48" s="188"/>
      <c r="N48" s="188"/>
      <c r="S48" s="190"/>
      <c r="T48" s="190"/>
    </row>
    <row r="49" spans="1:20" x14ac:dyDescent="0.2">
      <c r="A49" s="323">
        <f t="shared" si="1"/>
        <v>41</v>
      </c>
      <c r="B49" s="323">
        <v>41</v>
      </c>
      <c r="C49" s="39" t="s">
        <v>160</v>
      </c>
      <c r="D49" s="225"/>
      <c r="E49" s="225"/>
      <c r="F49" s="225"/>
      <c r="G49" s="3"/>
      <c r="H49" s="201"/>
      <c r="I49" s="202"/>
      <c r="J49" s="202"/>
      <c r="L49" s="188">
        <f>SUM(L38:L41,L47)</f>
        <v>18592282.457318671</v>
      </c>
      <c r="M49" s="188">
        <f t="shared" ref="M49:Q49" si="28">SUM(M38:M41,M47)</f>
        <v>17813568.367628783</v>
      </c>
      <c r="N49" s="188">
        <f t="shared" si="28"/>
        <v>17707726.35640049</v>
      </c>
      <c r="O49" s="188"/>
      <c r="P49" s="188">
        <f t="shared" si="28"/>
        <v>23891172.867297288</v>
      </c>
      <c r="Q49" s="188">
        <f t="shared" si="28"/>
        <v>24783240.319241561</v>
      </c>
      <c r="S49" s="190"/>
      <c r="T49" s="190"/>
    </row>
    <row r="50" spans="1:20" x14ac:dyDescent="0.2">
      <c r="A50" s="323">
        <f t="shared" si="1"/>
        <v>42</v>
      </c>
      <c r="C50" s="39"/>
      <c r="D50" s="225"/>
      <c r="E50" s="225"/>
      <c r="F50" s="225"/>
      <c r="G50" s="3"/>
      <c r="H50" s="201"/>
      <c r="I50" s="202"/>
      <c r="J50" s="202"/>
      <c r="L50" s="188"/>
      <c r="M50" s="188"/>
      <c r="N50" s="188"/>
      <c r="S50" s="190"/>
      <c r="T50" s="190"/>
    </row>
    <row r="51" spans="1:20" x14ac:dyDescent="0.2">
      <c r="A51" s="323">
        <f t="shared" si="1"/>
        <v>43</v>
      </c>
      <c r="B51" s="323" t="s">
        <v>119</v>
      </c>
      <c r="C51" s="39" t="s">
        <v>74</v>
      </c>
      <c r="D51" s="350">
        <v>1128</v>
      </c>
      <c r="E51" s="350">
        <v>1128</v>
      </c>
      <c r="F51" s="350">
        <v>1128</v>
      </c>
      <c r="G51" s="350"/>
      <c r="H51" s="356">
        <v>422.79</v>
      </c>
      <c r="I51" s="207">
        <f t="shared" ref="I51:J53" si="29">H51*(1+S51)</f>
        <v>422.79</v>
      </c>
      <c r="J51" s="207">
        <f t="shared" si="29"/>
        <v>422.79</v>
      </c>
      <c r="L51" s="188">
        <f>D51*$H51</f>
        <v>476907.12</v>
      </c>
      <c r="M51" s="188">
        <f t="shared" ref="M51:N53" si="30">E51*$H51</f>
        <v>476907.12</v>
      </c>
      <c r="N51" s="188">
        <f t="shared" si="30"/>
        <v>476907.12</v>
      </c>
      <c r="P51" s="188">
        <f>E51*I51</f>
        <v>476907.12</v>
      </c>
      <c r="Q51" s="188">
        <f>F51*J51</f>
        <v>476907.12</v>
      </c>
      <c r="S51" s="189">
        <v>0</v>
      </c>
      <c r="T51" s="189">
        <v>0</v>
      </c>
    </row>
    <row r="52" spans="1:20" x14ac:dyDescent="0.2">
      <c r="A52" s="323">
        <f t="shared" si="1"/>
        <v>44</v>
      </c>
      <c r="B52" s="323" t="s">
        <v>119</v>
      </c>
      <c r="C52" s="285" t="s">
        <v>79</v>
      </c>
      <c r="D52" s="350">
        <v>1086180.1828917051</v>
      </c>
      <c r="E52" s="350">
        <v>1060020</v>
      </c>
      <c r="F52" s="350">
        <v>1060020</v>
      </c>
      <c r="G52" s="350"/>
      <c r="H52" s="356">
        <v>1.37</v>
      </c>
      <c r="I52" s="207">
        <f t="shared" si="29"/>
        <v>1.6166</v>
      </c>
      <c r="J52" s="207">
        <f t="shared" si="29"/>
        <v>1.9075879999999998</v>
      </c>
      <c r="L52" s="188">
        <f t="shared" ref="L52:L53" si="31">D52*$H52</f>
        <v>1488066.850561636</v>
      </c>
      <c r="M52" s="188">
        <f t="shared" si="30"/>
        <v>1452227.4000000001</v>
      </c>
      <c r="N52" s="188">
        <f t="shared" si="30"/>
        <v>1452227.4000000001</v>
      </c>
      <c r="P52" s="188">
        <f t="shared" ref="P52:Q53" si="32">E52*I52</f>
        <v>1713628.3319999999</v>
      </c>
      <c r="Q52" s="188">
        <f t="shared" si="32"/>
        <v>2022081.4317599998</v>
      </c>
      <c r="S52" s="189">
        <f>S39</f>
        <v>0.18</v>
      </c>
      <c r="T52" s="189">
        <f>T39</f>
        <v>0.18</v>
      </c>
    </row>
    <row r="53" spans="1:20" x14ac:dyDescent="0.2">
      <c r="A53" s="323">
        <f t="shared" si="1"/>
        <v>45</v>
      </c>
      <c r="B53" s="323" t="s">
        <v>119</v>
      </c>
      <c r="C53" s="285" t="s">
        <v>78</v>
      </c>
      <c r="D53" s="350">
        <v>1128</v>
      </c>
      <c r="E53" s="350">
        <v>1128</v>
      </c>
      <c r="F53" s="350">
        <v>1128</v>
      </c>
      <c r="G53" s="350"/>
      <c r="H53" s="356">
        <v>126.28</v>
      </c>
      <c r="I53" s="207">
        <f t="shared" si="29"/>
        <v>187.0585317531125</v>
      </c>
      <c r="J53" s="207">
        <f t="shared" si="29"/>
        <v>169.39512460712169</v>
      </c>
      <c r="L53" s="188">
        <f t="shared" si="31"/>
        <v>142443.84</v>
      </c>
      <c r="M53" s="188">
        <f t="shared" si="30"/>
        <v>142443.84</v>
      </c>
      <c r="N53" s="188">
        <f t="shared" si="30"/>
        <v>142443.84</v>
      </c>
      <c r="P53" s="188">
        <f t="shared" si="32"/>
        <v>211002.0238175109</v>
      </c>
      <c r="Q53" s="188">
        <f t="shared" si="32"/>
        <v>191077.70055683327</v>
      </c>
      <c r="S53" s="190">
        <f>S41</f>
        <v>0.48129974463978864</v>
      </c>
      <c r="T53" s="190">
        <f>T41</f>
        <v>-9.4427166622390146E-2</v>
      </c>
    </row>
    <row r="54" spans="1:20" x14ac:dyDescent="0.2">
      <c r="A54" s="323">
        <f t="shared" si="1"/>
        <v>46</v>
      </c>
      <c r="D54" s="350"/>
      <c r="E54" s="350"/>
      <c r="F54" s="350"/>
      <c r="G54" s="350"/>
      <c r="H54" s="357"/>
      <c r="I54" s="204"/>
      <c r="J54" s="204"/>
      <c r="L54" s="188"/>
      <c r="M54" s="188"/>
      <c r="N54" s="188"/>
      <c r="S54" s="190"/>
      <c r="T54" s="190"/>
    </row>
    <row r="55" spans="1:20" x14ac:dyDescent="0.2">
      <c r="A55" s="323">
        <f t="shared" si="1"/>
        <v>47</v>
      </c>
      <c r="B55" s="323" t="s">
        <v>119</v>
      </c>
      <c r="C55" s="285" t="s">
        <v>80</v>
      </c>
      <c r="D55" s="350"/>
      <c r="E55" s="350"/>
      <c r="F55" s="350"/>
      <c r="G55" s="350"/>
      <c r="H55" s="357"/>
      <c r="I55" s="204"/>
      <c r="J55" s="204"/>
      <c r="L55" s="188"/>
      <c r="M55" s="188"/>
      <c r="N55" s="188"/>
      <c r="S55" s="190"/>
      <c r="T55" s="190"/>
    </row>
    <row r="56" spans="1:20" x14ac:dyDescent="0.2">
      <c r="A56" s="323">
        <f t="shared" si="1"/>
        <v>48</v>
      </c>
      <c r="B56" s="323" t="s">
        <v>119</v>
      </c>
      <c r="C56" s="285" t="s">
        <v>81</v>
      </c>
      <c r="D56" s="350">
        <v>990691.57</v>
      </c>
      <c r="E56" s="350">
        <v>1061947.325190783</v>
      </c>
      <c r="F56" s="350">
        <v>1084136.17659234</v>
      </c>
      <c r="G56" s="350"/>
      <c r="H56" s="325">
        <v>0.14030999999999999</v>
      </c>
      <c r="I56" s="208">
        <f t="shared" ref="I56:J58" si="33">H56*(1+S56)</f>
        <v>0.20784116717040874</v>
      </c>
      <c r="J56" s="208">
        <f t="shared" si="33"/>
        <v>0.18821531464701652</v>
      </c>
      <c r="L56" s="205" t="s">
        <v>242</v>
      </c>
      <c r="M56" s="205"/>
      <c r="N56" s="205"/>
      <c r="P56" s="205" t="s">
        <v>242</v>
      </c>
      <c r="Q56" s="205"/>
      <c r="S56" s="190">
        <f>S44</f>
        <v>0.48129974463978864</v>
      </c>
      <c r="T56" s="190">
        <f>T44</f>
        <v>-9.4427166622390146E-2</v>
      </c>
    </row>
    <row r="57" spans="1:20" x14ac:dyDescent="0.2">
      <c r="A57" s="323">
        <f t="shared" si="1"/>
        <v>49</v>
      </c>
      <c r="B57" s="323" t="s">
        <v>119</v>
      </c>
      <c r="C57" s="285" t="s">
        <v>82</v>
      </c>
      <c r="D57" s="350">
        <v>3934422.7599999993</v>
      </c>
      <c r="E57" s="350">
        <v>4195510.5331741115</v>
      </c>
      <c r="F57" s="350">
        <v>4279893.6380464053</v>
      </c>
      <c r="G57" s="350"/>
      <c r="H57" s="325">
        <v>0.14030999999999999</v>
      </c>
      <c r="I57" s="208">
        <f t="shared" si="33"/>
        <v>0.20784116717040874</v>
      </c>
      <c r="J57" s="208">
        <f t="shared" si="33"/>
        <v>0.18821531464701652</v>
      </c>
      <c r="L57" s="188">
        <f t="shared" ref="L57:N58" si="34">D57*$H57</f>
        <v>552038.85745559982</v>
      </c>
      <c r="M57" s="188">
        <f t="shared" si="34"/>
        <v>588672.0829096596</v>
      </c>
      <c r="N57" s="188">
        <f t="shared" si="34"/>
        <v>600511.8763542911</v>
      </c>
      <c r="P57" s="188">
        <f t="shared" ref="P57:Q58" si="35">E57*I57</f>
        <v>871999.8060906512</v>
      </c>
      <c r="Q57" s="188">
        <f t="shared" si="35"/>
        <v>805541.52774066839</v>
      </c>
      <c r="S57" s="190">
        <f t="shared" ref="S57:T58" si="36">S45</f>
        <v>0.48129974463978864</v>
      </c>
      <c r="T57" s="190">
        <f t="shared" si="36"/>
        <v>-9.4427166622390146E-2</v>
      </c>
    </row>
    <row r="58" spans="1:20" x14ac:dyDescent="0.2">
      <c r="A58" s="323">
        <f t="shared" si="1"/>
        <v>50</v>
      </c>
      <c r="B58" s="323" t="s">
        <v>119</v>
      </c>
      <c r="C58" s="285" t="s">
        <v>83</v>
      </c>
      <c r="D58" s="350">
        <v>15887798.862595599</v>
      </c>
      <c r="E58" s="350">
        <v>16500211.141635105</v>
      </c>
      <c r="F58" s="350">
        <v>16765536.185361255</v>
      </c>
      <c r="G58" s="350"/>
      <c r="H58" s="325">
        <v>0.12131</v>
      </c>
      <c r="I58" s="208">
        <f t="shared" si="33"/>
        <v>0.17969647202225275</v>
      </c>
      <c r="J58" s="208">
        <f t="shared" si="33"/>
        <v>0.16272824331715183</v>
      </c>
      <c r="L58" s="188">
        <f t="shared" si="34"/>
        <v>1927348.8800214722</v>
      </c>
      <c r="M58" s="188">
        <f t="shared" si="34"/>
        <v>2001640.6135917546</v>
      </c>
      <c r="N58" s="188">
        <f t="shared" si="34"/>
        <v>2033827.1946461739</v>
      </c>
      <c r="P58" s="188">
        <f t="shared" si="35"/>
        <v>2965029.7297740956</v>
      </c>
      <c r="Q58" s="188">
        <f t="shared" si="35"/>
        <v>2728226.25171398</v>
      </c>
      <c r="S58" s="190">
        <f t="shared" si="36"/>
        <v>0.48129974463978864</v>
      </c>
      <c r="T58" s="190">
        <f t="shared" si="36"/>
        <v>-9.4427166622390146E-2</v>
      </c>
    </row>
    <row r="59" spans="1:20" x14ac:dyDescent="0.2">
      <c r="A59" s="323">
        <f t="shared" si="1"/>
        <v>51</v>
      </c>
      <c r="B59" s="323" t="s">
        <v>119</v>
      </c>
      <c r="C59" s="39" t="s">
        <v>94</v>
      </c>
      <c r="D59" s="227">
        <f>SUM(D56:D58)</f>
        <v>20812913.192595597</v>
      </c>
      <c r="E59" s="227">
        <f t="shared" ref="E59:F59" si="37">SUM(E56:E58)</f>
        <v>21757669</v>
      </c>
      <c r="F59" s="227">
        <f t="shared" si="37"/>
        <v>22129566</v>
      </c>
      <c r="G59" s="3"/>
      <c r="H59" s="201"/>
      <c r="I59" s="202"/>
      <c r="J59" s="202"/>
      <c r="L59" s="193">
        <f>SUM(L57:L58)</f>
        <v>2479387.737477072</v>
      </c>
      <c r="M59" s="193">
        <f t="shared" ref="M59:Q59" si="38">SUM(M57:M58)</f>
        <v>2590312.6965014143</v>
      </c>
      <c r="N59" s="193">
        <f t="shared" si="38"/>
        <v>2634339.0710004652</v>
      </c>
      <c r="O59" s="203"/>
      <c r="P59" s="193">
        <f t="shared" si="38"/>
        <v>3837029.5358647467</v>
      </c>
      <c r="Q59" s="193">
        <f t="shared" si="38"/>
        <v>3533767.7794546485</v>
      </c>
    </row>
    <row r="60" spans="1:20" x14ac:dyDescent="0.2">
      <c r="A60" s="323">
        <f t="shared" si="1"/>
        <v>52</v>
      </c>
      <c r="D60" s="3"/>
      <c r="E60" s="3"/>
      <c r="F60" s="3"/>
      <c r="G60" s="3"/>
      <c r="H60" s="201"/>
      <c r="I60" s="202"/>
      <c r="J60" s="202"/>
      <c r="L60" s="188"/>
      <c r="M60" s="188"/>
      <c r="N60" s="188"/>
    </row>
    <row r="61" spans="1:20" x14ac:dyDescent="0.2">
      <c r="A61" s="323">
        <f t="shared" si="1"/>
        <v>53</v>
      </c>
      <c r="B61" s="323" t="s">
        <v>119</v>
      </c>
      <c r="C61" s="39" t="s">
        <v>160</v>
      </c>
      <c r="D61" s="3"/>
      <c r="E61" s="3"/>
      <c r="F61" s="3"/>
      <c r="G61" s="3"/>
      <c r="H61" s="201"/>
      <c r="I61" s="202"/>
      <c r="J61" s="202"/>
      <c r="L61" s="188">
        <f>SUM(L51:L53,L59)</f>
        <v>4586805.548038708</v>
      </c>
      <c r="M61" s="188">
        <f t="shared" ref="M61:Q61" si="39">SUM(M51:M53,M59)</f>
        <v>4661891.0565014146</v>
      </c>
      <c r="N61" s="188">
        <f t="shared" si="39"/>
        <v>4705917.4310004655</v>
      </c>
      <c r="O61" s="188"/>
      <c r="P61" s="188">
        <f t="shared" si="39"/>
        <v>6238567.0116822571</v>
      </c>
      <c r="Q61" s="188">
        <f t="shared" si="39"/>
        <v>6223834.031771481</v>
      </c>
    </row>
    <row r="62" spans="1:20" x14ac:dyDescent="0.2">
      <c r="A62" s="323">
        <f t="shared" si="1"/>
        <v>54</v>
      </c>
      <c r="D62" s="3"/>
      <c r="E62" s="3"/>
      <c r="F62" s="3"/>
      <c r="G62" s="3"/>
      <c r="H62" s="201"/>
      <c r="I62" s="202"/>
      <c r="J62" s="202"/>
      <c r="L62" s="188"/>
      <c r="M62" s="188"/>
      <c r="N62" s="188"/>
    </row>
    <row r="63" spans="1:20" x14ac:dyDescent="0.2">
      <c r="A63" s="323">
        <f t="shared" si="1"/>
        <v>55</v>
      </c>
      <c r="C63" s="169" t="s">
        <v>243</v>
      </c>
      <c r="D63" s="3"/>
      <c r="E63" s="3"/>
      <c r="F63" s="3"/>
      <c r="G63" s="3"/>
      <c r="H63" s="201"/>
      <c r="I63" s="202"/>
      <c r="J63" s="202"/>
      <c r="L63" s="188">
        <f>SUM(L49,L61)</f>
        <v>23179088.005357377</v>
      </c>
      <c r="M63" s="188">
        <f t="shared" ref="M63:Q63" si="40">SUM(M49,M61)</f>
        <v>22475459.424130198</v>
      </c>
      <c r="N63" s="188">
        <f t="shared" si="40"/>
        <v>22413643.787400953</v>
      </c>
      <c r="O63" s="188"/>
      <c r="P63" s="188">
        <f t="shared" si="40"/>
        <v>30129739.878979545</v>
      </c>
      <c r="Q63" s="188">
        <f t="shared" si="40"/>
        <v>31007074.351013042</v>
      </c>
      <c r="S63" s="359">
        <v>30129739.878979545</v>
      </c>
      <c r="T63" s="359">
        <v>31007074.351013042</v>
      </c>
    </row>
    <row r="64" spans="1:20" x14ac:dyDescent="0.2">
      <c r="A64" s="323">
        <f t="shared" si="1"/>
        <v>56</v>
      </c>
      <c r="C64" s="169" t="s">
        <v>240</v>
      </c>
      <c r="D64" s="3"/>
      <c r="E64" s="3"/>
      <c r="F64" s="3"/>
      <c r="G64" s="3"/>
      <c r="H64" s="201"/>
      <c r="I64" s="202"/>
      <c r="J64" s="202"/>
      <c r="L64" s="188"/>
      <c r="M64" s="188"/>
      <c r="N64" s="188"/>
      <c r="P64" s="359">
        <v>30129739.878979545</v>
      </c>
      <c r="Q64" s="359">
        <v>31007074.351013042</v>
      </c>
      <c r="R64" s="191"/>
      <c r="S64" s="197">
        <f>S63-M63</f>
        <v>7654280.4548493475</v>
      </c>
      <c r="T64" s="197">
        <f>T63-N63-S64</f>
        <v>939150.10876274109</v>
      </c>
    </row>
    <row r="65" spans="1:20" x14ac:dyDescent="0.2">
      <c r="A65" s="323">
        <f t="shared" si="1"/>
        <v>57</v>
      </c>
      <c r="C65" s="261" t="s">
        <v>13</v>
      </c>
      <c r="D65" s="3"/>
      <c r="E65" s="3"/>
      <c r="F65" s="3"/>
      <c r="G65" s="3"/>
      <c r="H65" s="201"/>
      <c r="I65" s="206">
        <f>I44*900-I41</f>
        <v>-1.4812997446540521E-3</v>
      </c>
      <c r="J65" s="206">
        <f>J44*900-J41</f>
        <v>-1.3414248068102097E-3</v>
      </c>
      <c r="L65" s="199">
        <v>0</v>
      </c>
      <c r="M65" s="199">
        <v>0</v>
      </c>
      <c r="N65" s="199">
        <v>0</v>
      </c>
      <c r="O65" s="261"/>
      <c r="P65" s="200">
        <f>P63-P64</f>
        <v>0</v>
      </c>
      <c r="Q65" s="200">
        <f>Q63-Q64</f>
        <v>0</v>
      </c>
      <c r="R65" s="261"/>
      <c r="S65" s="200">
        <f>S63-P63</f>
        <v>0</v>
      </c>
      <c r="T65" s="200">
        <f>T63-Q63</f>
        <v>0</v>
      </c>
    </row>
    <row r="66" spans="1:20" x14ac:dyDescent="0.2">
      <c r="A66" s="323">
        <f t="shared" si="1"/>
        <v>58</v>
      </c>
      <c r="D66" s="3"/>
      <c r="E66" s="3"/>
      <c r="F66" s="3"/>
      <c r="G66" s="3"/>
      <c r="H66" s="201"/>
      <c r="I66" s="202"/>
      <c r="J66" s="202"/>
      <c r="L66" s="188"/>
      <c r="M66" s="188"/>
      <c r="N66" s="188"/>
    </row>
    <row r="67" spans="1:20" x14ac:dyDescent="0.2">
      <c r="A67" s="323">
        <f t="shared" si="1"/>
        <v>59</v>
      </c>
      <c r="D67" s="3"/>
      <c r="E67" s="3"/>
      <c r="F67" s="3"/>
      <c r="G67" s="3"/>
      <c r="H67" s="201"/>
      <c r="I67" s="202"/>
      <c r="J67" s="202"/>
      <c r="L67" s="188"/>
      <c r="M67" s="188"/>
      <c r="N67" s="188"/>
    </row>
    <row r="68" spans="1:20" x14ac:dyDescent="0.2">
      <c r="A68" s="323">
        <f t="shared" si="1"/>
        <v>60</v>
      </c>
      <c r="B68" s="323">
        <v>85</v>
      </c>
      <c r="C68" s="39" t="s">
        <v>74</v>
      </c>
      <c r="D68" s="350">
        <v>397.58159058346774</v>
      </c>
      <c r="E68" s="350">
        <v>408</v>
      </c>
      <c r="F68" s="350">
        <v>408</v>
      </c>
      <c r="G68" s="350"/>
      <c r="H68" s="356">
        <v>701.68</v>
      </c>
      <c r="I68" s="207">
        <f t="shared" ref="I68:J76" si="41">H68*(1+S68)</f>
        <v>912.18399999999997</v>
      </c>
      <c r="J68" s="207">
        <f t="shared" si="41"/>
        <v>1185.8391999999999</v>
      </c>
      <c r="L68" s="188">
        <f>D68*$H68</f>
        <v>278975.05048060761</v>
      </c>
      <c r="M68" s="188">
        <f t="shared" ref="M68:N76" si="42">E68*$H68</f>
        <v>286285.44</v>
      </c>
      <c r="N68" s="188">
        <f t="shared" si="42"/>
        <v>286285.44</v>
      </c>
      <c r="P68" s="188">
        <f>E68*I68</f>
        <v>372171.07199999999</v>
      </c>
      <c r="Q68" s="188">
        <f>F68*J68</f>
        <v>483822.39359999995</v>
      </c>
      <c r="S68" s="189">
        <v>0.3</v>
      </c>
      <c r="T68" s="189">
        <f>S68</f>
        <v>0.3</v>
      </c>
    </row>
    <row r="69" spans="1:20" x14ac:dyDescent="0.2">
      <c r="A69" s="323">
        <f t="shared" si="1"/>
        <v>61</v>
      </c>
      <c r="B69" s="323">
        <v>85</v>
      </c>
      <c r="C69" s="285" t="s">
        <v>79</v>
      </c>
      <c r="D69" s="350">
        <v>118691.95641025642</v>
      </c>
      <c r="E69" s="350">
        <v>132036</v>
      </c>
      <c r="F69" s="350">
        <v>132036</v>
      </c>
      <c r="G69" s="350"/>
      <c r="H69" s="356">
        <v>1.44</v>
      </c>
      <c r="I69" s="207">
        <f t="shared" si="41"/>
        <v>1.6991999999999998</v>
      </c>
      <c r="J69" s="207">
        <f t="shared" si="41"/>
        <v>2.0050559999999997</v>
      </c>
      <c r="L69" s="188">
        <f t="shared" ref="L69:L76" si="43">D69*$H69</f>
        <v>170916.41723076924</v>
      </c>
      <c r="M69" s="188">
        <f t="shared" si="42"/>
        <v>190131.84</v>
      </c>
      <c r="N69" s="188">
        <f t="shared" si="42"/>
        <v>190131.84</v>
      </c>
      <c r="P69" s="188">
        <f t="shared" ref="P69:Q76" si="44">E69*I69</f>
        <v>224355.57119999998</v>
      </c>
      <c r="Q69" s="188">
        <f t="shared" si="44"/>
        <v>264739.57401599997</v>
      </c>
      <c r="S69" s="189">
        <v>0.18</v>
      </c>
      <c r="T69" s="189">
        <f>S69</f>
        <v>0.18</v>
      </c>
    </row>
    <row r="70" spans="1:20" x14ac:dyDescent="0.2">
      <c r="A70" s="323">
        <f t="shared" si="1"/>
        <v>62</v>
      </c>
      <c r="B70" s="323">
        <v>85</v>
      </c>
      <c r="C70" s="285" t="s">
        <v>77</v>
      </c>
      <c r="D70" s="350">
        <v>22333251.165872499</v>
      </c>
      <c r="E70" s="350">
        <v>16668227</v>
      </c>
      <c r="F70" s="350">
        <v>16254749.000000002</v>
      </c>
      <c r="G70" s="350"/>
      <c r="H70" s="325">
        <v>7.7999999999999996E-3</v>
      </c>
      <c r="I70" s="208">
        <f t="shared" si="41"/>
        <v>1.0818614983426483E-2</v>
      </c>
      <c r="J70" s="208">
        <f t="shared" si="41"/>
        <v>1.1345285734216322E-2</v>
      </c>
      <c r="L70" s="188">
        <f t="shared" si="43"/>
        <v>174199.35909380548</v>
      </c>
      <c r="M70" s="188">
        <f t="shared" si="42"/>
        <v>130012.1706</v>
      </c>
      <c r="N70" s="188">
        <f t="shared" si="42"/>
        <v>126787.04220000001</v>
      </c>
      <c r="P70" s="188">
        <f t="shared" si="44"/>
        <v>180327.13036935386</v>
      </c>
      <c r="Q70" s="188">
        <f t="shared" si="44"/>
        <v>184414.77194296703</v>
      </c>
      <c r="S70" s="190">
        <v>0.38700192095211333</v>
      </c>
      <c r="T70" s="190">
        <v>4.8681901666402683E-2</v>
      </c>
    </row>
    <row r="71" spans="1:20" x14ac:dyDescent="0.2">
      <c r="A71" s="323">
        <f t="shared" si="1"/>
        <v>63</v>
      </c>
      <c r="B71" s="323">
        <v>85</v>
      </c>
      <c r="C71" s="285" t="s">
        <v>84</v>
      </c>
      <c r="D71" s="350"/>
      <c r="E71" s="350"/>
      <c r="F71" s="350"/>
      <c r="G71" s="350"/>
      <c r="H71" s="357"/>
      <c r="I71" s="207"/>
      <c r="J71" s="207"/>
      <c r="L71" s="360">
        <v>0</v>
      </c>
      <c r="M71" s="360">
        <v>0</v>
      </c>
      <c r="N71" s="360">
        <v>0</v>
      </c>
      <c r="P71" s="188">
        <f>M71</f>
        <v>0</v>
      </c>
      <c r="Q71" s="188">
        <f>N71</f>
        <v>0</v>
      </c>
      <c r="S71" s="190"/>
      <c r="T71" s="190"/>
    </row>
    <row r="72" spans="1:20" x14ac:dyDescent="0.2">
      <c r="A72" s="323">
        <f t="shared" si="1"/>
        <v>64</v>
      </c>
      <c r="C72" s="285"/>
      <c r="D72" s="350"/>
      <c r="E72" s="350"/>
      <c r="F72" s="350"/>
      <c r="G72" s="350"/>
      <c r="H72" s="357"/>
      <c r="I72" s="207"/>
      <c r="J72" s="207"/>
      <c r="L72" s="188"/>
      <c r="M72" s="188"/>
      <c r="N72" s="188"/>
      <c r="P72" s="188"/>
      <c r="Q72" s="188"/>
      <c r="S72" s="190"/>
      <c r="T72" s="190"/>
    </row>
    <row r="73" spans="1:20" x14ac:dyDescent="0.2">
      <c r="A73" s="323">
        <f t="shared" si="1"/>
        <v>65</v>
      </c>
      <c r="B73" s="323">
        <v>85</v>
      </c>
      <c r="C73" s="285" t="s">
        <v>80</v>
      </c>
      <c r="D73" s="350"/>
      <c r="E73" s="350"/>
      <c r="F73" s="350"/>
      <c r="G73" s="350"/>
      <c r="H73" s="357"/>
      <c r="I73" s="207"/>
      <c r="J73" s="207"/>
      <c r="L73" s="188"/>
      <c r="M73" s="188"/>
      <c r="N73" s="188"/>
      <c r="P73" s="188"/>
      <c r="Q73" s="188"/>
      <c r="S73" s="190"/>
      <c r="T73" s="190"/>
    </row>
    <row r="74" spans="1:20" x14ac:dyDescent="0.2">
      <c r="A74" s="323">
        <f t="shared" si="1"/>
        <v>66</v>
      </c>
      <c r="B74" s="323">
        <v>85</v>
      </c>
      <c r="C74" s="285" t="s">
        <v>85</v>
      </c>
      <c r="D74" s="350">
        <v>9096108.9690000005</v>
      </c>
      <c r="E74" s="350">
        <v>6774073.2879818697</v>
      </c>
      <c r="F74" s="350">
        <v>6600825.8049050467</v>
      </c>
      <c r="G74" s="350"/>
      <c r="H74" s="325">
        <v>0.12488</v>
      </c>
      <c r="I74" s="208">
        <f t="shared" si="41"/>
        <v>0.18154063220850225</v>
      </c>
      <c r="J74" s="208">
        <f t="shared" si="41"/>
        <v>0.18071860636220882</v>
      </c>
      <c r="L74" s="188">
        <f t="shared" si="43"/>
        <v>1135922.08804872</v>
      </c>
      <c r="M74" s="188">
        <f t="shared" si="42"/>
        <v>845946.27220317593</v>
      </c>
      <c r="N74" s="188">
        <f t="shared" si="42"/>
        <v>824311.12651654228</v>
      </c>
      <c r="P74" s="188">
        <f t="shared" si="44"/>
        <v>1229769.5473269562</v>
      </c>
      <c r="Q74" s="188">
        <f t="shared" si="44"/>
        <v>1192892.0403021453</v>
      </c>
      <c r="S74" s="190">
        <f>(S$94-(SUM(P68,P69,P70, P71, P81,P82,P83)-SUM(M68,M69,M70, M71,M81,M82,M83)))/(M93-SUM(M68,M69,M70, M71, M81,M82,M83))</f>
        <v>0.4537206294723114</v>
      </c>
      <c r="T74" s="190">
        <f>((Q94-SUM(Q68:Q71,Q81:Q83)))/((I74*SUM(F74,F86))+(I75*SUM(F75,F87))+(I76*SUM(F76,F88)))-1</f>
        <v>-4.5280543330339373E-3</v>
      </c>
    </row>
    <row r="75" spans="1:20" x14ac:dyDescent="0.2">
      <c r="A75" s="323">
        <f t="shared" ref="A75:A138" si="45">A74+1</f>
        <v>67</v>
      </c>
      <c r="B75" s="323">
        <v>85</v>
      </c>
      <c r="C75" s="285" t="s">
        <v>86</v>
      </c>
      <c r="D75" s="350">
        <v>5272798.7510000002</v>
      </c>
      <c r="E75" s="350">
        <v>3922815.2360674441</v>
      </c>
      <c r="F75" s="350">
        <v>3821087.7051352365</v>
      </c>
      <c r="G75" s="350"/>
      <c r="H75" s="325">
        <v>5.9339999999999997E-2</v>
      </c>
      <c r="I75" s="208">
        <f t="shared" si="41"/>
        <v>8.626378215288695E-2</v>
      </c>
      <c r="J75" s="208">
        <f t="shared" si="41"/>
        <v>8.5873175060325671E-2</v>
      </c>
      <c r="L75" s="188">
        <f t="shared" si="43"/>
        <v>312887.87788434001</v>
      </c>
      <c r="M75" s="188">
        <f t="shared" si="42"/>
        <v>232779.85610824212</v>
      </c>
      <c r="N75" s="188">
        <f t="shared" si="42"/>
        <v>226743.34442272491</v>
      </c>
      <c r="P75" s="188">
        <f t="shared" si="44"/>
        <v>338396.87895014777</v>
      </c>
      <c r="Q75" s="188">
        <f t="shared" si="44"/>
        <v>328128.93342393625</v>
      </c>
      <c r="S75" s="190">
        <f>S74</f>
        <v>0.4537206294723114</v>
      </c>
      <c r="T75" s="190">
        <f>T74</f>
        <v>-4.5280543330339373E-3</v>
      </c>
    </row>
    <row r="76" spans="1:20" x14ac:dyDescent="0.2">
      <c r="A76" s="323">
        <f t="shared" si="45"/>
        <v>68</v>
      </c>
      <c r="B76" s="323">
        <v>85</v>
      </c>
      <c r="C76" s="285" t="s">
        <v>87</v>
      </c>
      <c r="D76" s="350">
        <v>7964343.4458725024</v>
      </c>
      <c r="E76" s="350">
        <v>5971338.4759506863</v>
      </c>
      <c r="F76" s="350">
        <v>5832835.4899597187</v>
      </c>
      <c r="G76" s="350"/>
      <c r="H76" s="325">
        <v>5.6770000000000001E-2</v>
      </c>
      <c r="I76" s="208">
        <f t="shared" si="41"/>
        <v>8.2527720135143118E-2</v>
      </c>
      <c r="J76" s="208">
        <f t="shared" si="41"/>
        <v>8.2154030134389766E-2</v>
      </c>
      <c r="L76" s="188">
        <f t="shared" si="43"/>
        <v>452135.77742218197</v>
      </c>
      <c r="M76" s="188">
        <f t="shared" si="42"/>
        <v>338992.88527972047</v>
      </c>
      <c r="N76" s="188">
        <f t="shared" si="42"/>
        <v>331130.07076501322</v>
      </c>
      <c r="O76" s="226"/>
      <c r="P76" s="188">
        <f t="shared" si="44"/>
        <v>492800.95057547028</v>
      </c>
      <c r="Q76" s="188">
        <f t="shared" si="44"/>
        <v>479190.9426110888</v>
      </c>
      <c r="S76" s="190">
        <f>S75</f>
        <v>0.4537206294723114</v>
      </c>
      <c r="T76" s="190">
        <f>T75</f>
        <v>-4.5280543330339373E-3</v>
      </c>
    </row>
    <row r="77" spans="1:20" x14ac:dyDescent="0.2">
      <c r="A77" s="323">
        <f t="shared" si="45"/>
        <v>69</v>
      </c>
      <c r="B77" s="323">
        <v>85</v>
      </c>
      <c r="C77" s="39" t="s">
        <v>94</v>
      </c>
      <c r="D77" s="227">
        <f>SUM(D74:D76)</f>
        <v>22333251.165872503</v>
      </c>
      <c r="E77" s="227">
        <f t="shared" ref="E77:F77" si="46">SUM(E74:E76)</f>
        <v>16668227</v>
      </c>
      <c r="F77" s="227">
        <f t="shared" si="46"/>
        <v>16254749.000000002</v>
      </c>
      <c r="G77" s="3"/>
      <c r="H77" s="201"/>
      <c r="I77" s="202"/>
      <c r="J77" s="202"/>
      <c r="L77" s="193">
        <f>SUM(L74:L76)</f>
        <v>1900945.7433552421</v>
      </c>
      <c r="M77" s="193">
        <f t="shared" ref="M77:Q77" si="47">SUM(M74:M76)</f>
        <v>1417719.0135911384</v>
      </c>
      <c r="N77" s="193">
        <f t="shared" si="47"/>
        <v>1382184.5417042803</v>
      </c>
      <c r="O77" s="203"/>
      <c r="P77" s="193">
        <f t="shared" si="47"/>
        <v>2060967.3768525741</v>
      </c>
      <c r="Q77" s="193">
        <f t="shared" si="47"/>
        <v>2000211.9163371704</v>
      </c>
      <c r="S77" s="190"/>
      <c r="T77" s="190"/>
    </row>
    <row r="78" spans="1:20" x14ac:dyDescent="0.2">
      <c r="A78" s="323">
        <f t="shared" si="45"/>
        <v>70</v>
      </c>
      <c r="C78" s="39"/>
      <c r="D78" s="225"/>
      <c r="E78" s="225"/>
      <c r="F78" s="225"/>
      <c r="G78" s="3"/>
      <c r="H78" s="201"/>
      <c r="I78" s="202"/>
      <c r="J78" s="202"/>
      <c r="L78" s="188"/>
      <c r="M78" s="188"/>
      <c r="N78" s="188"/>
      <c r="S78" s="190"/>
      <c r="T78" s="190"/>
    </row>
    <row r="79" spans="1:20" x14ac:dyDescent="0.2">
      <c r="A79" s="323">
        <f t="shared" si="45"/>
        <v>71</v>
      </c>
      <c r="B79" s="323">
        <v>85</v>
      </c>
      <c r="C79" s="285" t="s">
        <v>160</v>
      </c>
      <c r="D79" s="225"/>
      <c r="E79" s="225"/>
      <c r="F79" s="225"/>
      <c r="G79" s="3"/>
      <c r="H79" s="201"/>
      <c r="I79" s="202"/>
      <c r="J79" s="202"/>
      <c r="L79" s="188">
        <f>SUM(L68:L71,L77)</f>
        <v>2525036.5701604243</v>
      </c>
      <c r="M79" s="188">
        <f t="shared" ref="M79:Q79" si="48">SUM(M68:M71,M77)</f>
        <v>2024148.4641911383</v>
      </c>
      <c r="N79" s="188">
        <f t="shared" si="48"/>
        <v>1985388.8639042804</v>
      </c>
      <c r="O79" s="188"/>
      <c r="P79" s="188">
        <f t="shared" si="48"/>
        <v>2837821.1504219277</v>
      </c>
      <c r="Q79" s="188">
        <f t="shared" si="48"/>
        <v>2933188.6558961375</v>
      </c>
      <c r="S79" s="190"/>
      <c r="T79" s="190"/>
    </row>
    <row r="80" spans="1:20" x14ac:dyDescent="0.2">
      <c r="A80" s="323">
        <f t="shared" si="45"/>
        <v>72</v>
      </c>
      <c r="D80" s="3"/>
      <c r="E80" s="3"/>
      <c r="F80" s="3"/>
      <c r="G80" s="3"/>
      <c r="H80" s="201"/>
      <c r="I80" s="202"/>
      <c r="J80" s="202"/>
      <c r="L80" s="188"/>
      <c r="M80" s="188"/>
      <c r="N80" s="188"/>
      <c r="S80" s="190"/>
      <c r="T80" s="190"/>
    </row>
    <row r="81" spans="1:20" x14ac:dyDescent="0.2">
      <c r="A81" s="323">
        <f t="shared" si="45"/>
        <v>73</v>
      </c>
      <c r="B81" s="323" t="s">
        <v>3</v>
      </c>
      <c r="C81" s="39" t="s">
        <v>74</v>
      </c>
      <c r="D81" s="350">
        <v>830</v>
      </c>
      <c r="E81" s="350">
        <v>840</v>
      </c>
      <c r="F81" s="350">
        <v>840</v>
      </c>
      <c r="G81" s="350"/>
      <c r="H81" s="356">
        <v>903.09</v>
      </c>
      <c r="I81" s="207">
        <f t="shared" ref="I81:J82" si="49">H81*(1+S81)</f>
        <v>1034.8527320281512</v>
      </c>
      <c r="J81" s="207">
        <f t="shared" si="49"/>
        <v>1185.8399240232186</v>
      </c>
      <c r="L81" s="188">
        <f>D81*$H81</f>
        <v>749564.70000000007</v>
      </c>
      <c r="M81" s="188">
        <f t="shared" ref="M81:N82" si="50">E81*$H81</f>
        <v>758595.6</v>
      </c>
      <c r="N81" s="188">
        <f t="shared" si="50"/>
        <v>758595.6</v>
      </c>
      <c r="P81" s="188">
        <f>E81*I81</f>
        <v>869276.29490364704</v>
      </c>
      <c r="Q81" s="188">
        <f>F81*J81</f>
        <v>996105.53617950366</v>
      </c>
      <c r="S81" s="189">
        <v>0.14590210502624468</v>
      </c>
      <c r="T81" s="189">
        <f>S81</f>
        <v>0.14590210502624468</v>
      </c>
    </row>
    <row r="82" spans="1:20" x14ac:dyDescent="0.2">
      <c r="A82" s="323">
        <f t="shared" si="45"/>
        <v>74</v>
      </c>
      <c r="B82" s="323" t="s">
        <v>3</v>
      </c>
      <c r="C82" s="285" t="s">
        <v>79</v>
      </c>
      <c r="D82" s="350">
        <v>630994.90042735043</v>
      </c>
      <c r="E82" s="350">
        <v>624588</v>
      </c>
      <c r="F82" s="350">
        <v>624588</v>
      </c>
      <c r="G82" s="350"/>
      <c r="H82" s="356">
        <v>1.44</v>
      </c>
      <c r="I82" s="207">
        <f t="shared" si="49"/>
        <v>1.6991999999999998</v>
      </c>
      <c r="J82" s="207">
        <f t="shared" si="49"/>
        <v>2.0050559999999997</v>
      </c>
      <c r="L82" s="188">
        <f t="shared" ref="L82" si="51">D82*$H82</f>
        <v>908632.65661538462</v>
      </c>
      <c r="M82" s="188">
        <f t="shared" si="50"/>
        <v>899406.72</v>
      </c>
      <c r="N82" s="188">
        <f t="shared" si="50"/>
        <v>899406.72</v>
      </c>
      <c r="P82" s="188">
        <f t="shared" ref="P82:Q82" si="52">E82*I82</f>
        <v>1061299.9295999999</v>
      </c>
      <c r="Q82" s="188">
        <f t="shared" si="52"/>
        <v>1252333.9169279998</v>
      </c>
      <c r="S82" s="189">
        <f>S69</f>
        <v>0.18</v>
      </c>
      <c r="T82" s="189">
        <f>T69</f>
        <v>0.18</v>
      </c>
    </row>
    <row r="83" spans="1:20" x14ac:dyDescent="0.2">
      <c r="A83" s="323">
        <f t="shared" si="45"/>
        <v>75</v>
      </c>
      <c r="B83" s="323" t="s">
        <v>3</v>
      </c>
      <c r="C83" s="285" t="s">
        <v>84</v>
      </c>
      <c r="D83" s="350"/>
      <c r="E83" s="350"/>
      <c r="F83" s="350"/>
      <c r="G83" s="350"/>
      <c r="H83" s="357"/>
      <c r="I83" s="207"/>
      <c r="J83" s="207"/>
      <c r="L83" s="360">
        <v>22347.83</v>
      </c>
      <c r="M83" s="360">
        <v>22347.83</v>
      </c>
      <c r="N83" s="360">
        <v>22347.83</v>
      </c>
      <c r="P83" s="188">
        <f>M83</f>
        <v>22347.83</v>
      </c>
      <c r="Q83" s="188">
        <f>N83</f>
        <v>22347.83</v>
      </c>
      <c r="S83" s="190">
        <f>S71</f>
        <v>0</v>
      </c>
      <c r="T83" s="190">
        <f>T71</f>
        <v>0</v>
      </c>
    </row>
    <row r="84" spans="1:20" x14ac:dyDescent="0.2">
      <c r="A84" s="323">
        <f t="shared" si="45"/>
        <v>76</v>
      </c>
      <c r="C84" s="285"/>
      <c r="D84" s="350"/>
      <c r="E84" s="350"/>
      <c r="F84" s="350"/>
      <c r="G84" s="350"/>
      <c r="H84" s="357"/>
      <c r="I84" s="207"/>
      <c r="J84" s="207"/>
      <c r="L84" s="188"/>
      <c r="M84" s="188"/>
      <c r="N84" s="188"/>
      <c r="P84" s="188"/>
      <c r="Q84" s="188"/>
      <c r="S84" s="190"/>
      <c r="T84" s="190"/>
    </row>
    <row r="85" spans="1:20" x14ac:dyDescent="0.2">
      <c r="A85" s="323">
        <f t="shared" si="45"/>
        <v>77</v>
      </c>
      <c r="B85" s="323" t="s">
        <v>3</v>
      </c>
      <c r="C85" s="285" t="s">
        <v>80</v>
      </c>
      <c r="D85" s="350"/>
      <c r="E85" s="350"/>
      <c r="F85" s="350"/>
      <c r="G85" s="350"/>
      <c r="H85" s="357"/>
      <c r="I85" s="207"/>
      <c r="J85" s="207"/>
      <c r="L85" s="188"/>
      <c r="M85" s="188"/>
      <c r="N85" s="188"/>
      <c r="P85" s="188"/>
      <c r="Q85" s="188"/>
      <c r="S85" s="190"/>
      <c r="T85" s="190"/>
    </row>
    <row r="86" spans="1:20" x14ac:dyDescent="0.2">
      <c r="A86" s="323">
        <f t="shared" si="45"/>
        <v>78</v>
      </c>
      <c r="B86" s="323" t="s">
        <v>3</v>
      </c>
      <c r="C86" s="285" t="s">
        <v>85</v>
      </c>
      <c r="D86" s="350">
        <v>22639905.379999995</v>
      </c>
      <c r="E86" s="350">
        <v>23553163.399398196</v>
      </c>
      <c r="F86" s="350">
        <v>23242817.962335769</v>
      </c>
      <c r="G86" s="350"/>
      <c r="H86" s="325">
        <v>0.12488</v>
      </c>
      <c r="I86" s="208">
        <f>H86*(1+S86)</f>
        <v>0.18154063220850225</v>
      </c>
      <c r="J86" s="208">
        <f>I86*(1+T86)</f>
        <v>0.18071860636220882</v>
      </c>
      <c r="L86" s="188">
        <f t="shared" ref="L86:N88" si="53">D86*$H86</f>
        <v>2827271.3838543994</v>
      </c>
      <c r="M86" s="188">
        <f t="shared" si="53"/>
        <v>2941319.045316847</v>
      </c>
      <c r="N86" s="188">
        <f t="shared" si="53"/>
        <v>2902563.1071364908</v>
      </c>
      <c r="P86" s="188">
        <f t="shared" ref="P86:Q88" si="54">E86*I86</f>
        <v>4275856.1740369042</v>
      </c>
      <c r="Q86" s="188">
        <f t="shared" si="54"/>
        <v>4200409.6700838348</v>
      </c>
      <c r="S86" s="190">
        <f>S74</f>
        <v>0.4537206294723114</v>
      </c>
      <c r="T86" s="190">
        <f>T74</f>
        <v>-4.5280543330339373E-3</v>
      </c>
    </row>
    <row r="87" spans="1:20" x14ac:dyDescent="0.2">
      <c r="A87" s="323">
        <f t="shared" si="45"/>
        <v>79</v>
      </c>
      <c r="B87" s="323" t="s">
        <v>3</v>
      </c>
      <c r="C87" s="285" t="s">
        <v>86</v>
      </c>
      <c r="D87" s="350">
        <v>15233925.730000004</v>
      </c>
      <c r="E87" s="350">
        <v>15856050.612148412</v>
      </c>
      <c r="F87" s="350">
        <v>15647963.940920169</v>
      </c>
      <c r="G87" s="350"/>
      <c r="H87" s="325">
        <v>5.9339999999999997E-2</v>
      </c>
      <c r="I87" s="208">
        <f>H87*(1+S87)</f>
        <v>8.626378215288695E-2</v>
      </c>
      <c r="J87" s="208">
        <f>I87*(1+T87)</f>
        <v>8.5873175060325671E-2</v>
      </c>
      <c r="L87" s="188">
        <f t="shared" si="53"/>
        <v>903981.15281820018</v>
      </c>
      <c r="M87" s="188">
        <f t="shared" si="53"/>
        <v>940898.0433248867</v>
      </c>
      <c r="N87" s="188">
        <f t="shared" si="53"/>
        <v>928550.1802542028</v>
      </c>
      <c r="P87" s="188">
        <f t="shared" si="54"/>
        <v>1367802.8958115203</v>
      </c>
      <c r="Q87" s="188">
        <f t="shared" si="54"/>
        <v>1343740.3468363013</v>
      </c>
      <c r="S87" s="190">
        <f t="shared" ref="S87:T88" si="55">S75</f>
        <v>0.4537206294723114</v>
      </c>
      <c r="T87" s="190">
        <f t="shared" si="55"/>
        <v>-4.5280543330339373E-3</v>
      </c>
    </row>
    <row r="88" spans="1:20" x14ac:dyDescent="0.2">
      <c r="A88" s="323">
        <f t="shared" si="45"/>
        <v>80</v>
      </c>
      <c r="B88" s="323" t="s">
        <v>3</v>
      </c>
      <c r="C88" s="285" t="s">
        <v>87</v>
      </c>
      <c r="D88" s="350">
        <v>22301595.849774666</v>
      </c>
      <c r="E88" s="350">
        <v>23335221.988453388</v>
      </c>
      <c r="F88" s="350">
        <v>23042513.096744049</v>
      </c>
      <c r="G88" s="350"/>
      <c r="H88" s="325">
        <v>5.6770000000000001E-2</v>
      </c>
      <c r="I88" s="208">
        <f t="shared" ref="I88:J88" si="56">H88*(1+S88)</f>
        <v>8.2527720135143118E-2</v>
      </c>
      <c r="J88" s="208">
        <f t="shared" si="56"/>
        <v>8.2154030134389766E-2</v>
      </c>
      <c r="L88" s="188">
        <f t="shared" si="53"/>
        <v>1266061.5963917079</v>
      </c>
      <c r="M88" s="188">
        <f t="shared" si="53"/>
        <v>1324740.5522844989</v>
      </c>
      <c r="N88" s="188">
        <f t="shared" si="53"/>
        <v>1308123.4685021597</v>
      </c>
      <c r="O88" s="226"/>
      <c r="P88" s="188">
        <f t="shared" si="54"/>
        <v>1925802.669554519</v>
      </c>
      <c r="Q88" s="188">
        <f t="shared" si="54"/>
        <v>1893035.3153219814</v>
      </c>
      <c r="S88" s="190">
        <f t="shared" si="55"/>
        <v>0.4537206294723114</v>
      </c>
      <c r="T88" s="190">
        <f t="shared" si="55"/>
        <v>-4.5280543330339373E-3</v>
      </c>
    </row>
    <row r="89" spans="1:20" x14ac:dyDescent="0.2">
      <c r="A89" s="323">
        <f t="shared" si="45"/>
        <v>81</v>
      </c>
      <c r="B89" s="323" t="s">
        <v>3</v>
      </c>
      <c r="C89" s="39" t="s">
        <v>94</v>
      </c>
      <c r="D89" s="227">
        <f>SUM(D86:D88)</f>
        <v>60175426.959774666</v>
      </c>
      <c r="E89" s="227">
        <f t="shared" ref="E89:F89" si="57">SUM(E86:E88)</f>
        <v>62744436</v>
      </c>
      <c r="F89" s="227">
        <f t="shared" si="57"/>
        <v>61933294.999999985</v>
      </c>
      <c r="G89" s="3"/>
      <c r="H89" s="201"/>
      <c r="I89" s="202"/>
      <c r="J89" s="202"/>
      <c r="L89" s="193">
        <f>SUM(L86:L88)</f>
        <v>4997314.1330643073</v>
      </c>
      <c r="M89" s="193">
        <f t="shared" ref="M89:N89" si="58">SUM(M86:M88)</f>
        <v>5206957.6409262326</v>
      </c>
      <c r="N89" s="193">
        <f t="shared" si="58"/>
        <v>5139236.7558928533</v>
      </c>
      <c r="O89" s="203"/>
      <c r="P89" s="193">
        <f t="shared" ref="P89:Q89" si="59">SUM(P86:P88)</f>
        <v>7569461.7394029442</v>
      </c>
      <c r="Q89" s="193">
        <f t="shared" si="59"/>
        <v>7437185.3322421182</v>
      </c>
    </row>
    <row r="90" spans="1:20" x14ac:dyDescent="0.2">
      <c r="A90" s="323">
        <f t="shared" si="45"/>
        <v>82</v>
      </c>
      <c r="C90" s="39"/>
      <c r="D90" s="225"/>
      <c r="E90" s="225"/>
      <c r="F90" s="225"/>
      <c r="G90" s="3"/>
      <c r="H90" s="201"/>
      <c r="I90" s="202"/>
      <c r="J90" s="202"/>
      <c r="L90" s="188"/>
      <c r="M90" s="188"/>
      <c r="N90" s="188"/>
    </row>
    <row r="91" spans="1:20" x14ac:dyDescent="0.2">
      <c r="A91" s="323">
        <f t="shared" si="45"/>
        <v>83</v>
      </c>
      <c r="B91" s="323" t="s">
        <v>3</v>
      </c>
      <c r="C91" s="285" t="s">
        <v>160</v>
      </c>
      <c r="D91" s="225"/>
      <c r="E91" s="225"/>
      <c r="F91" s="225"/>
      <c r="G91" s="3"/>
      <c r="H91" s="201"/>
      <c r="I91" s="202"/>
      <c r="J91" s="202"/>
      <c r="L91" s="188">
        <f>SUM(L81:L83,L89)</f>
        <v>6677859.3196796924</v>
      </c>
      <c r="M91" s="188">
        <f t="shared" ref="M91:Q91" si="60">SUM(M81:M83,M89)</f>
        <v>6887307.7909262329</v>
      </c>
      <c r="N91" s="188">
        <f t="shared" si="60"/>
        <v>6819586.9058928527</v>
      </c>
      <c r="O91" s="188"/>
      <c r="P91" s="188">
        <f t="shared" si="60"/>
        <v>9522385.7939065918</v>
      </c>
      <c r="Q91" s="188">
        <f t="shared" si="60"/>
        <v>9707972.6153496206</v>
      </c>
    </row>
    <row r="92" spans="1:20" x14ac:dyDescent="0.2">
      <c r="A92" s="323">
        <f t="shared" si="45"/>
        <v>84</v>
      </c>
      <c r="D92" s="3"/>
      <c r="E92" s="3"/>
      <c r="F92" s="3"/>
      <c r="G92" s="3"/>
      <c r="H92" s="201"/>
      <c r="I92" s="202"/>
      <c r="J92" s="202"/>
      <c r="L92" s="188"/>
      <c r="M92" s="188"/>
      <c r="N92" s="188"/>
    </row>
    <row r="93" spans="1:20" x14ac:dyDescent="0.2">
      <c r="A93" s="323">
        <f t="shared" si="45"/>
        <v>85</v>
      </c>
      <c r="C93" s="169" t="s">
        <v>244</v>
      </c>
      <c r="D93" s="3"/>
      <c r="E93" s="3"/>
      <c r="F93" s="3"/>
      <c r="G93" s="3"/>
      <c r="H93" s="201"/>
      <c r="I93" s="202"/>
      <c r="J93" s="202"/>
      <c r="L93" s="188">
        <f>SUM(L79,L91)</f>
        <v>9202895.8898401167</v>
      </c>
      <c r="M93" s="188">
        <f t="shared" ref="M93:N93" si="61">SUM(M79,M91)</f>
        <v>8911456.2551173717</v>
      </c>
      <c r="N93" s="188">
        <f t="shared" si="61"/>
        <v>8804975.7697971333</v>
      </c>
      <c r="O93" s="188"/>
      <c r="P93" s="188">
        <f t="shared" ref="P93:Q93" si="62">SUM(P79,P91)</f>
        <v>12360206.94432852</v>
      </c>
      <c r="Q93" s="188">
        <f t="shared" si="62"/>
        <v>12641161.271245759</v>
      </c>
      <c r="S93" s="359">
        <v>12360206.94432852</v>
      </c>
      <c r="T93" s="359">
        <v>12641161.271245759</v>
      </c>
    </row>
    <row r="94" spans="1:20" x14ac:dyDescent="0.2">
      <c r="A94" s="323">
        <f t="shared" si="45"/>
        <v>86</v>
      </c>
      <c r="C94" s="169" t="s">
        <v>240</v>
      </c>
      <c r="D94" s="3"/>
      <c r="E94" s="3"/>
      <c r="F94" s="3"/>
      <c r="G94" s="3"/>
      <c r="H94" s="201"/>
      <c r="I94" s="202"/>
      <c r="J94" s="202"/>
      <c r="L94" s="188"/>
      <c r="M94" s="188"/>
      <c r="N94" s="188"/>
      <c r="P94" s="359">
        <v>12360206.94432852</v>
      </c>
      <c r="Q94" s="359">
        <v>12641161.271245759</v>
      </c>
      <c r="R94" s="191"/>
      <c r="S94" s="197">
        <f>S93-M93</f>
        <v>3448750.6892111488</v>
      </c>
      <c r="T94" s="197">
        <f>T93-N93-S94</f>
        <v>387434.81223747693</v>
      </c>
    </row>
    <row r="95" spans="1:20" x14ac:dyDescent="0.2">
      <c r="A95" s="323">
        <f t="shared" si="45"/>
        <v>87</v>
      </c>
      <c r="C95" s="261" t="s">
        <v>13</v>
      </c>
      <c r="D95" s="3"/>
      <c r="E95" s="3"/>
      <c r="F95" s="3"/>
      <c r="G95" s="3"/>
      <c r="H95" s="201"/>
      <c r="I95" s="202"/>
      <c r="J95" s="202"/>
      <c r="L95" s="199">
        <v>0</v>
      </c>
      <c r="M95" s="199">
        <v>0</v>
      </c>
      <c r="N95" s="199">
        <v>0</v>
      </c>
      <c r="O95" s="261"/>
      <c r="P95" s="200">
        <f>P93-P94</f>
        <v>0</v>
      </c>
      <c r="Q95" s="200">
        <f>Q93-Q94</f>
        <v>0</v>
      </c>
      <c r="R95" s="261"/>
      <c r="S95" s="200">
        <f>S93-P93</f>
        <v>0</v>
      </c>
      <c r="T95" s="200">
        <f>T93-Q93</f>
        <v>0</v>
      </c>
    </row>
    <row r="96" spans="1:20" x14ac:dyDescent="0.2">
      <c r="A96" s="323">
        <f t="shared" si="45"/>
        <v>88</v>
      </c>
      <c r="D96" s="3"/>
      <c r="E96" s="3"/>
      <c r="F96" s="3"/>
      <c r="G96" s="3"/>
      <c r="H96" s="201"/>
      <c r="I96" s="202"/>
      <c r="J96" s="202"/>
      <c r="L96" s="188"/>
      <c r="M96" s="188"/>
      <c r="N96" s="188"/>
    </row>
    <row r="97" spans="1:20" x14ac:dyDescent="0.2">
      <c r="A97" s="323">
        <f t="shared" si="45"/>
        <v>89</v>
      </c>
      <c r="D97" s="3"/>
      <c r="E97" s="3"/>
      <c r="F97" s="3"/>
      <c r="G97" s="3"/>
      <c r="H97" s="201"/>
      <c r="I97" s="202"/>
      <c r="J97" s="202"/>
      <c r="L97" s="188"/>
      <c r="M97" s="188"/>
      <c r="N97" s="188"/>
    </row>
    <row r="98" spans="1:20" x14ac:dyDescent="0.2">
      <c r="A98" s="323">
        <f t="shared" si="45"/>
        <v>90</v>
      </c>
      <c r="B98" s="323">
        <v>86</v>
      </c>
      <c r="C98" s="39" t="s">
        <v>74</v>
      </c>
      <c r="D98" s="350">
        <v>1233.7356538099718</v>
      </c>
      <c r="E98" s="350">
        <v>1102</v>
      </c>
      <c r="F98" s="350">
        <v>1056</v>
      </c>
      <c r="G98" s="350"/>
      <c r="H98" s="356">
        <v>148.82</v>
      </c>
      <c r="I98" s="207">
        <f>H98*(1+S98)</f>
        <v>193.40985829803617</v>
      </c>
      <c r="J98" s="207">
        <f>I98*(1+T98)</f>
        <v>251.35985275410854</v>
      </c>
      <c r="L98" s="188">
        <f>D98*$H98</f>
        <v>183604.54</v>
      </c>
      <c r="M98" s="188">
        <f t="shared" ref="M98:N105" si="63">E98*$H98</f>
        <v>163999.63999999998</v>
      </c>
      <c r="N98" s="188">
        <f t="shared" si="63"/>
        <v>157153.91999999998</v>
      </c>
      <c r="P98" s="188">
        <f>E98*I98</f>
        <v>213137.66384443585</v>
      </c>
      <c r="Q98" s="188">
        <f>F98*J98</f>
        <v>265436.00450833864</v>
      </c>
      <c r="S98" s="189">
        <v>0.29962275432089902</v>
      </c>
      <c r="T98" s="189">
        <f>S98</f>
        <v>0.29962275432089902</v>
      </c>
    </row>
    <row r="99" spans="1:20" x14ac:dyDescent="0.2">
      <c r="A99" s="323">
        <f t="shared" si="45"/>
        <v>91</v>
      </c>
      <c r="B99" s="323">
        <v>86</v>
      </c>
      <c r="C99" s="285" t="s">
        <v>79</v>
      </c>
      <c r="D99" s="350">
        <v>34232.126266618754</v>
      </c>
      <c r="E99" s="350">
        <v>34152</v>
      </c>
      <c r="F99" s="350">
        <v>34152</v>
      </c>
      <c r="G99" s="350"/>
      <c r="H99" s="356">
        <v>1.35</v>
      </c>
      <c r="I99" s="207">
        <f t="shared" ref="I99:J105" si="64">H99*(1+S99)</f>
        <v>1.593</v>
      </c>
      <c r="J99" s="207">
        <f t="shared" si="64"/>
        <v>1.87974</v>
      </c>
      <c r="L99" s="188">
        <f t="shared" ref="L99:L105" si="65">D99*$H99</f>
        <v>46213.370459935322</v>
      </c>
      <c r="M99" s="188">
        <f t="shared" si="63"/>
        <v>46105.200000000004</v>
      </c>
      <c r="N99" s="188">
        <f t="shared" si="63"/>
        <v>46105.200000000004</v>
      </c>
      <c r="P99" s="188">
        <f t="shared" ref="P99:Q105" si="66">E99*I99</f>
        <v>54404.135999999999</v>
      </c>
      <c r="Q99" s="188">
        <f t="shared" si="66"/>
        <v>64196.88048</v>
      </c>
      <c r="S99" s="189">
        <v>0.18</v>
      </c>
      <c r="T99" s="189">
        <f>S99</f>
        <v>0.18</v>
      </c>
    </row>
    <row r="100" spans="1:20" x14ac:dyDescent="0.2">
      <c r="A100" s="323">
        <f t="shared" si="45"/>
        <v>92</v>
      </c>
      <c r="B100" s="323">
        <v>86</v>
      </c>
      <c r="C100" s="285" t="s">
        <v>77</v>
      </c>
      <c r="D100" s="350">
        <v>5709710.4526319839</v>
      </c>
      <c r="E100" s="350">
        <v>4684519.0000000009</v>
      </c>
      <c r="F100" s="350">
        <v>4539643.0000000009</v>
      </c>
      <c r="G100" s="350"/>
      <c r="H100" s="325">
        <v>1.222E-2</v>
      </c>
      <c r="I100" s="208">
        <f t="shared" si="64"/>
        <v>1.5057498084420905E-2</v>
      </c>
      <c r="J100" s="208">
        <f t="shared" si="64"/>
        <v>1.5497314669073597E-2</v>
      </c>
      <c r="L100" s="188">
        <f t="shared" si="65"/>
        <v>69772.661731162836</v>
      </c>
      <c r="M100" s="188">
        <f t="shared" si="63"/>
        <v>57244.82218000001</v>
      </c>
      <c r="N100" s="188">
        <f t="shared" si="63"/>
        <v>55474.437460000008</v>
      </c>
      <c r="P100" s="188">
        <f t="shared" si="66"/>
        <v>70537.135868933343</v>
      </c>
      <c r="Q100" s="188">
        <f t="shared" si="66"/>
        <v>70352.27605625728</v>
      </c>
      <c r="S100" s="190">
        <v>0.23220115257126878</v>
      </c>
      <c r="T100" s="190">
        <v>2.9209140999841454E-2</v>
      </c>
    </row>
    <row r="101" spans="1:20" x14ac:dyDescent="0.2">
      <c r="A101" s="323">
        <f t="shared" si="45"/>
        <v>93</v>
      </c>
      <c r="B101" s="323">
        <v>86</v>
      </c>
      <c r="C101" s="285" t="s">
        <v>84</v>
      </c>
      <c r="D101" s="350"/>
      <c r="E101" s="350"/>
      <c r="F101" s="350"/>
      <c r="G101" s="350"/>
      <c r="H101" s="325"/>
      <c r="I101" s="207"/>
      <c r="J101" s="207"/>
      <c r="L101" s="360">
        <v>2294.1099999999997</v>
      </c>
      <c r="M101" s="360">
        <v>2294.1099999999997</v>
      </c>
      <c r="N101" s="360">
        <v>2294.1099999999997</v>
      </c>
      <c r="P101" s="188">
        <f>M101</f>
        <v>2294.1099999999997</v>
      </c>
      <c r="Q101" s="188">
        <f>N101</f>
        <v>2294.1099999999997</v>
      </c>
      <c r="S101" s="190"/>
      <c r="T101" s="190"/>
    </row>
    <row r="102" spans="1:20" x14ac:dyDescent="0.2">
      <c r="A102" s="323">
        <f t="shared" si="45"/>
        <v>94</v>
      </c>
      <c r="C102" s="285"/>
      <c r="D102" s="350"/>
      <c r="E102" s="350"/>
      <c r="F102" s="350"/>
      <c r="G102" s="350"/>
      <c r="H102" s="325"/>
      <c r="I102" s="207"/>
      <c r="J102" s="207"/>
      <c r="L102" s="188"/>
      <c r="M102" s="188"/>
      <c r="N102" s="188"/>
      <c r="P102" s="188"/>
      <c r="Q102" s="188"/>
      <c r="S102" s="190"/>
      <c r="T102" s="190"/>
    </row>
    <row r="103" spans="1:20" x14ac:dyDescent="0.2">
      <c r="A103" s="323">
        <f t="shared" si="45"/>
        <v>95</v>
      </c>
      <c r="B103" s="323">
        <v>86</v>
      </c>
      <c r="C103" s="285" t="s">
        <v>80</v>
      </c>
      <c r="D103" s="350"/>
      <c r="E103" s="350"/>
      <c r="F103" s="350"/>
      <c r="G103" s="350"/>
      <c r="H103" s="325"/>
      <c r="I103" s="207"/>
      <c r="J103" s="207"/>
      <c r="L103" s="188"/>
      <c r="M103" s="188"/>
      <c r="N103" s="188"/>
      <c r="P103" s="188"/>
      <c r="Q103" s="188"/>
      <c r="S103" s="190"/>
      <c r="T103" s="190"/>
    </row>
    <row r="104" spans="1:20" x14ac:dyDescent="0.2">
      <c r="A104" s="323">
        <f t="shared" si="45"/>
        <v>96</v>
      </c>
      <c r="B104" s="323">
        <v>86</v>
      </c>
      <c r="C104" s="285" t="s">
        <v>89</v>
      </c>
      <c r="D104" s="350">
        <v>1016784.1</v>
      </c>
      <c r="E104" s="350">
        <v>837636.37749550154</v>
      </c>
      <c r="F104" s="350">
        <v>811601.45215734933</v>
      </c>
      <c r="G104" s="350"/>
      <c r="H104" s="325">
        <v>0.1951</v>
      </c>
      <c r="I104" s="208">
        <f t="shared" si="64"/>
        <v>0.240440872374836</v>
      </c>
      <c r="J104" s="208">
        <f t="shared" si="64"/>
        <v>0.23071988178909122</v>
      </c>
      <c r="L104" s="188">
        <f t="shared" si="65"/>
        <v>198374.57790999999</v>
      </c>
      <c r="M104" s="188">
        <f t="shared" si="63"/>
        <v>163422.85724937235</v>
      </c>
      <c r="N104" s="188">
        <f t="shared" si="63"/>
        <v>158343.44331589885</v>
      </c>
      <c r="P104" s="188">
        <f t="shared" si="66"/>
        <v>201402.02133791582</v>
      </c>
      <c r="Q104" s="188">
        <f t="shared" si="66"/>
        <v>187252.5911015984</v>
      </c>
      <c r="S104" s="190">
        <f>(S$122-(SUM(P98,P99,P100, P101, P110,P111,P112)-SUM(M98,M99,M100, M101,M110,M111,M112)))/(M121-SUM(M98,M99,M100, M101, M110,M111,M112))</f>
        <v>0.23239811570905175</v>
      </c>
      <c r="T104" s="190">
        <f>((Q122-SUM(Q98:Q101,Q110:Q112)))/((I104*SUM(F104,F115))+(I105*SUM(F105,F116)))-1</f>
        <v>-4.0429859074002206E-2</v>
      </c>
    </row>
    <row r="105" spans="1:20" x14ac:dyDescent="0.2">
      <c r="A105" s="323">
        <f t="shared" si="45"/>
        <v>97</v>
      </c>
      <c r="B105" s="323">
        <v>86</v>
      </c>
      <c r="C105" s="285" t="s">
        <v>90</v>
      </c>
      <c r="D105" s="350">
        <v>4692926.3526319843</v>
      </c>
      <c r="E105" s="350">
        <v>3846882.6225044997</v>
      </c>
      <c r="F105" s="350">
        <v>3728041.5478426516</v>
      </c>
      <c r="G105" s="350"/>
      <c r="H105" s="325">
        <v>0.13830999999999999</v>
      </c>
      <c r="I105" s="208">
        <f t="shared" si="64"/>
        <v>0.17045298338371895</v>
      </c>
      <c r="J105" s="208">
        <f t="shared" si="64"/>
        <v>0.16356159328677194</v>
      </c>
      <c r="L105" s="188">
        <f t="shared" si="65"/>
        <v>649078.64383252966</v>
      </c>
      <c r="M105" s="188">
        <f t="shared" si="63"/>
        <v>532062.33551859728</v>
      </c>
      <c r="N105" s="188">
        <f t="shared" si="63"/>
        <v>515625.42648211709</v>
      </c>
      <c r="P105" s="188">
        <f t="shared" si="66"/>
        <v>655712.61973287666</v>
      </c>
      <c r="Q105" s="188">
        <f t="shared" si="66"/>
        <v>609764.41540442756</v>
      </c>
      <c r="S105" s="190">
        <f>S104</f>
        <v>0.23239811570905175</v>
      </c>
      <c r="T105" s="190">
        <f>T104</f>
        <v>-4.0429859074002206E-2</v>
      </c>
    </row>
    <row r="106" spans="1:20" x14ac:dyDescent="0.2">
      <c r="A106" s="323">
        <f t="shared" si="45"/>
        <v>98</v>
      </c>
      <c r="B106" s="323">
        <v>86</v>
      </c>
      <c r="C106" s="39" t="s">
        <v>94</v>
      </c>
      <c r="D106" s="227">
        <f>SUM(D104:D105)</f>
        <v>5709710.4526319839</v>
      </c>
      <c r="E106" s="227">
        <f t="shared" ref="E106:F106" si="67">SUM(E104:E105)</f>
        <v>4684519.0000000009</v>
      </c>
      <c r="F106" s="227">
        <f t="shared" si="67"/>
        <v>4539643.0000000009</v>
      </c>
      <c r="G106" s="3"/>
      <c r="H106" s="201"/>
      <c r="I106" s="202"/>
      <c r="J106" s="202"/>
      <c r="L106" s="193">
        <f>SUM(L104:L105)</f>
        <v>847453.22174252965</v>
      </c>
      <c r="M106" s="193">
        <f t="shared" ref="M106:Q106" si="68">SUM(M104:M105)</f>
        <v>695485.19276796957</v>
      </c>
      <c r="N106" s="193">
        <f t="shared" si="68"/>
        <v>673968.86979801592</v>
      </c>
      <c r="O106" s="203"/>
      <c r="P106" s="193">
        <f t="shared" si="68"/>
        <v>857114.64107079245</v>
      </c>
      <c r="Q106" s="193">
        <f t="shared" si="68"/>
        <v>797017.00650602602</v>
      </c>
      <c r="S106" s="190"/>
      <c r="T106" s="190"/>
    </row>
    <row r="107" spans="1:20" x14ac:dyDescent="0.2">
      <c r="A107" s="323">
        <f t="shared" si="45"/>
        <v>99</v>
      </c>
      <c r="C107" s="39"/>
      <c r="D107" s="3"/>
      <c r="E107" s="3"/>
      <c r="F107" s="3"/>
      <c r="G107" s="3"/>
      <c r="H107" s="201"/>
      <c r="I107" s="202"/>
      <c r="J107" s="202"/>
      <c r="L107" s="188"/>
      <c r="M107" s="188"/>
      <c r="N107" s="188"/>
      <c r="S107" s="190"/>
      <c r="T107" s="190"/>
    </row>
    <row r="108" spans="1:20" x14ac:dyDescent="0.2">
      <c r="A108" s="323">
        <f t="shared" si="45"/>
        <v>100</v>
      </c>
      <c r="B108" s="323">
        <v>86</v>
      </c>
      <c r="C108" s="285" t="s">
        <v>160</v>
      </c>
      <c r="D108" s="3"/>
      <c r="E108" s="3"/>
      <c r="F108" s="3"/>
      <c r="G108" s="3"/>
      <c r="H108" s="201"/>
      <c r="I108" s="202"/>
      <c r="J108" s="202"/>
      <c r="L108" s="188">
        <f>SUM(L98:L101,L106)</f>
        <v>1149337.9039336278</v>
      </c>
      <c r="M108" s="188">
        <f t="shared" ref="M108:Q108" si="69">SUM(M98:M101,M106)</f>
        <v>965128.96494796954</v>
      </c>
      <c r="N108" s="188">
        <f t="shared" si="69"/>
        <v>934996.53725801595</v>
      </c>
      <c r="O108" s="188"/>
      <c r="P108" s="188">
        <f t="shared" si="69"/>
        <v>1197487.6867841617</v>
      </c>
      <c r="Q108" s="188">
        <f t="shared" si="69"/>
        <v>1199296.2775506219</v>
      </c>
      <c r="S108" s="190"/>
      <c r="T108" s="190"/>
    </row>
    <row r="109" spans="1:20" x14ac:dyDescent="0.2">
      <c r="A109" s="323">
        <f t="shared" si="45"/>
        <v>101</v>
      </c>
      <c r="D109" s="3"/>
      <c r="E109" s="3"/>
      <c r="F109" s="3"/>
      <c r="G109" s="3"/>
      <c r="H109" s="201"/>
      <c r="I109" s="202"/>
      <c r="J109" s="202"/>
      <c r="L109" s="188"/>
      <c r="M109" s="188"/>
      <c r="N109" s="188"/>
      <c r="S109" s="190"/>
      <c r="T109" s="190"/>
    </row>
    <row r="110" spans="1:20" x14ac:dyDescent="0.2">
      <c r="A110" s="323">
        <f t="shared" si="45"/>
        <v>102</v>
      </c>
      <c r="B110" s="323" t="s">
        <v>122</v>
      </c>
      <c r="C110" s="39" t="s">
        <v>74</v>
      </c>
      <c r="D110" s="350">
        <v>63</v>
      </c>
      <c r="E110" s="350">
        <v>72</v>
      </c>
      <c r="F110" s="350">
        <v>72</v>
      </c>
      <c r="G110" s="350"/>
      <c r="H110" s="356">
        <v>457.76</v>
      </c>
      <c r="I110" s="207">
        <f>H110*(1+S110)</f>
        <v>457.76</v>
      </c>
      <c r="J110" s="207">
        <f>I110*(1+T110)</f>
        <v>457.76</v>
      </c>
      <c r="L110" s="188">
        <f>D110*$H110</f>
        <v>28838.880000000001</v>
      </c>
      <c r="M110" s="188">
        <f t="shared" ref="M110:N111" si="70">E110*$H110</f>
        <v>32958.720000000001</v>
      </c>
      <c r="N110" s="188">
        <f t="shared" si="70"/>
        <v>32958.720000000001</v>
      </c>
      <c r="P110" s="188">
        <f>E110*I110</f>
        <v>32958.720000000001</v>
      </c>
      <c r="Q110" s="188">
        <f>F110*J110</f>
        <v>32958.720000000001</v>
      </c>
      <c r="S110" s="189">
        <v>0</v>
      </c>
      <c r="T110" s="189">
        <v>0</v>
      </c>
    </row>
    <row r="111" spans="1:20" x14ac:dyDescent="0.2">
      <c r="A111" s="323">
        <f t="shared" si="45"/>
        <v>103</v>
      </c>
      <c r="B111" s="323" t="s">
        <v>122</v>
      </c>
      <c r="C111" s="285" t="s">
        <v>79</v>
      </c>
      <c r="D111" s="350">
        <v>9006</v>
      </c>
      <c r="E111" s="350">
        <v>9000</v>
      </c>
      <c r="F111" s="350">
        <v>9000</v>
      </c>
      <c r="G111" s="350"/>
      <c r="H111" s="356">
        <v>1.35</v>
      </c>
      <c r="I111" s="207">
        <f t="shared" ref="I111:J111" si="71">H111*(1+S111)</f>
        <v>1.593</v>
      </c>
      <c r="J111" s="207">
        <f t="shared" si="71"/>
        <v>1.87974</v>
      </c>
      <c r="L111" s="188">
        <f t="shared" ref="L111" si="72">D111*$H111</f>
        <v>12158.1</v>
      </c>
      <c r="M111" s="188">
        <f t="shared" si="70"/>
        <v>12150</v>
      </c>
      <c r="N111" s="188">
        <f t="shared" si="70"/>
        <v>12150</v>
      </c>
      <c r="P111" s="188">
        <f t="shared" ref="P111:Q111" si="73">E111*I111</f>
        <v>14337</v>
      </c>
      <c r="Q111" s="188">
        <f t="shared" si="73"/>
        <v>16917.66</v>
      </c>
      <c r="S111" s="190">
        <f>S99</f>
        <v>0.18</v>
      </c>
      <c r="T111" s="190">
        <f>T99</f>
        <v>0.18</v>
      </c>
    </row>
    <row r="112" spans="1:20" x14ac:dyDescent="0.2">
      <c r="A112" s="323">
        <f t="shared" si="45"/>
        <v>104</v>
      </c>
      <c r="B112" s="323" t="s">
        <v>122</v>
      </c>
      <c r="C112" s="285" t="s">
        <v>84</v>
      </c>
      <c r="D112" s="350"/>
      <c r="E112" s="350"/>
      <c r="F112" s="350"/>
      <c r="G112" s="350"/>
      <c r="H112" s="325"/>
      <c r="I112" s="207"/>
      <c r="J112" s="207"/>
      <c r="L112" s="360">
        <v>0</v>
      </c>
      <c r="M112" s="360">
        <v>0</v>
      </c>
      <c r="N112" s="360">
        <v>0</v>
      </c>
      <c r="P112" s="188">
        <f>M112</f>
        <v>0</v>
      </c>
      <c r="Q112" s="188">
        <f>N112</f>
        <v>0</v>
      </c>
      <c r="S112" s="190"/>
      <c r="T112" s="190"/>
    </row>
    <row r="113" spans="1:20" x14ac:dyDescent="0.2">
      <c r="A113" s="323">
        <f t="shared" si="45"/>
        <v>105</v>
      </c>
      <c r="C113" s="285"/>
      <c r="D113" s="350"/>
      <c r="E113" s="350"/>
      <c r="F113" s="350"/>
      <c r="G113" s="350"/>
      <c r="H113" s="325"/>
      <c r="I113" s="207"/>
      <c r="J113" s="207"/>
      <c r="L113" s="188"/>
      <c r="M113" s="188"/>
      <c r="N113" s="188"/>
      <c r="P113" s="188"/>
      <c r="Q113" s="188"/>
      <c r="S113" s="190"/>
      <c r="T113" s="190"/>
    </row>
    <row r="114" spans="1:20" x14ac:dyDescent="0.2">
      <c r="A114" s="323">
        <f t="shared" si="45"/>
        <v>106</v>
      </c>
      <c r="B114" s="323" t="s">
        <v>122</v>
      </c>
      <c r="C114" s="285" t="s">
        <v>80</v>
      </c>
      <c r="D114" s="350"/>
      <c r="E114" s="350"/>
      <c r="F114" s="350"/>
      <c r="G114" s="350"/>
      <c r="H114" s="325"/>
      <c r="I114" s="207"/>
      <c r="J114" s="207"/>
      <c r="L114" s="188"/>
      <c r="M114" s="188"/>
      <c r="N114" s="188"/>
      <c r="P114" s="188"/>
      <c r="Q114" s="188"/>
      <c r="S114" s="190"/>
      <c r="T114" s="190"/>
    </row>
    <row r="115" spans="1:20" x14ac:dyDescent="0.2">
      <c r="A115" s="323">
        <f t="shared" si="45"/>
        <v>107</v>
      </c>
      <c r="B115" s="323" t="s">
        <v>122</v>
      </c>
      <c r="C115" s="285" t="s">
        <v>89</v>
      </c>
      <c r="D115" s="350">
        <v>68000</v>
      </c>
      <c r="E115" s="350">
        <v>52037.248887784684</v>
      </c>
      <c r="F115" s="350">
        <v>51404.691434564244</v>
      </c>
      <c r="G115" s="350"/>
      <c r="H115" s="325">
        <v>0.1951</v>
      </c>
      <c r="I115" s="208">
        <f t="shared" ref="I115:J116" si="74">H115*(1+S115)</f>
        <v>0.240440872374836</v>
      </c>
      <c r="J115" s="208">
        <f t="shared" si="74"/>
        <v>0.23071988178909122</v>
      </c>
      <c r="L115" s="188">
        <f t="shared" ref="L115:N116" si="75">D115*$H115</f>
        <v>13266.8</v>
      </c>
      <c r="M115" s="188">
        <f t="shared" si="75"/>
        <v>10152.467258006791</v>
      </c>
      <c r="N115" s="188">
        <f t="shared" si="75"/>
        <v>10029.055298883484</v>
      </c>
      <c r="P115" s="188">
        <f t="shared" ref="P115:Q116" si="76">E115*I115</f>
        <v>12511.881518565413</v>
      </c>
      <c r="Q115" s="188">
        <f t="shared" si="76"/>
        <v>11860.084331187372</v>
      </c>
      <c r="S115" s="190">
        <f>S104</f>
        <v>0.23239811570905175</v>
      </c>
      <c r="T115" s="190">
        <f>T104</f>
        <v>-4.0429859074002206E-2</v>
      </c>
    </row>
    <row r="116" spans="1:20" x14ac:dyDescent="0.2">
      <c r="A116" s="323">
        <f t="shared" si="45"/>
        <v>108</v>
      </c>
      <c r="B116" s="323" t="s">
        <v>122</v>
      </c>
      <c r="C116" s="285" t="s">
        <v>90</v>
      </c>
      <c r="D116" s="350">
        <v>2067002.5300000003</v>
      </c>
      <c r="E116" s="350">
        <v>1124489.7511122152</v>
      </c>
      <c r="F116" s="350">
        <v>1106663.3085654357</v>
      </c>
      <c r="G116" s="350"/>
      <c r="H116" s="325">
        <v>0.13830999999999999</v>
      </c>
      <c r="I116" s="208">
        <f t="shared" si="74"/>
        <v>0.17045298338371895</v>
      </c>
      <c r="J116" s="208">
        <f t="shared" si="74"/>
        <v>0.16356159328677194</v>
      </c>
      <c r="L116" s="188">
        <f t="shared" si="75"/>
        <v>285887.1199243</v>
      </c>
      <c r="M116" s="188">
        <f t="shared" si="75"/>
        <v>155528.17747633049</v>
      </c>
      <c r="N116" s="188">
        <f t="shared" si="75"/>
        <v>153062.60220768538</v>
      </c>
      <c r="P116" s="188">
        <f t="shared" si="76"/>
        <v>191672.63286149269</v>
      </c>
      <c r="Q116" s="188">
        <f t="shared" si="76"/>
        <v>181007.6139809732</v>
      </c>
      <c r="S116" s="190">
        <f>S105</f>
        <v>0.23239811570905175</v>
      </c>
      <c r="T116" s="190">
        <f>T105</f>
        <v>-4.0429859074002206E-2</v>
      </c>
    </row>
    <row r="117" spans="1:20" x14ac:dyDescent="0.2">
      <c r="A117" s="323">
        <f t="shared" si="45"/>
        <v>109</v>
      </c>
      <c r="B117" s="323" t="s">
        <v>122</v>
      </c>
      <c r="C117" s="39" t="s">
        <v>94</v>
      </c>
      <c r="D117" s="227">
        <f>SUM(D115:D116)</f>
        <v>2135002.5300000003</v>
      </c>
      <c r="E117" s="227">
        <f t="shared" ref="E117:F117" si="77">SUM(E115:E116)</f>
        <v>1176527</v>
      </c>
      <c r="F117" s="227">
        <f t="shared" si="77"/>
        <v>1158068</v>
      </c>
      <c r="G117" s="3"/>
      <c r="H117" s="201"/>
      <c r="I117" s="202"/>
      <c r="J117" s="202"/>
      <c r="L117" s="193">
        <f>SUM(L115:L116)</f>
        <v>299153.91992429999</v>
      </c>
      <c r="M117" s="193">
        <f t="shared" ref="M117:N117" si="78">SUM(M115:M116)</f>
        <v>165680.64473433729</v>
      </c>
      <c r="N117" s="193">
        <f t="shared" si="78"/>
        <v>163091.65750656888</v>
      </c>
      <c r="O117" s="203"/>
      <c r="P117" s="193">
        <f t="shared" ref="P117:Q117" si="79">SUM(P115:P116)</f>
        <v>204184.5143800581</v>
      </c>
      <c r="Q117" s="193">
        <f t="shared" si="79"/>
        <v>192867.69831216056</v>
      </c>
    </row>
    <row r="118" spans="1:20" x14ac:dyDescent="0.2">
      <c r="A118" s="323">
        <f t="shared" si="45"/>
        <v>110</v>
      </c>
      <c r="C118" s="39"/>
      <c r="D118" s="3"/>
      <c r="E118" s="3"/>
      <c r="F118" s="3"/>
      <c r="G118" s="3"/>
      <c r="H118" s="201"/>
      <c r="I118" s="202"/>
      <c r="J118" s="202"/>
      <c r="L118" s="188"/>
      <c r="M118" s="188"/>
      <c r="N118" s="188"/>
    </row>
    <row r="119" spans="1:20" x14ac:dyDescent="0.2">
      <c r="A119" s="323">
        <f t="shared" si="45"/>
        <v>111</v>
      </c>
      <c r="B119" s="323" t="s">
        <v>122</v>
      </c>
      <c r="C119" s="285" t="s">
        <v>160</v>
      </c>
      <c r="D119" s="3"/>
      <c r="E119" s="3"/>
      <c r="F119" s="3"/>
      <c r="G119" s="3"/>
      <c r="H119" s="201"/>
      <c r="I119" s="202"/>
      <c r="J119" s="202"/>
      <c r="L119" s="188">
        <f>SUM(L110:L112,L117)</f>
        <v>340150.89992429997</v>
      </c>
      <c r="M119" s="188">
        <f>SUM(M110:M112,M117)</f>
        <v>210789.36473433729</v>
      </c>
      <c r="N119" s="188">
        <f>SUM(N110:N112,N117)</f>
        <v>208200.37750656888</v>
      </c>
      <c r="O119" s="188"/>
      <c r="P119" s="188">
        <f>SUM(P110:P112,P117)</f>
        <v>251480.2343800581</v>
      </c>
      <c r="Q119" s="188">
        <f>SUM(Q110:Q112,Q117)</f>
        <v>242744.07831216056</v>
      </c>
    </row>
    <row r="120" spans="1:20" x14ac:dyDescent="0.2">
      <c r="A120" s="323">
        <f t="shared" si="45"/>
        <v>112</v>
      </c>
      <c r="D120" s="3"/>
      <c r="E120" s="3"/>
      <c r="F120" s="3"/>
      <c r="G120" s="3"/>
      <c r="H120" s="201"/>
      <c r="I120" s="202"/>
      <c r="J120" s="202"/>
      <c r="L120" s="188"/>
      <c r="M120" s="188"/>
      <c r="N120" s="188"/>
    </row>
    <row r="121" spans="1:20" x14ac:dyDescent="0.2">
      <c r="A121" s="323">
        <f t="shared" si="45"/>
        <v>113</v>
      </c>
      <c r="C121" s="169" t="s">
        <v>245</v>
      </c>
      <c r="D121" s="3"/>
      <c r="E121" s="3"/>
      <c r="F121" s="3"/>
      <c r="G121" s="3"/>
      <c r="H121" s="201"/>
      <c r="I121" s="202"/>
      <c r="J121" s="202"/>
      <c r="L121" s="188">
        <f>SUM(L108,L119)</f>
        <v>1489488.8038579277</v>
      </c>
      <c r="M121" s="188">
        <f t="shared" ref="M121:Q121" si="80">SUM(M108,M119)</f>
        <v>1175918.3296823069</v>
      </c>
      <c r="N121" s="188">
        <f t="shared" si="80"/>
        <v>1143196.9147645847</v>
      </c>
      <c r="O121" s="188"/>
      <c r="P121" s="188">
        <f t="shared" si="80"/>
        <v>1448967.9211642197</v>
      </c>
      <c r="Q121" s="188">
        <f t="shared" si="80"/>
        <v>1442040.3558627823</v>
      </c>
      <c r="S121" s="359">
        <v>1448967.9211642197</v>
      </c>
      <c r="T121" s="359">
        <v>1442040.3558627823</v>
      </c>
    </row>
    <row r="122" spans="1:20" x14ac:dyDescent="0.2">
      <c r="A122" s="323">
        <f t="shared" si="45"/>
        <v>114</v>
      </c>
      <c r="C122" s="169" t="s">
        <v>240</v>
      </c>
      <c r="D122" s="3"/>
      <c r="E122" s="3"/>
      <c r="F122" s="3"/>
      <c r="G122" s="3"/>
      <c r="H122" s="201"/>
      <c r="I122" s="202"/>
      <c r="J122" s="202"/>
      <c r="L122" s="188"/>
      <c r="M122" s="188"/>
      <c r="N122" s="188"/>
      <c r="P122" s="359">
        <v>1448967.9211642197</v>
      </c>
      <c r="Q122" s="359">
        <v>1442040.3558627823</v>
      </c>
      <c r="R122" s="191"/>
      <c r="S122" s="197">
        <f>S121-M121</f>
        <v>273049.59148191288</v>
      </c>
      <c r="T122" s="197">
        <f>T121-N121-S122</f>
        <v>25793.849616284715</v>
      </c>
    </row>
    <row r="123" spans="1:20" x14ac:dyDescent="0.2">
      <c r="A123" s="323">
        <f t="shared" si="45"/>
        <v>115</v>
      </c>
      <c r="C123" s="261" t="s">
        <v>13</v>
      </c>
      <c r="D123" s="3"/>
      <c r="E123" s="3"/>
      <c r="F123" s="3"/>
      <c r="G123" s="3"/>
      <c r="H123" s="201"/>
      <c r="I123" s="202"/>
      <c r="J123" s="202"/>
      <c r="L123" s="199">
        <v>0</v>
      </c>
      <c r="M123" s="199">
        <v>0</v>
      </c>
      <c r="N123" s="199">
        <v>0</v>
      </c>
      <c r="O123" s="261"/>
      <c r="P123" s="200">
        <f>P121-P122</f>
        <v>0</v>
      </c>
      <c r="Q123" s="200">
        <f>Q121-Q122</f>
        <v>0</v>
      </c>
      <c r="R123" s="261"/>
      <c r="S123" s="200">
        <f>S121-P121</f>
        <v>0</v>
      </c>
      <c r="T123" s="200">
        <f>T121-Q121</f>
        <v>0</v>
      </c>
    </row>
    <row r="124" spans="1:20" x14ac:dyDescent="0.2">
      <c r="A124" s="323">
        <f t="shared" si="45"/>
        <v>116</v>
      </c>
      <c r="D124" s="3"/>
      <c r="E124" s="3"/>
      <c r="F124" s="3"/>
      <c r="G124" s="3"/>
      <c r="H124" s="201"/>
      <c r="I124" s="202"/>
      <c r="J124" s="202"/>
      <c r="L124" s="188"/>
      <c r="M124" s="188"/>
      <c r="N124" s="188"/>
    </row>
    <row r="125" spans="1:20" x14ac:dyDescent="0.2">
      <c r="A125" s="323">
        <f t="shared" si="45"/>
        <v>117</v>
      </c>
      <c r="D125" s="3"/>
      <c r="E125" s="3"/>
      <c r="F125" s="3"/>
      <c r="G125" s="3"/>
      <c r="H125" s="201"/>
      <c r="I125" s="202"/>
      <c r="J125" s="202"/>
      <c r="L125" s="188"/>
      <c r="M125" s="188"/>
      <c r="N125" s="188"/>
    </row>
    <row r="126" spans="1:20" x14ac:dyDescent="0.2">
      <c r="A126" s="323">
        <f t="shared" si="45"/>
        <v>118</v>
      </c>
      <c r="B126" s="323">
        <v>87</v>
      </c>
      <c r="C126" s="39" t="s">
        <v>74</v>
      </c>
      <c r="D126" s="156">
        <v>48.270756991295279</v>
      </c>
      <c r="E126" s="156">
        <v>48</v>
      </c>
      <c r="F126" s="156">
        <v>48</v>
      </c>
      <c r="G126" s="350"/>
      <c r="H126" s="349">
        <v>715.15</v>
      </c>
      <c r="I126" s="207">
        <f t="shared" ref="I126:J127" si="81">H126*(1+S126)</f>
        <v>929.69500000000005</v>
      </c>
      <c r="J126" s="207">
        <f t="shared" si="81"/>
        <v>1208.6035000000002</v>
      </c>
      <c r="L126" s="188">
        <f>D126*$H126</f>
        <v>34520.83186232482</v>
      </c>
      <c r="M126" s="188">
        <f t="shared" ref="M126:N128" si="82">E126*$H126</f>
        <v>34327.199999999997</v>
      </c>
      <c r="N126" s="188">
        <f t="shared" si="82"/>
        <v>34327.199999999997</v>
      </c>
      <c r="P126" s="188">
        <f t="shared" ref="P126:Q128" si="83">E126*I126</f>
        <v>44625.36</v>
      </c>
      <c r="Q126" s="188">
        <f t="shared" si="83"/>
        <v>58012.968000000008</v>
      </c>
      <c r="S126" s="189">
        <v>0.3</v>
      </c>
      <c r="T126" s="189">
        <f>S126</f>
        <v>0.3</v>
      </c>
    </row>
    <row r="127" spans="1:20" x14ac:dyDescent="0.2">
      <c r="A127" s="323">
        <f t="shared" si="45"/>
        <v>119</v>
      </c>
      <c r="B127" s="323">
        <v>87</v>
      </c>
      <c r="C127" s="285" t="s">
        <v>79</v>
      </c>
      <c r="D127" s="156">
        <v>0</v>
      </c>
      <c r="E127" s="156">
        <v>0</v>
      </c>
      <c r="F127" s="156">
        <v>0</v>
      </c>
      <c r="G127" s="350"/>
      <c r="H127" s="349">
        <v>1.45</v>
      </c>
      <c r="I127" s="207">
        <f t="shared" si="81"/>
        <v>1.7109999999999999</v>
      </c>
      <c r="J127" s="207">
        <f t="shared" si="81"/>
        <v>2.0189799999999996</v>
      </c>
      <c r="L127" s="188">
        <f t="shared" ref="L127:N137" si="84">D127*$H127</f>
        <v>0</v>
      </c>
      <c r="M127" s="188">
        <f t="shared" si="82"/>
        <v>0</v>
      </c>
      <c r="N127" s="188">
        <f t="shared" si="82"/>
        <v>0</v>
      </c>
      <c r="P127" s="188">
        <f t="shared" si="83"/>
        <v>0</v>
      </c>
      <c r="Q127" s="188">
        <f t="shared" si="83"/>
        <v>0</v>
      </c>
      <c r="S127" s="189">
        <v>0.18</v>
      </c>
      <c r="T127" s="189">
        <f>S127</f>
        <v>0.18</v>
      </c>
    </row>
    <row r="128" spans="1:20" x14ac:dyDescent="0.2">
      <c r="A128" s="323">
        <f t="shared" si="45"/>
        <v>120</v>
      </c>
      <c r="B128" s="323">
        <v>87</v>
      </c>
      <c r="C128" s="285" t="s">
        <v>77</v>
      </c>
      <c r="D128" s="156">
        <v>19551189.13520667</v>
      </c>
      <c r="E128" s="156">
        <v>20007657</v>
      </c>
      <c r="F128" s="156">
        <v>19433452</v>
      </c>
      <c r="G128" s="350"/>
      <c r="H128" s="324">
        <v>9.3200000000000002E-3</v>
      </c>
      <c r="I128" s="208">
        <f>H128*(1+S128)</f>
        <v>1.2920357783594592E-2</v>
      </c>
      <c r="J128" s="208">
        <f>I128*(1+T128)</f>
        <v>1.2920357783594592E-2</v>
      </c>
      <c r="L128" s="188">
        <f t="shared" si="84"/>
        <v>182217.08274012618</v>
      </c>
      <c r="M128" s="188">
        <f t="shared" si="82"/>
        <v>186471.36324000001</v>
      </c>
      <c r="N128" s="188">
        <f t="shared" si="82"/>
        <v>181119.77264000001</v>
      </c>
      <c r="P128" s="188">
        <f t="shared" si="83"/>
        <v>258506.08685144084</v>
      </c>
      <c r="Q128" s="188">
        <f t="shared" si="83"/>
        <v>251087.15281031191</v>
      </c>
      <c r="S128" s="190">
        <v>0.38630448321830385</v>
      </c>
      <c r="T128" s="190">
        <v>0</v>
      </c>
    </row>
    <row r="129" spans="1:20" x14ac:dyDescent="0.2">
      <c r="A129" s="323">
        <f t="shared" si="45"/>
        <v>121</v>
      </c>
      <c r="B129" s="323">
        <v>87</v>
      </c>
      <c r="C129" s="285" t="s">
        <v>84</v>
      </c>
      <c r="D129" s="262"/>
      <c r="E129" s="262"/>
      <c r="F129" s="262"/>
      <c r="G129" s="350"/>
      <c r="H129" s="262"/>
      <c r="I129" s="192"/>
      <c r="J129" s="192"/>
      <c r="L129" s="360">
        <v>4588.369999999999</v>
      </c>
      <c r="M129" s="360">
        <v>4588.369999999999</v>
      </c>
      <c r="N129" s="360">
        <v>4588.369999999999</v>
      </c>
      <c r="P129" s="197">
        <f>M129</f>
        <v>4588.369999999999</v>
      </c>
      <c r="Q129" s="197">
        <f>N129</f>
        <v>4588.369999999999</v>
      </c>
    </row>
    <row r="130" spans="1:20" x14ac:dyDescent="0.2">
      <c r="A130" s="323">
        <f t="shared" si="45"/>
        <v>122</v>
      </c>
      <c r="C130" s="285"/>
      <c r="D130" s="262"/>
      <c r="E130" s="262"/>
      <c r="F130" s="262"/>
      <c r="G130" s="350"/>
      <c r="H130" s="262"/>
      <c r="I130" s="192"/>
      <c r="J130" s="192"/>
      <c r="L130" s="188"/>
      <c r="M130" s="188"/>
      <c r="N130" s="188"/>
    </row>
    <row r="131" spans="1:20" x14ac:dyDescent="0.2">
      <c r="A131" s="323">
        <f t="shared" si="45"/>
        <v>123</v>
      </c>
      <c r="B131" s="323">
        <v>87</v>
      </c>
      <c r="C131" s="285" t="s">
        <v>80</v>
      </c>
      <c r="D131" s="262"/>
      <c r="E131" s="262"/>
      <c r="F131" s="262"/>
      <c r="G131" s="350"/>
      <c r="H131" s="353"/>
      <c r="I131" s="195"/>
      <c r="J131" s="195"/>
      <c r="L131" s="188"/>
      <c r="M131" s="188"/>
      <c r="N131" s="188"/>
    </row>
    <row r="132" spans="1:20" x14ac:dyDescent="0.2">
      <c r="A132" s="323">
        <f t="shared" si="45"/>
        <v>124</v>
      </c>
      <c r="B132" s="323">
        <v>87</v>
      </c>
      <c r="C132" s="285" t="s">
        <v>85</v>
      </c>
      <c r="D132" s="156">
        <v>1194651.9719999998</v>
      </c>
      <c r="E132" s="156">
        <v>1200000</v>
      </c>
      <c r="F132" s="156">
        <v>1200000</v>
      </c>
      <c r="G132" s="350"/>
      <c r="H132" s="324">
        <v>0.20754</v>
      </c>
      <c r="I132" s="208">
        <f t="shared" ref="I132:J137" si="85">H132*(1+S132)</f>
        <v>0.31281457683661656</v>
      </c>
      <c r="J132" s="208">
        <f t="shared" si="85"/>
        <v>0.3223033460438165</v>
      </c>
      <c r="L132" s="188">
        <f t="shared" si="84"/>
        <v>247938.07026887996</v>
      </c>
      <c r="M132" s="188">
        <f t="shared" si="84"/>
        <v>249048</v>
      </c>
      <c r="N132" s="188">
        <f t="shared" si="84"/>
        <v>249048</v>
      </c>
      <c r="P132" s="188">
        <f>E132*I132</f>
        <v>375377.49220393988</v>
      </c>
      <c r="Q132" s="188">
        <f>F132*J132</f>
        <v>386764.01525257982</v>
      </c>
      <c r="S132" s="190">
        <f>(S$158-(SUM(P126,P127,P128, P129, P142,P143,P144)-SUM(M126,M127,M128, M129,M142,M143,M144)))/(M157-SUM(M126,M127,M128, M129, M142,M143,M144))</f>
        <v>0.50724957519811398</v>
      </c>
      <c r="T132" s="190">
        <f>((Q158-SUM(Q126:Q129,Q142:Q144)))/((I132*SUM(F132,F147))+(I133*SUM(F133,F148))+(I134*SUM(F134,F149))+(I135*SUM(F135,F150))+(I136*SUM(F136,F151))+(I137*SUM(F137,F152)))-1</f>
        <v>3.0333526343805595E-2</v>
      </c>
    </row>
    <row r="133" spans="1:20" x14ac:dyDescent="0.2">
      <c r="A133" s="323">
        <f t="shared" si="45"/>
        <v>125</v>
      </c>
      <c r="B133" s="323">
        <v>87</v>
      </c>
      <c r="C133" s="285" t="s">
        <v>86</v>
      </c>
      <c r="D133" s="156">
        <v>1194643.9719999998</v>
      </c>
      <c r="E133" s="156">
        <v>1200000</v>
      </c>
      <c r="F133" s="156">
        <v>1200000</v>
      </c>
      <c r="G133" s="350"/>
      <c r="H133" s="324">
        <v>0.12540999999999999</v>
      </c>
      <c r="I133" s="208">
        <f t="shared" si="85"/>
        <v>0.18902416922559545</v>
      </c>
      <c r="J133" s="208">
        <f t="shared" si="85"/>
        <v>0.19475793884241602</v>
      </c>
      <c r="L133" s="188">
        <f t="shared" si="84"/>
        <v>149820.30052851996</v>
      </c>
      <c r="M133" s="188">
        <f t="shared" si="84"/>
        <v>150492</v>
      </c>
      <c r="N133" s="188">
        <f t="shared" si="84"/>
        <v>150492</v>
      </c>
      <c r="P133" s="188">
        <f t="shared" ref="P133:Q137" si="86">E133*I133</f>
        <v>226829.00307071453</v>
      </c>
      <c r="Q133" s="188">
        <f t="shared" si="86"/>
        <v>233709.52661089922</v>
      </c>
      <c r="S133" s="190">
        <f>S132</f>
        <v>0.50724957519811398</v>
      </c>
      <c r="T133" s="190">
        <f>T132</f>
        <v>3.0333526343805595E-2</v>
      </c>
    </row>
    <row r="134" spans="1:20" x14ac:dyDescent="0.2">
      <c r="A134" s="323">
        <f t="shared" si="45"/>
        <v>126</v>
      </c>
      <c r="B134" s="323">
        <v>87</v>
      </c>
      <c r="C134" s="285" t="s">
        <v>88</v>
      </c>
      <c r="D134" s="156">
        <v>2194527.5929999999</v>
      </c>
      <c r="E134" s="156">
        <v>2400000</v>
      </c>
      <c r="F134" s="156">
        <v>2400000</v>
      </c>
      <c r="G134" s="350"/>
      <c r="H134" s="324">
        <v>7.9810000000000006E-2</v>
      </c>
      <c r="I134" s="208">
        <f t="shared" si="85"/>
        <v>0.12029358859656147</v>
      </c>
      <c r="J134" s="208">
        <f t="shared" si="85"/>
        <v>0.12394251733524618</v>
      </c>
      <c r="L134" s="188">
        <f t="shared" si="84"/>
        <v>175145.24719733</v>
      </c>
      <c r="M134" s="188">
        <f t="shared" si="84"/>
        <v>191544</v>
      </c>
      <c r="N134" s="188">
        <f t="shared" si="84"/>
        <v>191544</v>
      </c>
      <c r="P134" s="188">
        <f t="shared" si="86"/>
        <v>288704.61263174756</v>
      </c>
      <c r="Q134" s="188">
        <f t="shared" si="86"/>
        <v>297462.04160459084</v>
      </c>
      <c r="S134" s="190">
        <f t="shared" ref="S134:T137" si="87">S133</f>
        <v>0.50724957519811398</v>
      </c>
      <c r="T134" s="190">
        <f t="shared" si="87"/>
        <v>3.0333526343805595E-2</v>
      </c>
    </row>
    <row r="135" spans="1:20" x14ac:dyDescent="0.2">
      <c r="A135" s="323">
        <f t="shared" si="45"/>
        <v>127</v>
      </c>
      <c r="B135" s="323">
        <v>87</v>
      </c>
      <c r="C135" s="285" t="s">
        <v>15</v>
      </c>
      <c r="D135" s="156">
        <v>3078129.3010000004</v>
      </c>
      <c r="E135" s="156">
        <v>3127546.681753166</v>
      </c>
      <c r="F135" s="156">
        <v>3009457.9490577825</v>
      </c>
      <c r="G135" s="350"/>
      <c r="H135" s="324">
        <v>5.117E-2</v>
      </c>
      <c r="I135" s="208">
        <f t="shared" si="85"/>
        <v>7.7125960762887483E-2</v>
      </c>
      <c r="J135" s="208">
        <f t="shared" si="85"/>
        <v>7.9465463125479849E-2</v>
      </c>
      <c r="L135" s="188">
        <f t="shared" si="84"/>
        <v>157507.87633217001</v>
      </c>
      <c r="M135" s="188">
        <f t="shared" si="84"/>
        <v>160036.5637053095</v>
      </c>
      <c r="N135" s="188">
        <f t="shared" si="84"/>
        <v>153993.96325328673</v>
      </c>
      <c r="P135" s="188">
        <f t="shared" si="86"/>
        <v>241215.04266099364</v>
      </c>
      <c r="Q135" s="188">
        <f t="shared" si="86"/>
        <v>239147.96967853344</v>
      </c>
      <c r="S135" s="190">
        <f t="shared" si="87"/>
        <v>0.50724957519811398</v>
      </c>
      <c r="T135" s="190">
        <f t="shared" si="87"/>
        <v>3.0333526343805595E-2</v>
      </c>
    </row>
    <row r="136" spans="1:20" x14ac:dyDescent="0.2">
      <c r="A136" s="323">
        <f t="shared" si="45"/>
        <v>128</v>
      </c>
      <c r="B136" s="323">
        <v>87</v>
      </c>
      <c r="C136" s="285" t="s">
        <v>14</v>
      </c>
      <c r="D136" s="156">
        <v>3885647.2050000001</v>
      </c>
      <c r="E136" s="156">
        <v>3948028.7649102928</v>
      </c>
      <c r="F136" s="156">
        <v>3798960.5779466261</v>
      </c>
      <c r="G136" s="350"/>
      <c r="H136" s="324">
        <v>3.6830000000000002E-2</v>
      </c>
      <c r="I136" s="208">
        <f t="shared" si="85"/>
        <v>5.5512001854546536E-2</v>
      </c>
      <c r="J136" s="208">
        <f t="shared" si="85"/>
        <v>5.7195876625198809E-2</v>
      </c>
      <c r="L136" s="188">
        <f t="shared" si="84"/>
        <v>143108.38656015001</v>
      </c>
      <c r="M136" s="188">
        <f t="shared" si="84"/>
        <v>145405.8994116461</v>
      </c>
      <c r="N136" s="188">
        <f t="shared" si="84"/>
        <v>139915.71808577425</v>
      </c>
      <c r="P136" s="188">
        <f t="shared" si="86"/>
        <v>219162.98011950325</v>
      </c>
      <c r="Q136" s="188">
        <f t="shared" si="86"/>
        <v>217284.8805202292</v>
      </c>
      <c r="S136" s="190">
        <f t="shared" si="87"/>
        <v>0.50724957519811398</v>
      </c>
      <c r="T136" s="190">
        <f t="shared" si="87"/>
        <v>3.0333526343805595E-2</v>
      </c>
    </row>
    <row r="137" spans="1:20" x14ac:dyDescent="0.2">
      <c r="A137" s="323">
        <f t="shared" si="45"/>
        <v>129</v>
      </c>
      <c r="B137" s="323">
        <v>87</v>
      </c>
      <c r="C137" s="285" t="s">
        <v>91</v>
      </c>
      <c r="D137" s="156">
        <v>8003589.0922066681</v>
      </c>
      <c r="E137" s="156">
        <v>8132081.5533365402</v>
      </c>
      <c r="F137" s="156">
        <v>7825033.4729955904</v>
      </c>
      <c r="G137" s="350"/>
      <c r="H137" s="324">
        <v>2.4830000000000001E-2</v>
      </c>
      <c r="I137" s="208">
        <f t="shared" si="85"/>
        <v>3.7425006952169167E-2</v>
      </c>
      <c r="J137" s="208">
        <f t="shared" si="85"/>
        <v>3.8560239386469901E-2</v>
      </c>
      <c r="L137" s="188">
        <f t="shared" si="84"/>
        <v>198729.11715949158</v>
      </c>
      <c r="M137" s="188">
        <f t="shared" si="84"/>
        <v>201919.5849693463</v>
      </c>
      <c r="N137" s="188">
        <f t="shared" si="84"/>
        <v>194295.58113448051</v>
      </c>
      <c r="P137" s="188">
        <f t="shared" si="86"/>
        <v>304343.20866922667</v>
      </c>
      <c r="Q137" s="188">
        <f t="shared" si="86"/>
        <v>301735.16392584995</v>
      </c>
      <c r="S137" s="190">
        <f t="shared" si="87"/>
        <v>0.50724957519811398</v>
      </c>
      <c r="T137" s="190">
        <f t="shared" si="87"/>
        <v>3.0333526343805595E-2</v>
      </c>
    </row>
    <row r="138" spans="1:20" x14ac:dyDescent="0.2">
      <c r="A138" s="323">
        <f t="shared" si="45"/>
        <v>130</v>
      </c>
      <c r="B138" s="323">
        <v>87</v>
      </c>
      <c r="C138" s="39" t="s">
        <v>94</v>
      </c>
      <c r="D138" s="147">
        <f>SUM(D132:D137)</f>
        <v>19551189.13520667</v>
      </c>
      <c r="E138" s="147">
        <f t="shared" ref="E138:F138" si="88">SUM(E132:E137)</f>
        <v>20007657</v>
      </c>
      <c r="F138" s="147">
        <f t="shared" si="88"/>
        <v>19433452</v>
      </c>
      <c r="G138" s="3"/>
      <c r="H138" s="191"/>
      <c r="I138" s="192"/>
      <c r="J138" s="192"/>
      <c r="L138" s="228">
        <f>SUM(L132:L137)</f>
        <v>1072248.9980465416</v>
      </c>
      <c r="M138" s="228">
        <f t="shared" ref="M138:N138" si="89">SUM(M132:M137)</f>
        <v>1098446.0480863019</v>
      </c>
      <c r="N138" s="228">
        <f t="shared" si="89"/>
        <v>1079289.2624735413</v>
      </c>
      <c r="P138" s="228">
        <f>SUM(P132:P137)</f>
        <v>1655632.3393561256</v>
      </c>
      <c r="Q138" s="228">
        <f>SUM(Q132:Q137)</f>
        <v>1676103.5975926826</v>
      </c>
    </row>
    <row r="139" spans="1:20" x14ac:dyDescent="0.2">
      <c r="A139" s="323">
        <f t="shared" ref="A139:A191" si="90">A138+1</f>
        <v>131</v>
      </c>
      <c r="C139" s="39"/>
      <c r="H139" s="194"/>
      <c r="I139" s="195"/>
      <c r="J139" s="195"/>
    </row>
    <row r="140" spans="1:20" x14ac:dyDescent="0.2">
      <c r="A140" s="323">
        <f t="shared" si="90"/>
        <v>132</v>
      </c>
      <c r="B140" s="323">
        <v>87</v>
      </c>
      <c r="C140" s="285" t="s">
        <v>160</v>
      </c>
      <c r="H140" s="191"/>
      <c r="I140" s="192"/>
      <c r="J140" s="192"/>
      <c r="L140" s="197">
        <f>SUM(L126:L129,L138)</f>
        <v>1293575.2826489925</v>
      </c>
      <c r="M140" s="197">
        <f t="shared" ref="M140:Q140" si="91">SUM(M126:M129,M138)</f>
        <v>1323832.9813263018</v>
      </c>
      <c r="N140" s="197">
        <f t="shared" si="91"/>
        <v>1299324.6051135412</v>
      </c>
      <c r="P140" s="197">
        <f t="shared" si="91"/>
        <v>1963352.1562075664</v>
      </c>
      <c r="Q140" s="197">
        <f t="shared" si="91"/>
        <v>1989792.0884029944</v>
      </c>
    </row>
    <row r="141" spans="1:20" x14ac:dyDescent="0.2">
      <c r="A141" s="323">
        <f t="shared" si="90"/>
        <v>133</v>
      </c>
      <c r="H141" s="210"/>
      <c r="I141" s="207"/>
      <c r="J141" s="207"/>
    </row>
    <row r="142" spans="1:20" x14ac:dyDescent="0.2">
      <c r="A142" s="323">
        <f t="shared" si="90"/>
        <v>134</v>
      </c>
      <c r="B142" s="323" t="s">
        <v>2</v>
      </c>
      <c r="C142" s="39" t="s">
        <v>74</v>
      </c>
      <c r="D142" s="156">
        <v>107.99999770585009</v>
      </c>
      <c r="E142" s="156">
        <v>108</v>
      </c>
      <c r="F142" s="156">
        <v>108</v>
      </c>
      <c r="G142" s="262"/>
      <c r="H142" s="349">
        <v>1082.81</v>
      </c>
      <c r="I142" s="207">
        <f t="shared" ref="I142:J143" si="92">H142*(1+S142)</f>
        <v>1143.9773436278883</v>
      </c>
      <c r="J142" s="207">
        <f t="shared" si="92"/>
        <v>1208.5999969836994</v>
      </c>
      <c r="L142" s="188">
        <f>D142*$H142</f>
        <v>116943.47751587153</v>
      </c>
      <c r="M142" s="188">
        <f t="shared" ref="M142:N143" si="93">E142*$H142</f>
        <v>116943.48</v>
      </c>
      <c r="N142" s="188">
        <f t="shared" si="93"/>
        <v>116943.48</v>
      </c>
      <c r="P142" s="188">
        <f>E142*I142</f>
        <v>123549.55311181194</v>
      </c>
      <c r="Q142" s="188">
        <f>F142*J142</f>
        <v>130528.79967423953</v>
      </c>
      <c r="S142" s="189">
        <v>5.6489452099526542E-2</v>
      </c>
      <c r="T142" s="189">
        <f>S142</f>
        <v>5.6489452099526542E-2</v>
      </c>
    </row>
    <row r="143" spans="1:20" x14ac:dyDescent="0.2">
      <c r="A143" s="323">
        <f t="shared" si="90"/>
        <v>135</v>
      </c>
      <c r="B143" s="323" t="s">
        <v>2</v>
      </c>
      <c r="C143" s="285" t="s">
        <v>79</v>
      </c>
      <c r="D143" s="156">
        <v>259368</v>
      </c>
      <c r="E143" s="156">
        <v>259368</v>
      </c>
      <c r="F143" s="156">
        <v>259368</v>
      </c>
      <c r="G143" s="262"/>
      <c r="H143" s="349">
        <v>1.45</v>
      </c>
      <c r="I143" s="207">
        <f t="shared" si="92"/>
        <v>1.7109999999999999</v>
      </c>
      <c r="J143" s="207">
        <f t="shared" si="92"/>
        <v>2.0189799999999996</v>
      </c>
      <c r="L143" s="188">
        <f t="shared" ref="L143" si="94">D143*$H143</f>
        <v>376083.6</v>
      </c>
      <c r="M143" s="188">
        <f t="shared" si="93"/>
        <v>376083.6</v>
      </c>
      <c r="N143" s="188">
        <f t="shared" si="93"/>
        <v>376083.6</v>
      </c>
      <c r="P143" s="188">
        <f t="shared" ref="P143:Q143" si="95">E143*I143</f>
        <v>443778.64799999999</v>
      </c>
      <c r="Q143" s="188">
        <f t="shared" si="95"/>
        <v>523658.80463999987</v>
      </c>
      <c r="S143" s="189">
        <f>S127</f>
        <v>0.18</v>
      </c>
      <c r="T143" s="189">
        <f>T127</f>
        <v>0.18</v>
      </c>
    </row>
    <row r="144" spans="1:20" x14ac:dyDescent="0.2">
      <c r="A144" s="323">
        <f t="shared" si="90"/>
        <v>136</v>
      </c>
      <c r="B144" s="323" t="s">
        <v>2</v>
      </c>
      <c r="C144" s="285" t="s">
        <v>84</v>
      </c>
      <c r="D144" s="262"/>
      <c r="E144" s="262"/>
      <c r="F144" s="262"/>
      <c r="G144" s="262"/>
      <c r="H144" s="351"/>
      <c r="I144" s="207"/>
      <c r="J144" s="207"/>
      <c r="L144" s="358">
        <v>25145.649999999998</v>
      </c>
      <c r="M144" s="358">
        <v>25145.649999999998</v>
      </c>
      <c r="N144" s="358">
        <v>25145.649999999998</v>
      </c>
      <c r="P144" s="188">
        <f>M144</f>
        <v>25145.649999999998</v>
      </c>
      <c r="Q144" s="188">
        <f>N144</f>
        <v>25145.649999999998</v>
      </c>
    </row>
    <row r="145" spans="1:20" x14ac:dyDescent="0.2">
      <c r="A145" s="323">
        <f t="shared" si="90"/>
        <v>137</v>
      </c>
      <c r="C145" s="285"/>
      <c r="D145" s="262"/>
      <c r="E145" s="262"/>
      <c r="F145" s="262"/>
      <c r="G145" s="262"/>
      <c r="H145" s="351"/>
      <c r="I145" s="207"/>
      <c r="J145" s="207"/>
    </row>
    <row r="146" spans="1:20" x14ac:dyDescent="0.2">
      <c r="A146" s="323">
        <f t="shared" si="90"/>
        <v>138</v>
      </c>
      <c r="B146" s="323" t="s">
        <v>2</v>
      </c>
      <c r="C146" s="285" t="s">
        <v>80</v>
      </c>
      <c r="D146" s="262"/>
      <c r="E146" s="262"/>
      <c r="F146" s="262"/>
      <c r="G146" s="262"/>
      <c r="H146" s="262"/>
      <c r="I146" s="192"/>
      <c r="J146" s="192"/>
    </row>
    <row r="147" spans="1:20" x14ac:dyDescent="0.2">
      <c r="A147" s="323">
        <f t="shared" si="90"/>
        <v>139</v>
      </c>
      <c r="B147" s="323" t="s">
        <v>2</v>
      </c>
      <c r="C147" s="285" t="s">
        <v>85</v>
      </c>
      <c r="D147" s="156">
        <v>2725000</v>
      </c>
      <c r="E147" s="156">
        <v>3000000</v>
      </c>
      <c r="F147" s="156">
        <v>3000000</v>
      </c>
      <c r="G147" s="262"/>
      <c r="H147" s="324">
        <v>0.20754</v>
      </c>
      <c r="I147" s="208">
        <f>H147*(1+S147)</f>
        <v>0.31281457683661656</v>
      </c>
      <c r="J147" s="208">
        <f>I147*(1+T147)</f>
        <v>0.3223033460438165</v>
      </c>
      <c r="L147" s="188">
        <f t="shared" ref="L147:N152" si="96">D147*$H147</f>
        <v>565546.5</v>
      </c>
      <c r="M147" s="188">
        <f t="shared" si="96"/>
        <v>622620</v>
      </c>
      <c r="N147" s="188">
        <f t="shared" si="96"/>
        <v>622620</v>
      </c>
      <c r="P147" s="188">
        <f>E147*I147</f>
        <v>938443.73050984973</v>
      </c>
      <c r="Q147" s="188">
        <f>F147*J147</f>
        <v>966910.03813144949</v>
      </c>
      <c r="S147" s="190">
        <f>S132</f>
        <v>0.50724957519811398</v>
      </c>
      <c r="T147" s="190">
        <f>T132</f>
        <v>3.0333526343805595E-2</v>
      </c>
    </row>
    <row r="148" spans="1:20" x14ac:dyDescent="0.2">
      <c r="A148" s="323">
        <f t="shared" si="90"/>
        <v>140</v>
      </c>
      <c r="B148" s="323" t="s">
        <v>2</v>
      </c>
      <c r="C148" s="285" t="s">
        <v>86</v>
      </c>
      <c r="D148" s="156">
        <v>2725000</v>
      </c>
      <c r="E148" s="156">
        <v>3000000</v>
      </c>
      <c r="F148" s="156">
        <v>3000000</v>
      </c>
      <c r="G148" s="262"/>
      <c r="H148" s="324">
        <v>0.12540999999999999</v>
      </c>
      <c r="I148" s="208">
        <f t="shared" ref="I148:J152" si="97">H148*(1+S148)</f>
        <v>0.18902416922559545</v>
      </c>
      <c r="J148" s="208">
        <f t="shared" si="97"/>
        <v>0.19475793884241602</v>
      </c>
      <c r="L148" s="188">
        <f t="shared" si="96"/>
        <v>341742.25</v>
      </c>
      <c r="M148" s="188">
        <f t="shared" si="96"/>
        <v>376230</v>
      </c>
      <c r="N148" s="188">
        <f t="shared" si="96"/>
        <v>376230</v>
      </c>
      <c r="P148" s="188">
        <f t="shared" ref="P148:Q152" si="98">E148*I148</f>
        <v>567072.50767678639</v>
      </c>
      <c r="Q148" s="188">
        <f t="shared" si="98"/>
        <v>584273.81652724801</v>
      </c>
      <c r="S148" s="190">
        <f t="shared" ref="S148:T152" si="99">S133</f>
        <v>0.50724957519811398</v>
      </c>
      <c r="T148" s="190">
        <f t="shared" si="99"/>
        <v>3.0333526343805595E-2</v>
      </c>
    </row>
    <row r="149" spans="1:20" x14ac:dyDescent="0.2">
      <c r="A149" s="323">
        <f t="shared" si="90"/>
        <v>141</v>
      </c>
      <c r="B149" s="323" t="s">
        <v>2</v>
      </c>
      <c r="C149" s="285" t="s">
        <v>88</v>
      </c>
      <c r="D149" s="156">
        <v>5450000</v>
      </c>
      <c r="E149" s="156">
        <v>6000000</v>
      </c>
      <c r="F149" s="156">
        <v>6000000</v>
      </c>
      <c r="G149" s="262"/>
      <c r="H149" s="324">
        <v>7.9810000000000006E-2</v>
      </c>
      <c r="I149" s="208">
        <f t="shared" si="97"/>
        <v>0.12029358859656147</v>
      </c>
      <c r="J149" s="208">
        <f t="shared" si="97"/>
        <v>0.12394251733524618</v>
      </c>
      <c r="L149" s="188">
        <f t="shared" si="96"/>
        <v>434964.50000000006</v>
      </c>
      <c r="M149" s="188">
        <f t="shared" si="96"/>
        <v>478860.00000000006</v>
      </c>
      <c r="N149" s="188">
        <f t="shared" si="96"/>
        <v>478860.00000000006</v>
      </c>
      <c r="P149" s="188">
        <f t="shared" si="98"/>
        <v>721761.53157936886</v>
      </c>
      <c r="Q149" s="188">
        <f t="shared" si="98"/>
        <v>743655.10401147709</v>
      </c>
      <c r="S149" s="190">
        <f t="shared" si="99"/>
        <v>0.50724957519811398</v>
      </c>
      <c r="T149" s="190">
        <f t="shared" si="99"/>
        <v>3.0333526343805595E-2</v>
      </c>
    </row>
    <row r="150" spans="1:20" x14ac:dyDescent="0.2">
      <c r="A150" s="323">
        <f t="shared" si="90"/>
        <v>142</v>
      </c>
      <c r="B150" s="323" t="s">
        <v>2</v>
      </c>
      <c r="C150" s="285" t="s">
        <v>15</v>
      </c>
      <c r="D150" s="156">
        <v>10192995.1</v>
      </c>
      <c r="E150" s="156">
        <v>8824772.2542880289</v>
      </c>
      <c r="F150" s="156">
        <v>8650700.5627074353</v>
      </c>
      <c r="G150" s="262"/>
      <c r="H150" s="324">
        <v>5.117E-2</v>
      </c>
      <c r="I150" s="208">
        <f t="shared" si="97"/>
        <v>7.7125960762887483E-2</v>
      </c>
      <c r="J150" s="208">
        <f t="shared" si="97"/>
        <v>7.9465463125479849E-2</v>
      </c>
      <c r="L150" s="188">
        <f t="shared" si="96"/>
        <v>521575.559267</v>
      </c>
      <c r="M150" s="188">
        <f t="shared" si="96"/>
        <v>451563.59625191847</v>
      </c>
      <c r="N150" s="188">
        <f t="shared" si="96"/>
        <v>442656.34779373946</v>
      </c>
      <c r="P150" s="188">
        <f t="shared" si="98"/>
        <v>680619.0386256366</v>
      </c>
      <c r="Q150" s="188">
        <f t="shared" si="98"/>
        <v>687431.92657539551</v>
      </c>
      <c r="S150" s="190">
        <f t="shared" si="99"/>
        <v>0.50724957519811398</v>
      </c>
      <c r="T150" s="190">
        <f t="shared" si="99"/>
        <v>3.0333526343805595E-2</v>
      </c>
    </row>
    <row r="151" spans="1:20" x14ac:dyDescent="0.2">
      <c r="A151" s="323">
        <f t="shared" si="90"/>
        <v>143</v>
      </c>
      <c r="B151" s="323" t="s">
        <v>2</v>
      </c>
      <c r="C151" s="285" t="s">
        <v>14</v>
      </c>
      <c r="D151" s="156">
        <v>22340145.929999996</v>
      </c>
      <c r="E151" s="156">
        <v>19735102.432404663</v>
      </c>
      <c r="F151" s="156">
        <v>19366549.702228826</v>
      </c>
      <c r="G151" s="262"/>
      <c r="H151" s="324">
        <v>3.6830000000000002E-2</v>
      </c>
      <c r="I151" s="208">
        <f t="shared" si="97"/>
        <v>5.5512001854546536E-2</v>
      </c>
      <c r="J151" s="208">
        <f t="shared" si="97"/>
        <v>5.7195876625198809E-2</v>
      </c>
      <c r="L151" s="188">
        <f t="shared" si="96"/>
        <v>822787.57460189983</v>
      </c>
      <c r="M151" s="188">
        <f t="shared" si="96"/>
        <v>726843.82258546376</v>
      </c>
      <c r="N151" s="188">
        <f t="shared" si="96"/>
        <v>713270.02553308767</v>
      </c>
      <c r="P151" s="188">
        <f t="shared" si="98"/>
        <v>1095535.0428273135</v>
      </c>
      <c r="Q151" s="188">
        <f t="shared" si="98"/>
        <v>1107686.7874244608</v>
      </c>
      <c r="S151" s="190">
        <f t="shared" si="99"/>
        <v>0.50724957519811398</v>
      </c>
      <c r="T151" s="190">
        <f t="shared" si="99"/>
        <v>3.0333526343805595E-2</v>
      </c>
    </row>
    <row r="152" spans="1:20" x14ac:dyDescent="0.2">
      <c r="A152" s="323">
        <f t="shared" si="90"/>
        <v>144</v>
      </c>
      <c r="B152" s="323" t="s">
        <v>2</v>
      </c>
      <c r="C152" s="285" t="s">
        <v>91</v>
      </c>
      <c r="D152" s="156">
        <v>29692694.428342499</v>
      </c>
      <c r="E152" s="156">
        <v>26134112.033307314</v>
      </c>
      <c r="F152" s="156">
        <v>25641095.455063742</v>
      </c>
      <c r="G152" s="262"/>
      <c r="H152" s="324">
        <v>2.4830000000000001E-2</v>
      </c>
      <c r="I152" s="208">
        <f t="shared" si="97"/>
        <v>3.7425006952169167E-2</v>
      </c>
      <c r="J152" s="208">
        <f t="shared" si="97"/>
        <v>3.8560239386469901E-2</v>
      </c>
      <c r="L152" s="188">
        <f t="shared" si="96"/>
        <v>737269.6026557443</v>
      </c>
      <c r="M152" s="188">
        <f t="shared" si="96"/>
        <v>648910.00178702059</v>
      </c>
      <c r="N152" s="188">
        <f t="shared" si="96"/>
        <v>636668.40014923271</v>
      </c>
      <c r="P152" s="188">
        <f t="shared" si="98"/>
        <v>978069.32453529409</v>
      </c>
      <c r="Q152" s="188">
        <f t="shared" si="98"/>
        <v>988726.77887858322</v>
      </c>
      <c r="S152" s="190">
        <f t="shared" si="99"/>
        <v>0.50724957519811398</v>
      </c>
      <c r="T152" s="190">
        <f t="shared" si="99"/>
        <v>3.0333526343805595E-2</v>
      </c>
    </row>
    <row r="153" spans="1:20" x14ac:dyDescent="0.2">
      <c r="A153" s="323">
        <f t="shared" si="90"/>
        <v>145</v>
      </c>
      <c r="B153" s="323" t="s">
        <v>2</v>
      </c>
      <c r="C153" s="39" t="s">
        <v>94</v>
      </c>
      <c r="D153" s="147">
        <f>SUM(D147:D152)</f>
        <v>73125835.458342493</v>
      </c>
      <c r="E153" s="147">
        <f t="shared" ref="E153:F153" si="100">SUM(E147:E152)</f>
        <v>66693986.720000006</v>
      </c>
      <c r="F153" s="147">
        <f t="shared" si="100"/>
        <v>65658345.719999999</v>
      </c>
      <c r="L153" s="228">
        <f>SUM(L147:L152)</f>
        <v>3423885.9865246443</v>
      </c>
      <c r="M153" s="228">
        <f t="shared" ref="M153:Q153" si="101">SUM(M147:M152)</f>
        <v>3305027.4206244033</v>
      </c>
      <c r="N153" s="228">
        <f t="shared" si="101"/>
        <v>3270304.77347606</v>
      </c>
      <c r="P153" s="228">
        <f t="shared" si="101"/>
        <v>4981501.1757542491</v>
      </c>
      <c r="Q153" s="228">
        <f t="shared" si="101"/>
        <v>5078684.4515486145</v>
      </c>
    </row>
    <row r="154" spans="1:20" x14ac:dyDescent="0.2">
      <c r="A154" s="323">
        <f t="shared" si="90"/>
        <v>146</v>
      </c>
      <c r="C154" s="285"/>
    </row>
    <row r="155" spans="1:20" x14ac:dyDescent="0.2">
      <c r="A155" s="323">
        <f t="shared" si="90"/>
        <v>147</v>
      </c>
      <c r="B155" s="323" t="s">
        <v>2</v>
      </c>
      <c r="C155" s="285" t="s">
        <v>160</v>
      </c>
      <c r="L155" s="197">
        <f>SUM(L142:L144,L153)</f>
        <v>3942058.7140405159</v>
      </c>
      <c r="M155" s="197">
        <f t="shared" ref="M155:N155" si="102">SUM(M142:M144,M153)</f>
        <v>3823200.1506244033</v>
      </c>
      <c r="N155" s="197">
        <f t="shared" si="102"/>
        <v>3788477.50347606</v>
      </c>
      <c r="P155" s="197">
        <f t="shared" ref="P155:Q155" si="103">SUM(P142:P144,P153)</f>
        <v>5573975.0268660607</v>
      </c>
      <c r="Q155" s="197">
        <f t="shared" si="103"/>
        <v>5758017.7058628537</v>
      </c>
    </row>
    <row r="156" spans="1:20" x14ac:dyDescent="0.2">
      <c r="A156" s="323">
        <f t="shared" si="90"/>
        <v>148</v>
      </c>
    </row>
    <row r="157" spans="1:20" x14ac:dyDescent="0.2">
      <c r="A157" s="323">
        <f t="shared" si="90"/>
        <v>149</v>
      </c>
      <c r="C157" s="169" t="s">
        <v>246</v>
      </c>
      <c r="L157" s="197">
        <f>SUM(L140,L155)</f>
        <v>5235633.9966895087</v>
      </c>
      <c r="M157" s="197">
        <f t="shared" ref="M157:Q157" si="104">SUM(M140,M155)</f>
        <v>5147033.1319507053</v>
      </c>
      <c r="N157" s="197">
        <f t="shared" si="104"/>
        <v>5087802.1085896008</v>
      </c>
      <c r="P157" s="197">
        <f>SUM(P140,P155)</f>
        <v>7537327.1830736268</v>
      </c>
      <c r="Q157" s="197">
        <f t="shared" si="104"/>
        <v>7747809.7942658477</v>
      </c>
      <c r="S157" s="359">
        <v>7537327.1830736287</v>
      </c>
      <c r="T157" s="359">
        <v>7747809.7942658477</v>
      </c>
    </row>
    <row r="158" spans="1:20" x14ac:dyDescent="0.2">
      <c r="A158" s="323">
        <f t="shared" si="90"/>
        <v>150</v>
      </c>
      <c r="C158" s="169" t="s">
        <v>240</v>
      </c>
      <c r="P158" s="359">
        <v>7537327.1830736287</v>
      </c>
      <c r="Q158" s="359">
        <v>7747809.7942658477</v>
      </c>
      <c r="R158" s="191"/>
      <c r="S158" s="197">
        <f>S157-M157</f>
        <v>2390294.0511229234</v>
      </c>
      <c r="T158" s="197">
        <f>T157-N157-S158</f>
        <v>269713.6345533235</v>
      </c>
    </row>
    <row r="159" spans="1:20" s="261" customFormat="1" x14ac:dyDescent="0.2">
      <c r="A159" s="323">
        <f t="shared" si="90"/>
        <v>151</v>
      </c>
      <c r="B159" s="346"/>
      <c r="C159" s="261" t="s">
        <v>13</v>
      </c>
      <c r="L159" s="200">
        <v>0</v>
      </c>
      <c r="M159" s="199">
        <v>0</v>
      </c>
      <c r="N159" s="199">
        <v>0</v>
      </c>
      <c r="P159" s="200">
        <f>P157-P158</f>
        <v>0</v>
      </c>
      <c r="Q159" s="200">
        <f>Q157-Q158</f>
        <v>0</v>
      </c>
      <c r="S159" s="200">
        <f>S157-P157</f>
        <v>0</v>
      </c>
      <c r="T159" s="200">
        <f>T157-Q157</f>
        <v>0</v>
      </c>
    </row>
    <row r="160" spans="1:20" x14ac:dyDescent="0.2">
      <c r="A160" s="323">
        <f t="shared" si="90"/>
        <v>152</v>
      </c>
    </row>
    <row r="161" spans="1:20" x14ac:dyDescent="0.2">
      <c r="A161" s="323">
        <f t="shared" si="90"/>
        <v>153</v>
      </c>
    </row>
    <row r="162" spans="1:20" x14ac:dyDescent="0.2">
      <c r="A162" s="323">
        <f t="shared" si="90"/>
        <v>154</v>
      </c>
      <c r="B162" s="323" t="s">
        <v>200</v>
      </c>
      <c r="C162" s="39" t="s">
        <v>74</v>
      </c>
      <c r="D162" s="156">
        <v>12</v>
      </c>
      <c r="E162" s="156">
        <v>12</v>
      </c>
      <c r="F162" s="156">
        <v>12</v>
      </c>
      <c r="G162" s="262"/>
      <c r="H162" s="351">
        <v>5000</v>
      </c>
      <c r="I162" s="207">
        <f t="shared" ref="I162:J163" si="105">H162*(1+S162)</f>
        <v>9717.09</v>
      </c>
      <c r="J162" s="207">
        <f t="shared" si="105"/>
        <v>9717.09</v>
      </c>
      <c r="L162" s="188">
        <f>D162*$H162</f>
        <v>60000</v>
      </c>
      <c r="M162" s="188">
        <f t="shared" ref="M162:N163" si="106">E162*$H162</f>
        <v>60000</v>
      </c>
      <c r="N162" s="188">
        <f t="shared" si="106"/>
        <v>60000</v>
      </c>
      <c r="P162" s="188">
        <f>E162*I162</f>
        <v>116605.08</v>
      </c>
      <c r="Q162" s="188">
        <f>F162*J162</f>
        <v>116605.08</v>
      </c>
      <c r="S162" s="189">
        <v>0.94341799999999987</v>
      </c>
      <c r="T162" s="189">
        <v>0</v>
      </c>
    </row>
    <row r="163" spans="1:20" x14ac:dyDescent="0.2">
      <c r="A163" s="323">
        <f t="shared" si="90"/>
        <v>155</v>
      </c>
      <c r="B163" s="323" t="s">
        <v>200</v>
      </c>
      <c r="C163" s="285" t="s">
        <v>79</v>
      </c>
      <c r="D163" s="156">
        <v>0</v>
      </c>
      <c r="E163" s="156">
        <v>0</v>
      </c>
      <c r="F163" s="156">
        <v>0</v>
      </c>
      <c r="G163" s="262"/>
      <c r="H163" s="349">
        <v>0</v>
      </c>
      <c r="I163" s="207">
        <f t="shared" si="105"/>
        <v>0</v>
      </c>
      <c r="J163" s="207">
        <f t="shared" si="105"/>
        <v>0</v>
      </c>
      <c r="L163" s="188">
        <f t="shared" ref="L163" si="107">D163*$H163</f>
        <v>0</v>
      </c>
      <c r="M163" s="188">
        <f t="shared" si="106"/>
        <v>0</v>
      </c>
      <c r="N163" s="188">
        <f t="shared" si="106"/>
        <v>0</v>
      </c>
      <c r="P163" s="188">
        <f t="shared" ref="P163:Q163" si="108">E163*I163</f>
        <v>0</v>
      </c>
      <c r="Q163" s="188">
        <f t="shared" si="108"/>
        <v>0</v>
      </c>
      <c r="S163" s="189">
        <v>0</v>
      </c>
      <c r="T163" s="189">
        <f>S163</f>
        <v>0</v>
      </c>
    </row>
    <row r="164" spans="1:20" x14ac:dyDescent="0.2">
      <c r="A164" s="323">
        <f t="shared" si="90"/>
        <v>156</v>
      </c>
      <c r="B164" s="323" t="s">
        <v>200</v>
      </c>
      <c r="C164" s="285" t="s">
        <v>84</v>
      </c>
      <c r="D164" s="262"/>
      <c r="E164" s="262"/>
      <c r="F164" s="262"/>
      <c r="G164" s="262"/>
      <c r="H164" s="351"/>
      <c r="I164" s="207"/>
      <c r="J164" s="207"/>
      <c r="L164" s="351">
        <v>0</v>
      </c>
      <c r="M164" s="358">
        <v>0</v>
      </c>
      <c r="N164" s="358">
        <v>0</v>
      </c>
      <c r="P164" s="188">
        <f>M164</f>
        <v>0</v>
      </c>
      <c r="Q164" s="188">
        <f>N164</f>
        <v>0</v>
      </c>
      <c r="S164" s="190"/>
      <c r="T164" s="190"/>
    </row>
    <row r="165" spans="1:20" x14ac:dyDescent="0.2">
      <c r="A165" s="323">
        <f t="shared" si="90"/>
        <v>157</v>
      </c>
      <c r="C165" s="285"/>
      <c r="D165" s="262"/>
      <c r="E165" s="262"/>
      <c r="F165" s="262"/>
      <c r="G165" s="262"/>
      <c r="H165" s="351"/>
      <c r="I165" s="207"/>
      <c r="J165" s="207"/>
      <c r="S165" s="190"/>
      <c r="T165" s="190"/>
    </row>
    <row r="166" spans="1:20" x14ac:dyDescent="0.2">
      <c r="A166" s="323">
        <f t="shared" si="90"/>
        <v>158</v>
      </c>
      <c r="B166" s="323" t="s">
        <v>200</v>
      </c>
      <c r="C166" s="285" t="s">
        <v>80</v>
      </c>
      <c r="D166" s="262"/>
      <c r="E166" s="262"/>
      <c r="F166" s="262"/>
      <c r="G166" s="262"/>
      <c r="H166" s="262"/>
      <c r="I166" s="192"/>
      <c r="J166" s="192"/>
      <c r="S166" s="190"/>
      <c r="T166" s="190"/>
    </row>
    <row r="167" spans="1:20" x14ac:dyDescent="0.2">
      <c r="A167" s="323">
        <f t="shared" si="90"/>
        <v>159</v>
      </c>
      <c r="B167" s="323" t="s">
        <v>200</v>
      </c>
      <c r="C167" s="285" t="s">
        <v>85</v>
      </c>
      <c r="D167" s="156">
        <v>252308.87295246124</v>
      </c>
      <c r="E167" s="156">
        <v>300000</v>
      </c>
      <c r="F167" s="156">
        <v>300000</v>
      </c>
      <c r="G167" s="262"/>
      <c r="H167" s="324">
        <v>2.1749999999999999E-2</v>
      </c>
      <c r="I167" s="208">
        <f>H167*(1+S167)</f>
        <v>0.19420404647898312</v>
      </c>
      <c r="J167" s="208">
        <f>I167*(1+T167)</f>
        <v>0.15370857562100679</v>
      </c>
      <c r="L167" s="188">
        <f t="shared" ref="L167:N172" si="109">D167*$H167</f>
        <v>5487.7179867160321</v>
      </c>
      <c r="M167" s="188">
        <f t="shared" si="109"/>
        <v>6525</v>
      </c>
      <c r="N167" s="188">
        <f t="shared" si="109"/>
        <v>6525</v>
      </c>
      <c r="P167" s="188">
        <f>E167*I167</f>
        <v>58261.213943694936</v>
      </c>
      <c r="Q167" s="188">
        <f>F167*J167</f>
        <v>46112.572686302039</v>
      </c>
      <c r="S167" s="190">
        <f>(S$178-(SUM(P162,P163, P164)-SUM(M162,M163, M164)))/(M177-SUM(M162,M163, M164))</f>
        <v>7.9289216771946274</v>
      </c>
      <c r="T167" s="190">
        <f>((Q178-SUM(Q162:Q164)))/((I167*F167)+(I168*F168)+(I169*F169)+(I170*F170)+(I171*F171)+(I172*F172))-1</f>
        <v>-0.20852022186035546</v>
      </c>
    </row>
    <row r="168" spans="1:20" x14ac:dyDescent="0.2">
      <c r="A168" s="323">
        <f t="shared" si="90"/>
        <v>160</v>
      </c>
      <c r="B168" s="323" t="s">
        <v>200</v>
      </c>
      <c r="C168" s="285" t="s">
        <v>86</v>
      </c>
      <c r="D168" s="156">
        <v>250000</v>
      </c>
      <c r="E168" s="156">
        <v>300000</v>
      </c>
      <c r="F168" s="156">
        <v>300000</v>
      </c>
      <c r="G168" s="262"/>
      <c r="H168" s="324">
        <v>1.3140000000000001E-2</v>
      </c>
      <c r="I168" s="208">
        <f t="shared" ref="I168:J172" si="110">H168*(1+S168)</f>
        <v>0.1173260308383374</v>
      </c>
      <c r="J168" s="208">
        <f t="shared" si="110"/>
        <v>9.2861180857932379E-2</v>
      </c>
      <c r="L168" s="188">
        <f t="shared" si="109"/>
        <v>3285</v>
      </c>
      <c r="M168" s="188">
        <f t="shared" si="109"/>
        <v>3942</v>
      </c>
      <c r="N168" s="188">
        <f t="shared" si="109"/>
        <v>3942</v>
      </c>
      <c r="P168" s="188">
        <f t="shared" ref="P168:Q172" si="111">E168*I168</f>
        <v>35197.809251501218</v>
      </c>
      <c r="Q168" s="188">
        <f t="shared" si="111"/>
        <v>27858.354257379713</v>
      </c>
      <c r="S168" s="190">
        <f>S167</f>
        <v>7.9289216771946274</v>
      </c>
      <c r="T168" s="190">
        <f>T167</f>
        <v>-0.20852022186035546</v>
      </c>
    </row>
    <row r="169" spans="1:20" x14ac:dyDescent="0.2">
      <c r="A169" s="323">
        <f t="shared" si="90"/>
        <v>161</v>
      </c>
      <c r="B169" s="323" t="s">
        <v>200</v>
      </c>
      <c r="C169" s="285" t="s">
        <v>88</v>
      </c>
      <c r="D169" s="156">
        <v>500000</v>
      </c>
      <c r="E169" s="156">
        <v>600000</v>
      </c>
      <c r="F169" s="156">
        <v>600000</v>
      </c>
      <c r="G169" s="262"/>
      <c r="H169" s="324">
        <v>8.3599999999999994E-3</v>
      </c>
      <c r="I169" s="208">
        <f t="shared" si="110"/>
        <v>7.4645785221347072E-2</v>
      </c>
      <c r="J169" s="208">
        <f t="shared" si="110"/>
        <v>5.9080629526051337E-2</v>
      </c>
      <c r="L169" s="188">
        <f t="shared" si="109"/>
        <v>4180</v>
      </c>
      <c r="M169" s="188">
        <f t="shared" si="109"/>
        <v>5016</v>
      </c>
      <c r="N169" s="188">
        <f t="shared" si="109"/>
        <v>5016</v>
      </c>
      <c r="P169" s="188">
        <f t="shared" si="111"/>
        <v>44787.471132808241</v>
      </c>
      <c r="Q169" s="188">
        <f>F169*J169</f>
        <v>35448.377715630799</v>
      </c>
      <c r="S169" s="190">
        <f t="shared" ref="S169:T172" si="112">S168</f>
        <v>7.9289216771946274</v>
      </c>
      <c r="T169" s="190">
        <f t="shared" si="112"/>
        <v>-0.20852022186035546</v>
      </c>
    </row>
    <row r="170" spans="1:20" x14ac:dyDescent="0.2">
      <c r="A170" s="323">
        <f t="shared" si="90"/>
        <v>162</v>
      </c>
      <c r="B170" s="323" t="s">
        <v>200</v>
      </c>
      <c r="C170" s="285" t="s">
        <v>15</v>
      </c>
      <c r="D170" s="156">
        <v>1000000</v>
      </c>
      <c r="E170" s="156">
        <v>1200000</v>
      </c>
      <c r="F170" s="156">
        <v>1200000</v>
      </c>
      <c r="G170" s="262"/>
      <c r="H170" s="324">
        <v>5.3600000000000002E-3</v>
      </c>
      <c r="I170" s="208">
        <f t="shared" si="110"/>
        <v>4.78590201897632E-2</v>
      </c>
      <c r="J170" s="208">
        <f t="shared" si="110"/>
        <v>3.7879446681774544E-2</v>
      </c>
      <c r="L170" s="188">
        <f t="shared" si="109"/>
        <v>5360</v>
      </c>
      <c r="M170" s="188">
        <f t="shared" si="109"/>
        <v>6432</v>
      </c>
      <c r="N170" s="188">
        <f t="shared" si="109"/>
        <v>6432</v>
      </c>
      <c r="P170" s="188">
        <f t="shared" si="111"/>
        <v>57430.824227715842</v>
      </c>
      <c r="Q170" s="188">
        <f t="shared" si="111"/>
        <v>45455.336018129456</v>
      </c>
      <c r="S170" s="190">
        <f t="shared" si="112"/>
        <v>7.9289216771946274</v>
      </c>
      <c r="T170" s="190">
        <f t="shared" si="112"/>
        <v>-0.20852022186035546</v>
      </c>
    </row>
    <row r="171" spans="1:20" x14ac:dyDescent="0.2">
      <c r="A171" s="323">
        <f t="shared" si="90"/>
        <v>163</v>
      </c>
      <c r="B171" s="323" t="s">
        <v>200</v>
      </c>
      <c r="C171" s="285" t="s">
        <v>14</v>
      </c>
      <c r="D171" s="156">
        <v>2867124.9308776855</v>
      </c>
      <c r="E171" s="156">
        <v>3600000</v>
      </c>
      <c r="F171" s="156">
        <v>3600000</v>
      </c>
      <c r="G171" s="262"/>
      <c r="H171" s="324">
        <v>3.8600000000000001E-3</v>
      </c>
      <c r="I171" s="208">
        <f t="shared" si="110"/>
        <v>3.4465637673971261E-2</v>
      </c>
      <c r="J171" s="208">
        <f t="shared" si="110"/>
        <v>2.7278855259636147E-2</v>
      </c>
      <c r="L171" s="188">
        <f t="shared" si="109"/>
        <v>11067.102233187867</v>
      </c>
      <c r="M171" s="188">
        <f t="shared" si="109"/>
        <v>13896</v>
      </c>
      <c r="N171" s="188">
        <f t="shared" si="109"/>
        <v>13896</v>
      </c>
      <c r="P171" s="188">
        <f t="shared" si="111"/>
        <v>124076.29562629655</v>
      </c>
      <c r="Q171" s="188">
        <f t="shared" si="111"/>
        <v>98203.878934690132</v>
      </c>
      <c r="S171" s="190">
        <f t="shared" si="112"/>
        <v>7.9289216771946274</v>
      </c>
      <c r="T171" s="190">
        <f t="shared" si="112"/>
        <v>-0.20852022186035546</v>
      </c>
    </row>
    <row r="172" spans="1:20" x14ac:dyDescent="0.2">
      <c r="A172" s="323">
        <f t="shared" si="90"/>
        <v>164</v>
      </c>
      <c r="B172" s="323" t="s">
        <v>200</v>
      </c>
      <c r="C172" s="285" t="s">
        <v>91</v>
      </c>
      <c r="D172" s="156">
        <v>8354387.7878570519</v>
      </c>
      <c r="E172" s="156">
        <v>33295144</v>
      </c>
      <c r="F172" s="156">
        <v>45695658</v>
      </c>
      <c r="G172" s="262"/>
      <c r="H172" s="324">
        <v>2.5999999999999999E-3</v>
      </c>
      <c r="I172" s="208">
        <f t="shared" si="110"/>
        <v>2.3215196360706028E-2</v>
      </c>
      <c r="J172" s="208">
        <f t="shared" si="110"/>
        <v>1.8374358465039889E-2</v>
      </c>
      <c r="L172" s="188">
        <f t="shared" si="109"/>
        <v>21721.408248428335</v>
      </c>
      <c r="M172" s="188">
        <f t="shared" si="109"/>
        <v>86567.374400000001</v>
      </c>
      <c r="N172" s="188">
        <f t="shared" si="109"/>
        <v>118808.7108</v>
      </c>
      <c r="P172" s="188">
        <f t="shared" si="111"/>
        <v>772953.30581798311</v>
      </c>
      <c r="Q172" s="188">
        <f t="shared" si="111"/>
        <v>839628.4003878677</v>
      </c>
      <c r="S172" s="190">
        <f t="shared" si="112"/>
        <v>7.9289216771946274</v>
      </c>
      <c r="T172" s="190">
        <f t="shared" si="112"/>
        <v>-0.20852022186035546</v>
      </c>
    </row>
    <row r="173" spans="1:20" x14ac:dyDescent="0.2">
      <c r="A173" s="323">
        <f t="shared" si="90"/>
        <v>165</v>
      </c>
      <c r="B173" s="323" t="s">
        <v>200</v>
      </c>
      <c r="C173" s="39" t="s">
        <v>94</v>
      </c>
      <c r="D173" s="147">
        <f>SUM(D167:D172)</f>
        <v>13223821.591687199</v>
      </c>
      <c r="E173" s="147">
        <f t="shared" ref="E173:F173" si="113">SUM(E167:E172)</f>
        <v>39295144</v>
      </c>
      <c r="F173" s="147">
        <f t="shared" si="113"/>
        <v>51695658</v>
      </c>
      <c r="L173" s="228">
        <f>SUM(L167:L172)</f>
        <v>51101.228468332236</v>
      </c>
      <c r="M173" s="228">
        <f t="shared" ref="M173:N173" si="114">SUM(M167:M172)</f>
        <v>122378.3744</v>
      </c>
      <c r="N173" s="228">
        <f t="shared" si="114"/>
        <v>154619.7108</v>
      </c>
      <c r="P173" s="228">
        <f t="shared" ref="P173:Q173" si="115">SUM(P167:P172)</f>
        <v>1092706.92</v>
      </c>
      <c r="Q173" s="228">
        <f t="shared" si="115"/>
        <v>1092706.92</v>
      </c>
    </row>
    <row r="174" spans="1:20" x14ac:dyDescent="0.2">
      <c r="A174" s="323">
        <f t="shared" si="90"/>
        <v>166</v>
      </c>
      <c r="C174" s="285"/>
    </row>
    <row r="175" spans="1:20" x14ac:dyDescent="0.2">
      <c r="A175" s="323">
        <f t="shared" si="90"/>
        <v>167</v>
      </c>
      <c r="B175" s="323" t="s">
        <v>200</v>
      </c>
      <c r="C175" s="285" t="s">
        <v>160</v>
      </c>
      <c r="I175" s="138"/>
      <c r="J175" s="138"/>
      <c r="L175" s="197">
        <f>SUM(L162:L164,L173)</f>
        <v>111101.22846833224</v>
      </c>
      <c r="M175" s="197">
        <f t="shared" ref="M175:N175" si="116">SUM(M162:M164,M173)</f>
        <v>182378.3744</v>
      </c>
      <c r="N175" s="197">
        <f t="shared" si="116"/>
        <v>214619.7108</v>
      </c>
      <c r="P175" s="197">
        <f t="shared" ref="P175:Q175" si="117">SUM(P162:P164,P173)</f>
        <v>1209312</v>
      </c>
      <c r="Q175" s="197">
        <f t="shared" si="117"/>
        <v>1209312</v>
      </c>
    </row>
    <row r="176" spans="1:20" x14ac:dyDescent="0.2">
      <c r="A176" s="323">
        <f t="shared" si="90"/>
        <v>168</v>
      </c>
    </row>
    <row r="177" spans="1:20" x14ac:dyDescent="0.2">
      <c r="A177" s="323">
        <f t="shared" si="90"/>
        <v>169</v>
      </c>
      <c r="C177" s="169" t="s">
        <v>247</v>
      </c>
      <c r="L177" s="197">
        <f>L175</f>
        <v>111101.22846833224</v>
      </c>
      <c r="M177" s="197">
        <f t="shared" ref="M177:Q177" si="118">M175</f>
        <v>182378.3744</v>
      </c>
      <c r="N177" s="197">
        <f t="shared" si="118"/>
        <v>214619.7108</v>
      </c>
      <c r="O177" s="197"/>
      <c r="P177" s="197">
        <f t="shared" si="118"/>
        <v>1209312</v>
      </c>
      <c r="Q177" s="197">
        <f t="shared" si="118"/>
        <v>1209312</v>
      </c>
      <c r="S177" s="359">
        <v>1209312</v>
      </c>
      <c r="T177" s="359">
        <v>1209312</v>
      </c>
    </row>
    <row r="178" spans="1:20" x14ac:dyDescent="0.2">
      <c r="A178" s="323">
        <f t="shared" si="90"/>
        <v>170</v>
      </c>
      <c r="C178" s="169" t="s">
        <v>240</v>
      </c>
      <c r="P178" s="359">
        <v>1209312</v>
      </c>
      <c r="Q178" s="359">
        <v>1209312</v>
      </c>
      <c r="R178" s="191"/>
      <c r="S178" s="197">
        <f>S177-M177</f>
        <v>1026933.6256</v>
      </c>
      <c r="T178" s="197">
        <f>T177-N177-S178</f>
        <v>-32241.336400000029</v>
      </c>
    </row>
    <row r="179" spans="1:20" x14ac:dyDescent="0.2">
      <c r="A179" s="323">
        <f t="shared" si="90"/>
        <v>171</v>
      </c>
      <c r="B179" s="346"/>
      <c r="C179" s="261" t="s">
        <v>13</v>
      </c>
      <c r="D179" s="261"/>
      <c r="E179" s="261"/>
      <c r="F179" s="261"/>
      <c r="G179" s="261"/>
      <c r="H179" s="261"/>
      <c r="I179" s="261"/>
      <c r="J179" s="261"/>
      <c r="K179" s="261"/>
      <c r="L179" s="200">
        <v>0</v>
      </c>
      <c r="M179" s="199">
        <v>0</v>
      </c>
      <c r="N179" s="199">
        <v>0</v>
      </c>
      <c r="O179" s="261"/>
      <c r="P179" s="200">
        <f>P177-P178</f>
        <v>0</v>
      </c>
      <c r="Q179" s="200">
        <f>Q177-Q178</f>
        <v>0</v>
      </c>
      <c r="R179" s="261"/>
      <c r="S179" s="200">
        <f>S177-P177</f>
        <v>0</v>
      </c>
      <c r="T179" s="200">
        <f>T177-Q177</f>
        <v>0</v>
      </c>
    </row>
    <row r="180" spans="1:20" x14ac:dyDescent="0.2">
      <c r="A180" s="323">
        <f t="shared" si="90"/>
        <v>172</v>
      </c>
    </row>
    <row r="181" spans="1:20" x14ac:dyDescent="0.2">
      <c r="A181" s="323">
        <f t="shared" si="90"/>
        <v>173</v>
      </c>
      <c r="C181" s="169" t="s">
        <v>124</v>
      </c>
      <c r="D181" s="156">
        <v>32051526.995555006</v>
      </c>
      <c r="E181" s="156">
        <v>32030387</v>
      </c>
      <c r="F181" s="156">
        <v>31663047.999999996</v>
      </c>
      <c r="L181" s="358">
        <v>1567244.8334440321</v>
      </c>
      <c r="M181" s="358">
        <v>1566717.298042424</v>
      </c>
      <c r="N181" s="358">
        <v>1557550.4529530378</v>
      </c>
      <c r="O181" s="262"/>
      <c r="P181" s="358">
        <v>1689958.6180424246</v>
      </c>
      <c r="Q181" s="358">
        <v>1826835.4929530383</v>
      </c>
      <c r="S181" s="211">
        <f>P181-M181</f>
        <v>123241.32000000053</v>
      </c>
      <c r="T181" s="211">
        <f>Q181-N181-S181</f>
        <v>146043.71999999997</v>
      </c>
    </row>
    <row r="182" spans="1:20" x14ac:dyDescent="0.2">
      <c r="A182" s="323">
        <f t="shared" si="90"/>
        <v>174</v>
      </c>
    </row>
    <row r="183" spans="1:20" x14ac:dyDescent="0.2">
      <c r="A183" s="323">
        <f t="shared" si="90"/>
        <v>175</v>
      </c>
      <c r="B183" s="347"/>
      <c r="C183" s="229" t="s">
        <v>248</v>
      </c>
      <c r="D183" s="229"/>
      <c r="E183" s="146"/>
      <c r="F183" s="146"/>
      <c r="G183" s="146"/>
      <c r="H183" s="229"/>
      <c r="I183" s="229"/>
      <c r="J183" s="229"/>
      <c r="K183" s="229"/>
      <c r="L183" s="212">
        <f>SUM(L11,L13,L17,L27,L31,L49,L61,L79,L91,L108,L119,L140,L155,L175,L181)</f>
        <v>553786176.89101911</v>
      </c>
      <c r="M183" s="212">
        <f>SUM(M11,M13,M17,M27,M31,M49,M61,M79,M91,M108,M119,M140,M155,M175,M181)</f>
        <v>534879148.63677239</v>
      </c>
      <c r="N183" s="212">
        <f>SUM(N11,N13,N17,N27,N31,N49,N61,N79,N91,N108,N119,N140,N155,N175,N181)</f>
        <v>532130123.82999486</v>
      </c>
      <c r="O183" s="212"/>
      <c r="P183" s="212">
        <f>SUM(P11,P13,P17,P27,P31,P49,P61,P79,P91,P108,P119,P140,P155,P175,P181)</f>
        <v>701428420.63677275</v>
      </c>
      <c r="Q183" s="212">
        <f>SUM(Q11,Q13,Q17,Q27,Q31,Q49,Q61,Q79,Q91,Q108,Q119,Q140,Q155,Q175,Q181)</f>
        <v>718708840.82999504</v>
      </c>
      <c r="R183" s="212">
        <f>SUM(R11,R13,R17,R27,R31,R49,R61,R79,R91,R108,R119,R140,R155,R175,R181)</f>
        <v>0</v>
      </c>
      <c r="S183" s="212">
        <f>SUM(S20,S34,S64,S94,S122,S158,S178,S181)</f>
        <v>166549272.00000021</v>
      </c>
      <c r="T183" s="212">
        <f>SUM(T20,T34,T64,T94,T122,T158,T178,T181)</f>
        <v>20029444.999999944</v>
      </c>
    </row>
    <row r="184" spans="1:20" x14ac:dyDescent="0.2">
      <c r="A184" s="323">
        <f t="shared" si="90"/>
        <v>176</v>
      </c>
      <c r="C184" s="169" t="s">
        <v>13</v>
      </c>
      <c r="I184" s="230">
        <f>I65</f>
        <v>-1.4812997446540521E-3</v>
      </c>
      <c r="J184" s="230">
        <f>J65</f>
        <v>-1.3414248068102097E-3</v>
      </c>
      <c r="L184" s="200">
        <v>0</v>
      </c>
      <c r="M184" s="200">
        <v>0</v>
      </c>
      <c r="N184" s="200">
        <v>0</v>
      </c>
      <c r="P184" s="200">
        <v>-9.2189431190490723E-2</v>
      </c>
      <c r="Q184" s="200">
        <v>0.19021642208099365</v>
      </c>
      <c r="S184" s="200">
        <v>0</v>
      </c>
      <c r="T184" s="200">
        <v>-5.5879354476928711E-8</v>
      </c>
    </row>
    <row r="185" spans="1:20" x14ac:dyDescent="0.2">
      <c r="A185" s="323">
        <f t="shared" si="90"/>
        <v>177</v>
      </c>
    </row>
    <row r="186" spans="1:20" x14ac:dyDescent="0.2">
      <c r="A186" s="323">
        <f t="shared" si="90"/>
        <v>178</v>
      </c>
      <c r="C186" s="169" t="s">
        <v>249</v>
      </c>
      <c r="D186" s="34">
        <f>SUM(D9,D15,D24,D29,D38,D51,D68,D81,D98,D110,D126,D142,D162)</f>
        <v>10550780.561777582</v>
      </c>
      <c r="E186" s="34">
        <f>SUM(E9,E15,E24,E29,E38,E51,E68,E81,E98,E110,E126,E142,E162)</f>
        <v>10629744</v>
      </c>
      <c r="F186" s="34">
        <f>SUM(F9,F15,F24,F29,F38,F51,F68,F81,F98,F110,F126,F142,F162)</f>
        <v>10632323</v>
      </c>
      <c r="P186" s="197"/>
      <c r="Q186" s="197"/>
    </row>
    <row r="187" spans="1:20" x14ac:dyDescent="0.2">
      <c r="A187" s="323">
        <f t="shared" si="90"/>
        <v>179</v>
      </c>
      <c r="C187" s="169" t="s">
        <v>13</v>
      </c>
      <c r="D187" s="187">
        <v>0</v>
      </c>
      <c r="E187" s="187">
        <v>0</v>
      </c>
      <c r="F187" s="187">
        <v>0</v>
      </c>
    </row>
    <row r="188" spans="1:20" x14ac:dyDescent="0.2">
      <c r="A188" s="323">
        <f t="shared" si="90"/>
        <v>180</v>
      </c>
      <c r="C188" s="169" t="s">
        <v>250</v>
      </c>
      <c r="D188" s="139">
        <f>SUM(D39,D52,D69,D82,D99,D111,D127,D143,D163)</f>
        <v>7102101.6864575474</v>
      </c>
      <c r="E188" s="139">
        <f>SUM(E39,E52,E69,E82,E99,E111,E127,E143,E163)</f>
        <v>7073400</v>
      </c>
      <c r="F188" s="139">
        <f>SUM(F39,F52,F69,F82,F99,F111,F127,F143,F163)</f>
        <v>7073400</v>
      </c>
    </row>
    <row r="189" spans="1:20" x14ac:dyDescent="0.2">
      <c r="A189" s="323">
        <f t="shared" si="90"/>
        <v>181</v>
      </c>
      <c r="C189" s="169" t="s">
        <v>13</v>
      </c>
      <c r="D189" s="187">
        <v>9.3132257461547852E-10</v>
      </c>
      <c r="E189" s="187">
        <v>0</v>
      </c>
      <c r="F189" s="187">
        <v>0</v>
      </c>
    </row>
    <row r="190" spans="1:20" x14ac:dyDescent="0.2">
      <c r="A190" s="323">
        <f t="shared" si="90"/>
        <v>182</v>
      </c>
      <c r="C190" s="169" t="s">
        <v>251</v>
      </c>
      <c r="D190" s="34">
        <f>SUM(D10,D16,D25,D30,D47,D59,D77,D89,D106,D117,D138,D153,D173,D181)</f>
        <v>1125932647.1213756</v>
      </c>
      <c r="E190" s="34">
        <f>SUM(E10,E16,E25,E30,E47,E59,E77,E89,E106,E117,E138,E153,E173,E181)</f>
        <v>1093874403.72</v>
      </c>
      <c r="F190" s="34">
        <f>SUM(F10,F16,F25,F30,F47,F59,F77,F89,F106,F117,F138,F153,F173,F181)</f>
        <v>1096711282.72</v>
      </c>
    </row>
    <row r="191" spans="1:20" x14ac:dyDescent="0.2">
      <c r="A191" s="323">
        <f t="shared" si="90"/>
        <v>183</v>
      </c>
      <c r="C191" s="169" t="s">
        <v>13</v>
      </c>
      <c r="D191" s="187">
        <v>0</v>
      </c>
      <c r="E191" s="187">
        <v>0</v>
      </c>
      <c r="F191" s="187">
        <v>0</v>
      </c>
    </row>
    <row r="193" spans="2:5" x14ac:dyDescent="0.2">
      <c r="B193" s="348"/>
      <c r="E193" s="231">
        <f>E173+E153+E138+E117+E106+E89+E77+E59+E47+E25+E16+E10</f>
        <v>1061844016.72</v>
      </c>
    </row>
  </sheetData>
  <mergeCells count="5">
    <mergeCell ref="D6:F6"/>
    <mergeCell ref="H6:J6"/>
    <mergeCell ref="L6:N6"/>
    <mergeCell ref="P6:Q6"/>
    <mergeCell ref="S6:T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zoomScale="90" zoomScaleNormal="90" workbookViewId="0">
      <pane ySplit="8" topLeftCell="A9" activePane="bottomLeft" state="frozen"/>
      <selection pane="bottomLeft" activeCell="L22" sqref="L22"/>
    </sheetView>
  </sheetViews>
  <sheetFormatPr defaultColWidth="8.85546875" defaultRowHeight="12.75" x14ac:dyDescent="0.2"/>
  <cols>
    <col min="1" max="1" width="4.5703125" style="192" customWidth="1"/>
    <col min="2" max="2" width="2.85546875" style="192" customWidth="1"/>
    <col min="3" max="3" width="26.7109375" style="192" customWidth="1"/>
    <col min="4" max="4" width="8.85546875" style="192" customWidth="1"/>
    <col min="5" max="5" width="15.85546875" style="192" bestFit="1" customWidth="1"/>
    <col min="6" max="6" width="14.5703125" style="192" bestFit="1" customWidth="1"/>
    <col min="7" max="7" width="8.28515625" style="192" customWidth="1"/>
    <col min="8" max="8" width="13.28515625" style="192" customWidth="1"/>
    <col min="9" max="9" width="12.5703125" style="192" customWidth="1"/>
    <col min="10" max="10" width="13.42578125" style="192" customWidth="1"/>
    <col min="11" max="11" width="15.28515625" style="192" bestFit="1" customWidth="1"/>
    <col min="12" max="12" width="10" style="192" customWidth="1"/>
    <col min="13" max="13" width="14.5703125" style="192" customWidth="1"/>
    <col min="14" max="14" width="10.5703125" style="192" customWidth="1"/>
    <col min="15" max="16384" width="8.85546875" style="192"/>
  </cols>
  <sheetData>
    <row r="1" spans="1:14" ht="15" customHeight="1" x14ac:dyDescent="0.2">
      <c r="A1" s="40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36"/>
    </row>
    <row r="2" spans="1:14" ht="15" customHeight="1" x14ac:dyDescent="0.2">
      <c r="A2" s="40" t="s">
        <v>221</v>
      </c>
      <c r="B2" s="40"/>
      <c r="C2" s="40"/>
      <c r="D2" s="40"/>
      <c r="E2" s="40"/>
      <c r="F2" s="40"/>
      <c r="G2" s="40"/>
      <c r="H2" s="136"/>
      <c r="I2" s="136"/>
      <c r="J2" s="136"/>
      <c r="K2" s="36"/>
    </row>
    <row r="3" spans="1:14" ht="15" customHeight="1" x14ac:dyDescent="0.2">
      <c r="A3" s="364" t="s">
        <v>253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ht="15" customHeight="1" x14ac:dyDescent="0.2">
      <c r="A4" s="36" t="s">
        <v>271</v>
      </c>
      <c r="B4" s="36"/>
      <c r="C4" s="36"/>
      <c r="D4" s="36"/>
      <c r="E4" s="36"/>
      <c r="F4" s="36"/>
      <c r="G4" s="36"/>
      <c r="H4" s="38"/>
      <c r="I4" s="38"/>
      <c r="J4" s="38"/>
      <c r="K4" s="36"/>
    </row>
    <row r="5" spans="1:14" x14ac:dyDescent="0.2">
      <c r="I5" s="322" t="s">
        <v>26</v>
      </c>
    </row>
    <row r="6" spans="1:14" x14ac:dyDescent="0.2">
      <c r="E6" s="323" t="s">
        <v>96</v>
      </c>
      <c r="F6" s="320" t="str">
        <f>+E6</f>
        <v>Forecasted</v>
      </c>
      <c r="G6" s="322"/>
      <c r="H6" s="322" t="s">
        <v>37</v>
      </c>
      <c r="I6" s="192" t="s">
        <v>279</v>
      </c>
      <c r="J6" s="322"/>
    </row>
    <row r="7" spans="1:14" x14ac:dyDescent="0.2">
      <c r="A7" s="322" t="s">
        <v>35</v>
      </c>
      <c r="D7" s="322" t="s">
        <v>11</v>
      </c>
      <c r="E7" s="322" t="s">
        <v>76</v>
      </c>
      <c r="F7" s="320" t="s">
        <v>36</v>
      </c>
      <c r="G7" s="322" t="s">
        <v>9</v>
      </c>
      <c r="H7" s="322" t="s">
        <v>6</v>
      </c>
      <c r="I7" s="322" t="s">
        <v>92</v>
      </c>
      <c r="J7" s="322" t="s">
        <v>27</v>
      </c>
    </row>
    <row r="8" spans="1:14" x14ac:dyDescent="0.2">
      <c r="A8" s="321" t="s">
        <v>196</v>
      </c>
      <c r="B8" s="363" t="s">
        <v>25</v>
      </c>
      <c r="C8" s="363"/>
      <c r="D8" s="321" t="s">
        <v>7</v>
      </c>
      <c r="E8" s="321" t="s">
        <v>222</v>
      </c>
      <c r="F8" s="321" t="s">
        <v>127</v>
      </c>
      <c r="G8" s="321" t="s">
        <v>34</v>
      </c>
      <c r="H8" s="321" t="s">
        <v>33</v>
      </c>
      <c r="I8" s="321" t="s">
        <v>71</v>
      </c>
      <c r="J8" s="321" t="s">
        <v>6</v>
      </c>
    </row>
    <row r="9" spans="1:14" x14ac:dyDescent="0.2">
      <c r="A9" s="320"/>
      <c r="B9" s="320"/>
      <c r="C9" s="320" t="s">
        <v>179</v>
      </c>
      <c r="D9" s="320" t="s">
        <v>180</v>
      </c>
      <c r="E9" s="320" t="s">
        <v>197</v>
      </c>
      <c r="F9" s="320" t="s">
        <v>182</v>
      </c>
      <c r="G9" s="320" t="s">
        <v>183</v>
      </c>
      <c r="H9" s="320" t="s">
        <v>184</v>
      </c>
      <c r="I9" s="320" t="s">
        <v>185</v>
      </c>
      <c r="J9" s="320" t="s">
        <v>186</v>
      </c>
    </row>
    <row r="10" spans="1:14" x14ac:dyDescent="0.2">
      <c r="A10" s="322">
        <v>1</v>
      </c>
      <c r="B10" s="192" t="s">
        <v>5</v>
      </c>
      <c r="D10" s="322" t="s">
        <v>24</v>
      </c>
      <c r="E10" s="1">
        <f>SUM('Forecast Therms'!B9:F10)</f>
        <v>96192245</v>
      </c>
      <c r="F10" s="29">
        <f>+'Margin Revenue'!H10</f>
        <v>490871167.69264883</v>
      </c>
      <c r="G10" s="28">
        <f>F10/$F$57</f>
        <v>0.68320735924594</v>
      </c>
      <c r="H10" s="197">
        <f>$H$59*G10</f>
        <v>5333799.8536330536</v>
      </c>
      <c r="I10" s="138">
        <f>ROUND(H10/E10,5)</f>
        <v>5.5449999999999999E-2</v>
      </c>
      <c r="J10" s="197">
        <f>E10*(I10)</f>
        <v>5333859.9852499999</v>
      </c>
      <c r="K10" s="139"/>
      <c r="L10" s="140"/>
      <c r="M10" s="208"/>
      <c r="N10" s="32"/>
    </row>
    <row r="11" spans="1:14" x14ac:dyDescent="0.2">
      <c r="A11" s="322"/>
      <c r="D11" s="322"/>
      <c r="E11" s="327"/>
      <c r="F11" s="232"/>
      <c r="G11" s="28"/>
      <c r="H11" s="197"/>
      <c r="I11" s="138"/>
      <c r="J11" s="197"/>
      <c r="L11" s="140"/>
      <c r="M11" s="208"/>
      <c r="N11" s="32"/>
    </row>
    <row r="12" spans="1:14" x14ac:dyDescent="0.2">
      <c r="A12" s="322">
        <f>A10+1</f>
        <v>2</v>
      </c>
      <c r="B12" s="192" t="s">
        <v>23</v>
      </c>
      <c r="D12" s="322" t="s">
        <v>32</v>
      </c>
      <c r="E12" s="1">
        <f>SUM('Forecast Therms'!B11:F11,'Forecast Therms'!B16:F16)</f>
        <v>51938802</v>
      </c>
      <c r="F12" s="29">
        <f>+'Margin Revenue'!H13</f>
        <v>174807486.15737128</v>
      </c>
      <c r="G12" s="28">
        <f>F12/$F$57</f>
        <v>0.24330164176352256</v>
      </c>
      <c r="H12" s="197">
        <f>$H$59*G12</f>
        <v>1899455.9172478206</v>
      </c>
      <c r="I12" s="138">
        <f>ROUND(H12/E12,5)</f>
        <v>3.6569999999999998E-2</v>
      </c>
      <c r="J12" s="197">
        <f>E12*(I12)</f>
        <v>1899401.98914</v>
      </c>
      <c r="K12" s="139"/>
      <c r="L12" s="140"/>
      <c r="M12" s="208"/>
      <c r="N12" s="32"/>
    </row>
    <row r="13" spans="1:14" x14ac:dyDescent="0.2">
      <c r="A13" s="322"/>
      <c r="D13" s="322"/>
      <c r="E13" s="327"/>
      <c r="F13" s="18"/>
      <c r="G13" s="28"/>
      <c r="H13" s="197"/>
      <c r="I13" s="138"/>
      <c r="J13" s="197"/>
      <c r="L13" s="140"/>
      <c r="M13" s="208"/>
      <c r="N13" s="32"/>
    </row>
    <row r="14" spans="1:14" x14ac:dyDescent="0.2">
      <c r="A14" s="322">
        <f>A12+1</f>
        <v>3</v>
      </c>
      <c r="B14" s="192" t="s">
        <v>22</v>
      </c>
      <c r="D14" s="322" t="s">
        <v>31</v>
      </c>
      <c r="E14" s="1">
        <f>SUM('Forecast Therms'!B12:F12,'Forecast Therms'!B17:F17)</f>
        <v>25118819</v>
      </c>
      <c r="F14" s="29">
        <f>+'Margin Revenue'!H15</f>
        <v>30686384.730506532</v>
      </c>
      <c r="G14" s="28">
        <f>F14/F$57</f>
        <v>4.2710114702970918E-2</v>
      </c>
      <c r="H14" s="141">
        <f>$H$59*G14</f>
        <v>333437.86548609397</v>
      </c>
      <c r="I14" s="138">
        <f>ROUND(H14/E14,5)</f>
        <v>1.3270000000000001E-2</v>
      </c>
      <c r="J14" s="197">
        <f>E14*(I14)</f>
        <v>333326.72813</v>
      </c>
      <c r="K14" s="21"/>
      <c r="L14" s="140"/>
      <c r="M14" s="208"/>
      <c r="N14" s="32"/>
    </row>
    <row r="15" spans="1:14" x14ac:dyDescent="0.2">
      <c r="A15" s="322"/>
      <c r="D15" s="322"/>
      <c r="E15" s="26"/>
      <c r="F15" s="29"/>
      <c r="G15" s="28"/>
      <c r="H15" s="141"/>
      <c r="I15" s="138"/>
      <c r="J15" s="197"/>
      <c r="L15" s="140"/>
      <c r="M15" s="208"/>
      <c r="N15" s="32"/>
    </row>
    <row r="16" spans="1:14" x14ac:dyDescent="0.2">
      <c r="A16" s="322">
        <f>A14+1</f>
        <v>4</v>
      </c>
      <c r="B16" s="192" t="s">
        <v>4</v>
      </c>
      <c r="D16" s="322">
        <v>85</v>
      </c>
      <c r="E16" s="1"/>
      <c r="F16" s="29"/>
      <c r="G16" s="28"/>
      <c r="H16" s="141"/>
      <c r="I16" s="138"/>
      <c r="J16" s="197"/>
      <c r="L16" s="140"/>
      <c r="M16" s="208"/>
      <c r="N16" s="32"/>
    </row>
    <row r="17" spans="1:14" x14ac:dyDescent="0.2">
      <c r="A17" s="322">
        <f t="shared" ref="A17:A55" si="0">A16+1</f>
        <v>5</v>
      </c>
      <c r="C17" s="192" t="s">
        <v>18</v>
      </c>
      <c r="D17" s="322"/>
      <c r="E17" s="1">
        <f>'Sch 85 87 Rate Calc'!F11</f>
        <v>3340379.4718684279</v>
      </c>
      <c r="F17" s="29"/>
      <c r="G17" s="28"/>
      <c r="H17" s="18"/>
      <c r="I17" s="328">
        <f>'Sch 85 87 Rate Calc'!K11</f>
        <v>6.96E-3</v>
      </c>
      <c r="J17" s="197"/>
      <c r="K17" s="26"/>
      <c r="L17" s="140"/>
      <c r="M17" s="208"/>
      <c r="N17" s="32"/>
    </row>
    <row r="18" spans="1:14" x14ac:dyDescent="0.2">
      <c r="A18" s="322">
        <f t="shared" si="0"/>
        <v>6</v>
      </c>
      <c r="C18" s="192" t="s">
        <v>17</v>
      </c>
      <c r="D18" s="322"/>
      <c r="E18" s="1">
        <f>'Sch 85 87 Rate Calc'!F12</f>
        <v>1421318.0892743212</v>
      </c>
      <c r="F18" s="29"/>
      <c r="G18" s="28"/>
      <c r="H18" s="18"/>
      <c r="I18" s="328">
        <f>'Sch 85 87 Rate Calc'!K12</f>
        <v>4.1999999999999997E-3</v>
      </c>
      <c r="J18" s="197"/>
      <c r="L18" s="140"/>
      <c r="M18" s="208"/>
      <c r="N18" s="32"/>
    </row>
    <row r="19" spans="1:14" x14ac:dyDescent="0.2">
      <c r="A19" s="322">
        <f t="shared" si="0"/>
        <v>7</v>
      </c>
      <c r="C19" s="192" t="s">
        <v>21</v>
      </c>
      <c r="D19" s="322"/>
      <c r="E19" s="329">
        <f>'Sch 85 87 Rate Calc'!F17</f>
        <v>1058962.4388572508</v>
      </c>
      <c r="F19" s="29"/>
      <c r="G19" s="28"/>
      <c r="H19" s="18"/>
      <c r="I19" s="328">
        <f>'Sch 85 87 Rate Calc'!K17</f>
        <v>2.4199999999999998E-3</v>
      </c>
      <c r="J19" s="197"/>
      <c r="L19" s="140"/>
      <c r="M19" s="208"/>
      <c r="N19" s="32"/>
    </row>
    <row r="20" spans="1:14" x14ac:dyDescent="0.2">
      <c r="A20" s="322">
        <f t="shared" si="0"/>
        <v>8</v>
      </c>
      <c r="C20" s="192" t="s">
        <v>0</v>
      </c>
      <c r="D20" s="322"/>
      <c r="E20" s="26">
        <f>SUM(E17:E19)</f>
        <v>5820660</v>
      </c>
      <c r="F20" s="29">
        <f>+'Margin Revenue'!H20</f>
        <v>2923732.5129737612</v>
      </c>
      <c r="G20" s="28">
        <f>F20/F$57</f>
        <v>4.0693275563925806E-3</v>
      </c>
      <c r="H20" s="141">
        <f>$H$59*G20</f>
        <v>31769.240232756878</v>
      </c>
      <c r="I20" s="138"/>
      <c r="J20" s="29">
        <f>'Sch 85 87 Rate Calc'!L18</f>
        <v>31781.266201190952</v>
      </c>
      <c r="L20" s="140"/>
      <c r="M20" s="208"/>
      <c r="N20" s="32"/>
    </row>
    <row r="21" spans="1:14" x14ac:dyDescent="0.2">
      <c r="A21" s="322"/>
      <c r="D21" s="322"/>
      <c r="E21" s="26"/>
      <c r="F21" s="232"/>
      <c r="G21" s="28"/>
      <c r="H21" s="141"/>
      <c r="I21" s="138"/>
      <c r="J21" s="197"/>
      <c r="L21" s="140"/>
      <c r="M21" s="208"/>
      <c r="N21" s="32"/>
    </row>
    <row r="22" spans="1:14" x14ac:dyDescent="0.2">
      <c r="A22" s="322">
        <f>A20+1</f>
        <v>9</v>
      </c>
      <c r="B22" s="192" t="s">
        <v>4</v>
      </c>
      <c r="D22" s="322" t="s">
        <v>30</v>
      </c>
      <c r="E22" s="330">
        <f>SUM('Forecast Therms'!B14:F14,'Forecast Therms'!B19:F19)</f>
        <v>1388870</v>
      </c>
      <c r="F22" s="29">
        <f>'Margin Revenue'!H17</f>
        <v>1566543.2914354119</v>
      </c>
      <c r="G22" s="28">
        <f>F22/F$57</f>
        <v>2.1803560195170512E-3</v>
      </c>
      <c r="H22" s="141">
        <f>$H$59*G22</f>
        <v>17022.03944436962</v>
      </c>
      <c r="I22" s="138">
        <f>ROUND(H22/E22,5)</f>
        <v>1.226E-2</v>
      </c>
      <c r="J22" s="197">
        <f>E22*(I22)</f>
        <v>17027.546200000001</v>
      </c>
      <c r="L22" s="140"/>
      <c r="M22" s="208"/>
      <c r="N22" s="32"/>
    </row>
    <row r="23" spans="1:14" x14ac:dyDescent="0.2">
      <c r="A23" s="322"/>
      <c r="D23" s="322"/>
      <c r="E23" s="26"/>
      <c r="F23" s="29"/>
      <c r="G23" s="28"/>
      <c r="H23" s="141"/>
      <c r="I23" s="138"/>
      <c r="J23" s="197"/>
      <c r="L23" s="140"/>
      <c r="M23" s="208"/>
      <c r="N23" s="32"/>
    </row>
    <row r="24" spans="1:14" x14ac:dyDescent="0.2">
      <c r="A24" s="322">
        <f>A22+1</f>
        <v>10</v>
      </c>
      <c r="B24" s="192" t="s">
        <v>4</v>
      </c>
      <c r="D24" s="322">
        <v>87</v>
      </c>
      <c r="E24" s="26"/>
      <c r="F24" s="29"/>
      <c r="G24" s="28"/>
      <c r="H24" s="141"/>
      <c r="I24" s="138"/>
      <c r="J24" s="197"/>
      <c r="L24" s="140"/>
      <c r="M24" s="208"/>
      <c r="N24" s="32"/>
    </row>
    <row r="25" spans="1:14" x14ac:dyDescent="0.2">
      <c r="A25" s="322">
        <f t="shared" si="0"/>
        <v>11</v>
      </c>
      <c r="C25" s="192" t="s">
        <v>18</v>
      </c>
      <c r="D25" s="322"/>
      <c r="E25" s="1">
        <f>'Sch 85 87 Rate Calc'!F21</f>
        <v>510321.94648890023</v>
      </c>
      <c r="F25" s="29"/>
      <c r="G25" s="28"/>
      <c r="H25" s="141"/>
      <c r="I25" s="328">
        <f>'Sch 85 87 Rate Calc'!K21</f>
        <v>6.96E-3</v>
      </c>
      <c r="J25" s="197"/>
      <c r="L25" s="140"/>
      <c r="M25" s="208"/>
      <c r="N25" s="32"/>
    </row>
    <row r="26" spans="1:14" x14ac:dyDescent="0.2">
      <c r="A26" s="322">
        <f t="shared" si="0"/>
        <v>12</v>
      </c>
      <c r="C26" s="192" t="s">
        <v>17</v>
      </c>
      <c r="D26" s="322"/>
      <c r="E26" s="1">
        <f>'Sch 85 87 Rate Calc'!F22</f>
        <v>510321.94648890023</v>
      </c>
      <c r="F26" s="29"/>
      <c r="G26" s="28"/>
      <c r="H26" s="141"/>
      <c r="I26" s="328">
        <f>'Sch 85 87 Rate Calc'!K22</f>
        <v>4.1999999999999997E-3</v>
      </c>
      <c r="J26" s="197"/>
      <c r="L26" s="140"/>
      <c r="M26" s="208"/>
      <c r="N26" s="32"/>
    </row>
    <row r="27" spans="1:14" x14ac:dyDescent="0.2">
      <c r="A27" s="322">
        <f t="shared" si="0"/>
        <v>13</v>
      </c>
      <c r="C27" s="192" t="s">
        <v>16</v>
      </c>
      <c r="D27" s="322"/>
      <c r="E27" s="1">
        <f>'Sch 85 87 Rate Calc'!F23</f>
        <v>857578.68012841628</v>
      </c>
      <c r="F27" s="29"/>
      <c r="G27" s="28"/>
      <c r="H27" s="141"/>
      <c r="I27" s="328">
        <f>'Sch 85 87 Rate Calc'!K23</f>
        <v>2.6700000000000001E-3</v>
      </c>
      <c r="J27" s="197"/>
      <c r="L27" s="140"/>
      <c r="M27" s="208"/>
      <c r="N27" s="32"/>
    </row>
    <row r="28" spans="1:14" x14ac:dyDescent="0.2">
      <c r="A28" s="322">
        <f t="shared" si="0"/>
        <v>14</v>
      </c>
      <c r="C28" s="192" t="s">
        <v>15</v>
      </c>
      <c r="D28" s="322"/>
      <c r="E28" s="1">
        <f>'Sch 85 87 Rate Calc'!F24</f>
        <v>687437.34316901688</v>
      </c>
      <c r="F28" s="29"/>
      <c r="G28" s="28"/>
      <c r="H28" s="141"/>
      <c r="I28" s="328">
        <f>'Sch 85 87 Rate Calc'!K24</f>
        <v>1.72E-3</v>
      </c>
      <c r="J28" s="197"/>
      <c r="L28" s="140"/>
      <c r="M28" s="208"/>
      <c r="N28" s="32"/>
    </row>
    <row r="29" spans="1:14" x14ac:dyDescent="0.2">
      <c r="A29" s="322">
        <f t="shared" si="0"/>
        <v>15</v>
      </c>
      <c r="C29" s="192" t="s">
        <v>14</v>
      </c>
      <c r="D29" s="322"/>
      <c r="E29" s="1">
        <f>'Sch 85 87 Rate Calc'!F25</f>
        <v>1530965.8394667008</v>
      </c>
      <c r="F29" s="29"/>
      <c r="G29" s="28"/>
      <c r="H29" s="141"/>
      <c r="I29" s="328">
        <f>'Sch 85 87 Rate Calc'!K25</f>
        <v>1.23E-3</v>
      </c>
      <c r="J29" s="197"/>
      <c r="L29" s="140"/>
      <c r="M29" s="208"/>
      <c r="N29" s="32"/>
    </row>
    <row r="30" spans="1:14" x14ac:dyDescent="0.2">
      <c r="A30" s="322">
        <f t="shared" si="0"/>
        <v>16</v>
      </c>
      <c r="C30" s="192" t="s">
        <v>19</v>
      </c>
      <c r="D30" s="322"/>
      <c r="E30" s="329">
        <f>'Sch 85 87 Rate Calc'!F26</f>
        <v>1717129.2442580655</v>
      </c>
      <c r="F30" s="29"/>
      <c r="G30" s="28"/>
      <c r="H30" s="141"/>
      <c r="I30" s="328">
        <f>'Sch 85 87 Rate Calc'!K26</f>
        <v>8.3000000000000001E-4</v>
      </c>
      <c r="J30" s="197"/>
      <c r="L30" s="140"/>
      <c r="M30" s="208"/>
      <c r="N30" s="32"/>
    </row>
    <row r="31" spans="1:14" x14ac:dyDescent="0.2">
      <c r="A31" s="322">
        <f t="shared" si="0"/>
        <v>17</v>
      </c>
      <c r="C31" s="192" t="s">
        <v>0</v>
      </c>
      <c r="D31" s="322"/>
      <c r="E31" s="26">
        <f>SUM(E25:E30)</f>
        <v>5813755</v>
      </c>
      <c r="F31" s="29">
        <f>+'Margin Revenue'!H21</f>
        <v>1757593.2872689539</v>
      </c>
      <c r="G31" s="28">
        <f>F31/F$57</f>
        <v>2.4462644120407475E-3</v>
      </c>
      <c r="H31" s="141">
        <f>$H$59*G31</f>
        <v>19097.986264802115</v>
      </c>
      <c r="I31" s="138"/>
      <c r="J31" s="29">
        <f>'Sch 85 87 Rate Calc'!L27</f>
        <v>12475.625484287944</v>
      </c>
      <c r="L31" s="140"/>
      <c r="M31" s="208"/>
      <c r="N31" s="32"/>
    </row>
    <row r="32" spans="1:14" x14ac:dyDescent="0.2">
      <c r="A32" s="322"/>
      <c r="D32" s="322"/>
      <c r="E32" s="26"/>
      <c r="F32" s="232"/>
      <c r="G32" s="28"/>
      <c r="H32" s="141"/>
      <c r="I32" s="138"/>
      <c r="J32" s="29"/>
      <c r="L32" s="142"/>
      <c r="M32" s="208"/>
      <c r="N32" s="32"/>
    </row>
    <row r="33" spans="1:15" x14ac:dyDescent="0.2">
      <c r="A33" s="322">
        <f>A31+1</f>
        <v>18</v>
      </c>
      <c r="B33" s="192" t="s">
        <v>20</v>
      </c>
      <c r="D33" s="322" t="s">
        <v>3</v>
      </c>
      <c r="E33" s="26"/>
      <c r="F33" s="232"/>
      <c r="G33" s="28"/>
      <c r="H33" s="141"/>
      <c r="I33" s="138"/>
      <c r="J33" s="29"/>
      <c r="L33" s="142"/>
      <c r="M33" s="208"/>
      <c r="N33" s="32"/>
    </row>
    <row r="34" spans="1:15" x14ac:dyDescent="0.2">
      <c r="A34" s="322">
        <f t="shared" si="0"/>
        <v>19</v>
      </c>
      <c r="C34" s="192" t="s">
        <v>18</v>
      </c>
      <c r="D34" s="322"/>
      <c r="E34" s="1">
        <f>'Sch 85 87 Rate Calc'!F30</f>
        <v>9214065.7590784468</v>
      </c>
      <c r="F34" s="232"/>
      <c r="G34" s="28"/>
      <c r="H34" s="141"/>
      <c r="I34" s="331">
        <f>'Sch 85 87 Rate Calc'!K30</f>
        <v>6.96E-3</v>
      </c>
      <c r="J34" s="29"/>
      <c r="L34" s="142"/>
      <c r="M34" s="208"/>
      <c r="N34" s="32"/>
    </row>
    <row r="35" spans="1:15" x14ac:dyDescent="0.2">
      <c r="A35" s="322">
        <f t="shared" si="0"/>
        <v>20</v>
      </c>
      <c r="C35" s="192" t="s">
        <v>17</v>
      </c>
      <c r="D35" s="322"/>
      <c r="E35" s="1">
        <f>'Sch 85 87 Rate Calc'!F31</f>
        <v>5869785.3987605646</v>
      </c>
      <c r="F35" s="232"/>
      <c r="G35" s="28"/>
      <c r="H35" s="141"/>
      <c r="I35" s="331">
        <f>'Sch 85 87 Rate Calc'!K31</f>
        <v>4.1999999999999997E-3</v>
      </c>
      <c r="J35" s="29"/>
      <c r="L35" s="142"/>
      <c r="M35" s="208"/>
      <c r="N35" s="32"/>
    </row>
    <row r="36" spans="1:15" x14ac:dyDescent="0.2">
      <c r="A36" s="322">
        <f t="shared" si="0"/>
        <v>21</v>
      </c>
      <c r="C36" s="192" t="s">
        <v>21</v>
      </c>
      <c r="D36" s="322"/>
      <c r="E36" s="329">
        <f>'Sch 85 87 Rate Calc'!F36</f>
        <v>7577971.8421609886</v>
      </c>
      <c r="F36" s="232"/>
      <c r="G36" s="28"/>
      <c r="H36" s="141"/>
      <c r="I36" s="331">
        <f>'Sch 85 87 Rate Calc'!K36</f>
        <v>2.4199999999999998E-3</v>
      </c>
      <c r="J36" s="29"/>
      <c r="L36" s="142"/>
      <c r="M36" s="208"/>
      <c r="N36" s="32"/>
    </row>
    <row r="37" spans="1:15" x14ac:dyDescent="0.2">
      <c r="A37" s="322">
        <f t="shared" si="0"/>
        <v>22</v>
      </c>
      <c r="C37" s="192" t="s">
        <v>0</v>
      </c>
      <c r="D37" s="322"/>
      <c r="E37" s="26">
        <f>SUM(E34:E36)</f>
        <v>22661823</v>
      </c>
      <c r="F37" s="29">
        <f>+'Margin Revenue'!H25</f>
        <v>8468666.8538449071</v>
      </c>
      <c r="G37" s="28">
        <f>F37/F$57</f>
        <v>1.1786912530930567E-2</v>
      </c>
      <c r="H37" s="141">
        <f>$H$59*G37</f>
        <v>92020.426128974941</v>
      </c>
      <c r="I37" s="138"/>
      <c r="J37" s="29">
        <f>'Sch 85 87 Rate Calc'!L37</f>
        <v>107121.68821600995</v>
      </c>
      <c r="L37" s="140"/>
      <c r="M37" s="208"/>
      <c r="N37" s="32"/>
    </row>
    <row r="38" spans="1:15" x14ac:dyDescent="0.2">
      <c r="A38" s="322"/>
      <c r="D38" s="322"/>
      <c r="E38" s="26"/>
      <c r="F38" s="232"/>
      <c r="G38" s="28"/>
      <c r="H38" s="141"/>
      <c r="I38" s="138"/>
      <c r="J38" s="29"/>
      <c r="L38" s="142"/>
      <c r="M38" s="208"/>
      <c r="N38" s="32"/>
    </row>
    <row r="39" spans="1:15" x14ac:dyDescent="0.2">
      <c r="A39" s="322">
        <f>A37+1</f>
        <v>23</v>
      </c>
      <c r="B39" s="192" t="s">
        <v>20</v>
      </c>
      <c r="D39" s="322" t="s">
        <v>2</v>
      </c>
      <c r="E39" s="26"/>
      <c r="F39" s="232"/>
      <c r="G39" s="28"/>
      <c r="H39" s="141"/>
      <c r="I39" s="138"/>
      <c r="J39" s="29"/>
      <c r="L39" s="142"/>
      <c r="M39" s="208"/>
      <c r="N39" s="32"/>
    </row>
    <row r="40" spans="1:15" x14ac:dyDescent="0.2">
      <c r="A40" s="322">
        <f t="shared" si="0"/>
        <v>24</v>
      </c>
      <c r="C40" s="192" t="s">
        <v>18</v>
      </c>
      <c r="D40" s="322"/>
      <c r="E40" s="1">
        <f>'Sch 85 87 Rate Calc'!F40</f>
        <v>1963432.2325719779</v>
      </c>
      <c r="F40" s="232"/>
      <c r="G40" s="28"/>
      <c r="H40" s="141"/>
      <c r="I40" s="331">
        <f>'Sch 85 87 Rate Calc'!K40</f>
        <v>6.96E-3</v>
      </c>
      <c r="J40" s="29"/>
      <c r="L40" s="309"/>
      <c r="M40" s="310"/>
      <c r="N40" s="311"/>
      <c r="O40" s="261"/>
    </row>
    <row r="41" spans="1:15" x14ac:dyDescent="0.2">
      <c r="A41" s="322">
        <f t="shared" si="0"/>
        <v>25</v>
      </c>
      <c r="C41" s="192" t="s">
        <v>17</v>
      </c>
      <c r="D41" s="322"/>
      <c r="E41" s="1">
        <f>'Sch 85 87 Rate Calc'!F41</f>
        <v>1940733.1855049762</v>
      </c>
      <c r="F41" s="232"/>
      <c r="G41" s="28"/>
      <c r="H41" s="141"/>
      <c r="I41" s="331">
        <f>'Sch 85 87 Rate Calc'!K41</f>
        <v>4.1999999999999997E-3</v>
      </c>
      <c r="J41" s="29"/>
      <c r="L41" s="142"/>
      <c r="M41" s="208"/>
      <c r="N41" s="32"/>
    </row>
    <row r="42" spans="1:15" x14ac:dyDescent="0.2">
      <c r="A42" s="322">
        <f t="shared" si="0"/>
        <v>26</v>
      </c>
      <c r="C42" s="192" t="s">
        <v>16</v>
      </c>
      <c r="D42" s="322"/>
      <c r="E42" s="1">
        <f>'Sch 85 87 Rate Calc'!F42</f>
        <v>3250631.9180465685</v>
      </c>
      <c r="F42" s="232"/>
      <c r="G42" s="28"/>
      <c r="H42" s="141"/>
      <c r="I42" s="331">
        <f>'Sch 85 87 Rate Calc'!K42</f>
        <v>2.6700000000000001E-3</v>
      </c>
      <c r="J42" s="29"/>
      <c r="L42" s="142"/>
      <c r="M42" s="208"/>
      <c r="N42" s="32"/>
    </row>
    <row r="43" spans="1:15" x14ac:dyDescent="0.2">
      <c r="A43" s="322">
        <f t="shared" si="0"/>
        <v>27</v>
      </c>
      <c r="C43" s="192" t="s">
        <v>15</v>
      </c>
      <c r="D43" s="322"/>
      <c r="E43" s="1">
        <f>'Sch 85 87 Rate Calc'!F43</f>
        <v>4547383.4867338771</v>
      </c>
      <c r="F43" s="232"/>
      <c r="G43" s="28"/>
      <c r="H43" s="141"/>
      <c r="I43" s="331">
        <f>'Sch 85 87 Rate Calc'!K43</f>
        <v>1.72E-3</v>
      </c>
      <c r="J43" s="29"/>
      <c r="L43" s="142"/>
      <c r="M43" s="208"/>
      <c r="N43" s="32"/>
    </row>
    <row r="44" spans="1:15" x14ac:dyDescent="0.2">
      <c r="A44" s="322">
        <f t="shared" si="0"/>
        <v>28</v>
      </c>
      <c r="C44" s="192" t="s">
        <v>14</v>
      </c>
      <c r="D44" s="322"/>
      <c r="E44" s="1">
        <f>'Sch 85 87 Rate Calc'!F44</f>
        <v>9013631.581200188</v>
      </c>
      <c r="F44" s="232"/>
      <c r="G44" s="28"/>
      <c r="H44" s="141"/>
      <c r="I44" s="331">
        <f>'Sch 85 87 Rate Calc'!K44</f>
        <v>1.23E-3</v>
      </c>
      <c r="J44" s="29"/>
      <c r="L44" s="142"/>
      <c r="M44" s="208"/>
      <c r="N44" s="32"/>
    </row>
    <row r="45" spans="1:15" x14ac:dyDescent="0.2">
      <c r="A45" s="322">
        <f t="shared" si="0"/>
        <v>29</v>
      </c>
      <c r="C45" s="192" t="s">
        <v>19</v>
      </c>
      <c r="D45" s="322"/>
      <c r="E45" s="329">
        <f>'Sch 85 87 Rate Calc'!F45</f>
        <v>10399143.59594241</v>
      </c>
      <c r="F45" s="232"/>
      <c r="G45" s="28"/>
      <c r="H45" s="141"/>
      <c r="I45" s="331">
        <f>'Sch 85 87 Rate Calc'!K45</f>
        <v>8.3000000000000001E-4</v>
      </c>
      <c r="J45" s="29"/>
      <c r="L45" s="142"/>
      <c r="M45" s="208"/>
      <c r="N45" s="32"/>
    </row>
    <row r="46" spans="1:15" x14ac:dyDescent="0.2">
      <c r="A46" s="322">
        <f t="shared" si="0"/>
        <v>30</v>
      </c>
      <c r="C46" s="192" t="s">
        <v>0</v>
      </c>
      <c r="D46" s="322"/>
      <c r="E46" s="26">
        <f>SUM(E40:E45)</f>
        <v>31114955.999999993</v>
      </c>
      <c r="F46" s="29">
        <f>+'Margin Revenue'!H26</f>
        <v>6181926.238917917</v>
      </c>
      <c r="G46" s="28">
        <f>F46/F$57</f>
        <v>8.6041669968051522E-3</v>
      </c>
      <c r="H46" s="141">
        <f>$H$59*G46</f>
        <v>67172.731744057819</v>
      </c>
      <c r="I46" s="138"/>
      <c r="J46" s="29">
        <f>'Sch 85 87 Rate Calc'!L46</f>
        <v>58035.310565696898</v>
      </c>
      <c r="L46" s="140"/>
      <c r="M46" s="208"/>
      <c r="N46" s="32"/>
    </row>
    <row r="47" spans="1:15" x14ac:dyDescent="0.2">
      <c r="A47" s="322"/>
      <c r="D47" s="322"/>
      <c r="E47" s="26"/>
      <c r="F47" s="29"/>
      <c r="G47" s="28"/>
      <c r="H47" s="141"/>
      <c r="I47" s="138"/>
      <c r="J47" s="29"/>
      <c r="L47" s="140"/>
      <c r="M47" s="208"/>
      <c r="N47" s="32"/>
    </row>
    <row r="48" spans="1:15" x14ac:dyDescent="0.2">
      <c r="A48" s="322">
        <f>A46+1</f>
        <v>31</v>
      </c>
      <c r="B48" s="192" t="s">
        <v>20</v>
      </c>
      <c r="D48" s="322" t="s">
        <v>200</v>
      </c>
      <c r="E48" s="26"/>
      <c r="F48" s="232"/>
      <c r="G48" s="28"/>
      <c r="H48" s="141"/>
      <c r="I48" s="138"/>
      <c r="J48" s="29"/>
      <c r="L48" s="140"/>
      <c r="M48" s="208"/>
      <c r="N48" s="32"/>
    </row>
    <row r="49" spans="1:14" x14ac:dyDescent="0.2">
      <c r="A49" s="322">
        <f t="shared" si="0"/>
        <v>32</v>
      </c>
      <c r="C49" s="192" t="s">
        <v>18</v>
      </c>
      <c r="D49" s="322"/>
      <c r="E49" s="1">
        <f>'Sch 85 87 Rate Calc'!F49</f>
        <v>103101.32953264142</v>
      </c>
      <c r="F49" s="232"/>
      <c r="G49" s="28"/>
      <c r="H49" s="141"/>
      <c r="I49" s="331">
        <f>'Sch 85 87 Rate Calc'!K49</f>
        <v>6.96E-3</v>
      </c>
      <c r="J49" s="29"/>
      <c r="L49" s="140"/>
      <c r="M49" s="208"/>
      <c r="N49" s="32"/>
    </row>
    <row r="50" spans="1:14" x14ac:dyDescent="0.2">
      <c r="A50" s="322">
        <f t="shared" si="0"/>
        <v>33</v>
      </c>
      <c r="C50" s="192" t="s">
        <v>17</v>
      </c>
      <c r="D50" s="322"/>
      <c r="E50" s="1">
        <f>'Sch 85 87 Rate Calc'!F50</f>
        <v>103101.32953264142</v>
      </c>
      <c r="F50" s="232"/>
      <c r="G50" s="28"/>
      <c r="H50" s="141"/>
      <c r="I50" s="331">
        <f>'Sch 85 87 Rate Calc'!K50</f>
        <v>4.1999999999999997E-3</v>
      </c>
      <c r="J50" s="29"/>
      <c r="L50" s="140"/>
      <c r="M50" s="208"/>
      <c r="N50" s="32"/>
    </row>
    <row r="51" spans="1:14" x14ac:dyDescent="0.2">
      <c r="A51" s="322">
        <f t="shared" si="0"/>
        <v>34</v>
      </c>
      <c r="C51" s="192" t="s">
        <v>16</v>
      </c>
      <c r="D51" s="322"/>
      <c r="E51" s="1">
        <f>'Sch 85 87 Rate Calc'!F51</f>
        <v>206202.65906528285</v>
      </c>
      <c r="F51" s="232"/>
      <c r="G51" s="28"/>
      <c r="H51" s="141"/>
      <c r="I51" s="331">
        <f>'Sch 85 87 Rate Calc'!K51</f>
        <v>2.6700000000000001E-3</v>
      </c>
      <c r="J51" s="29"/>
      <c r="L51" s="140"/>
      <c r="M51" s="208"/>
      <c r="N51" s="32"/>
    </row>
    <row r="52" spans="1:14" x14ac:dyDescent="0.2">
      <c r="A52" s="322">
        <f t="shared" si="0"/>
        <v>35</v>
      </c>
      <c r="C52" s="192" t="s">
        <v>15</v>
      </c>
      <c r="D52" s="322"/>
      <c r="E52" s="1">
        <f>'Sch 85 87 Rate Calc'!F52</f>
        <v>412405.31813056569</v>
      </c>
      <c r="F52" s="232"/>
      <c r="G52" s="28"/>
      <c r="H52" s="141"/>
      <c r="I52" s="331">
        <f>'Sch 85 87 Rate Calc'!K52</f>
        <v>1.72E-3</v>
      </c>
      <c r="J52" s="29"/>
      <c r="L52" s="140"/>
      <c r="M52" s="208"/>
      <c r="N52" s="32"/>
    </row>
    <row r="53" spans="1:14" x14ac:dyDescent="0.2">
      <c r="A53" s="322">
        <f t="shared" si="0"/>
        <v>36</v>
      </c>
      <c r="C53" s="192" t="s">
        <v>14</v>
      </c>
      <c r="D53" s="322"/>
      <c r="E53" s="1">
        <f>'Sch 85 87 Rate Calc'!F53</f>
        <v>1237215.9543916972</v>
      </c>
      <c r="F53" s="232"/>
      <c r="G53" s="28"/>
      <c r="H53" s="141"/>
      <c r="I53" s="331">
        <f>'Sch 85 87 Rate Calc'!K53</f>
        <v>1.23E-3</v>
      </c>
      <c r="J53" s="29"/>
      <c r="L53" s="140"/>
      <c r="M53" s="208"/>
      <c r="N53" s="32"/>
    </row>
    <row r="54" spans="1:14" x14ac:dyDescent="0.2">
      <c r="A54" s="322">
        <f t="shared" si="0"/>
        <v>37</v>
      </c>
      <c r="C54" s="192" t="s">
        <v>19</v>
      </c>
      <c r="D54" s="322"/>
      <c r="E54" s="1">
        <f>'Sch 85 87 Rate Calc'!F54</f>
        <v>11936223.409347171</v>
      </c>
      <c r="F54" s="232"/>
      <c r="G54" s="28"/>
      <c r="H54" s="141"/>
      <c r="I54" s="331">
        <f>'Sch 85 87 Rate Calc'!K54</f>
        <v>8.3000000000000001E-4</v>
      </c>
      <c r="J54" s="29"/>
      <c r="L54" s="140"/>
      <c r="M54" s="208"/>
      <c r="N54" s="32"/>
    </row>
    <row r="55" spans="1:14" x14ac:dyDescent="0.2">
      <c r="A55" s="322">
        <f t="shared" si="0"/>
        <v>38</v>
      </c>
      <c r="C55" s="192" t="s">
        <v>0</v>
      </c>
      <c r="D55" s="322"/>
      <c r="E55" s="26">
        <f>SUM(E49:E54)</f>
        <v>13998250</v>
      </c>
      <c r="F55" s="29">
        <f>'Margin Revenue'!H27</f>
        <v>1217003.0668795106</v>
      </c>
      <c r="G55" s="28">
        <f>F55/F$57</f>
        <v>1.6938567718802534E-3</v>
      </c>
      <c r="H55" s="141">
        <f>$H$59*G55</f>
        <v>13223.939818069139</v>
      </c>
      <c r="I55" s="138"/>
      <c r="J55" s="29">
        <f>'Sch 85 87 Rate Calc'!L55</f>
        <v>13839.350138133095</v>
      </c>
      <c r="L55" s="140"/>
      <c r="M55" s="208"/>
      <c r="N55" s="32"/>
    </row>
    <row r="56" spans="1:14" x14ac:dyDescent="0.2">
      <c r="A56" s="322"/>
      <c r="D56" s="322"/>
      <c r="E56" s="26"/>
      <c r="F56" s="29"/>
      <c r="G56" s="28"/>
      <c r="H56" s="141"/>
      <c r="I56" s="138"/>
      <c r="J56" s="29"/>
      <c r="L56" s="140"/>
      <c r="M56" s="208"/>
      <c r="N56" s="32"/>
    </row>
    <row r="57" spans="1:14" x14ac:dyDescent="0.2">
      <c r="A57" s="322">
        <f>A55+1</f>
        <v>39</v>
      </c>
      <c r="C57" s="192" t="s">
        <v>0</v>
      </c>
      <c r="E57" s="11">
        <f>E10+E12+E14+E20+E22+E31+E37+E46+E55</f>
        <v>254048180</v>
      </c>
      <c r="F57" s="9">
        <f>F10+F12+F14+F20+F22+F31+F37+F46+F55</f>
        <v>718480503.83184719</v>
      </c>
      <c r="G57" s="308">
        <f>SUM(G10:G56)</f>
        <v>0.99999999999999978</v>
      </c>
      <c r="H57" s="9">
        <f>H10+H12+H14+H20+H22+H31+H37+H46+H55</f>
        <v>7806999.9999999991</v>
      </c>
      <c r="I57" s="138">
        <f>ROUND(J57/E57,5)</f>
        <v>3.073E-2</v>
      </c>
      <c r="J57" s="9">
        <f>J10+J12+J14+J20+J22+J31+J37+J46+J55</f>
        <v>7806869.4893253185</v>
      </c>
      <c r="K57" s="143">
        <f>J57-H57</f>
        <v>-130.51067468058318</v>
      </c>
      <c r="L57" s="140"/>
      <c r="M57" s="208"/>
      <c r="N57" s="32"/>
    </row>
    <row r="58" spans="1:14" x14ac:dyDescent="0.2">
      <c r="A58" s="322"/>
      <c r="E58" s="285"/>
      <c r="F58" s="287"/>
      <c r="G58" s="285"/>
      <c r="H58" s="285"/>
      <c r="I58" s="285"/>
      <c r="J58" s="285"/>
      <c r="K58" s="144">
        <f>K57/H57</f>
        <v>-1.6717135222311155E-5</v>
      </c>
      <c r="M58" s="33"/>
    </row>
    <row r="59" spans="1:14" ht="15" customHeight="1" x14ac:dyDescent="0.2">
      <c r="A59" s="322">
        <f>A57+1</f>
        <v>40</v>
      </c>
      <c r="C59" s="192" t="s">
        <v>171</v>
      </c>
      <c r="E59" s="285"/>
      <c r="F59" s="287"/>
      <c r="G59" s="285"/>
      <c r="H59" s="29">
        <f>'Revenue Requirement'!G20</f>
        <v>7807000</v>
      </c>
      <c r="I59" s="285"/>
      <c r="J59" s="5"/>
      <c r="K59" s="285"/>
    </row>
    <row r="60" spans="1:14" x14ac:dyDescent="0.2">
      <c r="H60" s="18"/>
      <c r="M60" s="33"/>
    </row>
    <row r="61" spans="1:14" x14ac:dyDescent="0.2">
      <c r="A61" s="332"/>
      <c r="C61" s="333"/>
      <c r="D61" s="333"/>
      <c r="E61" s="333"/>
      <c r="F61" s="333"/>
      <c r="G61" s="333"/>
    </row>
    <row r="62" spans="1:14" x14ac:dyDescent="0.2">
      <c r="B62" s="285"/>
      <c r="C62" s="285"/>
      <c r="G62" s="333"/>
    </row>
    <row r="63" spans="1:14" x14ac:dyDescent="0.2">
      <c r="B63" s="285"/>
      <c r="C63" s="326"/>
      <c r="D63" s="285"/>
      <c r="E63" s="285"/>
      <c r="G63" s="333"/>
    </row>
    <row r="64" spans="1:14" x14ac:dyDescent="0.2">
      <c r="B64" s="285"/>
      <c r="C64" s="285"/>
      <c r="D64" s="285"/>
      <c r="E64" s="285"/>
      <c r="F64" s="333"/>
      <c r="G64" s="333"/>
    </row>
    <row r="65" spans="2:7" x14ac:dyDescent="0.2">
      <c r="B65" s="285"/>
      <c r="C65" s="285"/>
      <c r="D65" s="296"/>
      <c r="E65" s="27"/>
      <c r="G65" s="333"/>
    </row>
    <row r="66" spans="2:7" x14ac:dyDescent="0.2">
      <c r="B66" s="333"/>
      <c r="C66" s="333"/>
      <c r="D66" s="296"/>
      <c r="E66" s="27"/>
      <c r="G66" s="333"/>
    </row>
    <row r="67" spans="2:7" x14ac:dyDescent="0.2">
      <c r="D67" s="296"/>
      <c r="E67" s="27"/>
    </row>
    <row r="68" spans="2:7" x14ac:dyDescent="0.2">
      <c r="D68" s="285"/>
      <c r="E68" s="285"/>
    </row>
    <row r="69" spans="2:7" x14ac:dyDescent="0.2">
      <c r="D69" s="285"/>
      <c r="E69" s="285"/>
    </row>
    <row r="70" spans="2:7" x14ac:dyDescent="0.2">
      <c r="D70" s="285"/>
      <c r="E70" s="285"/>
    </row>
  </sheetData>
  <mergeCells count="2">
    <mergeCell ref="B8:C8"/>
    <mergeCell ref="A3:K3"/>
  </mergeCells>
  <printOptions horizontalCentered="1"/>
  <pageMargins left="0.75" right="0.75" top="1" bottom="1" header="0.5" footer="0.5"/>
  <pageSetup scale="75" orientation="portrait" blackAndWhite="1" horizontalDpi="300" verticalDpi="300" r:id="rId1"/>
  <headerFooter alignWithMargins="0">
    <oddFooter>&amp;L&amp;F 
&amp;A&amp;C&amp;P&amp;R&amp;D</oddFooter>
  </headerFooter>
  <customProperties>
    <customPr name="_pios_id" r:id="rId2"/>
    <customPr name="EpmWorksheetKeyString_GUID" r:id="rId3"/>
  </customProperties>
  <ignoredErrors>
    <ignoredError sqref="G5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O34" sqref="O34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5" zoomScaleNormal="85" workbookViewId="0">
      <pane xSplit="3" ySplit="9" topLeftCell="F10" activePane="bottomRight" state="frozenSplit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customWidth="1"/>
    <col min="6" max="6" width="10" bestFit="1" customWidth="1"/>
    <col min="7" max="7" width="14.28515625" bestFit="1" customWidth="1"/>
    <col min="8" max="8" width="14.7109375" customWidth="1"/>
    <col min="9" max="9" width="13.7109375" bestFit="1" customWidth="1"/>
    <col min="10" max="10" width="14.42578125" bestFit="1" customWidth="1"/>
    <col min="11" max="13" width="12.5703125" bestFit="1" customWidth="1"/>
    <col min="14" max="14" width="9.5703125" bestFit="1" customWidth="1"/>
    <col min="15" max="15" width="12.5703125" bestFit="1" customWidth="1"/>
    <col min="16" max="16" width="12.28515625" bestFit="1" customWidth="1"/>
    <col min="17" max="17" width="12.5703125" bestFit="1" customWidth="1"/>
    <col min="18" max="18" width="11.5703125" bestFit="1" customWidth="1"/>
    <col min="19" max="19" width="9.42578125" bestFit="1" customWidth="1"/>
    <col min="20" max="20" width="12.5703125" bestFit="1" customWidth="1"/>
    <col min="21" max="21" width="16.5703125" bestFit="1" customWidth="1"/>
    <col min="22" max="22" width="14.140625" bestFit="1" customWidth="1"/>
    <col min="23" max="23" width="16.5703125" bestFit="1" customWidth="1"/>
    <col min="24" max="24" width="7.85546875" bestFit="1" customWidth="1"/>
  </cols>
  <sheetData>
    <row r="1" spans="1:24" x14ac:dyDescent="0.25">
      <c r="A1" s="130" t="s">
        <v>12</v>
      </c>
      <c r="B1" s="131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r="2" spans="1:24" x14ac:dyDescent="0.25">
      <c r="A2" s="130" t="s">
        <v>260</v>
      </c>
      <c r="B2" s="131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r="3" spans="1:24" x14ac:dyDescent="0.25">
      <c r="A3" s="131" t="s">
        <v>95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r="4" spans="1:24" x14ac:dyDescent="0.25">
      <c r="A4" s="131" t="s">
        <v>261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</row>
    <row r="5" spans="1:24" x14ac:dyDescent="0.25">
      <c r="F5" s="158"/>
      <c r="P5" s="158"/>
      <c r="Q5" s="158"/>
      <c r="R5" s="158"/>
      <c r="S5" s="158"/>
    </row>
    <row r="6" spans="1:24" x14ac:dyDescent="0.25">
      <c r="F6" s="158"/>
      <c r="G6" s="41" t="s">
        <v>96</v>
      </c>
      <c r="P6" s="158"/>
      <c r="Q6" s="158"/>
      <c r="R6" s="158"/>
      <c r="S6" s="158"/>
      <c r="U6" s="42" t="s">
        <v>262</v>
      </c>
      <c r="W6" s="103" t="str">
        <f>U6</f>
        <v>5ME Sept. 2025</v>
      </c>
    </row>
    <row r="7" spans="1:24" x14ac:dyDescent="0.25">
      <c r="B7" s="41"/>
      <c r="C7" s="41"/>
      <c r="D7" s="41" t="s">
        <v>252</v>
      </c>
      <c r="E7" s="41" t="str">
        <f>D7</f>
        <v>UG-240005</v>
      </c>
      <c r="F7" s="41" t="s">
        <v>139</v>
      </c>
      <c r="G7" s="41" t="s">
        <v>76</v>
      </c>
      <c r="H7" s="158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103" t="s">
        <v>97</v>
      </c>
      <c r="V7" s="42" t="s">
        <v>92</v>
      </c>
      <c r="W7" s="103" t="s">
        <v>97</v>
      </c>
      <c r="X7" s="41"/>
    </row>
    <row r="8" spans="1:24" x14ac:dyDescent="0.25">
      <c r="A8" t="s">
        <v>35</v>
      </c>
      <c r="B8" s="41"/>
      <c r="C8" s="41" t="s">
        <v>11</v>
      </c>
      <c r="D8" s="41" t="s">
        <v>10</v>
      </c>
      <c r="E8" s="41" t="s">
        <v>140</v>
      </c>
      <c r="F8" s="41" t="s">
        <v>11</v>
      </c>
      <c r="G8" s="42" t="s">
        <v>263</v>
      </c>
      <c r="H8" s="158" t="s">
        <v>140</v>
      </c>
      <c r="I8" s="41" t="s">
        <v>141</v>
      </c>
      <c r="J8" s="41" t="s">
        <v>142</v>
      </c>
      <c r="K8" s="41" t="s">
        <v>205</v>
      </c>
      <c r="L8" s="41" t="s">
        <v>143</v>
      </c>
      <c r="M8" s="41" t="s">
        <v>92</v>
      </c>
      <c r="N8" s="41" t="s">
        <v>159</v>
      </c>
      <c r="O8" s="41" t="s">
        <v>72</v>
      </c>
      <c r="P8" s="41" t="s">
        <v>163</v>
      </c>
      <c r="Q8" s="41" t="s">
        <v>206</v>
      </c>
      <c r="R8" s="41" t="s">
        <v>207</v>
      </c>
      <c r="S8" s="41" t="s">
        <v>162</v>
      </c>
      <c r="T8" s="41" t="s">
        <v>144</v>
      </c>
      <c r="U8" s="41" t="s">
        <v>208</v>
      </c>
      <c r="V8" s="41" t="s">
        <v>6</v>
      </c>
      <c r="W8" s="41" t="s">
        <v>208</v>
      </c>
      <c r="X8" s="41" t="s">
        <v>61</v>
      </c>
    </row>
    <row r="9" spans="1:24" ht="17.25" x14ac:dyDescent="0.25">
      <c r="A9" t="s">
        <v>196</v>
      </c>
      <c r="B9" s="159" t="s">
        <v>8</v>
      </c>
      <c r="C9" s="159" t="s">
        <v>7</v>
      </c>
      <c r="D9" s="159" t="s">
        <v>98</v>
      </c>
      <c r="E9" s="159" t="s">
        <v>99</v>
      </c>
      <c r="F9" s="159" t="s">
        <v>100</v>
      </c>
      <c r="G9" s="132" t="s">
        <v>209</v>
      </c>
      <c r="H9" s="159" t="s">
        <v>6</v>
      </c>
      <c r="I9" s="159" t="s">
        <v>6</v>
      </c>
      <c r="J9" s="159" t="s">
        <v>6</v>
      </c>
      <c r="K9" s="159" t="s">
        <v>6</v>
      </c>
      <c r="L9" s="159" t="s">
        <v>6</v>
      </c>
      <c r="M9" s="159" t="s">
        <v>6</v>
      </c>
      <c r="N9" s="159" t="s">
        <v>6</v>
      </c>
      <c r="O9" s="159" t="s">
        <v>6</v>
      </c>
      <c r="P9" s="159" t="s">
        <v>6</v>
      </c>
      <c r="Q9" s="159" t="s">
        <v>6</v>
      </c>
      <c r="R9" s="159" t="s">
        <v>6</v>
      </c>
      <c r="S9" s="159" t="s">
        <v>6</v>
      </c>
      <c r="T9" s="159" t="s">
        <v>6</v>
      </c>
      <c r="U9" s="41" t="s">
        <v>210</v>
      </c>
      <c r="V9" s="159" t="s">
        <v>62</v>
      </c>
      <c r="W9" s="41" t="s">
        <v>93</v>
      </c>
      <c r="X9" s="159" t="s">
        <v>62</v>
      </c>
    </row>
    <row r="10" spans="1:24" x14ac:dyDescent="0.25">
      <c r="B10" s="41" t="s">
        <v>63</v>
      </c>
      <c r="C10" s="41" t="s">
        <v>64</v>
      </c>
      <c r="D10" s="44" t="s">
        <v>65</v>
      </c>
      <c r="E10" s="45" t="s">
        <v>66</v>
      </c>
      <c r="F10" s="41" t="s">
        <v>101</v>
      </c>
      <c r="G10" s="41" t="s">
        <v>102</v>
      </c>
      <c r="H10" s="41" t="s">
        <v>103</v>
      </c>
      <c r="I10" s="41" t="s">
        <v>67</v>
      </c>
      <c r="J10" s="41" t="s">
        <v>68</v>
      </c>
      <c r="K10" s="41" t="s">
        <v>69</v>
      </c>
      <c r="L10" s="41" t="s">
        <v>104</v>
      </c>
      <c r="M10" s="45" t="s">
        <v>105</v>
      </c>
      <c r="N10" s="45" t="s">
        <v>106</v>
      </c>
      <c r="O10" s="45" t="s">
        <v>107</v>
      </c>
      <c r="P10" s="45" t="s">
        <v>108</v>
      </c>
      <c r="Q10" s="45" t="s">
        <v>109</v>
      </c>
      <c r="R10" s="45" t="s">
        <v>164</v>
      </c>
      <c r="S10" s="45" t="s">
        <v>165</v>
      </c>
      <c r="T10" s="45" t="s">
        <v>211</v>
      </c>
      <c r="U10" s="46" t="s">
        <v>264</v>
      </c>
      <c r="V10" s="41" t="s">
        <v>265</v>
      </c>
      <c r="W10" s="41" t="s">
        <v>266</v>
      </c>
      <c r="X10" s="41" t="s">
        <v>267</v>
      </c>
    </row>
    <row r="11" spans="1:24" x14ac:dyDescent="0.25">
      <c r="A11" s="158">
        <v>1</v>
      </c>
      <c r="B11" t="s">
        <v>5</v>
      </c>
      <c r="C11" s="158" t="s">
        <v>110</v>
      </c>
      <c r="D11" s="154">
        <v>539959592</v>
      </c>
      <c r="E11" s="52">
        <v>473120415.12787223</v>
      </c>
      <c r="F11" s="48">
        <f t="shared" ref="F11:F16" si="0">(E11)/D11</f>
        <v>0.8762144837087591</v>
      </c>
      <c r="G11" s="154">
        <v>96192245</v>
      </c>
      <c r="H11" s="49">
        <f>F11*G11</f>
        <v>84285038.289461464</v>
      </c>
      <c r="I11" s="52">
        <v>53225093</v>
      </c>
      <c r="J11" s="52">
        <v>-5658989.7699999996</v>
      </c>
      <c r="K11" s="52">
        <v>1818163.2063173559</v>
      </c>
      <c r="L11" s="52">
        <v>3516788.4772000001</v>
      </c>
      <c r="M11" s="47">
        <f>'Sch. 129'!$G$9</f>
        <v>1259156.4870499999</v>
      </c>
      <c r="N11" s="52">
        <v>0</v>
      </c>
      <c r="O11" s="52">
        <v>1611220.1037499998</v>
      </c>
      <c r="P11" s="52">
        <v>-211622.93899999998</v>
      </c>
      <c r="Q11" s="52">
        <v>4496025.5312999999</v>
      </c>
      <c r="R11" s="52">
        <v>8657.3020500000002</v>
      </c>
      <c r="S11" s="52">
        <v>0</v>
      </c>
      <c r="T11" s="52">
        <v>4128571.16</v>
      </c>
      <c r="U11" s="50">
        <f t="shared" ref="U11:U24" si="1">SUM(H11:T11)</f>
        <v>148478100.8481288</v>
      </c>
      <c r="V11" s="47">
        <f>'Sch. 129'!I9</f>
        <v>5333859.9852500008</v>
      </c>
      <c r="W11" s="176">
        <f>U11+V11</f>
        <v>153811960.83337879</v>
      </c>
      <c r="X11" s="51">
        <f>V11/U11</f>
        <v>3.5923546669725748E-2</v>
      </c>
    </row>
    <row r="12" spans="1:24" x14ac:dyDescent="0.25">
      <c r="A12" s="158">
        <f>A11+1</f>
        <v>2</v>
      </c>
      <c r="B12" t="s">
        <v>111</v>
      </c>
      <c r="C12" s="158">
        <v>16</v>
      </c>
      <c r="D12" s="154">
        <v>6995.9999999999991</v>
      </c>
      <c r="E12" s="52">
        <v>5715.6238899497412</v>
      </c>
      <c r="F12" s="48">
        <f t="shared" si="0"/>
        <v>0.81698454687674982</v>
      </c>
      <c r="G12" s="154">
        <v>2565</v>
      </c>
      <c r="H12" s="49">
        <f t="shared" ref="H12:H24" si="2">F12*G12</f>
        <v>2095.5653627388633</v>
      </c>
      <c r="I12" s="52">
        <v>1419.27</v>
      </c>
      <c r="J12" s="52">
        <v>-150.9</v>
      </c>
      <c r="K12" s="52">
        <v>-74.000249999999994</v>
      </c>
      <c r="L12" s="52">
        <v>93.77640000000001</v>
      </c>
      <c r="M12" s="47"/>
      <c r="N12" s="52"/>
      <c r="O12" s="52">
        <v>42.96374999999999</v>
      </c>
      <c r="P12" s="52">
        <v>-5.6429999999999989</v>
      </c>
      <c r="Q12" s="52">
        <v>119.88809999999999</v>
      </c>
      <c r="R12" s="52">
        <v>0.23085000000000003</v>
      </c>
      <c r="S12" s="52">
        <v>0</v>
      </c>
      <c r="T12" s="52"/>
      <c r="U12" s="50">
        <f t="shared" si="1"/>
        <v>3541.1512127388633</v>
      </c>
      <c r="V12" s="47"/>
      <c r="W12" s="176">
        <f t="shared" ref="W12:W24" si="3">U12+V12</f>
        <v>3541.1512127388633</v>
      </c>
      <c r="X12" s="51">
        <f t="shared" ref="X12:X25" si="4">V12/U12</f>
        <v>0</v>
      </c>
    </row>
    <row r="13" spans="1:24" x14ac:dyDescent="0.25">
      <c r="A13" s="158">
        <f t="shared" ref="A13:A36" si="5">A12+1</f>
        <v>3</v>
      </c>
      <c r="B13" t="s">
        <v>112</v>
      </c>
      <c r="C13" s="158">
        <v>31</v>
      </c>
      <c r="D13" s="154">
        <v>228527070</v>
      </c>
      <c r="E13" s="52">
        <v>173926777.33942217</v>
      </c>
      <c r="F13" s="48">
        <f t="shared" si="0"/>
        <v>0.76107735219036488</v>
      </c>
      <c r="G13" s="154">
        <v>51938802</v>
      </c>
      <c r="H13" s="49">
        <f t="shared" si="2"/>
        <v>39529445.902099624</v>
      </c>
      <c r="I13" s="52">
        <v>28405330.809999999</v>
      </c>
      <c r="J13" s="52">
        <v>-3055040.33</v>
      </c>
      <c r="K13" s="52">
        <v>-243492.21555191092</v>
      </c>
      <c r="L13" s="52">
        <v>1898882.60112</v>
      </c>
      <c r="M13" s="47">
        <f>'Sch. 129'!$G$11</f>
        <v>574962.53813999996</v>
      </c>
      <c r="N13" s="52">
        <v>0</v>
      </c>
      <c r="O13" s="52">
        <v>929185.16778000002</v>
      </c>
      <c r="P13" s="52">
        <v>-104916.38004</v>
      </c>
      <c r="Q13" s="52">
        <v>2060931.6633599999</v>
      </c>
      <c r="R13" s="52">
        <v>3116.3281200000001</v>
      </c>
      <c r="S13" s="52">
        <v>0</v>
      </c>
      <c r="T13" s="52">
        <v>231127.66999999998</v>
      </c>
      <c r="U13" s="50">
        <f t="shared" si="1"/>
        <v>70229533.755027711</v>
      </c>
      <c r="V13" s="47">
        <f>'Sch. 129'!I11</f>
        <v>1899401.9891400002</v>
      </c>
      <c r="W13" s="176">
        <f t="shared" si="3"/>
        <v>72128935.744167715</v>
      </c>
      <c r="X13" s="51">
        <f t="shared" si="4"/>
        <v>2.7045630058793072E-2</v>
      </c>
    </row>
    <row r="14" spans="1:24" x14ac:dyDescent="0.25">
      <c r="A14" s="158">
        <f t="shared" si="5"/>
        <v>4</v>
      </c>
      <c r="B14" t="s">
        <v>113</v>
      </c>
      <c r="C14" s="158">
        <v>41</v>
      </c>
      <c r="D14" s="154">
        <v>60329188.999999985</v>
      </c>
      <c r="E14" s="52">
        <v>23891172.867297288</v>
      </c>
      <c r="F14" s="48">
        <f t="shared" si="0"/>
        <v>0.39601349302569433</v>
      </c>
      <c r="G14" s="154">
        <v>16607564</v>
      </c>
      <c r="H14" s="49">
        <f t="shared" si="2"/>
        <v>6576819.4302877719</v>
      </c>
      <c r="I14" s="52">
        <v>9641415.8900000006</v>
      </c>
      <c r="J14" s="52">
        <v>-976192.61</v>
      </c>
      <c r="K14" s="52">
        <v>-778893.92783199134</v>
      </c>
      <c r="L14" s="52">
        <v>607172.53983999998</v>
      </c>
      <c r="M14" s="47">
        <f>'Sch. 129'!$G$14</f>
        <v>90843.375079999998</v>
      </c>
      <c r="N14" s="52">
        <v>0</v>
      </c>
      <c r="O14" s="52">
        <v>122065.59540000001</v>
      </c>
      <c r="P14" s="52">
        <v>-25575.648560000001</v>
      </c>
      <c r="Q14" s="52">
        <v>460737.94311693258</v>
      </c>
      <c r="R14" s="52">
        <v>1162.5294799999999</v>
      </c>
      <c r="S14" s="52">
        <v>0</v>
      </c>
      <c r="T14" s="52">
        <v>-236453.92</v>
      </c>
      <c r="U14" s="50">
        <f t="shared" si="1"/>
        <v>15483101.196812714</v>
      </c>
      <c r="V14" s="47">
        <f>'Sch. 129'!I14</f>
        <v>220382.37428000002</v>
      </c>
      <c r="W14" s="176">
        <f t="shared" si="3"/>
        <v>15703483.571092714</v>
      </c>
      <c r="X14" s="51">
        <f t="shared" si="4"/>
        <v>1.4233735960168433E-2</v>
      </c>
    </row>
    <row r="15" spans="1:24" x14ac:dyDescent="0.25">
      <c r="A15" s="158">
        <f t="shared" si="5"/>
        <v>5</v>
      </c>
      <c r="B15" t="s">
        <v>4</v>
      </c>
      <c r="C15" s="158">
        <v>85</v>
      </c>
      <c r="D15" s="154">
        <v>16668227</v>
      </c>
      <c r="E15" s="52">
        <v>2837821.1504219277</v>
      </c>
      <c r="F15" s="48">
        <f t="shared" si="0"/>
        <v>0.17025332990856962</v>
      </c>
      <c r="G15" s="154">
        <v>5820660</v>
      </c>
      <c r="H15" s="49">
        <f t="shared" si="2"/>
        <v>990986.7472656148</v>
      </c>
      <c r="I15" s="52">
        <v>2901596.64</v>
      </c>
      <c r="J15" s="52">
        <v>-341614.54</v>
      </c>
      <c r="K15" s="52">
        <v>-234844.41690968914</v>
      </c>
      <c r="L15" s="52">
        <v>191674.33379999999</v>
      </c>
      <c r="M15" s="47">
        <f>'Sch. 129'!$G$21</f>
        <v>17513.390855547153</v>
      </c>
      <c r="N15" s="52">
        <v>0</v>
      </c>
      <c r="O15" s="52">
        <v>22467.747600000002</v>
      </c>
      <c r="P15" s="52">
        <v>-7508.6513999999997</v>
      </c>
      <c r="Q15" s="52">
        <v>284013.83994309389</v>
      </c>
      <c r="R15" s="52">
        <v>465.65280000000001</v>
      </c>
      <c r="S15" s="52">
        <v>0</v>
      </c>
      <c r="T15" s="52"/>
      <c r="U15" s="50">
        <f t="shared" si="1"/>
        <v>3824750.7439545668</v>
      </c>
      <c r="V15" s="47">
        <f>'Sch. 129'!I21</f>
        <v>31781.266201190956</v>
      </c>
      <c r="W15" s="176">
        <f t="shared" si="3"/>
        <v>3856532.0101557579</v>
      </c>
      <c r="X15" s="51">
        <f t="shared" si="4"/>
        <v>8.309369244891238E-3</v>
      </c>
    </row>
    <row r="16" spans="1:24" x14ac:dyDescent="0.25">
      <c r="A16" s="158">
        <f t="shared" si="5"/>
        <v>6</v>
      </c>
      <c r="B16" t="s">
        <v>114</v>
      </c>
      <c r="C16" s="158">
        <v>86</v>
      </c>
      <c r="D16" s="154">
        <v>4684519.0000000009</v>
      </c>
      <c r="E16" s="52">
        <v>1197487.6867841617</v>
      </c>
      <c r="F16" s="48">
        <f t="shared" si="0"/>
        <v>0.25562660473448001</v>
      </c>
      <c r="G16" s="154">
        <v>829568</v>
      </c>
      <c r="H16" s="49">
        <f t="shared" si="2"/>
        <v>212059.65123637312</v>
      </c>
      <c r="I16" s="52">
        <v>426327.5</v>
      </c>
      <c r="J16" s="52">
        <v>-48703.94</v>
      </c>
      <c r="K16" s="52">
        <v>-107868.62155809722</v>
      </c>
      <c r="L16" s="52">
        <v>27317.67424</v>
      </c>
      <c r="M16" s="47">
        <f>'Sch. 129'!$G$23</f>
        <v>3475.8899200000001</v>
      </c>
      <c r="N16" s="52">
        <v>0</v>
      </c>
      <c r="O16" s="52">
        <v>4239.0924800000003</v>
      </c>
      <c r="P16" s="52">
        <v>-290.34880000000004</v>
      </c>
      <c r="Q16" s="52">
        <v>34425.335910467969</v>
      </c>
      <c r="R16" s="52">
        <v>49.774079999999998</v>
      </c>
      <c r="S16" s="52">
        <v>0</v>
      </c>
      <c r="T16" s="52">
        <v>-7319.43</v>
      </c>
      <c r="U16" s="50">
        <f t="shared" si="1"/>
        <v>543712.57750874385</v>
      </c>
      <c r="V16" s="47">
        <f>'Sch. 129'!I23</f>
        <v>10170.50368</v>
      </c>
      <c r="W16" s="176">
        <f t="shared" si="3"/>
        <v>553883.08118874382</v>
      </c>
      <c r="X16" s="51">
        <f t="shared" si="4"/>
        <v>1.8705661963165528E-2</v>
      </c>
    </row>
    <row r="17" spans="1:24" x14ac:dyDescent="0.25">
      <c r="A17" s="158">
        <f t="shared" si="5"/>
        <v>7</v>
      </c>
      <c r="B17" t="s">
        <v>115</v>
      </c>
      <c r="C17" s="158">
        <v>87</v>
      </c>
      <c r="D17" s="154">
        <v>20007657</v>
      </c>
      <c r="E17" s="52">
        <v>1963352.1562075664</v>
      </c>
      <c r="F17" s="48">
        <f>(E17)/D17</f>
        <v>9.8130038725052438E-2</v>
      </c>
      <c r="G17" s="154">
        <v>5813755</v>
      </c>
      <c r="H17" s="49">
        <f t="shared" si="2"/>
        <v>570504.00328796718</v>
      </c>
      <c r="I17" s="52">
        <v>2852286.34</v>
      </c>
      <c r="J17" s="52">
        <v>-341151.14</v>
      </c>
      <c r="K17" s="52">
        <v>-36165.640356076306</v>
      </c>
      <c r="L17" s="52">
        <v>191446.95215</v>
      </c>
      <c r="M17" s="47">
        <f>'Sch. 129'!$G$33</f>
        <v>6901.904555633203</v>
      </c>
      <c r="N17" s="52">
        <v>0</v>
      </c>
      <c r="O17" s="52">
        <v>12325.160599999999</v>
      </c>
      <c r="P17" s="52">
        <v>-3133.1335327403272</v>
      </c>
      <c r="Q17" s="52">
        <v>109350.18740857426</v>
      </c>
      <c r="R17" s="52">
        <v>523.23795000000007</v>
      </c>
      <c r="S17" s="52">
        <v>0</v>
      </c>
      <c r="T17" s="52"/>
      <c r="U17" s="50">
        <f t="shared" si="1"/>
        <v>3362887.8720633578</v>
      </c>
      <c r="V17" s="47">
        <f>'Sch. 129'!I33</f>
        <v>12475.625484287943</v>
      </c>
      <c r="W17" s="176">
        <f t="shared" si="3"/>
        <v>3375363.4975476456</v>
      </c>
      <c r="X17" s="51">
        <f>V17/U17</f>
        <v>3.7097952589877185E-3</v>
      </c>
    </row>
    <row r="18" spans="1:24" x14ac:dyDescent="0.25">
      <c r="A18" s="158">
        <f t="shared" si="5"/>
        <v>8</v>
      </c>
      <c r="B18" t="s">
        <v>116</v>
      </c>
      <c r="C18" s="158" t="s">
        <v>117</v>
      </c>
      <c r="D18" s="154">
        <v>0</v>
      </c>
      <c r="E18" s="52">
        <v>0</v>
      </c>
      <c r="F18" s="48">
        <f>F13</f>
        <v>0.76107735219036488</v>
      </c>
      <c r="G18" s="154">
        <v>0</v>
      </c>
      <c r="H18" s="49">
        <f t="shared" si="2"/>
        <v>0</v>
      </c>
      <c r="I18" s="52"/>
      <c r="J18" s="52"/>
      <c r="K18" s="52">
        <v>0</v>
      </c>
      <c r="L18" s="52"/>
      <c r="M18" s="47">
        <f>'Sch. 129'!$G$12</f>
        <v>0</v>
      </c>
      <c r="N18" s="52">
        <v>0</v>
      </c>
      <c r="O18" s="52">
        <v>0</v>
      </c>
      <c r="P18" s="52"/>
      <c r="Q18" s="52"/>
      <c r="R18" s="52">
        <v>0</v>
      </c>
      <c r="S18" s="52">
        <v>0</v>
      </c>
      <c r="T18" s="52">
        <v>0</v>
      </c>
      <c r="U18" s="50">
        <f t="shared" si="1"/>
        <v>0</v>
      </c>
      <c r="V18" s="47">
        <f>'Sch. 129'!I12</f>
        <v>0</v>
      </c>
      <c r="W18" s="176">
        <f t="shared" si="3"/>
        <v>0</v>
      </c>
      <c r="X18" s="51">
        <f>V13/(U13-I13-J13-L13-P13-Q13)</f>
        <v>4.6299385671021182E-2</v>
      </c>
    </row>
    <row r="19" spans="1:24" x14ac:dyDescent="0.25">
      <c r="A19" s="158">
        <f t="shared" si="5"/>
        <v>9</v>
      </c>
      <c r="B19" t="s">
        <v>118</v>
      </c>
      <c r="C19" s="158" t="s">
        <v>119</v>
      </c>
      <c r="D19" s="154">
        <v>21757669</v>
      </c>
      <c r="E19" s="52">
        <v>6238567.0116822571</v>
      </c>
      <c r="F19" s="48">
        <f t="shared" ref="F19:F25" si="6">(E19)/D19</f>
        <v>0.28672956701759994</v>
      </c>
      <c r="G19" s="154">
        <v>8511255</v>
      </c>
      <c r="H19" s="49">
        <f>F19*G19</f>
        <v>2440428.4609263828</v>
      </c>
      <c r="I19" s="52"/>
      <c r="J19" s="52"/>
      <c r="K19" s="52">
        <v>-347990.61947916693</v>
      </c>
      <c r="L19" s="52"/>
      <c r="M19" s="47">
        <f>'Sch. 129'!$G$15</f>
        <v>46556.564850000002</v>
      </c>
      <c r="N19" s="52">
        <v>0</v>
      </c>
      <c r="O19" s="52">
        <v>62557.724250000007</v>
      </c>
      <c r="P19" s="52"/>
      <c r="Q19" s="52"/>
      <c r="R19" s="52">
        <v>595.78784999999993</v>
      </c>
      <c r="S19" s="52">
        <v>0</v>
      </c>
      <c r="T19" s="52">
        <v>-85611.48</v>
      </c>
      <c r="U19" s="50">
        <f t="shared" si="1"/>
        <v>2116536.4383972161</v>
      </c>
      <c r="V19" s="47">
        <f>'Sch. 129'!I15</f>
        <v>112944.35385000001</v>
      </c>
      <c r="W19" s="176">
        <f t="shared" si="3"/>
        <v>2229480.7922472162</v>
      </c>
      <c r="X19" s="51">
        <f t="shared" si="4"/>
        <v>5.3362820408388092E-2</v>
      </c>
    </row>
    <row r="20" spans="1:24" x14ac:dyDescent="0.25">
      <c r="A20" s="158">
        <f t="shared" si="5"/>
        <v>10</v>
      </c>
      <c r="B20" t="s">
        <v>120</v>
      </c>
      <c r="C20" s="158" t="s">
        <v>3</v>
      </c>
      <c r="D20" s="154">
        <v>62744436</v>
      </c>
      <c r="E20" s="52">
        <v>9522385.7939065918</v>
      </c>
      <c r="F20" s="48">
        <f t="shared" si="6"/>
        <v>0.15176462489688475</v>
      </c>
      <c r="G20" s="154">
        <v>22661823</v>
      </c>
      <c r="H20" s="49">
        <f t="shared" si="2"/>
        <v>3439263.0670745955</v>
      </c>
      <c r="I20" s="52"/>
      <c r="J20" s="52"/>
      <c r="K20" s="52">
        <v>-669368.09852083377</v>
      </c>
      <c r="L20" s="52"/>
      <c r="M20" s="47">
        <f>'Sch. 129'!$G$39</f>
        <v>58791.8592555426</v>
      </c>
      <c r="N20" s="52">
        <v>0</v>
      </c>
      <c r="O20" s="52">
        <v>87474.636780000015</v>
      </c>
      <c r="P20" s="52"/>
      <c r="Q20" s="52"/>
      <c r="R20" s="52">
        <v>1812.9458400000001</v>
      </c>
      <c r="S20" s="52">
        <v>0</v>
      </c>
      <c r="T20" s="52"/>
      <c r="U20" s="50">
        <f t="shared" si="1"/>
        <v>2917974.4104293045</v>
      </c>
      <c r="V20" s="47">
        <f>'Sch. 129'!I39</f>
        <v>107121.68821600995</v>
      </c>
      <c r="W20" s="176">
        <f t="shared" si="3"/>
        <v>3025096.0986453146</v>
      </c>
      <c r="X20" s="51">
        <f t="shared" si="4"/>
        <v>3.6710975885580081E-2</v>
      </c>
    </row>
    <row r="21" spans="1:24" x14ac:dyDescent="0.25">
      <c r="A21" s="158">
        <f t="shared" si="5"/>
        <v>11</v>
      </c>
      <c r="B21" t="s">
        <v>121</v>
      </c>
      <c r="C21" s="158" t="s">
        <v>122</v>
      </c>
      <c r="D21" s="154">
        <v>1176527</v>
      </c>
      <c r="E21" s="52">
        <v>251480.2343800581</v>
      </c>
      <c r="F21" s="48">
        <f t="shared" si="6"/>
        <v>0.21374795000884647</v>
      </c>
      <c r="G21" s="154">
        <v>559302</v>
      </c>
      <c r="H21" s="49">
        <f t="shared" si="2"/>
        <v>119549.65593584786</v>
      </c>
      <c r="I21" s="52"/>
      <c r="J21" s="52"/>
      <c r="K21" s="52">
        <v>-45403.861770833355</v>
      </c>
      <c r="L21" s="52"/>
      <c r="M21" s="47">
        <f>'Sch. 129'!$G$24</f>
        <v>2343.4753799999999</v>
      </c>
      <c r="N21" s="52">
        <v>0</v>
      </c>
      <c r="O21" s="52">
        <v>2858.0332199999998</v>
      </c>
      <c r="P21" s="52"/>
      <c r="Q21" s="52"/>
      <c r="R21" s="52">
        <v>33.558120000000002</v>
      </c>
      <c r="S21" s="52">
        <v>0</v>
      </c>
      <c r="T21" s="52">
        <v>-4107.0600000000004</v>
      </c>
      <c r="U21" s="50">
        <f t="shared" si="1"/>
        <v>75273.800885014498</v>
      </c>
      <c r="V21" s="47">
        <f>'Sch. 129'!I24</f>
        <v>6857.0425199999991</v>
      </c>
      <c r="W21" s="176">
        <f t="shared" si="3"/>
        <v>82130.843405014501</v>
      </c>
      <c r="X21" s="51">
        <f t="shared" si="4"/>
        <v>9.1094676227052307E-2</v>
      </c>
    </row>
    <row r="22" spans="1:24" x14ac:dyDescent="0.25">
      <c r="A22" s="158">
        <f t="shared" si="5"/>
        <v>12</v>
      </c>
      <c r="B22" t="s">
        <v>123</v>
      </c>
      <c r="C22" s="158" t="s">
        <v>2</v>
      </c>
      <c r="D22" s="154">
        <v>66693986.720000006</v>
      </c>
      <c r="E22" s="52">
        <v>5573975.0268660607</v>
      </c>
      <c r="F22" s="48">
        <f>(E22)/D22</f>
        <v>8.3575376146985569E-2</v>
      </c>
      <c r="G22" s="154">
        <v>31114956</v>
      </c>
      <c r="H22" s="49">
        <f t="shared" si="2"/>
        <v>2600444.1514969054</v>
      </c>
      <c r="I22" s="52"/>
      <c r="J22" s="52"/>
      <c r="K22" s="52">
        <v>-11634.70691687476</v>
      </c>
      <c r="L22" s="52"/>
      <c r="M22" s="47">
        <f>'Sch. 129'!$G$48</f>
        <v>32105.540166229403</v>
      </c>
      <c r="N22" s="52">
        <v>0</v>
      </c>
      <c r="O22" s="52">
        <v>65963.706720000002</v>
      </c>
      <c r="P22" s="52"/>
      <c r="Q22" s="52"/>
      <c r="R22" s="52">
        <v>2800.3460400000004</v>
      </c>
      <c r="S22" s="52">
        <v>0</v>
      </c>
      <c r="T22" s="52"/>
      <c r="U22" s="50">
        <f t="shared" si="1"/>
        <v>2689679.0375062604</v>
      </c>
      <c r="V22" s="47">
        <f>'Sch. 129'!I48</f>
        <v>58035.310565696913</v>
      </c>
      <c r="W22" s="176">
        <f t="shared" si="3"/>
        <v>2747714.3480719575</v>
      </c>
      <c r="X22" s="51">
        <f t="shared" si="4"/>
        <v>2.1577039400026119E-2</v>
      </c>
    </row>
    <row r="23" spans="1:24" x14ac:dyDescent="0.25">
      <c r="A23" s="158">
        <f t="shared" si="5"/>
        <v>13</v>
      </c>
      <c r="B23" t="s">
        <v>212</v>
      </c>
      <c r="C23" s="158" t="s">
        <v>200</v>
      </c>
      <c r="D23" s="154">
        <v>39295144</v>
      </c>
      <c r="E23" s="52">
        <v>1209312</v>
      </c>
      <c r="F23" s="48">
        <f>(E23)/D23</f>
        <v>3.0775100353366818E-2</v>
      </c>
      <c r="G23" s="154">
        <v>13998250</v>
      </c>
      <c r="H23" s="49">
        <f t="shared" si="2"/>
        <v>430797.54852151708</v>
      </c>
      <c r="I23" s="52"/>
      <c r="J23" s="52"/>
      <c r="K23" s="52">
        <v>19944.919302499984</v>
      </c>
      <c r="L23" s="52"/>
      <c r="M23" s="47">
        <f>'Sch. 129'!G57</f>
        <v>7665.0698081431065</v>
      </c>
      <c r="N23" s="52">
        <v>0</v>
      </c>
      <c r="O23" s="52">
        <v>29676.289999999997</v>
      </c>
      <c r="P23" s="52">
        <v>1559074.1775</v>
      </c>
      <c r="Q23" s="52"/>
      <c r="R23" s="52">
        <v>1259.8425</v>
      </c>
      <c r="S23" s="52">
        <v>0</v>
      </c>
      <c r="T23" s="52"/>
      <c r="U23" s="50">
        <f t="shared" si="1"/>
        <v>2048417.8476321602</v>
      </c>
      <c r="V23" s="47">
        <f>'Sch. 129'!I57</f>
        <v>13839.350138133095</v>
      </c>
      <c r="W23" s="176">
        <f t="shared" si="3"/>
        <v>2062257.1977702933</v>
      </c>
      <c r="X23" s="51">
        <f t="shared" si="4"/>
        <v>6.7561167532935226E-3</v>
      </c>
    </row>
    <row r="24" spans="1:24" x14ac:dyDescent="0.25">
      <c r="A24" s="158">
        <f t="shared" si="5"/>
        <v>14</v>
      </c>
      <c r="B24" t="s">
        <v>124</v>
      </c>
      <c r="D24" s="154">
        <v>32030387</v>
      </c>
      <c r="E24" s="52">
        <v>1689958.6180424246</v>
      </c>
      <c r="F24" s="53">
        <f t="shared" si="6"/>
        <v>5.2761105198086571E-2</v>
      </c>
      <c r="G24" s="154">
        <v>10068855</v>
      </c>
      <c r="H24" s="49">
        <f t="shared" si="2"/>
        <v>531243.91787927994</v>
      </c>
      <c r="I24" s="52"/>
      <c r="J24" s="52"/>
      <c r="K24" s="52">
        <v>-197417.5105404169</v>
      </c>
      <c r="L24" s="52"/>
      <c r="M24" s="47"/>
      <c r="N24" s="52"/>
      <c r="O24" s="52">
        <v>7350.2641500000009</v>
      </c>
      <c r="P24" s="52"/>
      <c r="Q24" s="52"/>
      <c r="R24" s="52">
        <v>1006.8855000000001</v>
      </c>
      <c r="S24" s="52">
        <v>0</v>
      </c>
      <c r="T24" s="52"/>
      <c r="U24" s="50">
        <f t="shared" si="1"/>
        <v>342183.55698886298</v>
      </c>
      <c r="V24" s="47"/>
      <c r="W24" s="176">
        <f t="shared" si="3"/>
        <v>342183.55698886298</v>
      </c>
      <c r="X24" s="51">
        <f t="shared" si="4"/>
        <v>0</v>
      </c>
    </row>
    <row r="25" spans="1:24" x14ac:dyDescent="0.25">
      <c r="A25" s="158">
        <f t="shared" si="5"/>
        <v>15</v>
      </c>
      <c r="B25" t="s">
        <v>0</v>
      </c>
      <c r="D25" s="54">
        <f>SUM(D11:D24)</f>
        <v>1093881399.72</v>
      </c>
      <c r="E25" s="55">
        <f>SUM(E11:E24)</f>
        <v>701428420.63677275</v>
      </c>
      <c r="F25" s="48">
        <f t="shared" si="6"/>
        <v>0.64122894933245678</v>
      </c>
      <c r="G25" s="54">
        <f>SUM(G11:G24)</f>
        <v>264119600</v>
      </c>
      <c r="H25" s="55">
        <f>SUM(H11:H24)</f>
        <v>141728676.39083612</v>
      </c>
      <c r="I25" s="55">
        <f t="shared" ref="I25:L25" si="7">SUM(I11:I24)</f>
        <v>97453469.450000003</v>
      </c>
      <c r="J25" s="55">
        <f t="shared" si="7"/>
        <v>-10421843.229999999</v>
      </c>
      <c r="K25" s="55">
        <f t="shared" si="7"/>
        <v>-835045.49406603479</v>
      </c>
      <c r="L25" s="55">
        <f t="shared" si="7"/>
        <v>6433376.3547499999</v>
      </c>
      <c r="M25" s="55">
        <f>SUM(M11:M24)</f>
        <v>2100316.095061095</v>
      </c>
      <c r="N25" s="55">
        <f>SUM(N11:N24)</f>
        <v>0</v>
      </c>
      <c r="O25" s="55">
        <f>SUM(O11:O24)</f>
        <v>2957426.48648</v>
      </c>
      <c r="P25" s="55">
        <f>SUM(P11:P24)</f>
        <v>1206021.4331672597</v>
      </c>
      <c r="Q25" s="55">
        <f>SUM(Q11:Q24)</f>
        <v>7445604.3891390683</v>
      </c>
      <c r="R25" s="55">
        <f t="shared" ref="R25:U25" si="8">SUM(R11:R24)</f>
        <v>21484.421180000001</v>
      </c>
      <c r="S25" s="55">
        <f t="shared" si="8"/>
        <v>0</v>
      </c>
      <c r="T25" s="55">
        <f t="shared" si="8"/>
        <v>4026206.94</v>
      </c>
      <c r="U25" s="56">
        <f t="shared" si="8"/>
        <v>252115693.2365475</v>
      </c>
      <c r="V25" s="55">
        <f>SUM(V11:V24)</f>
        <v>7806869.4893253194</v>
      </c>
      <c r="W25" s="55">
        <f>SUM(W11:W24)</f>
        <v>259922562.72587281</v>
      </c>
      <c r="X25" s="57">
        <f t="shared" si="4"/>
        <v>3.0965424599731384E-2</v>
      </c>
    </row>
    <row r="26" spans="1:24" x14ac:dyDescent="0.25">
      <c r="A26" s="158"/>
      <c r="D26" s="58"/>
      <c r="E26" s="49"/>
      <c r="G26" s="58"/>
      <c r="M26" s="49"/>
      <c r="N26" s="49"/>
      <c r="T26" s="49"/>
      <c r="U26" s="49"/>
      <c r="X26" s="59"/>
    </row>
    <row r="27" spans="1:24" s="64" customFormat="1" x14ac:dyDescent="0.25">
      <c r="A27" s="158"/>
      <c r="B27" s="60" t="s">
        <v>125</v>
      </c>
      <c r="C27" s="61"/>
      <c r="D27" s="62"/>
      <c r="E27" s="63"/>
      <c r="V27" s="65"/>
      <c r="W27" s="65"/>
      <c r="X27" s="66"/>
    </row>
    <row r="28" spans="1:24" s="64" customFormat="1" x14ac:dyDescent="0.25">
      <c r="A28" s="158">
        <f>A25+1</f>
        <v>16</v>
      </c>
      <c r="B28" s="67" t="s">
        <v>5</v>
      </c>
      <c r="C28" s="133" t="s">
        <v>145</v>
      </c>
      <c r="D28" s="69">
        <f>D11+D12</f>
        <v>539966588</v>
      </c>
      <c r="E28" s="68">
        <f>E11+E12</f>
        <v>473126130.75176215</v>
      </c>
      <c r="F28" s="48">
        <f t="shared" ref="F28:F36" si="9">(E28)/D28</f>
        <v>0.87621371630453948</v>
      </c>
      <c r="G28" s="69">
        <f>G11+G12</f>
        <v>96194810</v>
      </c>
      <c r="H28" s="68">
        <f>H11+H12</f>
        <v>84287133.8548242</v>
      </c>
      <c r="I28" s="68">
        <f t="shared" ref="I28:T28" si="10">I11+I12</f>
        <v>53226512.270000003</v>
      </c>
      <c r="J28" s="68">
        <f t="shared" si="10"/>
        <v>-5659140.6699999999</v>
      </c>
      <c r="K28" s="68">
        <f t="shared" si="10"/>
        <v>1818089.2060673558</v>
      </c>
      <c r="L28" s="68">
        <f t="shared" si="10"/>
        <v>3516882.2535999999</v>
      </c>
      <c r="M28" s="68">
        <f t="shared" si="10"/>
        <v>1259156.4870499999</v>
      </c>
      <c r="N28" s="68">
        <f t="shared" si="10"/>
        <v>0</v>
      </c>
      <c r="O28" s="68">
        <f t="shared" si="10"/>
        <v>1611263.0674999999</v>
      </c>
      <c r="P28" s="68">
        <f t="shared" si="10"/>
        <v>-211628.58199999999</v>
      </c>
      <c r="Q28" s="68">
        <f t="shared" si="10"/>
        <v>4496145.4194</v>
      </c>
      <c r="R28" s="68">
        <f t="shared" si="10"/>
        <v>8657.5329000000002</v>
      </c>
      <c r="S28" s="68">
        <f t="shared" si="10"/>
        <v>0</v>
      </c>
      <c r="T28" s="68">
        <f t="shared" si="10"/>
        <v>4128571.16</v>
      </c>
      <c r="U28" s="68">
        <f>U11+U12</f>
        <v>148481641.99934155</v>
      </c>
      <c r="V28" s="49">
        <f>SUM(V11:V12)</f>
        <v>5333859.9852500008</v>
      </c>
      <c r="W28" s="49">
        <f>SUM(W11:W12)</f>
        <v>153815501.98459154</v>
      </c>
      <c r="X28" s="51">
        <f>V28/U28</f>
        <v>3.5922689926029067E-2</v>
      </c>
    </row>
    <row r="29" spans="1:24" s="64" customFormat="1" x14ac:dyDescent="0.25">
      <c r="A29" s="158">
        <f t="shared" si="5"/>
        <v>17</v>
      </c>
      <c r="B29" s="70" t="s">
        <v>23</v>
      </c>
      <c r="C29" s="133" t="s">
        <v>146</v>
      </c>
      <c r="D29" s="69">
        <f t="shared" ref="D29:E33" si="11">D13+D18</f>
        <v>228527070</v>
      </c>
      <c r="E29" s="68">
        <f t="shared" si="11"/>
        <v>173926777.33942217</v>
      </c>
      <c r="F29" s="48">
        <f t="shared" si="9"/>
        <v>0.76107735219036488</v>
      </c>
      <c r="G29" s="69">
        <f t="shared" ref="G29:U33" si="12">G13+G18</f>
        <v>51938802</v>
      </c>
      <c r="H29" s="68">
        <f t="shared" si="12"/>
        <v>39529445.902099624</v>
      </c>
      <c r="I29" s="68">
        <f t="shared" si="12"/>
        <v>28405330.809999999</v>
      </c>
      <c r="J29" s="68">
        <f t="shared" si="12"/>
        <v>-3055040.33</v>
      </c>
      <c r="K29" s="68">
        <f t="shared" si="12"/>
        <v>-243492.21555191092</v>
      </c>
      <c r="L29" s="68">
        <f t="shared" si="12"/>
        <v>1898882.60112</v>
      </c>
      <c r="M29" s="68">
        <f t="shared" si="12"/>
        <v>574962.53813999996</v>
      </c>
      <c r="N29" s="68">
        <f t="shared" si="12"/>
        <v>0</v>
      </c>
      <c r="O29" s="68">
        <f t="shared" si="12"/>
        <v>929185.16778000002</v>
      </c>
      <c r="P29" s="68">
        <f t="shared" si="12"/>
        <v>-104916.38004</v>
      </c>
      <c r="Q29" s="68">
        <f t="shared" si="12"/>
        <v>2060931.6633599999</v>
      </c>
      <c r="R29" s="68">
        <f t="shared" si="12"/>
        <v>3116.3281200000001</v>
      </c>
      <c r="S29" s="68">
        <f t="shared" si="12"/>
        <v>0</v>
      </c>
      <c r="T29" s="68">
        <f t="shared" si="12"/>
        <v>231127.66999999998</v>
      </c>
      <c r="U29" s="68">
        <f t="shared" si="12"/>
        <v>70229533.755027711</v>
      </c>
      <c r="V29" s="49">
        <f t="shared" ref="V29:W33" si="13">SUM(V13,V18)</f>
        <v>1899401.9891400002</v>
      </c>
      <c r="W29" s="49">
        <f t="shared" si="13"/>
        <v>72128935.744167715</v>
      </c>
      <c r="X29" s="51">
        <f t="shared" ref="X29:X36" si="14">V29/U29</f>
        <v>2.7045630058793072E-2</v>
      </c>
    </row>
    <row r="30" spans="1:24" s="64" customFormat="1" x14ac:dyDescent="0.25">
      <c r="A30" s="158">
        <f t="shared" si="5"/>
        <v>18</v>
      </c>
      <c r="B30" s="67" t="s">
        <v>22</v>
      </c>
      <c r="C30" s="133" t="s">
        <v>147</v>
      </c>
      <c r="D30" s="69">
        <f t="shared" si="11"/>
        <v>82086857.999999985</v>
      </c>
      <c r="E30" s="68">
        <f t="shared" si="11"/>
        <v>30129739.878979545</v>
      </c>
      <c r="F30" s="48">
        <f t="shared" si="9"/>
        <v>0.36704705982265212</v>
      </c>
      <c r="G30" s="69">
        <f t="shared" si="12"/>
        <v>25118819</v>
      </c>
      <c r="H30" s="68">
        <f t="shared" si="12"/>
        <v>9017247.8912141547</v>
      </c>
      <c r="I30" s="68">
        <f t="shared" si="12"/>
        <v>9641415.8900000006</v>
      </c>
      <c r="J30" s="68">
        <f t="shared" si="12"/>
        <v>-976192.61</v>
      </c>
      <c r="K30" s="68">
        <f t="shared" si="12"/>
        <v>-1126884.5473111584</v>
      </c>
      <c r="L30" s="68">
        <f t="shared" si="12"/>
        <v>607172.53983999998</v>
      </c>
      <c r="M30" s="68">
        <f t="shared" si="12"/>
        <v>137399.93992999999</v>
      </c>
      <c r="N30" s="68">
        <f t="shared" si="12"/>
        <v>0</v>
      </c>
      <c r="O30" s="68">
        <f t="shared" si="12"/>
        <v>184623.31965000002</v>
      </c>
      <c r="P30" s="68">
        <f t="shared" si="12"/>
        <v>-25575.648560000001</v>
      </c>
      <c r="Q30" s="68">
        <f t="shared" si="12"/>
        <v>460737.94311693258</v>
      </c>
      <c r="R30" s="68">
        <f t="shared" si="12"/>
        <v>1758.3173299999999</v>
      </c>
      <c r="S30" s="68">
        <f t="shared" si="12"/>
        <v>0</v>
      </c>
      <c r="T30" s="68">
        <f t="shared" si="12"/>
        <v>-322065.40000000002</v>
      </c>
      <c r="U30" s="68">
        <f t="shared" si="12"/>
        <v>17599637.635209929</v>
      </c>
      <c r="V30" s="49">
        <f t="shared" si="13"/>
        <v>333326.72813000006</v>
      </c>
      <c r="W30" s="49">
        <f t="shared" si="13"/>
        <v>17932964.363339931</v>
      </c>
      <c r="X30" s="51">
        <f t="shared" si="14"/>
        <v>1.893940858550092E-2</v>
      </c>
    </row>
    <row r="31" spans="1:24" s="64" customFormat="1" x14ac:dyDescent="0.25">
      <c r="A31" s="158">
        <f t="shared" si="5"/>
        <v>19</v>
      </c>
      <c r="B31" s="67" t="s">
        <v>4</v>
      </c>
      <c r="C31" s="133" t="s">
        <v>148</v>
      </c>
      <c r="D31" s="69">
        <f t="shared" si="11"/>
        <v>79412663</v>
      </c>
      <c r="E31" s="68">
        <f t="shared" si="11"/>
        <v>12360206.94432852</v>
      </c>
      <c r="F31" s="48">
        <f t="shared" si="9"/>
        <v>0.15564528977360348</v>
      </c>
      <c r="G31" s="69">
        <f t="shared" si="12"/>
        <v>28482483</v>
      </c>
      <c r="H31" s="68">
        <f t="shared" si="12"/>
        <v>4430249.8143402105</v>
      </c>
      <c r="I31" s="68">
        <f t="shared" si="12"/>
        <v>2901596.64</v>
      </c>
      <c r="J31" s="68">
        <f t="shared" si="12"/>
        <v>-341614.54</v>
      </c>
      <c r="K31" s="68">
        <f t="shared" si="12"/>
        <v>-904212.51543052285</v>
      </c>
      <c r="L31" s="68">
        <f t="shared" si="12"/>
        <v>191674.33379999999</v>
      </c>
      <c r="M31" s="68">
        <f t="shared" si="12"/>
        <v>76305.250111089757</v>
      </c>
      <c r="N31" s="68">
        <f t="shared" si="12"/>
        <v>0</v>
      </c>
      <c r="O31" s="68">
        <f t="shared" si="12"/>
        <v>109942.38438000002</v>
      </c>
      <c r="P31" s="68">
        <f t="shared" si="12"/>
        <v>-7508.6513999999997</v>
      </c>
      <c r="Q31" s="68">
        <f t="shared" si="12"/>
        <v>284013.83994309389</v>
      </c>
      <c r="R31" s="68">
        <f t="shared" si="12"/>
        <v>2278.5986400000002</v>
      </c>
      <c r="S31" s="68">
        <f t="shared" si="12"/>
        <v>0</v>
      </c>
      <c r="T31" s="68">
        <f t="shared" si="12"/>
        <v>0</v>
      </c>
      <c r="U31" s="68">
        <f t="shared" si="12"/>
        <v>6742725.1543838717</v>
      </c>
      <c r="V31" s="49">
        <f t="shared" si="13"/>
        <v>138902.9544172009</v>
      </c>
      <c r="W31" s="49">
        <f t="shared" si="13"/>
        <v>6881628.1088010725</v>
      </c>
      <c r="X31" s="51">
        <f t="shared" si="14"/>
        <v>2.0600417670426818E-2</v>
      </c>
    </row>
    <row r="32" spans="1:24" s="64" customFormat="1" x14ac:dyDescent="0.25">
      <c r="A32" s="158">
        <f t="shared" si="5"/>
        <v>20</v>
      </c>
      <c r="B32" s="67" t="s">
        <v>40</v>
      </c>
      <c r="C32" s="133" t="s">
        <v>149</v>
      </c>
      <c r="D32" s="69">
        <f t="shared" si="11"/>
        <v>5861046.0000000009</v>
      </c>
      <c r="E32" s="68">
        <f t="shared" si="11"/>
        <v>1448967.9211642197</v>
      </c>
      <c r="F32" s="48">
        <f t="shared" si="9"/>
        <v>0.24722002201726781</v>
      </c>
      <c r="G32" s="69">
        <f t="shared" si="12"/>
        <v>1388870</v>
      </c>
      <c r="H32" s="68">
        <f t="shared" si="12"/>
        <v>331609.30717222096</v>
      </c>
      <c r="I32" s="68">
        <f t="shared" si="12"/>
        <v>426327.5</v>
      </c>
      <c r="J32" s="68">
        <f t="shared" si="12"/>
        <v>-48703.94</v>
      </c>
      <c r="K32" s="68">
        <f t="shared" si="12"/>
        <v>-153272.48332893057</v>
      </c>
      <c r="L32" s="68">
        <f t="shared" si="12"/>
        <v>27317.67424</v>
      </c>
      <c r="M32" s="68">
        <f t="shared" si="12"/>
        <v>5819.3652999999995</v>
      </c>
      <c r="N32" s="68">
        <f t="shared" si="12"/>
        <v>0</v>
      </c>
      <c r="O32" s="68">
        <f t="shared" si="12"/>
        <v>7097.1257000000005</v>
      </c>
      <c r="P32" s="68">
        <f t="shared" si="12"/>
        <v>-290.34880000000004</v>
      </c>
      <c r="Q32" s="68">
        <f t="shared" si="12"/>
        <v>34425.335910467969</v>
      </c>
      <c r="R32" s="68">
        <f t="shared" si="12"/>
        <v>83.3322</v>
      </c>
      <c r="S32" s="68">
        <f t="shared" si="12"/>
        <v>0</v>
      </c>
      <c r="T32" s="68">
        <f t="shared" si="12"/>
        <v>-11426.490000000002</v>
      </c>
      <c r="U32" s="68">
        <f t="shared" si="12"/>
        <v>618986.37839375832</v>
      </c>
      <c r="V32" s="49">
        <f t="shared" si="13"/>
        <v>17027.546199999997</v>
      </c>
      <c r="W32" s="49">
        <f t="shared" si="13"/>
        <v>636013.9245937583</v>
      </c>
      <c r="X32" s="51">
        <f t="shared" si="14"/>
        <v>2.7508757533866432E-2</v>
      </c>
    </row>
    <row r="33" spans="1:24" s="64" customFormat="1" x14ac:dyDescent="0.25">
      <c r="A33" s="158">
        <f t="shared" si="5"/>
        <v>21</v>
      </c>
      <c r="B33" s="71" t="s">
        <v>150</v>
      </c>
      <c r="C33" s="133" t="s">
        <v>151</v>
      </c>
      <c r="D33" s="69">
        <f t="shared" si="11"/>
        <v>86701643.719999999</v>
      </c>
      <c r="E33" s="68">
        <f t="shared" si="11"/>
        <v>7537327.1830736268</v>
      </c>
      <c r="F33" s="48">
        <f t="shared" si="9"/>
        <v>8.6934074830405383E-2</v>
      </c>
      <c r="G33" s="69">
        <f t="shared" si="12"/>
        <v>36928711</v>
      </c>
      <c r="H33" s="68">
        <f t="shared" si="12"/>
        <v>3170948.1547848727</v>
      </c>
      <c r="I33" s="68">
        <f t="shared" si="12"/>
        <v>2852286.34</v>
      </c>
      <c r="J33" s="68">
        <f t="shared" si="12"/>
        <v>-341151.14</v>
      </c>
      <c r="K33" s="68">
        <f t="shared" si="12"/>
        <v>-47800.347272951069</v>
      </c>
      <c r="L33" s="68">
        <f t="shared" si="12"/>
        <v>191446.95215</v>
      </c>
      <c r="M33" s="68">
        <f t="shared" si="12"/>
        <v>39007.444721862608</v>
      </c>
      <c r="N33" s="68">
        <f t="shared" si="12"/>
        <v>0</v>
      </c>
      <c r="O33" s="68">
        <f t="shared" si="12"/>
        <v>78288.867320000005</v>
      </c>
      <c r="P33" s="68">
        <f t="shared" si="12"/>
        <v>-3133.1335327403272</v>
      </c>
      <c r="Q33" s="68">
        <f t="shared" si="12"/>
        <v>109350.18740857426</v>
      </c>
      <c r="R33" s="68">
        <f t="shared" si="12"/>
        <v>3323.5839900000005</v>
      </c>
      <c r="S33" s="68">
        <f t="shared" si="12"/>
        <v>0</v>
      </c>
      <c r="T33" s="68">
        <f t="shared" si="12"/>
        <v>0</v>
      </c>
      <c r="U33" s="68">
        <f t="shared" si="12"/>
        <v>6052566.9095696183</v>
      </c>
      <c r="V33" s="49">
        <f t="shared" si="13"/>
        <v>70510.936049984855</v>
      </c>
      <c r="W33" s="49">
        <f t="shared" si="13"/>
        <v>6123077.8456196031</v>
      </c>
      <c r="X33" s="51">
        <f t="shared" si="14"/>
        <v>1.1649757384507575E-2</v>
      </c>
    </row>
    <row r="34" spans="1:24" s="64" customFormat="1" x14ac:dyDescent="0.25">
      <c r="A34" s="158">
        <f t="shared" si="5"/>
        <v>22</v>
      </c>
      <c r="B34" s="71" t="s">
        <v>213</v>
      </c>
      <c r="C34" s="133" t="s">
        <v>200</v>
      </c>
      <c r="D34" s="69">
        <f>D23</f>
        <v>39295144</v>
      </c>
      <c r="E34" s="68">
        <f>E23</f>
        <v>1209312</v>
      </c>
      <c r="F34" s="48">
        <f t="shared" si="9"/>
        <v>3.0775100353366818E-2</v>
      </c>
      <c r="G34" s="69">
        <f>G23</f>
        <v>13998250</v>
      </c>
      <c r="H34" s="68">
        <f>H23</f>
        <v>430797.54852151708</v>
      </c>
      <c r="I34" s="68">
        <f t="shared" ref="I34:W35" si="15">I23</f>
        <v>0</v>
      </c>
      <c r="J34" s="68">
        <f t="shared" si="15"/>
        <v>0</v>
      </c>
      <c r="K34" s="68">
        <f t="shared" si="15"/>
        <v>19944.919302499984</v>
      </c>
      <c r="L34" s="68">
        <f t="shared" si="15"/>
        <v>0</v>
      </c>
      <c r="M34" s="68">
        <f t="shared" si="15"/>
        <v>7665.0698081431065</v>
      </c>
      <c r="N34" s="68">
        <f t="shared" si="15"/>
        <v>0</v>
      </c>
      <c r="O34" s="68">
        <f t="shared" si="15"/>
        <v>29676.289999999997</v>
      </c>
      <c r="P34" s="68">
        <f t="shared" si="15"/>
        <v>1559074.1775</v>
      </c>
      <c r="Q34" s="68">
        <f t="shared" si="15"/>
        <v>0</v>
      </c>
      <c r="R34" s="68">
        <f t="shared" si="15"/>
        <v>1259.8425</v>
      </c>
      <c r="S34" s="68">
        <f t="shared" si="15"/>
        <v>0</v>
      </c>
      <c r="T34" s="68">
        <f t="shared" si="15"/>
        <v>0</v>
      </c>
      <c r="U34" s="68">
        <f t="shared" si="15"/>
        <v>2048417.8476321602</v>
      </c>
      <c r="V34" s="49">
        <f t="shared" si="15"/>
        <v>13839.350138133095</v>
      </c>
      <c r="W34" s="49">
        <f t="shared" si="15"/>
        <v>2062257.1977702933</v>
      </c>
      <c r="X34" s="51">
        <f t="shared" si="14"/>
        <v>6.7561167532935226E-3</v>
      </c>
    </row>
    <row r="35" spans="1:24" s="64" customFormat="1" x14ac:dyDescent="0.25">
      <c r="A35" s="158">
        <f t="shared" si="5"/>
        <v>23</v>
      </c>
      <c r="B35" s="71" t="s">
        <v>124</v>
      </c>
      <c r="C35" s="67"/>
      <c r="D35" s="69">
        <f>D24</f>
        <v>32030387</v>
      </c>
      <c r="E35" s="68">
        <f>E24</f>
        <v>1689958.6180424246</v>
      </c>
      <c r="F35" s="48">
        <f t="shared" si="9"/>
        <v>5.2761105198086571E-2</v>
      </c>
      <c r="G35" s="69">
        <f>G24</f>
        <v>10068855</v>
      </c>
      <c r="H35" s="68">
        <f>H24</f>
        <v>531243.91787927994</v>
      </c>
      <c r="I35" s="68">
        <f t="shared" si="15"/>
        <v>0</v>
      </c>
      <c r="J35" s="68">
        <f t="shared" si="15"/>
        <v>0</v>
      </c>
      <c r="K35" s="68">
        <f t="shared" si="15"/>
        <v>-197417.5105404169</v>
      </c>
      <c r="L35" s="68">
        <f t="shared" si="15"/>
        <v>0</v>
      </c>
      <c r="M35" s="68">
        <f t="shared" si="15"/>
        <v>0</v>
      </c>
      <c r="N35" s="68">
        <f t="shared" si="15"/>
        <v>0</v>
      </c>
      <c r="O35" s="68">
        <f t="shared" si="15"/>
        <v>7350.2641500000009</v>
      </c>
      <c r="P35" s="68">
        <f t="shared" si="15"/>
        <v>0</v>
      </c>
      <c r="Q35" s="68">
        <f t="shared" si="15"/>
        <v>0</v>
      </c>
      <c r="R35" s="68">
        <f t="shared" si="15"/>
        <v>1006.8855000000001</v>
      </c>
      <c r="S35" s="68">
        <f t="shared" si="15"/>
        <v>0</v>
      </c>
      <c r="T35" s="68">
        <f t="shared" si="15"/>
        <v>0</v>
      </c>
      <c r="U35" s="68">
        <f>U24</f>
        <v>342183.55698886298</v>
      </c>
      <c r="V35" s="49">
        <f>V24</f>
        <v>0</v>
      </c>
      <c r="W35" s="49">
        <f>W24</f>
        <v>342183.55698886298</v>
      </c>
      <c r="X35" s="51">
        <f t="shared" si="14"/>
        <v>0</v>
      </c>
    </row>
    <row r="36" spans="1:24" s="64" customFormat="1" x14ac:dyDescent="0.25">
      <c r="A36" s="158">
        <f t="shared" si="5"/>
        <v>24</v>
      </c>
      <c r="B36" s="71" t="s">
        <v>0</v>
      </c>
      <c r="C36" s="71"/>
      <c r="D36" s="74">
        <f>SUM(D28:D35)</f>
        <v>1093881399.72</v>
      </c>
      <c r="E36" s="72">
        <f>SUM(E28:E35)</f>
        <v>701428420.63677287</v>
      </c>
      <c r="F36" s="73">
        <f t="shared" si="9"/>
        <v>0.64122894933245689</v>
      </c>
      <c r="G36" s="74">
        <f>SUM(G28:G35)</f>
        <v>264119600</v>
      </c>
      <c r="H36" s="72">
        <f>SUM(H28:H35)</f>
        <v>141728676.39083606</v>
      </c>
      <c r="I36" s="72">
        <f t="shared" ref="I36:T36" si="16">SUM(I28:I35)</f>
        <v>97453469.450000003</v>
      </c>
      <c r="J36" s="72">
        <f t="shared" si="16"/>
        <v>-10421843.229999999</v>
      </c>
      <c r="K36" s="72">
        <f t="shared" si="16"/>
        <v>-835045.49406603491</v>
      </c>
      <c r="L36" s="72">
        <f t="shared" si="16"/>
        <v>6433376.3547499999</v>
      </c>
      <c r="M36" s="72">
        <f t="shared" si="16"/>
        <v>2100316.0950610954</v>
      </c>
      <c r="N36" s="72">
        <f t="shared" si="16"/>
        <v>0</v>
      </c>
      <c r="O36" s="72">
        <f t="shared" si="16"/>
        <v>2957426.4864800004</v>
      </c>
      <c r="P36" s="72">
        <f t="shared" si="16"/>
        <v>1206021.4331672597</v>
      </c>
      <c r="Q36" s="72">
        <f t="shared" si="16"/>
        <v>7445604.3891390683</v>
      </c>
      <c r="R36" s="72">
        <f t="shared" si="16"/>
        <v>21484.421180000001</v>
      </c>
      <c r="S36" s="72">
        <f t="shared" si="16"/>
        <v>0</v>
      </c>
      <c r="T36" s="72">
        <f t="shared" si="16"/>
        <v>4026206.94</v>
      </c>
      <c r="U36" s="72">
        <f>SUM(U28:U35)</f>
        <v>252115693.23654747</v>
      </c>
      <c r="V36" s="55">
        <f>SUM(V28:V35)</f>
        <v>7806869.4893253194</v>
      </c>
      <c r="W36" s="55">
        <f>SUM(W28:W35)</f>
        <v>259922562.72587276</v>
      </c>
      <c r="X36" s="57">
        <f t="shared" si="14"/>
        <v>3.0965424599731388E-2</v>
      </c>
    </row>
    <row r="37" spans="1:24" s="64" customFormat="1" x14ac:dyDescent="0.25">
      <c r="B37" s="75"/>
      <c r="C37" s="75"/>
      <c r="D37" s="75"/>
      <c r="E37" s="75"/>
      <c r="F37" s="75"/>
      <c r="I37" s="76"/>
      <c r="M37" s="75"/>
      <c r="N37" s="75"/>
      <c r="P37" s="75"/>
      <c r="Q37" s="75"/>
      <c r="R37" s="75"/>
      <c r="S37" s="75"/>
      <c r="T37" s="75"/>
      <c r="U37" s="75"/>
      <c r="V37" s="77"/>
      <c r="W37" s="77"/>
    </row>
    <row r="38" spans="1:24" ht="17.25" x14ac:dyDescent="0.25">
      <c r="B38" t="s">
        <v>274</v>
      </c>
    </row>
    <row r="39" spans="1:24" ht="17.25" x14ac:dyDescent="0.25">
      <c r="B39" t="s">
        <v>268</v>
      </c>
    </row>
    <row r="41" spans="1:24" x14ac:dyDescent="0.25"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316"/>
    </row>
  </sheetData>
  <printOptions horizontalCentered="1"/>
  <pageMargins left="0.45" right="0.45" top="0.75" bottom="0.75" header="0.3" footer="0.3"/>
  <pageSetup paperSize="5" scale="49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zoomScale="85" zoomScaleNormal="85" workbookViewId="0">
      <selection activeCell="J33" sqref="J33"/>
    </sheetView>
  </sheetViews>
  <sheetFormatPr defaultColWidth="9.140625" defaultRowHeight="15" x14ac:dyDescent="0.25"/>
  <cols>
    <col min="1" max="1" width="2.140625" style="78" customWidth="1"/>
    <col min="2" max="2" width="2.42578125" style="78" customWidth="1"/>
    <col min="3" max="3" width="34.85546875" style="78" customWidth="1"/>
    <col min="4" max="5" width="11.85546875" style="78" customWidth="1"/>
    <col min="6" max="6" width="2.7109375" style="89" customWidth="1"/>
    <col min="7" max="8" width="11.85546875" style="78" customWidth="1"/>
    <col min="9" max="16384" width="9.140625" style="78"/>
  </cols>
  <sheetData>
    <row r="1" spans="2:8" x14ac:dyDescent="0.25">
      <c r="B1" s="134" t="s">
        <v>12</v>
      </c>
      <c r="C1" s="134"/>
      <c r="D1" s="134"/>
      <c r="E1" s="134"/>
      <c r="F1" s="134"/>
      <c r="G1" s="134"/>
      <c r="H1" s="134"/>
    </row>
    <row r="2" spans="2:8" x14ac:dyDescent="0.25">
      <c r="B2" s="134" t="str">
        <f>'Rate Impacts Sch 129'!A2</f>
        <v>2025 Gas Schedule 129 Low Income Filing</v>
      </c>
      <c r="C2" s="134"/>
      <c r="D2" s="134"/>
      <c r="E2" s="134"/>
      <c r="F2" s="134"/>
      <c r="G2" s="134"/>
      <c r="H2" s="134"/>
    </row>
    <row r="3" spans="2:8" x14ac:dyDescent="0.25">
      <c r="B3" s="130" t="s">
        <v>126</v>
      </c>
      <c r="C3" s="130"/>
      <c r="D3" s="130"/>
      <c r="E3" s="130"/>
      <c r="F3" s="130"/>
      <c r="G3" s="130"/>
      <c r="H3" s="130"/>
    </row>
    <row r="4" spans="2:8" x14ac:dyDescent="0.25">
      <c r="B4" s="130" t="str">
        <f>'Rate Impacts Sch 129'!A4</f>
        <v>Proposed Rates Effective May 1, 2025</v>
      </c>
      <c r="C4" s="130"/>
      <c r="D4" s="130"/>
      <c r="E4" s="130"/>
      <c r="F4" s="130"/>
      <c r="G4" s="130"/>
      <c r="H4" s="130"/>
    </row>
    <row r="6" spans="2:8" x14ac:dyDescent="0.25">
      <c r="G6" s="135" t="s">
        <v>192</v>
      </c>
      <c r="H6" s="135"/>
    </row>
    <row r="7" spans="2:8" x14ac:dyDescent="0.25">
      <c r="D7" s="79" t="s">
        <v>127</v>
      </c>
      <c r="E7" s="79"/>
      <c r="F7" s="80"/>
      <c r="G7" s="79" t="s">
        <v>152</v>
      </c>
      <c r="H7" s="79"/>
    </row>
    <row r="8" spans="2:8" ht="17.25" x14ac:dyDescent="0.25">
      <c r="D8" s="314" t="s">
        <v>128</v>
      </c>
      <c r="E8" s="314" t="s">
        <v>70</v>
      </c>
      <c r="F8" s="81"/>
      <c r="G8" s="314" t="s">
        <v>71</v>
      </c>
      <c r="H8" s="314" t="s">
        <v>70</v>
      </c>
    </row>
    <row r="9" spans="2:8" x14ac:dyDescent="0.25">
      <c r="B9" s="78" t="s">
        <v>129</v>
      </c>
      <c r="D9" s="82">
        <v>64</v>
      </c>
      <c r="E9" s="83"/>
      <c r="F9" s="84"/>
      <c r="G9" s="82">
        <v>64</v>
      </c>
      <c r="H9" s="83"/>
    </row>
    <row r="10" spans="2:8" x14ac:dyDescent="0.25">
      <c r="D10" s="82"/>
      <c r="E10" s="83"/>
      <c r="F10" s="84"/>
      <c r="G10" s="82"/>
      <c r="H10" s="83"/>
    </row>
    <row r="11" spans="2:8" x14ac:dyDescent="0.25">
      <c r="B11" s="78" t="s">
        <v>130</v>
      </c>
      <c r="D11" s="82"/>
      <c r="E11" s="83"/>
      <c r="F11" s="84"/>
      <c r="G11" s="82"/>
      <c r="H11" s="83"/>
    </row>
    <row r="12" spans="2:8" x14ac:dyDescent="0.25">
      <c r="C12" s="78" t="s">
        <v>153</v>
      </c>
      <c r="D12" s="186">
        <v>14.000000000000002</v>
      </c>
      <c r="E12" s="83">
        <f>D12</f>
        <v>14.000000000000002</v>
      </c>
      <c r="F12" s="85"/>
      <c r="G12" s="86">
        <f>$D$12</f>
        <v>14.000000000000002</v>
      </c>
      <c r="H12" s="83">
        <f>G12</f>
        <v>14.000000000000002</v>
      </c>
    </row>
    <row r="13" spans="2:8" x14ac:dyDescent="0.25">
      <c r="C13" s="78" t="s">
        <v>1</v>
      </c>
      <c r="D13" s="178">
        <f>SUM(D12:D12)</f>
        <v>14.000000000000002</v>
      </c>
      <c r="E13" s="88">
        <f>SUM(E12:E12)</f>
        <v>14.000000000000002</v>
      </c>
      <c r="F13" s="85"/>
      <c r="G13" s="88">
        <f>SUM(G12:G12)</f>
        <v>14.000000000000002</v>
      </c>
      <c r="H13" s="88">
        <f>SUM(H12:H12)</f>
        <v>14.000000000000002</v>
      </c>
    </row>
    <row r="14" spans="2:8" x14ac:dyDescent="0.25">
      <c r="D14" s="179"/>
      <c r="E14" s="87"/>
      <c r="F14" s="85"/>
      <c r="G14" s="87"/>
      <c r="H14" s="87"/>
    </row>
    <row r="15" spans="2:8" x14ac:dyDescent="0.25">
      <c r="C15" s="78" t="s">
        <v>214</v>
      </c>
      <c r="D15" s="186">
        <v>-8.9499999999999993</v>
      </c>
      <c r="E15" s="83">
        <f>D15</f>
        <v>-8.9499999999999993</v>
      </c>
      <c r="F15" s="85"/>
      <c r="G15" s="180">
        <f>$D$15</f>
        <v>-8.9499999999999993</v>
      </c>
      <c r="H15" s="83">
        <f>G15</f>
        <v>-8.9499999999999993</v>
      </c>
    </row>
    <row r="16" spans="2:8" x14ac:dyDescent="0.25">
      <c r="D16" s="181"/>
      <c r="E16" s="83"/>
      <c r="F16" s="85"/>
      <c r="G16" s="86"/>
      <c r="H16" s="83"/>
    </row>
    <row r="17" spans="2:8" x14ac:dyDescent="0.25">
      <c r="B17" s="78" t="s">
        <v>131</v>
      </c>
      <c r="D17" s="120"/>
      <c r="E17" s="83"/>
      <c r="H17" s="83"/>
    </row>
    <row r="18" spans="2:8" x14ac:dyDescent="0.25">
      <c r="C18" s="78" t="s">
        <v>154</v>
      </c>
      <c r="D18" s="155">
        <v>0.61957776856730451</v>
      </c>
      <c r="E18" s="83"/>
      <c r="F18" s="91"/>
      <c r="G18" s="92">
        <f>$D$18</f>
        <v>0.61957776856730451</v>
      </c>
      <c r="H18" s="83"/>
    </row>
    <row r="19" spans="2:8" x14ac:dyDescent="0.25">
      <c r="C19" s="78" t="s">
        <v>156</v>
      </c>
      <c r="D19" s="155">
        <v>3.6560000000000002E-2</v>
      </c>
      <c r="E19" s="83"/>
      <c r="F19" s="91"/>
      <c r="G19" s="95">
        <f>$D$19</f>
        <v>3.6560000000000002E-2</v>
      </c>
      <c r="H19" s="83"/>
    </row>
    <row r="20" spans="2:8" x14ac:dyDescent="0.25">
      <c r="C20" s="78" t="s">
        <v>166</v>
      </c>
      <c r="D20" s="160">
        <f>'Sch. 129'!$E$9</f>
        <v>1.3089999999999999E-2</v>
      </c>
      <c r="E20" s="83"/>
      <c r="F20" s="91"/>
      <c r="G20" s="90">
        <f>'Sch. 129'!$F$9</f>
        <v>6.8540000000000004E-2</v>
      </c>
      <c r="H20" s="83"/>
    </row>
    <row r="21" spans="2:8" x14ac:dyDescent="0.25">
      <c r="C21" s="78" t="s">
        <v>167</v>
      </c>
      <c r="D21" s="155">
        <v>0</v>
      </c>
      <c r="E21" s="83"/>
      <c r="F21" s="91"/>
      <c r="G21" s="93">
        <f>D21</f>
        <v>0</v>
      </c>
      <c r="H21" s="83"/>
    </row>
    <row r="22" spans="2:8" x14ac:dyDescent="0.25">
      <c r="C22" s="78" t="s">
        <v>168</v>
      </c>
      <c r="D22" s="155">
        <v>1.6749999999999998E-2</v>
      </c>
      <c r="E22" s="83"/>
      <c r="F22" s="91"/>
      <c r="G22" s="93">
        <f>$D$22</f>
        <v>1.6749999999999998E-2</v>
      </c>
      <c r="H22" s="83"/>
    </row>
    <row r="23" spans="2:8" x14ac:dyDescent="0.25">
      <c r="C23" s="78" t="s">
        <v>169</v>
      </c>
      <c r="D23" s="155">
        <v>-2.1999999999999997E-3</v>
      </c>
      <c r="E23" s="83"/>
      <c r="F23" s="91"/>
      <c r="G23" s="93">
        <f>$D$23</f>
        <v>-2.1999999999999997E-3</v>
      </c>
      <c r="H23" s="83"/>
    </row>
    <row r="24" spans="2:8" x14ac:dyDescent="0.25">
      <c r="C24" s="78" t="s">
        <v>215</v>
      </c>
      <c r="D24" s="155">
        <v>4.6739999999999997E-2</v>
      </c>
      <c r="E24" s="83"/>
      <c r="F24" s="91"/>
      <c r="G24" s="93">
        <f>$D$24</f>
        <v>4.6739999999999997E-2</v>
      </c>
      <c r="H24" s="83"/>
    </row>
    <row r="25" spans="2:8" x14ac:dyDescent="0.25">
      <c r="C25" s="78" t="s">
        <v>216</v>
      </c>
      <c r="D25" s="155">
        <v>9.0000000000000006E-5</v>
      </c>
      <c r="E25" s="83"/>
      <c r="F25" s="91"/>
      <c r="G25" s="93">
        <f>$D$25</f>
        <v>9.0000000000000006E-5</v>
      </c>
      <c r="H25" s="83"/>
    </row>
    <row r="26" spans="2:8" x14ac:dyDescent="0.25">
      <c r="C26" s="78" t="s">
        <v>170</v>
      </c>
      <c r="D26" s="155">
        <v>0</v>
      </c>
      <c r="E26" s="83"/>
      <c r="F26" s="91"/>
      <c r="G26" s="93">
        <f>$D$26</f>
        <v>0</v>
      </c>
      <c r="H26" s="83"/>
    </row>
    <row r="27" spans="2:8" x14ac:dyDescent="0.25">
      <c r="C27" s="78" t="s">
        <v>155</v>
      </c>
      <c r="D27" s="155">
        <v>4.292E-2</v>
      </c>
      <c r="E27" s="83"/>
      <c r="F27" s="91"/>
      <c r="G27" s="93">
        <f>$D$27</f>
        <v>4.292E-2</v>
      </c>
      <c r="H27" s="83"/>
    </row>
    <row r="28" spans="2:8" x14ac:dyDescent="0.25">
      <c r="C28" s="78" t="s">
        <v>1</v>
      </c>
      <c r="D28" s="182">
        <f>SUM(D18:D27)</f>
        <v>0.77352776856730465</v>
      </c>
      <c r="E28" s="83">
        <f>ROUND(D28*D$9,2)</f>
        <v>49.51</v>
      </c>
      <c r="F28" s="91"/>
      <c r="G28" s="94">
        <f>SUM(G18:G27)</f>
        <v>0.82897776856730465</v>
      </c>
      <c r="H28" s="83">
        <f>ROUND(G28*G$9,2)</f>
        <v>53.05</v>
      </c>
    </row>
    <row r="29" spans="2:8" x14ac:dyDescent="0.25">
      <c r="D29" s="120"/>
    </row>
    <row r="30" spans="2:8" x14ac:dyDescent="0.25">
      <c r="C30" s="78" t="s">
        <v>217</v>
      </c>
      <c r="D30" s="155">
        <v>0.16114999999999999</v>
      </c>
      <c r="E30" s="83">
        <f>ROUND(D30*D$9,2)</f>
        <v>10.31</v>
      </c>
      <c r="F30" s="91"/>
      <c r="G30" s="95">
        <f>$D$30</f>
        <v>0.16114999999999999</v>
      </c>
      <c r="H30" s="83">
        <f>ROUND(G30*G$9,2)</f>
        <v>10.31</v>
      </c>
    </row>
    <row r="31" spans="2:8" x14ac:dyDescent="0.25">
      <c r="D31" s="317"/>
      <c r="E31" s="83"/>
      <c r="F31" s="91"/>
      <c r="G31" s="92"/>
      <c r="H31" s="83"/>
    </row>
    <row r="32" spans="2:8" x14ac:dyDescent="0.25">
      <c r="C32" s="78" t="s">
        <v>157</v>
      </c>
      <c r="D32" s="155">
        <v>0.55332000000000003</v>
      </c>
      <c r="E32" s="83"/>
      <c r="F32" s="91"/>
      <c r="G32" s="93">
        <f>$D$32</f>
        <v>0.55332000000000003</v>
      </c>
      <c r="H32" s="83"/>
    </row>
    <row r="33" spans="2:8" x14ac:dyDescent="0.25">
      <c r="C33" s="78" t="s">
        <v>158</v>
      </c>
      <c r="D33" s="155">
        <v>-5.883E-2</v>
      </c>
      <c r="E33" s="83"/>
      <c r="F33" s="91"/>
      <c r="G33" s="93">
        <f>$D$33</f>
        <v>-5.883E-2</v>
      </c>
      <c r="H33" s="83"/>
    </row>
    <row r="34" spans="2:8" x14ac:dyDescent="0.25">
      <c r="C34" s="78" t="s">
        <v>1</v>
      </c>
      <c r="D34" s="182">
        <f>SUM(D32:D33)</f>
        <v>0.49449000000000004</v>
      </c>
      <c r="E34" s="83">
        <f>ROUND(D34*D$9,2)</f>
        <v>31.65</v>
      </c>
      <c r="F34" s="91"/>
      <c r="G34" s="94">
        <f>SUM(G32:G33)</f>
        <v>0.49449000000000004</v>
      </c>
      <c r="H34" s="83">
        <f>ROUND(G34*G$9,2)</f>
        <v>31.65</v>
      </c>
    </row>
    <row r="35" spans="2:8" x14ac:dyDescent="0.25">
      <c r="C35" s="78" t="s">
        <v>132</v>
      </c>
      <c r="D35" s="182">
        <f>D28+D30+D34</f>
        <v>1.4291677685673048</v>
      </c>
      <c r="E35" s="96">
        <f>SUM(E28,E30,E34)</f>
        <v>91.47</v>
      </c>
      <c r="F35" s="97"/>
      <c r="G35" s="94">
        <f>G28+G30+G34</f>
        <v>1.4846177685673048</v>
      </c>
      <c r="H35" s="96">
        <f>SUM(H28,H30,H34)</f>
        <v>95.009999999999991</v>
      </c>
    </row>
    <row r="36" spans="2:8" x14ac:dyDescent="0.25">
      <c r="E36" s="83"/>
      <c r="H36" s="83"/>
    </row>
    <row r="37" spans="2:8" x14ac:dyDescent="0.25">
      <c r="B37" s="78" t="s">
        <v>133</v>
      </c>
      <c r="D37" s="86"/>
      <c r="E37" s="83">
        <f>E13+E15+E35</f>
        <v>96.52</v>
      </c>
      <c r="F37" s="87"/>
      <c r="G37" s="86"/>
      <c r="H37" s="83">
        <f>H13+H15+H35</f>
        <v>100.05999999999999</v>
      </c>
    </row>
    <row r="38" spans="2:8" x14ac:dyDescent="0.25">
      <c r="B38" s="78" t="s">
        <v>134</v>
      </c>
      <c r="D38" s="86"/>
      <c r="E38" s="83"/>
      <c r="F38" s="87"/>
      <c r="G38" s="86"/>
      <c r="H38" s="83">
        <f>H37-$E37</f>
        <v>3.539999999999992</v>
      </c>
    </row>
    <row r="39" spans="2:8" x14ac:dyDescent="0.25">
      <c r="B39" s="78" t="s">
        <v>135</v>
      </c>
      <c r="D39" s="98"/>
      <c r="E39" s="98"/>
      <c r="F39" s="99"/>
      <c r="G39" s="98"/>
      <c r="H39" s="100">
        <f>H38/$E37</f>
        <v>3.6676336510567675E-2</v>
      </c>
    </row>
    <row r="40" spans="2:8" x14ac:dyDescent="0.25">
      <c r="E40" s="83"/>
    </row>
    <row r="41" spans="2:8" x14ac:dyDescent="0.25">
      <c r="B41" s="78" t="s">
        <v>136</v>
      </c>
      <c r="D41" s="92">
        <f>D28+D30</f>
        <v>0.93467776856730467</v>
      </c>
      <c r="E41" s="83"/>
      <c r="F41" s="97"/>
      <c r="G41" s="92">
        <f>G28+G30</f>
        <v>0.99012776856730467</v>
      </c>
    </row>
    <row r="43" spans="2:8" ht="17.25" x14ac:dyDescent="0.25">
      <c r="B43" s="101" t="s">
        <v>269</v>
      </c>
      <c r="D43" s="101"/>
      <c r="E43" s="101"/>
      <c r="F43" s="102"/>
      <c r="G43" s="102"/>
      <c r="H43" s="102"/>
    </row>
    <row r="48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="90" zoomScaleNormal="90" workbookViewId="0">
      <pane ySplit="8" topLeftCell="A9" activePane="bottomLeft" state="frozen"/>
      <selection activeCell="I40" sqref="I40"/>
      <selection pane="bottomLeft" activeCell="L12" sqref="L12"/>
    </sheetView>
  </sheetViews>
  <sheetFormatPr defaultColWidth="9.140625" defaultRowHeight="15" x14ac:dyDescent="0.25"/>
  <cols>
    <col min="1" max="1" width="3.5703125" style="78" customWidth="1"/>
    <col min="2" max="2" width="19.85546875" style="78" customWidth="1"/>
    <col min="3" max="3" width="8.7109375" style="78" bestFit="1" customWidth="1"/>
    <col min="4" max="4" width="18.5703125" style="78" bestFit="1" customWidth="1"/>
    <col min="5" max="5" width="13.7109375" style="78" customWidth="1"/>
    <col min="6" max="6" width="13.7109375" style="120" customWidth="1"/>
    <col min="7" max="9" width="14.42578125" style="78" customWidth="1"/>
    <col min="10" max="10" width="8.28515625" style="78" customWidth="1"/>
    <col min="11" max="11" width="11.85546875" style="78" bestFit="1" customWidth="1"/>
    <col min="12" max="12" width="11.28515625" style="78" bestFit="1" customWidth="1"/>
    <col min="13" max="13" width="10.5703125" style="78" customWidth="1"/>
    <col min="14" max="16384" width="9.140625" style="78"/>
  </cols>
  <sheetData>
    <row r="1" spans="1:10" ht="15" customHeight="1" x14ac:dyDescent="0.25">
      <c r="A1" s="365" t="s">
        <v>12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0" ht="15" customHeight="1" x14ac:dyDescent="0.25">
      <c r="A2" s="365" t="s">
        <v>193</v>
      </c>
      <c r="B2" s="365"/>
      <c r="C2" s="365"/>
      <c r="D2" s="365"/>
      <c r="E2" s="365"/>
      <c r="F2" s="365"/>
      <c r="G2" s="365"/>
      <c r="H2" s="365"/>
      <c r="I2" s="365"/>
      <c r="J2" s="365"/>
    </row>
    <row r="3" spans="1:10" ht="15" customHeight="1" x14ac:dyDescent="0.25">
      <c r="A3" s="365" t="s">
        <v>194</v>
      </c>
      <c r="B3" s="365"/>
      <c r="C3" s="365"/>
      <c r="D3" s="365"/>
      <c r="E3" s="365"/>
      <c r="F3" s="365"/>
      <c r="G3" s="365"/>
      <c r="H3" s="365"/>
      <c r="I3" s="365"/>
      <c r="J3" s="365"/>
    </row>
    <row r="4" spans="1:10" ht="15" customHeight="1" x14ac:dyDescent="0.25">
      <c r="A4" s="366" t="s">
        <v>261</v>
      </c>
      <c r="B4" s="366"/>
      <c r="C4" s="366"/>
      <c r="D4" s="366"/>
      <c r="E4" s="366"/>
      <c r="F4" s="366"/>
      <c r="G4" s="366"/>
      <c r="H4" s="366"/>
      <c r="I4" s="366"/>
      <c r="J4" s="366"/>
    </row>
    <row r="6" spans="1:10" x14ac:dyDescent="0.25">
      <c r="D6" s="103" t="s">
        <v>96</v>
      </c>
      <c r="E6" s="157"/>
      <c r="F6" s="129"/>
      <c r="G6" s="157" t="s">
        <v>96</v>
      </c>
      <c r="H6" s="157" t="s">
        <v>96</v>
      </c>
      <c r="I6" s="157" t="s">
        <v>195</v>
      </c>
    </row>
    <row r="7" spans="1:10" x14ac:dyDescent="0.25">
      <c r="C7" s="157" t="s">
        <v>11</v>
      </c>
      <c r="D7" s="103" t="s">
        <v>137</v>
      </c>
      <c r="E7" s="157" t="s">
        <v>73</v>
      </c>
      <c r="F7" s="129" t="s">
        <v>26</v>
      </c>
      <c r="G7" s="157" t="s">
        <v>6</v>
      </c>
      <c r="H7" s="157" t="s">
        <v>6</v>
      </c>
      <c r="I7" s="157" t="s">
        <v>6</v>
      </c>
      <c r="J7" s="103" t="s">
        <v>61</v>
      </c>
    </row>
    <row r="8" spans="1:10" x14ac:dyDescent="0.25">
      <c r="A8" s="367" t="s">
        <v>25</v>
      </c>
      <c r="B8" s="367"/>
      <c r="C8" s="314" t="s">
        <v>7</v>
      </c>
      <c r="D8" s="161" t="str">
        <f>'Rate Impacts Sch 129'!$U$6</f>
        <v>5ME Sept. 2025</v>
      </c>
      <c r="E8" s="314" t="s">
        <v>138</v>
      </c>
      <c r="F8" s="106" t="s">
        <v>11</v>
      </c>
      <c r="G8" s="314" t="s">
        <v>127</v>
      </c>
      <c r="H8" s="314" t="s">
        <v>93</v>
      </c>
      <c r="I8" s="314" t="s">
        <v>62</v>
      </c>
      <c r="J8" s="43" t="s">
        <v>62</v>
      </c>
    </row>
    <row r="9" spans="1:10" x14ac:dyDescent="0.25">
      <c r="A9" s="78" t="s">
        <v>5</v>
      </c>
      <c r="C9" s="157" t="s">
        <v>24</v>
      </c>
      <c r="D9" s="315">
        <f>Rates!E10</f>
        <v>96192245</v>
      </c>
      <c r="E9" s="107">
        <v>1.3089999999999999E-2</v>
      </c>
      <c r="F9" s="127">
        <f>'Rates Summary'!$G$11</f>
        <v>6.8540000000000004E-2</v>
      </c>
      <c r="G9" s="105">
        <f>D9*(E9)</f>
        <v>1259156.4870499999</v>
      </c>
      <c r="H9" s="105">
        <f>D9*(F9)</f>
        <v>6593016.4723000005</v>
      </c>
      <c r="I9" s="108">
        <f>H9-G9</f>
        <v>5333859.9852500008</v>
      </c>
      <c r="J9" s="98">
        <f>IF(G9=0,0,I9/G9)</f>
        <v>4.2360580595874726</v>
      </c>
    </row>
    <row r="10" spans="1:10" x14ac:dyDescent="0.25">
      <c r="C10" s="157"/>
      <c r="D10" s="315"/>
      <c r="E10" s="107"/>
      <c r="F10" s="127"/>
      <c r="G10" s="105"/>
      <c r="H10" s="105"/>
      <c r="I10" s="108"/>
    </row>
    <row r="11" spans="1:10" x14ac:dyDescent="0.25">
      <c r="A11" s="78" t="s">
        <v>23</v>
      </c>
      <c r="C11" s="157">
        <v>31</v>
      </c>
      <c r="D11" s="318">
        <f>SUM('Forecast Therms'!B11:F11)</f>
        <v>51938802</v>
      </c>
      <c r="E11" s="107">
        <v>1.107E-2</v>
      </c>
      <c r="F11" s="127">
        <f>'Rates Summary'!$G$13</f>
        <v>4.7640000000000002E-2</v>
      </c>
      <c r="G11" s="105">
        <f>D11*(E11)</f>
        <v>574962.53813999996</v>
      </c>
      <c r="H11" s="105">
        <f>D11*(F11)</f>
        <v>2474364.52728</v>
      </c>
      <c r="I11" s="108">
        <f t="shared" ref="I11:I47" si="0">H11-G11</f>
        <v>1899401.9891400002</v>
      </c>
      <c r="J11" s="98">
        <f t="shared" ref="J11:J12" si="1">IF(G11=0,0,I11/G11)</f>
        <v>3.3035230352303531</v>
      </c>
    </row>
    <row r="12" spans="1:10" x14ac:dyDescent="0.25">
      <c r="A12" s="78" t="s">
        <v>23</v>
      </c>
      <c r="C12" s="157" t="s">
        <v>117</v>
      </c>
      <c r="D12" s="318">
        <f>SUM('Forecast Therms'!B16:F16)</f>
        <v>0</v>
      </c>
      <c r="E12" s="107">
        <v>1.107E-2</v>
      </c>
      <c r="F12" s="127">
        <f>'Rates Summary'!$G$13</f>
        <v>4.7640000000000002E-2</v>
      </c>
      <c r="G12" s="105">
        <f>D12*(E12)</f>
        <v>0</v>
      </c>
      <c r="H12" s="105">
        <f>D12*(F12)</f>
        <v>0</v>
      </c>
      <c r="I12" s="108">
        <f t="shared" si="0"/>
        <v>0</v>
      </c>
      <c r="J12" s="98">
        <f>(F12-E12)/E12</f>
        <v>3.3035230352303526</v>
      </c>
    </row>
    <row r="13" spans="1:10" x14ac:dyDescent="0.25">
      <c r="C13" s="157"/>
      <c r="D13" s="315"/>
      <c r="E13" s="107"/>
      <c r="F13" s="127"/>
      <c r="G13" s="105"/>
      <c r="H13" s="105"/>
      <c r="I13" s="108"/>
    </row>
    <row r="14" spans="1:10" x14ac:dyDescent="0.25">
      <c r="A14" s="78" t="s">
        <v>22</v>
      </c>
      <c r="C14" s="157">
        <v>41</v>
      </c>
      <c r="D14" s="318">
        <f>SUM('Forecast Therms'!B12:F12)</f>
        <v>16607564</v>
      </c>
      <c r="E14" s="107">
        <v>5.47E-3</v>
      </c>
      <c r="F14" s="127">
        <f>'Rates Summary'!$G$15</f>
        <v>1.874E-2</v>
      </c>
      <c r="G14" s="105">
        <f>D14*(E14)</f>
        <v>90843.375079999998</v>
      </c>
      <c r="H14" s="105">
        <f>D14*(F14)</f>
        <v>311225.74936000002</v>
      </c>
      <c r="I14" s="108">
        <f t="shared" si="0"/>
        <v>220382.37428000002</v>
      </c>
      <c r="J14" s="98">
        <f t="shared" ref="J14:J15" si="2">IF(G14=0,0,I14/G14)</f>
        <v>2.4259597806215725</v>
      </c>
    </row>
    <row r="15" spans="1:10" x14ac:dyDescent="0.25">
      <c r="A15" s="78" t="s">
        <v>22</v>
      </c>
      <c r="C15" s="157" t="s">
        <v>119</v>
      </c>
      <c r="D15" s="319">
        <f>SUM('Forecast Therms'!B17:F17)</f>
        <v>8511255</v>
      </c>
      <c r="E15" s="107">
        <v>5.47E-3</v>
      </c>
      <c r="F15" s="127">
        <f>'Rates Summary'!$G$15</f>
        <v>1.874E-2</v>
      </c>
      <c r="G15" s="105">
        <f>D15*(E15)</f>
        <v>46556.564850000002</v>
      </c>
      <c r="H15" s="105">
        <f>D15*(F15)</f>
        <v>159500.91870000001</v>
      </c>
      <c r="I15" s="108">
        <f t="shared" si="0"/>
        <v>112944.35385000001</v>
      </c>
      <c r="J15" s="98">
        <f t="shared" si="2"/>
        <v>2.4259597806215725</v>
      </c>
    </row>
    <row r="16" spans="1:10" x14ac:dyDescent="0.25">
      <c r="C16" s="157"/>
      <c r="D16" s="315"/>
      <c r="E16" s="107"/>
      <c r="F16" s="127"/>
      <c r="G16" s="105"/>
      <c r="H16" s="105"/>
      <c r="I16" s="108"/>
    </row>
    <row r="17" spans="1:10" x14ac:dyDescent="0.25">
      <c r="A17" s="78" t="s">
        <v>4</v>
      </c>
      <c r="C17" s="157">
        <v>85</v>
      </c>
      <c r="D17" s="315"/>
      <c r="E17" s="107"/>
      <c r="F17" s="127"/>
      <c r="G17" s="105"/>
      <c r="H17" s="105"/>
      <c r="I17" s="108"/>
    </row>
    <row r="18" spans="1:10" x14ac:dyDescent="0.25">
      <c r="B18" s="78" t="s">
        <v>18</v>
      </c>
      <c r="C18" s="157"/>
      <c r="D18" s="315">
        <f>Rates!E17</f>
        <v>3340379.4718684279</v>
      </c>
      <c r="E18" s="110">
        <v>3.8500000000000001E-3</v>
      </c>
      <c r="F18" s="128">
        <f>'Rates Summary'!G18</f>
        <v>1.081E-2</v>
      </c>
      <c r="G18" s="105">
        <f t="shared" ref="G18:G47" si="3">D18*(E18)</f>
        <v>12860.460966693448</v>
      </c>
      <c r="H18" s="105">
        <f t="shared" ref="H18:H47" si="4">D18*(F18)</f>
        <v>36109.502090897709</v>
      </c>
      <c r="I18" s="108">
        <f t="shared" si="0"/>
        <v>23249.041124204261</v>
      </c>
      <c r="J18" s="98">
        <f t="shared" ref="J18:J21" si="5">IF(G18=0,0,I18/G18)</f>
        <v>1.807792207792208</v>
      </c>
    </row>
    <row r="19" spans="1:10" x14ac:dyDescent="0.25">
      <c r="B19" s="78" t="s">
        <v>17</v>
      </c>
      <c r="C19" s="157"/>
      <c r="D19" s="315">
        <f>Rates!E18</f>
        <v>1421318.0892743212</v>
      </c>
      <c r="E19" s="110">
        <v>2.32E-3</v>
      </c>
      <c r="F19" s="128">
        <f>'Rates Summary'!G19</f>
        <v>6.5199999999999998E-3</v>
      </c>
      <c r="G19" s="105">
        <f t="shared" si="3"/>
        <v>3297.4579671164252</v>
      </c>
      <c r="H19" s="105">
        <f t="shared" si="4"/>
        <v>9266.9939420685732</v>
      </c>
      <c r="I19" s="108">
        <f t="shared" si="0"/>
        <v>5969.5359749521485</v>
      </c>
      <c r="J19" s="98">
        <f t="shared" si="5"/>
        <v>1.8103448275862069</v>
      </c>
    </row>
    <row r="20" spans="1:10" x14ac:dyDescent="0.25">
      <c r="B20" s="78" t="s">
        <v>21</v>
      </c>
      <c r="C20" s="157"/>
      <c r="D20" s="315">
        <f>Rates!E19</f>
        <v>1058962.4388572508</v>
      </c>
      <c r="E20" s="110">
        <v>1.2800000000000001E-3</v>
      </c>
      <c r="F20" s="128">
        <f>'Rates Summary'!G20</f>
        <v>3.7000000000000002E-3</v>
      </c>
      <c r="G20" s="105">
        <f t="shared" si="3"/>
        <v>1355.4719217372813</v>
      </c>
      <c r="H20" s="105">
        <f t="shared" si="4"/>
        <v>3918.1610237718282</v>
      </c>
      <c r="I20" s="108">
        <f t="shared" si="0"/>
        <v>2562.689102034547</v>
      </c>
      <c r="J20" s="183">
        <f t="shared" si="5"/>
        <v>1.8906249999999998</v>
      </c>
    </row>
    <row r="21" spans="1:10" x14ac:dyDescent="0.25">
      <c r="B21" s="78" t="s">
        <v>0</v>
      </c>
      <c r="C21" s="157"/>
      <c r="D21" s="111">
        <f>SUM(D18:D20)</f>
        <v>5820660</v>
      </c>
      <c r="E21" s="107"/>
      <c r="F21" s="127"/>
      <c r="G21" s="112">
        <f>SUM(G18:G20)</f>
        <v>17513.390855547153</v>
      </c>
      <c r="H21" s="112">
        <f t="shared" ref="H21:I21" si="6">SUM(H18:H20)</f>
        <v>49294.657056738113</v>
      </c>
      <c r="I21" s="112">
        <f t="shared" si="6"/>
        <v>31781.266201190956</v>
      </c>
      <c r="J21" s="98">
        <f t="shared" si="5"/>
        <v>1.8146837733096459</v>
      </c>
    </row>
    <row r="22" spans="1:10" x14ac:dyDescent="0.25">
      <c r="C22" s="157"/>
      <c r="D22" s="109"/>
      <c r="E22" s="107"/>
      <c r="F22" s="127"/>
      <c r="G22" s="105"/>
      <c r="H22" s="105"/>
      <c r="I22" s="108"/>
    </row>
    <row r="23" spans="1:10" x14ac:dyDescent="0.25">
      <c r="A23" s="78" t="s">
        <v>4</v>
      </c>
      <c r="C23" s="157">
        <v>86</v>
      </c>
      <c r="D23" s="318">
        <f>SUM('Forecast Therms'!B14:F14)</f>
        <v>829568</v>
      </c>
      <c r="E23" s="107">
        <v>4.1900000000000001E-3</v>
      </c>
      <c r="F23" s="127">
        <f>'Rates Summary'!$G$23</f>
        <v>1.6449999999999999E-2</v>
      </c>
      <c r="G23" s="105">
        <f t="shared" si="3"/>
        <v>3475.8899200000001</v>
      </c>
      <c r="H23" s="105">
        <f t="shared" si="4"/>
        <v>13646.393599999999</v>
      </c>
      <c r="I23" s="108">
        <f t="shared" si="0"/>
        <v>10170.50368</v>
      </c>
      <c r="J23" s="98">
        <f t="shared" ref="J23:J24" si="7">IF(G23=0,0,I23/G23)</f>
        <v>2.9260143198090689</v>
      </c>
    </row>
    <row r="24" spans="1:10" x14ac:dyDescent="0.25">
      <c r="A24" s="78" t="s">
        <v>4</v>
      </c>
      <c r="C24" s="157" t="s">
        <v>122</v>
      </c>
      <c r="D24" s="319">
        <f>SUM('Forecast Therms'!B19:F19)</f>
        <v>559302</v>
      </c>
      <c r="E24" s="107">
        <v>4.1900000000000001E-3</v>
      </c>
      <c r="F24" s="127">
        <f>'Rates Summary'!$G$23</f>
        <v>1.6449999999999999E-2</v>
      </c>
      <c r="G24" s="105">
        <f t="shared" si="3"/>
        <v>2343.4753799999999</v>
      </c>
      <c r="H24" s="105">
        <f t="shared" si="4"/>
        <v>9200.5178999999989</v>
      </c>
      <c r="I24" s="108">
        <f t="shared" si="0"/>
        <v>6857.0425199999991</v>
      </c>
      <c r="J24" s="98">
        <f t="shared" si="7"/>
        <v>2.9260143198090689</v>
      </c>
    </row>
    <row r="25" spans="1:10" x14ac:dyDescent="0.25">
      <c r="C25" s="157"/>
      <c r="D25" s="315"/>
      <c r="E25" s="107"/>
      <c r="F25" s="127"/>
      <c r="G25" s="105"/>
      <c r="H25" s="105"/>
      <c r="I25" s="108"/>
    </row>
    <row r="26" spans="1:10" x14ac:dyDescent="0.25">
      <c r="A26" s="78" t="s">
        <v>4</v>
      </c>
      <c r="C26" s="157">
        <v>87</v>
      </c>
      <c r="D26" s="315"/>
      <c r="E26" s="107"/>
      <c r="F26" s="127"/>
      <c r="G26" s="105"/>
      <c r="H26" s="105"/>
      <c r="I26" s="108"/>
    </row>
    <row r="27" spans="1:10" x14ac:dyDescent="0.25">
      <c r="B27" s="78" t="s">
        <v>18</v>
      </c>
      <c r="C27" s="157"/>
      <c r="D27" s="315">
        <f>Rates!E25</f>
        <v>510321.94648890023</v>
      </c>
      <c r="E27" s="110">
        <v>3.8500000000000001E-3</v>
      </c>
      <c r="F27" s="128">
        <f>'Rates Summary'!G26</f>
        <v>1.081E-2</v>
      </c>
      <c r="G27" s="105">
        <f t="shared" si="3"/>
        <v>1964.7394939822659</v>
      </c>
      <c r="H27" s="105">
        <f t="shared" si="4"/>
        <v>5516.5802415450116</v>
      </c>
      <c r="I27" s="108">
        <f t="shared" si="0"/>
        <v>3551.8407475627455</v>
      </c>
      <c r="J27" s="98">
        <f t="shared" ref="J27:J33" si="8">IF(G27=0,0,I27/G27)</f>
        <v>1.8077922077922077</v>
      </c>
    </row>
    <row r="28" spans="1:10" x14ac:dyDescent="0.25">
      <c r="B28" s="78" t="s">
        <v>17</v>
      </c>
      <c r="C28" s="157"/>
      <c r="D28" s="315">
        <f>Rates!E26</f>
        <v>510321.94648890023</v>
      </c>
      <c r="E28" s="110">
        <v>2.32E-3</v>
      </c>
      <c r="F28" s="128">
        <f>'Rates Summary'!G27</f>
        <v>6.5199999999999998E-3</v>
      </c>
      <c r="G28" s="105">
        <f t="shared" si="3"/>
        <v>1183.9469158542486</v>
      </c>
      <c r="H28" s="105">
        <f t="shared" si="4"/>
        <v>3327.2990911076295</v>
      </c>
      <c r="I28" s="108">
        <f t="shared" si="0"/>
        <v>2143.3521752533807</v>
      </c>
      <c r="J28" s="98">
        <f t="shared" si="8"/>
        <v>1.8103448275862066</v>
      </c>
    </row>
    <row r="29" spans="1:10" x14ac:dyDescent="0.25">
      <c r="B29" s="78" t="s">
        <v>16</v>
      </c>
      <c r="C29" s="157"/>
      <c r="D29" s="315">
        <f>Rates!E27</f>
        <v>857578.68012841628</v>
      </c>
      <c r="E29" s="110">
        <v>1.48E-3</v>
      </c>
      <c r="F29" s="128">
        <f>'Rates Summary'!G28</f>
        <v>4.15E-3</v>
      </c>
      <c r="G29" s="105">
        <f t="shared" si="3"/>
        <v>1269.216446590056</v>
      </c>
      <c r="H29" s="105">
        <f t="shared" si="4"/>
        <v>3558.9515225329278</v>
      </c>
      <c r="I29" s="108">
        <f t="shared" si="0"/>
        <v>2289.7350759428718</v>
      </c>
      <c r="J29" s="98">
        <f t="shared" si="8"/>
        <v>1.8040540540540546</v>
      </c>
    </row>
    <row r="30" spans="1:10" x14ac:dyDescent="0.25">
      <c r="B30" s="78" t="s">
        <v>15</v>
      </c>
      <c r="C30" s="157"/>
      <c r="D30" s="315">
        <f>Rates!E28</f>
        <v>687437.34316901688</v>
      </c>
      <c r="E30" s="110">
        <v>9.5E-4</v>
      </c>
      <c r="F30" s="128">
        <f>'Rates Summary'!G29</f>
        <v>2.6700000000000001E-3</v>
      </c>
      <c r="G30" s="105">
        <f t="shared" si="3"/>
        <v>653.06547601056604</v>
      </c>
      <c r="H30" s="105">
        <f t="shared" si="4"/>
        <v>1835.457706261275</v>
      </c>
      <c r="I30" s="108">
        <f t="shared" si="0"/>
        <v>1182.392230250709</v>
      </c>
      <c r="J30" s="98">
        <f t="shared" si="8"/>
        <v>1.8105263157894735</v>
      </c>
    </row>
    <row r="31" spans="1:10" x14ac:dyDescent="0.25">
      <c r="B31" s="78" t="s">
        <v>14</v>
      </c>
      <c r="C31" s="157"/>
      <c r="D31" s="315">
        <f>Rates!E29</f>
        <v>1530965.8394667008</v>
      </c>
      <c r="E31" s="110">
        <v>6.8000000000000005E-4</v>
      </c>
      <c r="F31" s="128">
        <f>'Rates Summary'!G30</f>
        <v>1.91E-3</v>
      </c>
      <c r="G31" s="105">
        <f t="shared" si="3"/>
        <v>1041.0567708373567</v>
      </c>
      <c r="H31" s="105">
        <f t="shared" si="4"/>
        <v>2924.1447533813985</v>
      </c>
      <c r="I31" s="108">
        <f t="shared" si="0"/>
        <v>1883.0879825440418</v>
      </c>
      <c r="J31" s="98">
        <f t="shared" si="8"/>
        <v>1.8088235294117643</v>
      </c>
    </row>
    <row r="32" spans="1:10" x14ac:dyDescent="0.25">
      <c r="B32" s="78" t="s">
        <v>19</v>
      </c>
      <c r="C32" s="157"/>
      <c r="D32" s="315">
        <f>Rates!E30</f>
        <v>1717129.2442580655</v>
      </c>
      <c r="E32" s="110">
        <v>4.6000000000000001E-4</v>
      </c>
      <c r="F32" s="128">
        <f>'Rates Summary'!G31</f>
        <v>1.2899999999999999E-3</v>
      </c>
      <c r="G32" s="105">
        <f t="shared" si="3"/>
        <v>789.87945235871018</v>
      </c>
      <c r="H32" s="105">
        <f t="shared" si="4"/>
        <v>2215.0967250929043</v>
      </c>
      <c r="I32" s="108">
        <f t="shared" si="0"/>
        <v>1425.217272734194</v>
      </c>
      <c r="J32" s="183">
        <f t="shared" si="8"/>
        <v>1.8043478260869559</v>
      </c>
    </row>
    <row r="33" spans="1:10" x14ac:dyDescent="0.25">
      <c r="B33" s="78" t="s">
        <v>0</v>
      </c>
      <c r="C33" s="157"/>
      <c r="D33" s="111">
        <f>SUM(D27:D32)</f>
        <v>5813755</v>
      </c>
      <c r="E33" s="107"/>
      <c r="F33" s="127"/>
      <c r="G33" s="112">
        <f>SUM(G27:G32)</f>
        <v>6901.904555633203</v>
      </c>
      <c r="H33" s="112">
        <f t="shared" ref="H33:I33" si="9">SUM(H27:H32)</f>
        <v>19377.530039921148</v>
      </c>
      <c r="I33" s="112">
        <f t="shared" si="9"/>
        <v>12475.625484287943</v>
      </c>
      <c r="J33" s="98">
        <f t="shared" si="8"/>
        <v>1.8075627363037894</v>
      </c>
    </row>
    <row r="34" spans="1:10" x14ac:dyDescent="0.25">
      <c r="C34" s="157"/>
      <c r="D34" s="114"/>
      <c r="E34" s="107"/>
      <c r="F34" s="127"/>
      <c r="G34" s="105"/>
      <c r="H34" s="105"/>
      <c r="I34" s="108"/>
      <c r="J34" s="115"/>
    </row>
    <row r="35" spans="1:10" x14ac:dyDescent="0.25">
      <c r="A35" s="78" t="s">
        <v>20</v>
      </c>
      <c r="C35" s="157" t="s">
        <v>3</v>
      </c>
      <c r="D35" s="114"/>
      <c r="E35" s="107"/>
      <c r="F35" s="127"/>
      <c r="G35" s="105"/>
      <c r="H35" s="105"/>
      <c r="I35" s="108"/>
      <c r="J35" s="115"/>
    </row>
    <row r="36" spans="1:10" x14ac:dyDescent="0.25">
      <c r="B36" s="78" t="s">
        <v>18</v>
      </c>
      <c r="C36" s="157"/>
      <c r="D36" s="318">
        <f>Rates!E34</f>
        <v>9214065.7590784468</v>
      </c>
      <c r="E36" s="110">
        <v>3.8500000000000001E-3</v>
      </c>
      <c r="F36" s="128">
        <f>'Rates Summary'!G35</f>
        <v>1.081E-2</v>
      </c>
      <c r="G36" s="105">
        <f t="shared" si="3"/>
        <v>35474.153172452025</v>
      </c>
      <c r="H36" s="105">
        <f t="shared" si="4"/>
        <v>99604.050855638008</v>
      </c>
      <c r="I36" s="108">
        <f t="shared" si="0"/>
        <v>64129.897683185984</v>
      </c>
      <c r="J36" s="98">
        <f t="shared" ref="J36:J39" si="10">IF(G36=0,0,I36/G36)</f>
        <v>1.8077922077922075</v>
      </c>
    </row>
    <row r="37" spans="1:10" x14ac:dyDescent="0.25">
      <c r="B37" s="78" t="s">
        <v>17</v>
      </c>
      <c r="C37" s="157"/>
      <c r="D37" s="318">
        <f>Rates!E35</f>
        <v>5869785.3987605646</v>
      </c>
      <c r="E37" s="110">
        <v>2.32E-3</v>
      </c>
      <c r="F37" s="128">
        <f>'Rates Summary'!G36</f>
        <v>6.5199999999999998E-3</v>
      </c>
      <c r="G37" s="105">
        <f t="shared" si="3"/>
        <v>13617.90212512451</v>
      </c>
      <c r="H37" s="105">
        <f t="shared" si="4"/>
        <v>38271.000799918882</v>
      </c>
      <c r="I37" s="108">
        <f t="shared" si="0"/>
        <v>24653.098674794372</v>
      </c>
      <c r="J37" s="98">
        <f t="shared" si="10"/>
        <v>1.8103448275862069</v>
      </c>
    </row>
    <row r="38" spans="1:10" x14ac:dyDescent="0.25">
      <c r="B38" s="78" t="s">
        <v>21</v>
      </c>
      <c r="C38" s="157"/>
      <c r="D38" s="318">
        <f>Rates!E36</f>
        <v>7577971.8421609886</v>
      </c>
      <c r="E38" s="110">
        <v>1.2800000000000001E-3</v>
      </c>
      <c r="F38" s="128">
        <f>'Rates Summary'!G37</f>
        <v>3.7000000000000002E-3</v>
      </c>
      <c r="G38" s="105">
        <f t="shared" si="3"/>
        <v>9699.8039579660654</v>
      </c>
      <c r="H38" s="105">
        <f t="shared" si="4"/>
        <v>28038.495815995659</v>
      </c>
      <c r="I38" s="108">
        <f t="shared" si="0"/>
        <v>18338.691858029593</v>
      </c>
      <c r="J38" s="183">
        <f t="shared" si="10"/>
        <v>1.890625</v>
      </c>
    </row>
    <row r="39" spans="1:10" x14ac:dyDescent="0.25">
      <c r="B39" s="78" t="s">
        <v>0</v>
      </c>
      <c r="C39" s="157"/>
      <c r="D39" s="111">
        <f>SUM(D36:D38)</f>
        <v>22661823</v>
      </c>
      <c r="E39" s="107"/>
      <c r="F39" s="127"/>
      <c r="G39" s="112">
        <f>SUM(G36:G38)</f>
        <v>58791.8592555426</v>
      </c>
      <c r="H39" s="112">
        <f t="shared" ref="H39:I39" si="11">SUM(H36:H38)</f>
        <v>165913.54747155256</v>
      </c>
      <c r="I39" s="112">
        <f t="shared" si="11"/>
        <v>107121.68821600995</v>
      </c>
      <c r="J39" s="98">
        <f t="shared" si="10"/>
        <v>1.8220496778371753</v>
      </c>
    </row>
    <row r="40" spans="1:10" x14ac:dyDescent="0.25">
      <c r="C40" s="157"/>
      <c r="D40" s="114"/>
      <c r="E40" s="107"/>
      <c r="F40" s="127"/>
      <c r="G40" s="105"/>
      <c r="H40" s="105"/>
      <c r="I40" s="108"/>
      <c r="J40" s="115"/>
    </row>
    <row r="41" spans="1:10" x14ac:dyDescent="0.25">
      <c r="A41" s="78" t="s">
        <v>20</v>
      </c>
      <c r="C41" s="157" t="s">
        <v>2</v>
      </c>
      <c r="D41" s="114"/>
      <c r="E41" s="107"/>
      <c r="F41" s="127"/>
      <c r="G41" s="105"/>
      <c r="H41" s="105"/>
      <c r="I41" s="108"/>
    </row>
    <row r="42" spans="1:10" x14ac:dyDescent="0.25">
      <c r="B42" s="78" t="s">
        <v>18</v>
      </c>
      <c r="C42" s="157"/>
      <c r="D42" s="318">
        <f>Rates!E40</f>
        <v>1963432.2325719779</v>
      </c>
      <c r="E42" s="110">
        <v>3.8500000000000001E-3</v>
      </c>
      <c r="F42" s="128">
        <f>'Rates Summary'!G41</f>
        <v>1.081E-2</v>
      </c>
      <c r="G42" s="105">
        <f t="shared" si="3"/>
        <v>7559.2140954021152</v>
      </c>
      <c r="H42" s="105">
        <f t="shared" si="4"/>
        <v>21224.702434103081</v>
      </c>
      <c r="I42" s="108">
        <f t="shared" si="0"/>
        <v>13665.488338700965</v>
      </c>
      <c r="J42" s="98">
        <f t="shared" ref="J42:J48" si="12">IF(G42=0,0,I42/G42)</f>
        <v>1.8077922077922075</v>
      </c>
    </row>
    <row r="43" spans="1:10" x14ac:dyDescent="0.25">
      <c r="B43" s="78" t="s">
        <v>17</v>
      </c>
      <c r="C43" s="157"/>
      <c r="D43" s="318">
        <f>Rates!E41</f>
        <v>1940733.1855049762</v>
      </c>
      <c r="E43" s="110">
        <v>2.32E-3</v>
      </c>
      <c r="F43" s="128">
        <f>'Rates Summary'!G42</f>
        <v>6.5199999999999998E-3</v>
      </c>
      <c r="G43" s="105">
        <f t="shared" si="3"/>
        <v>4502.5009903715445</v>
      </c>
      <c r="H43" s="105">
        <f t="shared" si="4"/>
        <v>12653.580369492443</v>
      </c>
      <c r="I43" s="108">
        <f t="shared" si="0"/>
        <v>8151.0793791208989</v>
      </c>
      <c r="J43" s="98">
        <f t="shared" si="12"/>
        <v>1.8103448275862069</v>
      </c>
    </row>
    <row r="44" spans="1:10" x14ac:dyDescent="0.25">
      <c r="B44" s="78" t="s">
        <v>16</v>
      </c>
      <c r="C44" s="157"/>
      <c r="D44" s="318">
        <f>Rates!E42</f>
        <v>3250631.9180465685</v>
      </c>
      <c r="E44" s="110">
        <v>1.48E-3</v>
      </c>
      <c r="F44" s="128">
        <f>'Rates Summary'!G43</f>
        <v>4.15E-3</v>
      </c>
      <c r="G44" s="105">
        <f t="shared" si="3"/>
        <v>4810.9352387089211</v>
      </c>
      <c r="H44" s="105">
        <f t="shared" si="4"/>
        <v>13490.12245989326</v>
      </c>
      <c r="I44" s="108">
        <f t="shared" si="0"/>
        <v>8679.1872211843402</v>
      </c>
      <c r="J44" s="98">
        <f t="shared" si="12"/>
        <v>1.8040540540540546</v>
      </c>
    </row>
    <row r="45" spans="1:10" x14ac:dyDescent="0.25">
      <c r="B45" s="78" t="s">
        <v>15</v>
      </c>
      <c r="C45" s="157"/>
      <c r="D45" s="318">
        <f>Rates!E43</f>
        <v>4547383.4867338771</v>
      </c>
      <c r="E45" s="110">
        <v>9.5E-4</v>
      </c>
      <c r="F45" s="128">
        <f>'Rates Summary'!G44</f>
        <v>2.6700000000000001E-3</v>
      </c>
      <c r="G45" s="105">
        <f t="shared" si="3"/>
        <v>4320.0143123971829</v>
      </c>
      <c r="H45" s="105">
        <f t="shared" si="4"/>
        <v>12141.513909579453</v>
      </c>
      <c r="I45" s="108">
        <f t="shared" si="0"/>
        <v>7821.49959718227</v>
      </c>
      <c r="J45" s="98">
        <f t="shared" si="12"/>
        <v>1.8105263157894742</v>
      </c>
    </row>
    <row r="46" spans="1:10" x14ac:dyDescent="0.25">
      <c r="B46" s="78" t="s">
        <v>14</v>
      </c>
      <c r="C46" s="157"/>
      <c r="D46" s="318">
        <f>Rates!E44</f>
        <v>9013631.581200188</v>
      </c>
      <c r="E46" s="110">
        <v>6.8000000000000005E-4</v>
      </c>
      <c r="F46" s="128">
        <f>'Rates Summary'!G45</f>
        <v>1.91E-3</v>
      </c>
      <c r="G46" s="105">
        <f t="shared" si="3"/>
        <v>6129.2694752161287</v>
      </c>
      <c r="H46" s="105">
        <f t="shared" si="4"/>
        <v>17216.03632009236</v>
      </c>
      <c r="I46" s="108">
        <f t="shared" si="0"/>
        <v>11086.766844876231</v>
      </c>
      <c r="J46" s="98">
        <f t="shared" si="12"/>
        <v>1.8088235294117643</v>
      </c>
    </row>
    <row r="47" spans="1:10" x14ac:dyDescent="0.25">
      <c r="B47" s="78" t="s">
        <v>19</v>
      </c>
      <c r="C47" s="157"/>
      <c r="D47" s="318">
        <f>Rates!E45</f>
        <v>10399143.59594241</v>
      </c>
      <c r="E47" s="110">
        <v>4.6000000000000001E-4</v>
      </c>
      <c r="F47" s="128">
        <f>'Rates Summary'!G46</f>
        <v>1.2899999999999999E-3</v>
      </c>
      <c r="G47" s="105">
        <f t="shared" si="3"/>
        <v>4783.6060541335082</v>
      </c>
      <c r="H47" s="105">
        <f t="shared" si="4"/>
        <v>13414.895238765708</v>
      </c>
      <c r="I47" s="108">
        <f t="shared" si="0"/>
        <v>8631.2891846322</v>
      </c>
      <c r="J47" s="183">
        <f t="shared" si="12"/>
        <v>1.8043478260869565</v>
      </c>
    </row>
    <row r="48" spans="1:10" x14ac:dyDescent="0.25">
      <c r="B48" s="78" t="s">
        <v>0</v>
      </c>
      <c r="C48" s="157"/>
      <c r="D48" s="111">
        <f>SUM(D42:D47)</f>
        <v>31114955.999999993</v>
      </c>
      <c r="E48" s="116"/>
      <c r="F48" s="184"/>
      <c r="G48" s="112">
        <f>SUM(G42:G47)</f>
        <v>32105.540166229403</v>
      </c>
      <c r="H48" s="112">
        <f t="shared" ref="H48:I48" si="13">SUM(H42:H47)</f>
        <v>90140.850731926301</v>
      </c>
      <c r="I48" s="112">
        <f t="shared" si="13"/>
        <v>58035.310565696913</v>
      </c>
      <c r="J48" s="98">
        <f t="shared" si="12"/>
        <v>1.8076416177772971</v>
      </c>
    </row>
    <row r="49" spans="1:12" x14ac:dyDescent="0.25">
      <c r="C49" s="157"/>
      <c r="D49" s="126"/>
      <c r="E49" s="116"/>
      <c r="F49" s="184"/>
      <c r="G49" s="104"/>
      <c r="H49" s="104"/>
      <c r="I49" s="104"/>
      <c r="J49" s="98"/>
    </row>
    <row r="50" spans="1:12" x14ac:dyDescent="0.25">
      <c r="A50" s="78" t="s">
        <v>20</v>
      </c>
      <c r="C50" s="157" t="s">
        <v>200</v>
      </c>
      <c r="D50" s="114"/>
      <c r="E50" s="107"/>
      <c r="F50" s="127"/>
      <c r="G50" s="105"/>
      <c r="H50" s="105"/>
      <c r="I50" s="108"/>
    </row>
    <row r="51" spans="1:12" x14ac:dyDescent="0.25">
      <c r="B51" s="78" t="s">
        <v>18</v>
      </c>
      <c r="C51" s="157"/>
      <c r="D51" s="318">
        <f>Rates!E49</f>
        <v>103101.32953264142</v>
      </c>
      <c r="E51" s="110">
        <v>3.8500000000000001E-3</v>
      </c>
      <c r="F51" s="128">
        <f>'Rates Summary'!G49</f>
        <v>1.081E-2</v>
      </c>
      <c r="G51" s="105">
        <f t="shared" ref="G51:G56" si="14">D51*(E51)</f>
        <v>396.94011870066947</v>
      </c>
      <c r="H51" s="105">
        <f t="shared" ref="H51:H56" si="15">D51*(F51)</f>
        <v>1114.5253722478537</v>
      </c>
      <c r="I51" s="108">
        <f t="shared" ref="I51:I56" si="16">H51-G51</f>
        <v>717.58525354718427</v>
      </c>
      <c r="J51" s="98">
        <f t="shared" ref="J51:J57" si="17">IF(G51=0,0,I51/G51)</f>
        <v>1.8077922077922077</v>
      </c>
    </row>
    <row r="52" spans="1:12" x14ac:dyDescent="0.25">
      <c r="B52" s="78" t="s">
        <v>17</v>
      </c>
      <c r="C52" s="157"/>
      <c r="D52" s="318">
        <f>Rates!E50</f>
        <v>103101.32953264142</v>
      </c>
      <c r="E52" s="110">
        <v>2.32E-3</v>
      </c>
      <c r="F52" s="128">
        <f>'Rates Summary'!G50</f>
        <v>6.5199999999999998E-3</v>
      </c>
      <c r="G52" s="105">
        <f t="shared" si="14"/>
        <v>239.1950845157281</v>
      </c>
      <c r="H52" s="105">
        <f t="shared" si="15"/>
        <v>672.22066855282208</v>
      </c>
      <c r="I52" s="108">
        <f t="shared" si="16"/>
        <v>433.02558403709395</v>
      </c>
      <c r="J52" s="98">
        <f t="shared" si="17"/>
        <v>1.8103448275862069</v>
      </c>
    </row>
    <row r="53" spans="1:12" x14ac:dyDescent="0.25">
      <c r="B53" s="78" t="s">
        <v>16</v>
      </c>
      <c r="C53" s="157"/>
      <c r="D53" s="318">
        <f>Rates!E51</f>
        <v>206202.65906528285</v>
      </c>
      <c r="E53" s="110">
        <v>1.48E-3</v>
      </c>
      <c r="F53" s="128">
        <f>'Rates Summary'!G51</f>
        <v>4.15E-3</v>
      </c>
      <c r="G53" s="105">
        <f t="shared" si="14"/>
        <v>305.1799354166186</v>
      </c>
      <c r="H53" s="105">
        <f t="shared" si="15"/>
        <v>855.74103512092381</v>
      </c>
      <c r="I53" s="108">
        <f t="shared" si="16"/>
        <v>550.56109970430521</v>
      </c>
      <c r="J53" s="98">
        <f t="shared" si="17"/>
        <v>1.8040540540540542</v>
      </c>
    </row>
    <row r="54" spans="1:12" x14ac:dyDescent="0.25">
      <c r="B54" s="78" t="s">
        <v>15</v>
      </c>
      <c r="C54" s="157"/>
      <c r="D54" s="318">
        <f>Rates!E52</f>
        <v>412405.31813056569</v>
      </c>
      <c r="E54" s="110">
        <v>9.5E-4</v>
      </c>
      <c r="F54" s="128">
        <f>'Rates Summary'!G52</f>
        <v>2.6700000000000001E-3</v>
      </c>
      <c r="G54" s="105">
        <f t="shared" si="14"/>
        <v>391.78505222403743</v>
      </c>
      <c r="H54" s="105">
        <f t="shared" si="15"/>
        <v>1101.1221994086104</v>
      </c>
      <c r="I54" s="108">
        <f t="shared" si="16"/>
        <v>709.33714718457304</v>
      </c>
      <c r="J54" s="98">
        <f t="shared" si="17"/>
        <v>1.8105263157894738</v>
      </c>
    </row>
    <row r="55" spans="1:12" x14ac:dyDescent="0.25">
      <c r="B55" s="78" t="s">
        <v>14</v>
      </c>
      <c r="C55" s="157"/>
      <c r="D55" s="318">
        <f>Rates!E53</f>
        <v>1237215.9543916972</v>
      </c>
      <c r="E55" s="110">
        <v>6.8000000000000005E-4</v>
      </c>
      <c r="F55" s="128">
        <f>'Rates Summary'!G53</f>
        <v>1.91E-3</v>
      </c>
      <c r="G55" s="105">
        <f t="shared" si="14"/>
        <v>841.30684898635411</v>
      </c>
      <c r="H55" s="105">
        <f t="shared" si="15"/>
        <v>2363.0824728881416</v>
      </c>
      <c r="I55" s="108">
        <f t="shared" si="16"/>
        <v>1521.7756239017876</v>
      </c>
      <c r="J55" s="98">
        <f t="shared" si="17"/>
        <v>1.8088235294117647</v>
      </c>
    </row>
    <row r="56" spans="1:12" x14ac:dyDescent="0.25">
      <c r="B56" s="78" t="s">
        <v>19</v>
      </c>
      <c r="C56" s="157"/>
      <c r="D56" s="318">
        <f>Rates!E54</f>
        <v>11936223.409347171</v>
      </c>
      <c r="E56" s="110">
        <v>4.6000000000000001E-4</v>
      </c>
      <c r="F56" s="128">
        <f>'Rates Summary'!G54</f>
        <v>1.2899999999999999E-3</v>
      </c>
      <c r="G56" s="105">
        <f t="shared" si="14"/>
        <v>5490.6627682996987</v>
      </c>
      <c r="H56" s="105">
        <f t="shared" si="15"/>
        <v>15397.72819805785</v>
      </c>
      <c r="I56" s="108">
        <f t="shared" si="16"/>
        <v>9907.0654297581514</v>
      </c>
      <c r="J56" s="99">
        <f t="shared" si="17"/>
        <v>1.8043478260869563</v>
      </c>
    </row>
    <row r="57" spans="1:12" x14ac:dyDescent="0.25">
      <c r="B57" s="78" t="s">
        <v>0</v>
      </c>
      <c r="C57" s="157"/>
      <c r="D57" s="111">
        <f>SUM(D51:D56)</f>
        <v>13998250</v>
      </c>
      <c r="E57" s="110"/>
      <c r="F57" s="185"/>
      <c r="G57" s="112">
        <f>SUM(G51:G56)</f>
        <v>7665.0698081431065</v>
      </c>
      <c r="H57" s="112">
        <f t="shared" ref="H57:I57" si="18">SUM(H51:H56)</f>
        <v>21504.419946276201</v>
      </c>
      <c r="I57" s="112">
        <f t="shared" si="18"/>
        <v>13839.350138133095</v>
      </c>
      <c r="J57" s="113">
        <f t="shared" si="17"/>
        <v>1.8055086887050456</v>
      </c>
    </row>
    <row r="58" spans="1:12" x14ac:dyDescent="0.25">
      <c r="C58" s="157"/>
      <c r="D58" s="126"/>
      <c r="E58" s="107"/>
      <c r="F58" s="116"/>
      <c r="G58" s="104"/>
      <c r="H58" s="104"/>
      <c r="I58" s="104"/>
      <c r="J58" s="98"/>
    </row>
    <row r="59" spans="1:12" x14ac:dyDescent="0.25">
      <c r="B59" s="78" t="s">
        <v>0</v>
      </c>
      <c r="D59" s="117">
        <f>D9+D11+D14+D21+D23+D33+D39+D48+D12+D15+D24+D57</f>
        <v>254048180</v>
      </c>
      <c r="E59" s="107"/>
      <c r="F59" s="116"/>
      <c r="G59" s="56">
        <f>G9+G11+G14+G21+G23+G33+G39+G48+G12+G15+G24+G57</f>
        <v>2100316.095061095</v>
      </c>
      <c r="H59" s="56">
        <f>H9+H11+H14+H21+H23+H33+H39+H48+H12+H15+H24+H57</f>
        <v>9907185.5843864139</v>
      </c>
      <c r="I59" s="56">
        <f>I9+I11+I14+I21+I23+I33+I39+I48+I12+I15+I24+I57</f>
        <v>7806869.4893253194</v>
      </c>
      <c r="J59" s="113">
        <f>IF(G59=0,0,I59/G59)</f>
        <v>3.7169974118101634</v>
      </c>
    </row>
    <row r="60" spans="1:12" x14ac:dyDescent="0.25">
      <c r="D60" s="89"/>
      <c r="E60" s="89"/>
      <c r="F60" s="118"/>
      <c r="G60" s="89"/>
      <c r="H60" s="89"/>
      <c r="J60" s="115"/>
    </row>
    <row r="61" spans="1:12" x14ac:dyDescent="0.25">
      <c r="D61" s="89"/>
      <c r="E61" s="89"/>
      <c r="F61" s="118"/>
      <c r="G61" s="119"/>
      <c r="H61" s="119"/>
    </row>
    <row r="62" spans="1:12" x14ac:dyDescent="0.25">
      <c r="L62" s="115"/>
    </row>
    <row r="63" spans="1:12" x14ac:dyDescent="0.25">
      <c r="B63" s="121"/>
      <c r="D63" s="122"/>
      <c r="E63" s="122"/>
      <c r="F63" s="123"/>
      <c r="G63" s="108"/>
      <c r="H63" s="108"/>
    </row>
    <row r="64" spans="1:12" x14ac:dyDescent="0.25">
      <c r="C64" s="118"/>
      <c r="D64" s="124"/>
      <c r="E64" s="89"/>
      <c r="F64" s="118"/>
    </row>
    <row r="65" spans="3:6" x14ac:dyDescent="0.25">
      <c r="C65" s="118"/>
      <c r="D65" s="89"/>
      <c r="E65" s="118"/>
      <c r="F65" s="118"/>
    </row>
    <row r="66" spans="3:6" x14ac:dyDescent="0.25">
      <c r="C66" s="118"/>
      <c r="D66" s="89"/>
      <c r="E66" s="125"/>
      <c r="F66" s="126"/>
    </row>
    <row r="67" spans="3:6" x14ac:dyDescent="0.25">
      <c r="C67" s="122"/>
      <c r="D67" s="122"/>
      <c r="E67" s="125"/>
      <c r="F67" s="126"/>
    </row>
    <row r="68" spans="3:6" x14ac:dyDescent="0.25">
      <c r="E68" s="125"/>
      <c r="F68" s="126"/>
    </row>
    <row r="69" spans="3:6" x14ac:dyDescent="0.25">
      <c r="E69" s="89"/>
      <c r="F69" s="118"/>
    </row>
    <row r="70" spans="3:6" x14ac:dyDescent="0.25">
      <c r="E70" s="89"/>
      <c r="F70" s="118"/>
    </row>
    <row r="71" spans="3:6" x14ac:dyDescent="0.25">
      <c r="E71" s="89"/>
      <c r="F71" s="118"/>
    </row>
  </sheetData>
  <mergeCells count="5">
    <mergeCell ref="A1:J1"/>
    <mergeCell ref="A2:J2"/>
    <mergeCell ref="A3:J3"/>
    <mergeCell ref="A4:J4"/>
    <mergeCell ref="A8:B8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23" sqref="M23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zoomScale="90" zoomScaleNormal="90" workbookViewId="0">
      <pane ySplit="8" topLeftCell="A9" activePane="bottomLeft" state="frozen"/>
      <selection activeCell="I18" sqref="I18"/>
      <selection pane="bottomLeft" activeCell="A9" sqref="A9"/>
    </sheetView>
  </sheetViews>
  <sheetFormatPr defaultColWidth="8.85546875" defaultRowHeight="12.75" x14ac:dyDescent="0.2"/>
  <cols>
    <col min="1" max="1" width="4.5703125" style="192" customWidth="1"/>
    <col min="2" max="2" width="3.140625" style="192" customWidth="1"/>
    <col min="3" max="3" width="25.7109375" style="192" customWidth="1"/>
    <col min="4" max="4" width="12.140625" style="192" customWidth="1"/>
    <col min="5" max="5" width="9.7109375" style="192" bestFit="1" customWidth="1"/>
    <col min="6" max="6" width="15.85546875" style="192" bestFit="1" customWidth="1"/>
    <col min="7" max="7" width="13.28515625" style="192" customWidth="1"/>
    <col min="8" max="8" width="13.28515625" style="192" bestFit="1" customWidth="1"/>
    <col min="9" max="10" width="12.5703125" style="192" bestFit="1" customWidth="1"/>
    <col min="11" max="11" width="11.42578125" style="192" customWidth="1"/>
    <col min="12" max="12" width="10.85546875" style="192" customWidth="1"/>
    <col min="13" max="13" width="10.140625" style="192" bestFit="1" customWidth="1"/>
    <col min="14" max="16384" width="8.85546875" style="192"/>
  </cols>
  <sheetData>
    <row r="1" spans="1:13" x14ac:dyDescent="0.2">
      <c r="A1" s="368" t="s">
        <v>12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x14ac:dyDescent="0.2">
      <c r="A2" s="40" t="str">
        <f>Rates!$A$2</f>
        <v>2025 Gas Schedule 129 Low Income Program Rate Filing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x14ac:dyDescent="0.2">
      <c r="A3" s="364" t="s">
        <v>202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</row>
    <row r="4" spans="1:13" x14ac:dyDescent="0.2">
      <c r="A4" s="36" t="str">
        <f>Rates!A4</f>
        <v>Proposed Effective May 1, 2025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8"/>
    </row>
    <row r="6" spans="1:13" x14ac:dyDescent="0.2">
      <c r="D6" s="322"/>
      <c r="E6" s="322"/>
      <c r="F6" s="323" t="s">
        <v>96</v>
      </c>
      <c r="G6" s="322"/>
      <c r="I6" s="322" t="s">
        <v>37</v>
      </c>
      <c r="J6" s="322" t="s">
        <v>54</v>
      </c>
      <c r="K6" s="322" t="s">
        <v>37</v>
      </c>
      <c r="L6" s="322"/>
    </row>
    <row r="7" spans="1:13" ht="14.25" x14ac:dyDescent="0.2">
      <c r="A7" s="322" t="s">
        <v>35</v>
      </c>
      <c r="D7" s="322" t="s">
        <v>57</v>
      </c>
      <c r="E7" s="322"/>
      <c r="F7" s="322" t="s">
        <v>76</v>
      </c>
      <c r="G7" s="322"/>
      <c r="H7" s="322" t="s">
        <v>42</v>
      </c>
      <c r="I7" s="322" t="s">
        <v>6</v>
      </c>
      <c r="J7" s="322" t="s">
        <v>6</v>
      </c>
      <c r="K7" s="322" t="s">
        <v>53</v>
      </c>
      <c r="L7" s="322" t="s">
        <v>27</v>
      </c>
    </row>
    <row r="8" spans="1:13" ht="14.25" x14ac:dyDescent="0.2">
      <c r="A8" s="321" t="s">
        <v>196</v>
      </c>
      <c r="B8" s="363" t="s">
        <v>52</v>
      </c>
      <c r="C8" s="363"/>
      <c r="D8" s="321" t="s">
        <v>50</v>
      </c>
      <c r="E8" s="321" t="s">
        <v>51</v>
      </c>
      <c r="F8" s="334" t="s">
        <v>222</v>
      </c>
      <c r="G8" s="321" t="s">
        <v>203</v>
      </c>
      <c r="H8" s="321" t="s">
        <v>49</v>
      </c>
      <c r="I8" s="321" t="s">
        <v>33</v>
      </c>
      <c r="J8" s="321" t="s">
        <v>33</v>
      </c>
      <c r="K8" s="321" t="s">
        <v>48</v>
      </c>
      <c r="L8" s="321" t="s">
        <v>6</v>
      </c>
    </row>
    <row r="9" spans="1:13" x14ac:dyDescent="0.2">
      <c r="A9" s="320"/>
      <c r="B9" s="320"/>
      <c r="C9" s="320" t="s">
        <v>179</v>
      </c>
      <c r="D9" s="320" t="s">
        <v>180</v>
      </c>
      <c r="E9" s="320" t="s">
        <v>197</v>
      </c>
      <c r="F9" s="320" t="s">
        <v>182</v>
      </c>
      <c r="G9" s="320" t="s">
        <v>183</v>
      </c>
      <c r="H9" s="320" t="s">
        <v>184</v>
      </c>
      <c r="I9" s="320" t="s">
        <v>185</v>
      </c>
      <c r="J9" s="320" t="s">
        <v>186</v>
      </c>
      <c r="K9" s="320" t="s">
        <v>187</v>
      </c>
      <c r="L9" s="320" t="s">
        <v>204</v>
      </c>
      <c r="M9" s="322"/>
    </row>
    <row r="10" spans="1:13" x14ac:dyDescent="0.2">
      <c r="A10" s="322">
        <v>1</v>
      </c>
      <c r="B10" s="192" t="s">
        <v>47</v>
      </c>
      <c r="D10" s="26"/>
      <c r="E10" s="26"/>
      <c r="F10" s="26"/>
    </row>
    <row r="11" spans="1:13" x14ac:dyDescent="0.2">
      <c r="A11" s="322">
        <f>A10+1</f>
        <v>2</v>
      </c>
      <c r="C11" s="192" t="s">
        <v>18</v>
      </c>
      <c r="D11" s="156">
        <v>3060057</v>
      </c>
      <c r="E11" s="190">
        <f>+D11/$D$18</f>
        <v>0.57388328331639848</v>
      </c>
      <c r="F11" s="19">
        <f t="shared" ref="F11:F16" si="0">+E11*$F$18</f>
        <v>3340379.4718684279</v>
      </c>
      <c r="G11" s="21">
        <f>G$40</f>
        <v>0.31281457683661656</v>
      </c>
      <c r="H11" s="18">
        <f t="shared" ref="H11:H16" si="1">ROUND(F11*G11,0)</f>
        <v>1044919</v>
      </c>
      <c r="J11" s="18">
        <f t="shared" ref="J11:J16" si="2">ROUND(H11*$I$58,0)</f>
        <v>23235</v>
      </c>
      <c r="K11" s="21">
        <f>K30</f>
        <v>6.96E-3</v>
      </c>
      <c r="L11" s="18">
        <f>F11*K11</f>
        <v>23249.041124204257</v>
      </c>
    </row>
    <row r="12" spans="1:13" x14ac:dyDescent="0.2">
      <c r="A12" s="322">
        <f t="shared" ref="A12:A58" si="3">A11+1</f>
        <v>3</v>
      </c>
      <c r="C12" s="192" t="s">
        <v>17</v>
      </c>
      <c r="D12" s="156">
        <v>1302042</v>
      </c>
      <c r="E12" s="190">
        <f t="shared" ref="E12:E16" si="4">+D12/$D$18</f>
        <v>0.24418503902896257</v>
      </c>
      <c r="F12" s="19">
        <f t="shared" si="0"/>
        <v>1421318.0892743212</v>
      </c>
      <c r="G12" s="21">
        <f>G$41</f>
        <v>0.18902416922559545</v>
      </c>
      <c r="H12" s="18">
        <f t="shared" si="1"/>
        <v>268663</v>
      </c>
      <c r="J12" s="18">
        <f t="shared" si="2"/>
        <v>5974</v>
      </c>
      <c r="K12" s="21">
        <f>K31</f>
        <v>4.1999999999999997E-3</v>
      </c>
      <c r="L12" s="18">
        <f>F12*K12</f>
        <v>5969.5359749521485</v>
      </c>
    </row>
    <row r="13" spans="1:13" x14ac:dyDescent="0.2">
      <c r="A13" s="322">
        <f t="shared" si="3"/>
        <v>4</v>
      </c>
      <c r="C13" s="192" t="s">
        <v>16</v>
      </c>
      <c r="D13" s="156">
        <v>868521</v>
      </c>
      <c r="E13" s="190">
        <f t="shared" si="4"/>
        <v>0.16288248327048865</v>
      </c>
      <c r="F13" s="19">
        <f t="shared" si="0"/>
        <v>948083.55507320247</v>
      </c>
      <c r="G13" s="21">
        <f>G$42</f>
        <v>0.12029358859656147</v>
      </c>
      <c r="H13" s="18">
        <f t="shared" si="1"/>
        <v>114048</v>
      </c>
      <c r="J13" s="18">
        <f t="shared" si="2"/>
        <v>2536</v>
      </c>
      <c r="K13" s="21"/>
    </row>
    <row r="14" spans="1:13" x14ac:dyDescent="0.2">
      <c r="A14" s="322">
        <f t="shared" si="3"/>
        <v>5</v>
      </c>
      <c r="C14" s="192" t="s">
        <v>15</v>
      </c>
      <c r="D14" s="156">
        <v>101574</v>
      </c>
      <c r="E14" s="190">
        <f t="shared" si="4"/>
        <v>1.9049194384150314E-2</v>
      </c>
      <c r="F14" s="19">
        <f t="shared" si="0"/>
        <v>110878.88378404836</v>
      </c>
      <c r="G14" s="21">
        <f>G$43</f>
        <v>7.7125960762887483E-2</v>
      </c>
      <c r="H14" s="18">
        <f t="shared" si="1"/>
        <v>8552</v>
      </c>
      <c r="J14" s="18">
        <f t="shared" si="2"/>
        <v>190</v>
      </c>
      <c r="K14" s="21"/>
    </row>
    <row r="15" spans="1:13" x14ac:dyDescent="0.2">
      <c r="A15" s="322">
        <f t="shared" si="3"/>
        <v>6</v>
      </c>
      <c r="C15" s="192" t="s">
        <v>14</v>
      </c>
      <c r="D15" s="156">
        <v>0</v>
      </c>
      <c r="E15" s="190">
        <f t="shared" si="4"/>
        <v>0</v>
      </c>
      <c r="F15" s="19">
        <f t="shared" si="0"/>
        <v>0</v>
      </c>
      <c r="G15" s="21">
        <f>G$44</f>
        <v>5.5512001854546536E-2</v>
      </c>
      <c r="H15" s="18">
        <f t="shared" si="1"/>
        <v>0</v>
      </c>
      <c r="J15" s="18">
        <f t="shared" si="2"/>
        <v>0</v>
      </c>
      <c r="K15" s="21"/>
    </row>
    <row r="16" spans="1:13" x14ac:dyDescent="0.2">
      <c r="A16" s="322">
        <f t="shared" si="3"/>
        <v>7</v>
      </c>
      <c r="C16" s="192" t="s">
        <v>19</v>
      </c>
      <c r="D16" s="156">
        <v>0</v>
      </c>
      <c r="E16" s="190">
        <f t="shared" si="4"/>
        <v>0</v>
      </c>
      <c r="F16" s="19">
        <f t="shared" si="0"/>
        <v>0</v>
      </c>
      <c r="G16" s="21">
        <f>G$45</f>
        <v>3.7425006952169167E-2</v>
      </c>
      <c r="H16" s="18">
        <f t="shared" si="1"/>
        <v>0</v>
      </c>
      <c r="J16" s="18">
        <f t="shared" si="2"/>
        <v>0</v>
      </c>
      <c r="K16" s="21"/>
    </row>
    <row r="17" spans="1:13" x14ac:dyDescent="0.2">
      <c r="A17" s="322">
        <f t="shared" si="3"/>
        <v>8</v>
      </c>
      <c r="C17" s="192" t="s">
        <v>44</v>
      </c>
      <c r="D17" s="23">
        <f>SUM(D13:D16)</f>
        <v>970095</v>
      </c>
      <c r="E17" s="146"/>
      <c r="F17" s="23">
        <f>SUM(F13:F16)</f>
        <v>1058962.4388572508</v>
      </c>
      <c r="G17" s="21"/>
      <c r="H17" s="22">
        <f>SUM(H13:H16)</f>
        <v>122600</v>
      </c>
      <c r="J17" s="22">
        <f>SUM(J13:J16)</f>
        <v>2726</v>
      </c>
      <c r="K17" s="21">
        <f>K36</f>
        <v>2.4199999999999998E-3</v>
      </c>
      <c r="L17" s="20">
        <f>F17*K17</f>
        <v>2562.689102034547</v>
      </c>
    </row>
    <row r="18" spans="1:13" x14ac:dyDescent="0.2">
      <c r="A18" s="322">
        <f t="shared" si="3"/>
        <v>9</v>
      </c>
      <c r="C18" s="192" t="s">
        <v>0</v>
      </c>
      <c r="D18" s="147">
        <f>SUM(D11:D16)</f>
        <v>5332194</v>
      </c>
      <c r="E18" s="24">
        <f>SUM(E11:E16)</f>
        <v>1</v>
      </c>
      <c r="F18" s="167">
        <f>SUM('Forecast Therms'!B13:F13)</f>
        <v>5820660</v>
      </c>
      <c r="G18" s="21"/>
      <c r="H18" s="22">
        <f>SUM(H11:H16)</f>
        <v>1436182</v>
      </c>
      <c r="I18" s="30">
        <f>Rates!H20</f>
        <v>31769.240232756878</v>
      </c>
      <c r="J18" s="22">
        <f>SUM(J11:J16)</f>
        <v>31935</v>
      </c>
      <c r="L18" s="22">
        <f>SUM(L11:L17)</f>
        <v>31781.266201190952</v>
      </c>
      <c r="M18" s="18">
        <f>L18-I18</f>
        <v>12.025968434074457</v>
      </c>
    </row>
    <row r="19" spans="1:13" x14ac:dyDescent="0.2">
      <c r="A19" s="322"/>
      <c r="C19" s="162"/>
      <c r="D19" s="187">
        <v>0</v>
      </c>
      <c r="E19" s="34"/>
      <c r="F19" s="26"/>
      <c r="G19" s="21"/>
    </row>
    <row r="20" spans="1:13" x14ac:dyDescent="0.2">
      <c r="A20" s="322">
        <f>A18+1</f>
        <v>10</v>
      </c>
      <c r="B20" s="192" t="s">
        <v>46</v>
      </c>
      <c r="D20" s="34"/>
      <c r="E20" s="34"/>
      <c r="F20" s="26"/>
      <c r="G20" s="21"/>
    </row>
    <row r="21" spans="1:13" x14ac:dyDescent="0.2">
      <c r="A21" s="322">
        <f t="shared" si="3"/>
        <v>11</v>
      </c>
      <c r="C21" s="192" t="s">
        <v>18</v>
      </c>
      <c r="D21" s="156">
        <v>500000</v>
      </c>
      <c r="E21" s="190">
        <f t="shared" ref="E21:E26" si="5">+D21/$D$27</f>
        <v>8.7778371549695547E-2</v>
      </c>
      <c r="F21" s="19">
        <f t="shared" ref="F21:F26" si="6">+E21*$F$27</f>
        <v>510321.94648890023</v>
      </c>
      <c r="G21" s="21">
        <f>G$40</f>
        <v>0.31281457683661656</v>
      </c>
      <c r="H21" s="18">
        <f t="shared" ref="H21:H26" si="7">ROUND(F21*G21,0)</f>
        <v>159636</v>
      </c>
      <c r="J21" s="18">
        <f t="shared" ref="J21:J26" si="8">ROUND(H21*$I$58,0)</f>
        <v>3550</v>
      </c>
      <c r="K21" s="21">
        <f t="shared" ref="K21:K26" si="9">K40</f>
        <v>6.96E-3</v>
      </c>
      <c r="L21" s="18">
        <f t="shared" ref="L21:L26" si="10">F21*K21</f>
        <v>3551.8407475627455</v>
      </c>
    </row>
    <row r="22" spans="1:13" x14ac:dyDescent="0.2">
      <c r="A22" s="322">
        <f t="shared" si="3"/>
        <v>12</v>
      </c>
      <c r="C22" s="192" t="s">
        <v>17</v>
      </c>
      <c r="D22" s="156">
        <v>500000</v>
      </c>
      <c r="E22" s="190">
        <f t="shared" si="5"/>
        <v>8.7778371549695547E-2</v>
      </c>
      <c r="F22" s="19">
        <f t="shared" si="6"/>
        <v>510321.94648890023</v>
      </c>
      <c r="G22" s="21">
        <f>G$41</f>
        <v>0.18902416922559545</v>
      </c>
      <c r="H22" s="18">
        <f t="shared" si="7"/>
        <v>96463</v>
      </c>
      <c r="J22" s="18">
        <f t="shared" si="8"/>
        <v>2145</v>
      </c>
      <c r="K22" s="21">
        <f t="shared" si="9"/>
        <v>4.1999999999999997E-3</v>
      </c>
      <c r="L22" s="18">
        <f t="shared" si="10"/>
        <v>2143.3521752533807</v>
      </c>
    </row>
    <row r="23" spans="1:13" x14ac:dyDescent="0.2">
      <c r="A23" s="322">
        <f t="shared" si="3"/>
        <v>13</v>
      </c>
      <c r="C23" s="192" t="s">
        <v>16</v>
      </c>
      <c r="D23" s="156">
        <v>840233</v>
      </c>
      <c r="E23" s="190">
        <f t="shared" si="5"/>
        <v>0.14750856892463068</v>
      </c>
      <c r="F23" s="19">
        <f t="shared" si="6"/>
        <v>857578.68012841628</v>
      </c>
      <c r="G23" s="21">
        <f>G$42</f>
        <v>0.12029358859656147</v>
      </c>
      <c r="H23" s="18">
        <f t="shared" si="7"/>
        <v>103161</v>
      </c>
      <c r="J23" s="18">
        <f t="shared" si="8"/>
        <v>2294</v>
      </c>
      <c r="K23" s="21">
        <f t="shared" si="9"/>
        <v>2.6700000000000001E-3</v>
      </c>
      <c r="L23" s="18">
        <f t="shared" si="10"/>
        <v>2289.7350759428714</v>
      </c>
    </row>
    <row r="24" spans="1:13" x14ac:dyDescent="0.2">
      <c r="A24" s="322">
        <f t="shared" si="3"/>
        <v>14</v>
      </c>
      <c r="C24" s="192" t="s">
        <v>15</v>
      </c>
      <c r="D24" s="156">
        <v>673533</v>
      </c>
      <c r="E24" s="190">
        <f t="shared" si="5"/>
        <v>0.11824325984996219</v>
      </c>
      <c r="F24" s="19">
        <f t="shared" si="6"/>
        <v>687437.34316901688</v>
      </c>
      <c r="G24" s="21">
        <f>G$43</f>
        <v>7.7125960762887483E-2</v>
      </c>
      <c r="H24" s="18">
        <f t="shared" si="7"/>
        <v>53019</v>
      </c>
      <c r="J24" s="18">
        <f t="shared" si="8"/>
        <v>1179</v>
      </c>
      <c r="K24" s="21">
        <f t="shared" si="9"/>
        <v>1.72E-3</v>
      </c>
      <c r="L24" s="18">
        <f t="shared" si="10"/>
        <v>1182.392230250709</v>
      </c>
    </row>
    <row r="25" spans="1:13" x14ac:dyDescent="0.2">
      <c r="A25" s="322">
        <f t="shared" si="3"/>
        <v>15</v>
      </c>
      <c r="C25" s="192" t="s">
        <v>14</v>
      </c>
      <c r="D25" s="156">
        <v>1500000</v>
      </c>
      <c r="E25" s="190">
        <f t="shared" si="5"/>
        <v>0.26333511464908665</v>
      </c>
      <c r="F25" s="19">
        <f t="shared" si="6"/>
        <v>1530965.8394667008</v>
      </c>
      <c r="G25" s="21">
        <f>G$44</f>
        <v>5.5512001854546536E-2</v>
      </c>
      <c r="H25" s="18">
        <f t="shared" si="7"/>
        <v>84987</v>
      </c>
      <c r="J25" s="18">
        <f t="shared" si="8"/>
        <v>1890</v>
      </c>
      <c r="K25" s="21">
        <f t="shared" si="9"/>
        <v>1.23E-3</v>
      </c>
      <c r="L25" s="18">
        <f t="shared" si="10"/>
        <v>1883.087982544042</v>
      </c>
    </row>
    <row r="26" spans="1:13" x14ac:dyDescent="0.2">
      <c r="A26" s="322">
        <f t="shared" si="3"/>
        <v>16</v>
      </c>
      <c r="C26" s="192" t="s">
        <v>19</v>
      </c>
      <c r="D26" s="337">
        <v>1682398</v>
      </c>
      <c r="E26" s="25">
        <f t="shared" si="5"/>
        <v>0.29535631347692937</v>
      </c>
      <c r="F26" s="19">
        <f t="shared" si="6"/>
        <v>1717129.2442580655</v>
      </c>
      <c r="G26" s="21">
        <f>G$45</f>
        <v>3.7425006952169167E-2</v>
      </c>
      <c r="H26" s="18">
        <f t="shared" si="7"/>
        <v>64264</v>
      </c>
      <c r="J26" s="18">
        <f t="shared" si="8"/>
        <v>1429</v>
      </c>
      <c r="K26" s="21">
        <f t="shared" si="9"/>
        <v>8.3000000000000001E-4</v>
      </c>
      <c r="L26" s="18">
        <f t="shared" si="10"/>
        <v>1425.2172727341945</v>
      </c>
    </row>
    <row r="27" spans="1:13" x14ac:dyDescent="0.2">
      <c r="A27" s="322">
        <f t="shared" si="3"/>
        <v>17</v>
      </c>
      <c r="C27" s="192" t="s">
        <v>0</v>
      </c>
      <c r="D27" s="34">
        <f>SUM(D21:D26)</f>
        <v>5696164</v>
      </c>
      <c r="E27" s="190">
        <f>SUM(E21:E26)</f>
        <v>1</v>
      </c>
      <c r="F27" s="167">
        <f>SUM('Forecast Therms'!B15:F15)</f>
        <v>5813755</v>
      </c>
      <c r="G27" s="21"/>
      <c r="H27" s="22">
        <f>SUM(H21:H26)</f>
        <v>561530</v>
      </c>
      <c r="I27" s="30">
        <f>Rates!H31</f>
        <v>19097.986264802115</v>
      </c>
      <c r="J27" s="22">
        <f>SUM(J21:J26)</f>
        <v>12487</v>
      </c>
      <c r="L27" s="22">
        <f>SUM(L21:L26)</f>
        <v>12475.625484287944</v>
      </c>
      <c r="M27" s="18">
        <f>L27-I27</f>
        <v>-6622.360780514171</v>
      </c>
    </row>
    <row r="28" spans="1:13" x14ac:dyDescent="0.2">
      <c r="A28" s="322"/>
      <c r="C28" s="162"/>
      <c r="D28" s="187">
        <v>0</v>
      </c>
      <c r="E28" s="34"/>
      <c r="F28" s="2"/>
      <c r="G28" s="21"/>
      <c r="H28" s="5"/>
      <c r="I28" s="1"/>
      <c r="J28" s="5"/>
      <c r="L28" s="5"/>
    </row>
    <row r="29" spans="1:13" x14ac:dyDescent="0.2">
      <c r="A29" s="322">
        <f>A27+1</f>
        <v>18</v>
      </c>
      <c r="B29" s="192" t="s">
        <v>45</v>
      </c>
      <c r="D29" s="34"/>
      <c r="E29" s="34"/>
      <c r="F29" s="2"/>
      <c r="G29" s="21"/>
      <c r="H29" s="5"/>
      <c r="I29" s="1"/>
      <c r="J29" s="5"/>
      <c r="L29" s="5"/>
    </row>
    <row r="30" spans="1:13" x14ac:dyDescent="0.2">
      <c r="A30" s="322">
        <f t="shared" si="3"/>
        <v>19</v>
      </c>
      <c r="C30" s="192" t="s">
        <v>18</v>
      </c>
      <c r="D30" s="156">
        <v>8646527</v>
      </c>
      <c r="E30" s="190">
        <f t="shared" ref="E30:E35" si="11">+D30/$D$37</f>
        <v>0.40658978578547927</v>
      </c>
      <c r="F30" s="19">
        <f t="shared" ref="F30:F35" si="12">+E30*$F$37</f>
        <v>9214065.7590784468</v>
      </c>
      <c r="G30" s="21">
        <f>G$40</f>
        <v>0.31281457683661656</v>
      </c>
      <c r="H30" s="18">
        <f t="shared" ref="H30:H35" si="13">ROUND(F30*G30,0)</f>
        <v>2882294</v>
      </c>
      <c r="I30" s="1"/>
      <c r="J30" s="18">
        <f t="shared" ref="J30:J35" si="14">ROUND(H30*$I$58,0)</f>
        <v>64092</v>
      </c>
      <c r="K30" s="21">
        <f>K40</f>
        <v>6.96E-3</v>
      </c>
      <c r="L30" s="18">
        <f>F30*K30</f>
        <v>64129.897683185991</v>
      </c>
    </row>
    <row r="31" spans="1:13" x14ac:dyDescent="0.2">
      <c r="A31" s="322">
        <f t="shared" si="3"/>
        <v>20</v>
      </c>
      <c r="C31" s="192" t="s">
        <v>17</v>
      </c>
      <c r="D31" s="156">
        <v>5508237</v>
      </c>
      <c r="E31" s="190">
        <f t="shared" si="11"/>
        <v>0.25901647006776835</v>
      </c>
      <c r="F31" s="19">
        <f t="shared" si="12"/>
        <v>5869785.3987605646</v>
      </c>
      <c r="G31" s="21">
        <f>G$41</f>
        <v>0.18902416922559545</v>
      </c>
      <c r="H31" s="18">
        <f t="shared" si="13"/>
        <v>1109531</v>
      </c>
      <c r="I31" s="1"/>
      <c r="J31" s="18">
        <f t="shared" si="14"/>
        <v>24672</v>
      </c>
      <c r="K31" s="21">
        <f>K41</f>
        <v>4.1999999999999997E-3</v>
      </c>
      <c r="L31" s="18">
        <f>F31*K31</f>
        <v>24653.098674794372</v>
      </c>
    </row>
    <row r="32" spans="1:13" x14ac:dyDescent="0.2">
      <c r="A32" s="322">
        <f t="shared" si="3"/>
        <v>21</v>
      </c>
      <c r="C32" s="192" t="s">
        <v>16</v>
      </c>
      <c r="D32" s="156">
        <v>5115924</v>
      </c>
      <c r="E32" s="190">
        <f t="shared" si="11"/>
        <v>0.24056854772497585</v>
      </c>
      <c r="F32" s="19">
        <f t="shared" si="12"/>
        <v>5451721.8479104554</v>
      </c>
      <c r="G32" s="21">
        <f>G$42</f>
        <v>0.12029358859656147</v>
      </c>
      <c r="H32" s="18">
        <f t="shared" si="13"/>
        <v>655807</v>
      </c>
      <c r="I32" s="1"/>
      <c r="J32" s="18">
        <f t="shared" si="14"/>
        <v>14583</v>
      </c>
      <c r="L32" s="5"/>
    </row>
    <row r="33" spans="1:13" x14ac:dyDescent="0.2">
      <c r="A33" s="322">
        <f t="shared" si="3"/>
        <v>22</v>
      </c>
      <c r="C33" s="192" t="s">
        <v>15</v>
      </c>
      <c r="D33" s="156">
        <v>1816540</v>
      </c>
      <c r="E33" s="190">
        <f t="shared" si="11"/>
        <v>8.5420031588492637E-2</v>
      </c>
      <c r="F33" s="19">
        <f t="shared" si="12"/>
        <v>1935773.636512829</v>
      </c>
      <c r="G33" s="21">
        <f>G$43</f>
        <v>7.7125960762887483E-2</v>
      </c>
      <c r="H33" s="18">
        <f t="shared" si="13"/>
        <v>149298</v>
      </c>
      <c r="I33" s="1"/>
      <c r="J33" s="18">
        <f t="shared" si="14"/>
        <v>3320</v>
      </c>
      <c r="L33" s="5"/>
    </row>
    <row r="34" spans="1:13" x14ac:dyDescent="0.2">
      <c r="A34" s="322">
        <f t="shared" si="3"/>
        <v>23</v>
      </c>
      <c r="C34" s="192" t="s">
        <v>14</v>
      </c>
      <c r="D34" s="156">
        <v>178744</v>
      </c>
      <c r="E34" s="190">
        <f t="shared" si="11"/>
        <v>8.4051648332838964E-3</v>
      </c>
      <c r="F34" s="19">
        <f t="shared" si="12"/>
        <v>190476.35773770418</v>
      </c>
      <c r="G34" s="21">
        <f>G$44</f>
        <v>5.5512001854546536E-2</v>
      </c>
      <c r="H34" s="18">
        <f t="shared" si="13"/>
        <v>10574</v>
      </c>
      <c r="I34" s="1"/>
      <c r="J34" s="18">
        <f t="shared" si="14"/>
        <v>235</v>
      </c>
      <c r="L34" s="5"/>
    </row>
    <row r="35" spans="1:13" x14ac:dyDescent="0.2">
      <c r="A35" s="322">
        <f t="shared" si="3"/>
        <v>24</v>
      </c>
      <c r="C35" s="192" t="s">
        <v>19</v>
      </c>
      <c r="D35" s="156">
        <v>0</v>
      </c>
      <c r="E35" s="190">
        <f t="shared" si="11"/>
        <v>0</v>
      </c>
      <c r="F35" s="19">
        <f t="shared" si="12"/>
        <v>0</v>
      </c>
      <c r="G35" s="21">
        <f>G$45</f>
        <v>3.7425006952169167E-2</v>
      </c>
      <c r="H35" s="18">
        <f t="shared" si="13"/>
        <v>0</v>
      </c>
      <c r="I35" s="1"/>
      <c r="J35" s="18">
        <f t="shared" si="14"/>
        <v>0</v>
      </c>
      <c r="L35" s="5"/>
    </row>
    <row r="36" spans="1:13" x14ac:dyDescent="0.2">
      <c r="A36" s="322">
        <f t="shared" si="3"/>
        <v>25</v>
      </c>
      <c r="C36" s="192" t="s">
        <v>44</v>
      </c>
      <c r="D36" s="35">
        <f>SUM(D32:D35)</f>
        <v>7111208</v>
      </c>
      <c r="E36" s="37"/>
      <c r="F36" s="35">
        <f>SUM(F32:F35)</f>
        <v>7577971.8421609886</v>
      </c>
      <c r="G36" s="21"/>
      <c r="H36" s="20">
        <f>SUM(H32:H35)</f>
        <v>815679</v>
      </c>
      <c r="J36" s="20">
        <f>SUM(J32:J35)</f>
        <v>18138</v>
      </c>
      <c r="K36" s="21">
        <f>ROUND((J36+J17)/(F36+F17),5)</f>
        <v>2.4199999999999998E-3</v>
      </c>
      <c r="L36" s="20">
        <f>F36*K36</f>
        <v>18338.69185802959</v>
      </c>
    </row>
    <row r="37" spans="1:13" x14ac:dyDescent="0.2">
      <c r="A37" s="322">
        <f t="shared" si="3"/>
        <v>26</v>
      </c>
      <c r="C37" s="192" t="s">
        <v>0</v>
      </c>
      <c r="D37" s="34">
        <f>SUM(D30:D35)</f>
        <v>21265972</v>
      </c>
      <c r="E37" s="190">
        <f>SUM(E30:E35)</f>
        <v>1</v>
      </c>
      <c r="F37" s="167">
        <f>SUM('Forecast Therms'!B18:F18)</f>
        <v>22661823</v>
      </c>
      <c r="G37" s="21"/>
      <c r="H37" s="5">
        <f>SUM(H30:H35)</f>
        <v>4807504</v>
      </c>
      <c r="I37" s="30">
        <f>Rates!H37</f>
        <v>92020.426128974941</v>
      </c>
      <c r="J37" s="5">
        <f>SUM(J30:J35)</f>
        <v>106902</v>
      </c>
      <c r="L37" s="22">
        <f>SUM(L30:L36)</f>
        <v>107121.68821600995</v>
      </c>
      <c r="M37" s="18">
        <f>L37-I37</f>
        <v>15101.262087035007</v>
      </c>
    </row>
    <row r="38" spans="1:13" x14ac:dyDescent="0.2">
      <c r="A38" s="322"/>
      <c r="C38" s="162"/>
      <c r="D38" s="187">
        <v>0</v>
      </c>
      <c r="E38" s="34"/>
      <c r="F38" s="2"/>
      <c r="G38" s="21"/>
      <c r="H38" s="5"/>
      <c r="I38" s="1"/>
      <c r="J38" s="5"/>
      <c r="L38" s="5"/>
    </row>
    <row r="39" spans="1:13" x14ac:dyDescent="0.2">
      <c r="A39" s="322">
        <f>A37+1</f>
        <v>27</v>
      </c>
      <c r="B39" s="192" t="s">
        <v>259</v>
      </c>
      <c r="D39" s="34"/>
      <c r="E39" s="34"/>
      <c r="F39" s="2"/>
      <c r="G39" s="21"/>
      <c r="H39" s="18"/>
      <c r="I39" s="1"/>
      <c r="J39" s="5"/>
      <c r="L39" s="5"/>
    </row>
    <row r="40" spans="1:13" x14ac:dyDescent="0.2">
      <c r="A40" s="322">
        <f t="shared" si="3"/>
        <v>28</v>
      </c>
      <c r="C40" s="192" t="s">
        <v>18</v>
      </c>
      <c r="D40" s="156">
        <v>1694591</v>
      </c>
      <c r="E40" s="190">
        <f t="shared" ref="E40:E45" si="15">+D40/$D$46</f>
        <v>6.3102523190840379E-2</v>
      </c>
      <c r="F40" s="19">
        <f t="shared" ref="F40:F45" si="16">+E40*$F$46</f>
        <v>1963432.2325719779</v>
      </c>
      <c r="G40" s="306">
        <f>'Exh JDT-5 (Rate Design)'!I147</f>
        <v>0.31281457683661656</v>
      </c>
      <c r="H40" s="18">
        <f t="shared" ref="H40:H45" si="17">ROUND(F40*G40,0)</f>
        <v>614190</v>
      </c>
      <c r="I40" s="1"/>
      <c r="J40" s="18">
        <f t="shared" ref="J40:J45" si="18">ROUND(H40*$I$58,0)</f>
        <v>13657</v>
      </c>
      <c r="K40" s="21">
        <f t="shared" ref="K40:K45" si="19">ROUND(J40/F40,5)</f>
        <v>6.96E-3</v>
      </c>
      <c r="L40" s="18">
        <f t="shared" ref="L40:L45" si="20">F40*K40</f>
        <v>13665.488338700967</v>
      </c>
    </row>
    <row r="41" spans="1:13" x14ac:dyDescent="0.2">
      <c r="A41" s="322">
        <f t="shared" si="3"/>
        <v>29</v>
      </c>
      <c r="C41" s="192" t="s">
        <v>17</v>
      </c>
      <c r="D41" s="156">
        <v>1675000</v>
      </c>
      <c r="E41" s="190">
        <f t="shared" si="15"/>
        <v>6.2373001122192691E-2</v>
      </c>
      <c r="F41" s="19">
        <f t="shared" si="16"/>
        <v>1940733.1855049762</v>
      </c>
      <c r="G41" s="306">
        <f>'Exh JDT-5 (Rate Design)'!I148</f>
        <v>0.18902416922559545</v>
      </c>
      <c r="H41" s="18">
        <f t="shared" si="17"/>
        <v>366845</v>
      </c>
      <c r="I41" s="1"/>
      <c r="J41" s="18">
        <f t="shared" si="18"/>
        <v>8157</v>
      </c>
      <c r="K41" s="21">
        <f t="shared" si="19"/>
        <v>4.1999999999999997E-3</v>
      </c>
      <c r="L41" s="18">
        <f t="shared" si="20"/>
        <v>8151.0793791208998</v>
      </c>
    </row>
    <row r="42" spans="1:13" x14ac:dyDescent="0.2">
      <c r="A42" s="322">
        <f t="shared" si="3"/>
        <v>30</v>
      </c>
      <c r="C42" s="192" t="s">
        <v>16</v>
      </c>
      <c r="D42" s="156">
        <v>2805542</v>
      </c>
      <c r="E42" s="190">
        <f t="shared" si="15"/>
        <v>0.10447168615782611</v>
      </c>
      <c r="F42" s="19">
        <f t="shared" si="16"/>
        <v>3250631.9180465685</v>
      </c>
      <c r="G42" s="306">
        <f>'Exh JDT-5 (Rate Design)'!I149</f>
        <v>0.12029358859656147</v>
      </c>
      <c r="H42" s="18">
        <f t="shared" si="17"/>
        <v>391030</v>
      </c>
      <c r="I42" s="1"/>
      <c r="J42" s="18">
        <f t="shared" si="18"/>
        <v>8695</v>
      </c>
      <c r="K42" s="21">
        <f t="shared" si="19"/>
        <v>2.6700000000000001E-3</v>
      </c>
      <c r="L42" s="18">
        <f t="shared" si="20"/>
        <v>8679.1872211843383</v>
      </c>
    </row>
    <row r="43" spans="1:13" x14ac:dyDescent="0.2">
      <c r="A43" s="322">
        <f t="shared" si="3"/>
        <v>31</v>
      </c>
      <c r="C43" s="192" t="s">
        <v>15</v>
      </c>
      <c r="D43" s="156">
        <v>3924737</v>
      </c>
      <c r="E43" s="190">
        <f t="shared" si="15"/>
        <v>0.14614783600317086</v>
      </c>
      <c r="F43" s="19">
        <f t="shared" si="16"/>
        <v>4547383.4867338771</v>
      </c>
      <c r="G43" s="306">
        <f>'Exh JDT-5 (Rate Design)'!I150</f>
        <v>7.7125960762887483E-2</v>
      </c>
      <c r="H43" s="18">
        <f t="shared" si="17"/>
        <v>350721</v>
      </c>
      <c r="I43" s="1"/>
      <c r="J43" s="18">
        <f t="shared" si="18"/>
        <v>7799</v>
      </c>
      <c r="K43" s="21">
        <f t="shared" si="19"/>
        <v>1.72E-3</v>
      </c>
      <c r="L43" s="18">
        <f t="shared" si="20"/>
        <v>7821.4995971822682</v>
      </c>
    </row>
    <row r="44" spans="1:13" x14ac:dyDescent="0.2">
      <c r="A44" s="322">
        <f t="shared" si="3"/>
        <v>32</v>
      </c>
      <c r="C44" s="192" t="s">
        <v>14</v>
      </c>
      <c r="D44" s="156">
        <v>7779448</v>
      </c>
      <c r="E44" s="190">
        <f t="shared" si="15"/>
        <v>0.28968807094569532</v>
      </c>
      <c r="F44" s="19">
        <f t="shared" si="16"/>
        <v>9013631.581200188</v>
      </c>
      <c r="G44" s="306">
        <f>'Exh JDT-5 (Rate Design)'!I151</f>
        <v>5.5512001854546536E-2</v>
      </c>
      <c r="H44" s="18">
        <f t="shared" si="17"/>
        <v>500365</v>
      </c>
      <c r="I44" s="1"/>
      <c r="J44" s="18">
        <f t="shared" si="18"/>
        <v>11126</v>
      </c>
      <c r="K44" s="21">
        <f t="shared" si="19"/>
        <v>1.23E-3</v>
      </c>
      <c r="L44" s="18">
        <f t="shared" si="20"/>
        <v>11086.766844876231</v>
      </c>
    </row>
    <row r="45" spans="1:13" x14ac:dyDescent="0.2">
      <c r="A45" s="322">
        <f t="shared" si="3"/>
        <v>33</v>
      </c>
      <c r="C45" s="192" t="s">
        <v>19</v>
      </c>
      <c r="D45" s="156">
        <v>8975250</v>
      </c>
      <c r="E45" s="25">
        <f t="shared" si="15"/>
        <v>0.3342168825802746</v>
      </c>
      <c r="F45" s="19">
        <f t="shared" si="16"/>
        <v>10399143.59594241</v>
      </c>
      <c r="G45" s="306">
        <f>'Exh JDT-5 (Rate Design)'!I152</f>
        <v>3.7425006952169167E-2</v>
      </c>
      <c r="H45" s="18">
        <f t="shared" si="17"/>
        <v>389188</v>
      </c>
      <c r="I45" s="1"/>
      <c r="J45" s="17">
        <f t="shared" si="18"/>
        <v>8654</v>
      </c>
      <c r="K45" s="21">
        <f t="shared" si="19"/>
        <v>8.3000000000000001E-4</v>
      </c>
      <c r="L45" s="17">
        <f t="shared" si="20"/>
        <v>8631.2891846322</v>
      </c>
    </row>
    <row r="46" spans="1:13" x14ac:dyDescent="0.2">
      <c r="A46" s="322">
        <f t="shared" si="3"/>
        <v>34</v>
      </c>
      <c r="C46" s="192" t="s">
        <v>0</v>
      </c>
      <c r="D46" s="147">
        <f>SUM(D40:D45)</f>
        <v>26854568</v>
      </c>
      <c r="E46" s="190">
        <f>SUM(E40:E45)</f>
        <v>0.99999999999999989</v>
      </c>
      <c r="F46" s="167">
        <f>SUM('Forecast Therms'!B20:F20)</f>
        <v>31114956</v>
      </c>
      <c r="G46" s="21"/>
      <c r="H46" s="22">
        <f>SUM(H40:H45)</f>
        <v>2612339</v>
      </c>
      <c r="I46" s="30">
        <f>Rates!H46</f>
        <v>67172.731744057819</v>
      </c>
      <c r="J46" s="22">
        <f>SUM(J40:J45)</f>
        <v>58088</v>
      </c>
      <c r="L46" s="5">
        <f>SUM(L40:L45)</f>
        <v>58035.310565696898</v>
      </c>
      <c r="M46" s="18">
        <f>L46-I46</f>
        <v>-9137.4211783609207</v>
      </c>
    </row>
    <row r="47" spans="1:13" x14ac:dyDescent="0.2">
      <c r="A47" s="322"/>
      <c r="D47" s="187">
        <v>0</v>
      </c>
    </row>
    <row r="48" spans="1:13" x14ac:dyDescent="0.2">
      <c r="A48" s="322">
        <f>A46+1</f>
        <v>35</v>
      </c>
      <c r="B48" s="192" t="s">
        <v>258</v>
      </c>
      <c r="D48" s="34"/>
      <c r="E48" s="34"/>
      <c r="F48" s="26"/>
      <c r="G48" s="21"/>
    </row>
    <row r="49" spans="1:14" x14ac:dyDescent="0.2">
      <c r="A49" s="322">
        <f t="shared" si="3"/>
        <v>36</v>
      </c>
      <c r="C49" s="192" t="s">
        <v>18</v>
      </c>
      <c r="D49" s="156">
        <v>100000</v>
      </c>
      <c r="E49" s="190">
        <f t="shared" ref="E49:E54" si="21">+D49/$D$55</f>
        <v>7.3653013435709055E-3</v>
      </c>
      <c r="F49" s="19">
        <f t="shared" ref="F49:F54" si="22">+E49*$F$55</f>
        <v>103101.32953264142</v>
      </c>
      <c r="G49" s="21">
        <f>G$40</f>
        <v>0.31281457683661656</v>
      </c>
      <c r="H49" s="18">
        <f t="shared" ref="H49:H54" si="23">ROUND(F49*G49,0)</f>
        <v>32252</v>
      </c>
      <c r="J49" s="18">
        <f t="shared" ref="J49:J54" si="24">ROUND(H49*$I$58,0)</f>
        <v>717</v>
      </c>
      <c r="K49" s="21">
        <f t="shared" ref="K49:K54" si="25">K40</f>
        <v>6.96E-3</v>
      </c>
      <c r="L49" s="18">
        <f t="shared" ref="L49:L54" si="26">F49*K49</f>
        <v>717.58525354718427</v>
      </c>
      <c r="N49" s="261"/>
    </row>
    <row r="50" spans="1:14" x14ac:dyDescent="0.2">
      <c r="A50" s="322">
        <f t="shared" si="3"/>
        <v>37</v>
      </c>
      <c r="C50" s="192" t="s">
        <v>17</v>
      </c>
      <c r="D50" s="156">
        <v>100000</v>
      </c>
      <c r="E50" s="190">
        <f t="shared" si="21"/>
        <v>7.3653013435709055E-3</v>
      </c>
      <c r="F50" s="19">
        <f t="shared" si="22"/>
        <v>103101.32953264142</v>
      </c>
      <c r="G50" s="21">
        <f>G$41</f>
        <v>0.18902416922559545</v>
      </c>
      <c r="H50" s="18">
        <f t="shared" si="23"/>
        <v>19489</v>
      </c>
      <c r="J50" s="18">
        <f t="shared" si="24"/>
        <v>433</v>
      </c>
      <c r="K50" s="21">
        <f t="shared" si="25"/>
        <v>4.1999999999999997E-3</v>
      </c>
      <c r="L50" s="18">
        <f t="shared" si="26"/>
        <v>433.02558403709395</v>
      </c>
    </row>
    <row r="51" spans="1:14" x14ac:dyDescent="0.2">
      <c r="A51" s="322">
        <f t="shared" si="3"/>
        <v>38</v>
      </c>
      <c r="C51" s="192" t="s">
        <v>16</v>
      </c>
      <c r="D51" s="156">
        <v>200000</v>
      </c>
      <c r="E51" s="190">
        <f t="shared" si="21"/>
        <v>1.4730602687141811E-2</v>
      </c>
      <c r="F51" s="19">
        <f t="shared" si="22"/>
        <v>206202.65906528285</v>
      </c>
      <c r="G51" s="21">
        <f>G$42</f>
        <v>0.12029358859656147</v>
      </c>
      <c r="H51" s="18">
        <f t="shared" si="23"/>
        <v>24805</v>
      </c>
      <c r="J51" s="18">
        <f t="shared" si="24"/>
        <v>552</v>
      </c>
      <c r="K51" s="21">
        <f t="shared" si="25"/>
        <v>2.6700000000000001E-3</v>
      </c>
      <c r="L51" s="18">
        <f t="shared" si="26"/>
        <v>550.56109970430521</v>
      </c>
    </row>
    <row r="52" spans="1:14" x14ac:dyDescent="0.2">
      <c r="A52" s="322">
        <f t="shared" si="3"/>
        <v>39</v>
      </c>
      <c r="C52" s="192" t="s">
        <v>15</v>
      </c>
      <c r="D52" s="156">
        <v>400000</v>
      </c>
      <c r="E52" s="190">
        <f t="shared" si="21"/>
        <v>2.9461205374283622E-2</v>
      </c>
      <c r="F52" s="19">
        <f t="shared" si="22"/>
        <v>412405.31813056569</v>
      </c>
      <c r="G52" s="21">
        <f>G$43</f>
        <v>7.7125960762887483E-2</v>
      </c>
      <c r="H52" s="18">
        <f t="shared" si="23"/>
        <v>31807</v>
      </c>
      <c r="J52" s="18">
        <f t="shared" si="24"/>
        <v>707</v>
      </c>
      <c r="K52" s="21">
        <f t="shared" si="25"/>
        <v>1.72E-3</v>
      </c>
      <c r="L52" s="18">
        <f t="shared" si="26"/>
        <v>709.33714718457293</v>
      </c>
    </row>
    <row r="53" spans="1:14" x14ac:dyDescent="0.2">
      <c r="A53" s="322">
        <f t="shared" si="3"/>
        <v>40</v>
      </c>
      <c r="C53" s="192" t="s">
        <v>14</v>
      </c>
      <c r="D53" s="156">
        <v>1200000</v>
      </c>
      <c r="E53" s="190">
        <f t="shared" si="21"/>
        <v>8.8383616122850867E-2</v>
      </c>
      <c r="F53" s="19">
        <f t="shared" si="22"/>
        <v>1237215.9543916972</v>
      </c>
      <c r="G53" s="21">
        <f>G$44</f>
        <v>5.5512001854546536E-2</v>
      </c>
      <c r="H53" s="18">
        <f t="shared" si="23"/>
        <v>68680</v>
      </c>
      <c r="J53" s="18">
        <f t="shared" si="24"/>
        <v>1527</v>
      </c>
      <c r="K53" s="21">
        <f t="shared" si="25"/>
        <v>1.23E-3</v>
      </c>
      <c r="L53" s="18">
        <f t="shared" si="26"/>
        <v>1521.7756239017874</v>
      </c>
    </row>
    <row r="54" spans="1:14" x14ac:dyDescent="0.2">
      <c r="A54" s="322">
        <f t="shared" si="3"/>
        <v>41</v>
      </c>
      <c r="C54" s="192" t="s">
        <v>19</v>
      </c>
      <c r="D54" s="156">
        <v>11577177</v>
      </c>
      <c r="E54" s="190">
        <f t="shared" si="21"/>
        <v>0.85269397312858186</v>
      </c>
      <c r="F54" s="19">
        <f t="shared" si="22"/>
        <v>11936223.409347171</v>
      </c>
      <c r="G54" s="21">
        <f>G$45</f>
        <v>3.7425006952169167E-2</v>
      </c>
      <c r="H54" s="18">
        <f t="shared" si="23"/>
        <v>446713</v>
      </c>
      <c r="J54" s="18">
        <f t="shared" si="24"/>
        <v>9933</v>
      </c>
      <c r="K54" s="21">
        <f t="shared" si="25"/>
        <v>8.3000000000000001E-4</v>
      </c>
      <c r="L54" s="18">
        <f t="shared" si="26"/>
        <v>9907.0654297581514</v>
      </c>
    </row>
    <row r="55" spans="1:14" x14ac:dyDescent="0.2">
      <c r="A55" s="322">
        <f t="shared" si="3"/>
        <v>42</v>
      </c>
      <c r="C55" s="192" t="s">
        <v>0</v>
      </c>
      <c r="D55" s="147">
        <f>SUM(D49:D54)</f>
        <v>13577177</v>
      </c>
      <c r="E55" s="307">
        <f>SUM(E49:E54)</f>
        <v>1</v>
      </c>
      <c r="F55" s="167">
        <f>SUM('Forecast Therms'!B21:F21)</f>
        <v>13998250</v>
      </c>
      <c r="G55" s="21"/>
      <c r="H55" s="22">
        <f>SUM(H49:H54)</f>
        <v>623746</v>
      </c>
      <c r="I55" s="30">
        <f>Rates!H55</f>
        <v>13223.939818069139</v>
      </c>
      <c r="J55" s="22">
        <f>SUM(J49:J54)</f>
        <v>13869</v>
      </c>
      <c r="L55" s="22">
        <f>SUM(L49:L54)</f>
        <v>13839.350138133095</v>
      </c>
      <c r="M55" s="18">
        <f>L55-I55</f>
        <v>615.41032006395653</v>
      </c>
    </row>
    <row r="56" spans="1:14" x14ac:dyDescent="0.2">
      <c r="A56" s="322"/>
      <c r="C56" s="162"/>
      <c r="E56" s="34"/>
      <c r="F56" s="2"/>
      <c r="H56" s="5"/>
      <c r="I56" s="31"/>
      <c r="J56" s="5"/>
      <c r="L56" s="5"/>
    </row>
    <row r="57" spans="1:14" x14ac:dyDescent="0.2">
      <c r="A57" s="322">
        <f>A55+1</f>
        <v>43</v>
      </c>
      <c r="B57" s="192" t="s">
        <v>0</v>
      </c>
      <c r="D57" s="34">
        <f>D18+D27+D37+D55+D46</f>
        <v>72726075</v>
      </c>
      <c r="E57" s="34"/>
      <c r="F57" s="34">
        <f>F18+F27+F37+F55+F46</f>
        <v>79409444</v>
      </c>
      <c r="H57" s="5">
        <f>H18+H27+H37+H55+H46</f>
        <v>10041301</v>
      </c>
      <c r="I57" s="5">
        <f>I18+I27+I37+I55+I46</f>
        <v>223284.32418866089</v>
      </c>
      <c r="J57" s="5">
        <f>J18+J27+J37+J55+J46</f>
        <v>223281</v>
      </c>
      <c r="L57" s="5">
        <f>L18+L27+L37+L55+L46</f>
        <v>223253.24060531886</v>
      </c>
      <c r="M57" s="16">
        <f>L57-I57</f>
        <v>-31.08358334202785</v>
      </c>
    </row>
    <row r="58" spans="1:14" x14ac:dyDescent="0.2">
      <c r="A58" s="322">
        <f t="shared" si="3"/>
        <v>44</v>
      </c>
      <c r="B58" s="192" t="s">
        <v>43</v>
      </c>
      <c r="D58" s="139"/>
      <c r="E58" s="139"/>
      <c r="F58" s="2"/>
      <c r="H58" s="5"/>
      <c r="I58" s="32">
        <f>I57/H57</f>
        <v>2.2236593065844842E-2</v>
      </c>
      <c r="J58" s="5"/>
      <c r="L58" s="5"/>
      <c r="M58" s="28">
        <f>M57/J57</f>
        <v>-1.3921284543704055E-4</v>
      </c>
    </row>
    <row r="59" spans="1:14" x14ac:dyDescent="0.2">
      <c r="A59" s="322"/>
      <c r="D59" s="139"/>
      <c r="E59" s="139"/>
      <c r="F59" s="2"/>
      <c r="H59" s="5"/>
      <c r="I59" s="32"/>
      <c r="J59" s="5"/>
      <c r="L59" s="5"/>
      <c r="M59" s="28"/>
    </row>
    <row r="60" spans="1:14" x14ac:dyDescent="0.2">
      <c r="A60" s="322"/>
    </row>
    <row r="61" spans="1:14" ht="12.75" customHeight="1" x14ac:dyDescent="0.2">
      <c r="A61" s="335" t="s">
        <v>29</v>
      </c>
      <c r="B61" s="336" t="s">
        <v>272</v>
      </c>
    </row>
    <row r="62" spans="1:14" ht="12.75" customHeight="1" x14ac:dyDescent="0.2">
      <c r="A62" s="145" t="s">
        <v>28</v>
      </c>
      <c r="B62" s="8" t="s">
        <v>273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</row>
    <row r="63" spans="1:14" ht="13.5" thickBot="1" x14ac:dyDescent="0.25"/>
    <row r="64" spans="1:14" x14ac:dyDescent="0.2">
      <c r="F64" s="15" t="s">
        <v>13</v>
      </c>
    </row>
    <row r="65" spans="6:9" x14ac:dyDescent="0.2">
      <c r="F65" s="14">
        <f>F18-SUM(F11:F16)</f>
        <v>0</v>
      </c>
    </row>
    <row r="66" spans="6:9" x14ac:dyDescent="0.2">
      <c r="F66" s="14">
        <f>F27-SUM(F21:F26)</f>
        <v>0</v>
      </c>
    </row>
    <row r="67" spans="6:9" x14ac:dyDescent="0.2">
      <c r="F67" s="14">
        <f>F37-SUM(F30:F35)</f>
        <v>0</v>
      </c>
    </row>
    <row r="68" spans="6:9" x14ac:dyDescent="0.2">
      <c r="F68" s="14">
        <f>F55-SUM(F49:F54)</f>
        <v>0</v>
      </c>
    </row>
    <row r="69" spans="6:9" ht="13.5" thickBot="1" x14ac:dyDescent="0.25">
      <c r="F69" s="13">
        <f>F46-SUM(F40:F45)</f>
        <v>0</v>
      </c>
    </row>
    <row r="80" spans="6:9" x14ac:dyDescent="0.2">
      <c r="I80" s="33"/>
    </row>
    <row r="82" spans="9:9" x14ac:dyDescent="0.2">
      <c r="I82" s="33"/>
    </row>
  </sheetData>
  <mergeCells count="3">
    <mergeCell ref="B8:C8"/>
    <mergeCell ref="A1:M1"/>
    <mergeCell ref="A3:M3"/>
  </mergeCells>
  <printOptions horizontalCentered="1"/>
  <pageMargins left="0.75" right="0.75" top="1" bottom="1" header="0.5" footer="0.5"/>
  <pageSetup scale="61" orientation="landscape" blackAndWhite="1" horizontalDpi="300" verticalDpi="300" r:id="rId1"/>
  <headerFooter alignWithMargins="0">
    <oddFooter>&amp;L&amp;F 
&amp;A&amp;C&amp;P&amp;R&amp;D</oddFooter>
  </headerFooter>
  <rowBreaks count="1" manualBreakCount="1">
    <brk id="62" max="12" man="1"/>
  </rowBreaks>
  <colBreaks count="1" manualBreakCount="1">
    <brk id="12" max="1048575" man="1"/>
  </colBreaks>
  <customProperties>
    <customPr name="_pios_id" r:id="rId2"/>
    <customPr name="EpmWorksheetKeyString_GUID" r:id="rId3"/>
  </customProperties>
  <ignoredErrors>
    <ignoredError sqref="D17" formulaRange="1"/>
    <ignoredError sqref="I18 I27 I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zoomScale="90" zoomScaleNormal="90" workbookViewId="0">
      <selection activeCell="A5" sqref="A5"/>
    </sheetView>
  </sheetViews>
  <sheetFormatPr defaultColWidth="8.85546875" defaultRowHeight="12.75" x14ac:dyDescent="0.2"/>
  <cols>
    <col min="1" max="1" width="4.85546875" style="192" bestFit="1" customWidth="1"/>
    <col min="2" max="2" width="27.7109375" style="192" customWidth="1"/>
    <col min="3" max="3" width="9.42578125" style="192" customWidth="1"/>
    <col min="4" max="4" width="13.85546875" style="192" customWidth="1"/>
    <col min="5" max="5" width="14.5703125" style="192" customWidth="1"/>
    <col min="6" max="6" width="13.5703125" style="192" customWidth="1"/>
    <col min="7" max="7" width="15.85546875" style="192" bestFit="1" customWidth="1"/>
    <col min="8" max="8" width="15.42578125" style="192" bestFit="1" customWidth="1"/>
    <col min="9" max="16" width="9.140625" style="192" customWidth="1"/>
    <col min="17" max="16384" width="8.85546875" style="192"/>
  </cols>
  <sheetData>
    <row r="1" spans="1:13" ht="15" customHeight="1" x14ac:dyDescent="0.2">
      <c r="A1" s="40" t="s">
        <v>12</v>
      </c>
      <c r="B1" s="36"/>
      <c r="C1" s="40"/>
      <c r="D1" s="40"/>
      <c r="E1" s="40"/>
      <c r="F1" s="40"/>
      <c r="G1" s="40"/>
      <c r="H1" s="40"/>
      <c r="I1" s="149"/>
      <c r="J1" s="36"/>
      <c r="K1" s="8"/>
      <c r="L1" s="8"/>
      <c r="M1" s="8"/>
    </row>
    <row r="2" spans="1:13" ht="15" customHeight="1" x14ac:dyDescent="0.2">
      <c r="A2" s="40" t="str">
        <f>Rates!$A$2</f>
        <v>2025 Gas Schedule 129 Low Income Program Rate Filing</v>
      </c>
      <c r="B2" s="40"/>
      <c r="C2" s="40"/>
      <c r="D2" s="40"/>
      <c r="E2" s="40"/>
      <c r="F2" s="40"/>
      <c r="G2" s="136"/>
      <c r="H2" s="136"/>
      <c r="I2" s="149"/>
      <c r="J2" s="36"/>
      <c r="K2" s="8"/>
      <c r="L2" s="8"/>
      <c r="M2" s="8"/>
    </row>
    <row r="3" spans="1:13" ht="15" customHeight="1" x14ac:dyDescent="0.2">
      <c r="A3" s="36" t="s">
        <v>198</v>
      </c>
      <c r="B3" s="36"/>
      <c r="C3" s="36"/>
      <c r="D3" s="36"/>
      <c r="E3" s="36"/>
      <c r="F3" s="36"/>
      <c r="G3" s="38"/>
      <c r="H3" s="38"/>
      <c r="I3" s="8"/>
      <c r="J3" s="36"/>
      <c r="K3" s="8"/>
      <c r="L3" s="8"/>
      <c r="M3" s="8"/>
    </row>
    <row r="4" spans="1:13" x14ac:dyDescent="0.2">
      <c r="D4" s="8"/>
      <c r="E4" s="8"/>
      <c r="F4" s="8"/>
    </row>
    <row r="5" spans="1:13" x14ac:dyDescent="0.2">
      <c r="F5" s="322"/>
    </row>
    <row r="6" spans="1:13" x14ac:dyDescent="0.2">
      <c r="D6" s="137" t="s">
        <v>252</v>
      </c>
      <c r="E6" s="322" t="str">
        <f>$D$6</f>
        <v>UG-240005</v>
      </c>
      <c r="F6" s="322" t="str">
        <f>$D$6</f>
        <v>UG-240005</v>
      </c>
      <c r="G6" s="323" t="s">
        <v>96</v>
      </c>
      <c r="H6" s="320" t="str">
        <f>+G6</f>
        <v>Forecasted</v>
      </c>
      <c r="I6" s="320"/>
    </row>
    <row r="7" spans="1:13" x14ac:dyDescent="0.2">
      <c r="A7" s="192" t="s">
        <v>35</v>
      </c>
      <c r="C7" s="322" t="s">
        <v>11</v>
      </c>
      <c r="D7" s="320" t="s">
        <v>10</v>
      </c>
      <c r="E7" s="320" t="s">
        <v>59</v>
      </c>
      <c r="F7" s="320" t="s">
        <v>161</v>
      </c>
      <c r="G7" s="322" t="s">
        <v>76</v>
      </c>
      <c r="H7" s="320" t="s">
        <v>36</v>
      </c>
      <c r="I7" s="320"/>
    </row>
    <row r="8" spans="1:13" ht="14.25" x14ac:dyDescent="0.2">
      <c r="A8" s="321" t="s">
        <v>196</v>
      </c>
      <c r="B8" s="321" t="s">
        <v>8</v>
      </c>
      <c r="C8" s="321" t="s">
        <v>7</v>
      </c>
      <c r="D8" s="321" t="s">
        <v>58</v>
      </c>
      <c r="E8" s="321" t="s">
        <v>60</v>
      </c>
      <c r="F8" s="321" t="s">
        <v>100</v>
      </c>
      <c r="G8" s="334" t="s">
        <v>270</v>
      </c>
      <c r="H8" s="321" t="s">
        <v>127</v>
      </c>
      <c r="I8" s="320"/>
    </row>
    <row r="9" spans="1:13" x14ac:dyDescent="0.2">
      <c r="A9" s="320"/>
      <c r="B9" s="320" t="s">
        <v>179</v>
      </c>
      <c r="C9" s="320" t="s">
        <v>180</v>
      </c>
      <c r="D9" s="320" t="s">
        <v>197</v>
      </c>
      <c r="E9" s="320" t="s">
        <v>182</v>
      </c>
      <c r="F9" s="320" t="s">
        <v>183</v>
      </c>
      <c r="G9" s="320" t="s">
        <v>184</v>
      </c>
      <c r="H9" s="320" t="s">
        <v>185</v>
      </c>
      <c r="I9" s="320"/>
    </row>
    <row r="10" spans="1:13" x14ac:dyDescent="0.2">
      <c r="A10" s="322">
        <v>1</v>
      </c>
      <c r="B10" s="7" t="s">
        <v>5</v>
      </c>
      <c r="C10" s="322" t="s">
        <v>24</v>
      </c>
      <c r="D10" s="164">
        <f>'Exh JDT-5 (Rate Design)'!E10+'Exh JDT-5 (Rate Design)'!E16</f>
        <v>539959592</v>
      </c>
      <c r="E10" s="165">
        <f>'Exh JDT-5 (Rate Design)'!P11+'Exh JDT-5 (Rate Design)'!P17</f>
        <v>473120415.12787223</v>
      </c>
      <c r="F10" s="208">
        <f>E10/D10</f>
        <v>0.8762144837087591</v>
      </c>
      <c r="G10" s="164">
        <f>SUM('Forecast Therms'!N9:N10)</f>
        <v>560218048</v>
      </c>
      <c r="H10" s="150">
        <f>F10*G10</f>
        <v>490871167.69264883</v>
      </c>
      <c r="I10" s="287"/>
      <c r="L10" s="196"/>
    </row>
    <row r="11" spans="1:13" x14ac:dyDescent="0.2">
      <c r="A11" s="322"/>
      <c r="B11" s="7"/>
      <c r="C11" s="322"/>
      <c r="D11" s="164"/>
      <c r="E11" s="165"/>
      <c r="G11" s="156"/>
      <c r="I11" s="285"/>
    </row>
    <row r="12" spans="1:13" x14ac:dyDescent="0.2">
      <c r="A12" s="322">
        <f>A10+1</f>
        <v>2</v>
      </c>
      <c r="B12" s="296" t="s">
        <v>23</v>
      </c>
      <c r="C12" s="322"/>
      <c r="D12" s="164"/>
      <c r="E12" s="165"/>
      <c r="G12" s="156"/>
      <c r="I12" s="285"/>
    </row>
    <row r="13" spans="1:13" x14ac:dyDescent="0.2">
      <c r="A13" s="322">
        <f t="shared" ref="A13:A29" si="0">A12+1</f>
        <v>3</v>
      </c>
      <c r="B13" s="12" t="s">
        <v>41</v>
      </c>
      <c r="C13" s="322" t="s">
        <v>32</v>
      </c>
      <c r="D13" s="164">
        <f>'Exh JDT-5 (Rate Design)'!E25+'Exh JDT-5 (Rate Design)'!E30</f>
        <v>228527070</v>
      </c>
      <c r="E13" s="165">
        <f>'Exh JDT-5 (Rate Design)'!P27+'Exh JDT-5 (Rate Design)'!P31</f>
        <v>173926777.33942217</v>
      </c>
      <c r="F13" s="208">
        <f>E13/D13</f>
        <v>0.76107735219036488</v>
      </c>
      <c r="G13" s="164">
        <f>SUM('Forecast Therms'!N11,'Forecast Therms'!N16)</f>
        <v>229684257</v>
      </c>
      <c r="H13" s="150">
        <f>F13*G13</f>
        <v>174807486.15737128</v>
      </c>
      <c r="I13" s="287"/>
      <c r="L13" s="196"/>
    </row>
    <row r="14" spans="1:13" x14ac:dyDescent="0.2">
      <c r="A14" s="322"/>
      <c r="B14" s="296"/>
      <c r="C14" s="320"/>
      <c r="D14" s="164"/>
      <c r="E14" s="165"/>
      <c r="G14" s="156"/>
      <c r="H14" s="150"/>
      <c r="I14" s="287"/>
    </row>
    <row r="15" spans="1:13" x14ac:dyDescent="0.2">
      <c r="A15" s="322">
        <f>A13+1</f>
        <v>4</v>
      </c>
      <c r="B15" s="7" t="s">
        <v>22</v>
      </c>
      <c r="C15" s="322" t="s">
        <v>31</v>
      </c>
      <c r="D15" s="164">
        <f>'Exh JDT-5 (Rate Design)'!E47+'Exh JDT-5 (Rate Design)'!E59</f>
        <v>82086857.999999985</v>
      </c>
      <c r="E15" s="165">
        <f>'Exh JDT-5 (Rate Design)'!P49+'Exh JDT-5 (Rate Design)'!P61</f>
        <v>30129739.878979545</v>
      </c>
      <c r="F15" s="208">
        <f>E15/D15</f>
        <v>0.36704705982265212</v>
      </c>
      <c r="G15" s="164">
        <f>SUM('Forecast Therms'!N12,'Forecast Therms'!N17)</f>
        <v>83603407</v>
      </c>
      <c r="H15" s="150">
        <f>F15*G15</f>
        <v>30686384.730506532</v>
      </c>
      <c r="I15" s="287"/>
      <c r="L15" s="196"/>
    </row>
    <row r="16" spans="1:13" x14ac:dyDescent="0.2">
      <c r="A16" s="322"/>
      <c r="B16" s="7"/>
      <c r="C16" s="322"/>
      <c r="D16" s="164"/>
      <c r="E16" s="165"/>
      <c r="F16" s="208"/>
      <c r="G16" s="156"/>
      <c r="H16" s="150"/>
      <c r="I16" s="287"/>
    </row>
    <row r="17" spans="1:19" x14ac:dyDescent="0.2">
      <c r="A17" s="322">
        <f>A15+1</f>
        <v>5</v>
      </c>
      <c r="B17" s="7" t="s">
        <v>40</v>
      </c>
      <c r="C17" s="322" t="s">
        <v>30</v>
      </c>
      <c r="D17" s="164">
        <f>'Exh JDT-5 (Rate Design)'!E106+'Exh JDT-5 (Rate Design)'!E117</f>
        <v>5861046.0000000009</v>
      </c>
      <c r="E17" s="165">
        <f>'Exh JDT-5 (Rate Design)'!P108+'Exh JDT-5 (Rate Design)'!P119</f>
        <v>1448967.9211642197</v>
      </c>
      <c r="F17" s="208">
        <f>E17/D17</f>
        <v>0.24722002201726781</v>
      </c>
      <c r="G17" s="164">
        <f>SUM('Forecast Therms'!N14,'Forecast Therms'!N19)</f>
        <v>6336636</v>
      </c>
      <c r="H17" s="150">
        <f>F17*G17</f>
        <v>1566543.2914354119</v>
      </c>
      <c r="I17" s="287"/>
      <c r="L17" s="196"/>
    </row>
    <row r="18" spans="1:19" x14ac:dyDescent="0.2">
      <c r="A18" s="322"/>
      <c r="B18" s="7"/>
      <c r="C18" s="322"/>
      <c r="D18" s="164"/>
      <c r="E18" s="165"/>
      <c r="G18" s="156"/>
      <c r="H18" s="150"/>
      <c r="I18" s="287"/>
    </row>
    <row r="19" spans="1:19" x14ac:dyDescent="0.2">
      <c r="A19" s="322">
        <f>A17+1</f>
        <v>6</v>
      </c>
      <c r="B19" s="7" t="s">
        <v>4</v>
      </c>
      <c r="C19" s="322"/>
      <c r="D19" s="191"/>
      <c r="E19" s="191"/>
      <c r="G19" s="156"/>
      <c r="H19" s="150"/>
      <c r="I19" s="287"/>
    </row>
    <row r="20" spans="1:19" x14ac:dyDescent="0.2">
      <c r="A20" s="322">
        <f t="shared" si="0"/>
        <v>7</v>
      </c>
      <c r="B20" s="151" t="s">
        <v>4</v>
      </c>
      <c r="C20" s="322">
        <v>85</v>
      </c>
      <c r="D20" s="164">
        <f>'Exh JDT-5 (Rate Design)'!E77</f>
        <v>16668227</v>
      </c>
      <c r="E20" s="165">
        <f>'Exh JDT-5 (Rate Design)'!P79</f>
        <v>2837821.1504219277</v>
      </c>
      <c r="F20" s="208">
        <f>E20/D20</f>
        <v>0.17025332990856962</v>
      </c>
      <c r="G20" s="164">
        <f>'Forecast Therms'!N13</f>
        <v>17172836</v>
      </c>
      <c r="H20" s="150">
        <f>F20*G20</f>
        <v>2923732.5129737612</v>
      </c>
      <c r="I20" s="287"/>
      <c r="L20" s="196"/>
    </row>
    <row r="21" spans="1:19" x14ac:dyDescent="0.2">
      <c r="A21" s="322">
        <f t="shared" si="0"/>
        <v>8</v>
      </c>
      <c r="B21" s="12" t="s">
        <v>39</v>
      </c>
      <c r="C21" s="320">
        <v>87</v>
      </c>
      <c r="D21" s="164">
        <f>'Exh JDT-5 (Rate Design)'!E138</f>
        <v>20007657</v>
      </c>
      <c r="E21" s="338">
        <f>'Exh JDT-5 (Rate Design)'!P140</f>
        <v>1963352.1562075664</v>
      </c>
      <c r="F21" s="208">
        <f>E21/D21</f>
        <v>9.8130038725052438E-2</v>
      </c>
      <c r="G21" s="164">
        <f>'Forecast Therms'!N15</f>
        <v>17910859</v>
      </c>
      <c r="H21" s="150">
        <f>F21*G21</f>
        <v>1757593.2872689539</v>
      </c>
      <c r="I21" s="287"/>
      <c r="L21" s="196"/>
    </row>
    <row r="22" spans="1:19" x14ac:dyDescent="0.2">
      <c r="A22" s="322">
        <f t="shared" si="0"/>
        <v>9</v>
      </c>
      <c r="B22" s="12" t="s">
        <v>1</v>
      </c>
      <c r="C22" s="320"/>
      <c r="D22" s="11">
        <f t="shared" ref="D22" si="1">SUM(D20:D21)</f>
        <v>36675884</v>
      </c>
      <c r="E22" s="9">
        <f t="shared" ref="E22" si="2">SUM(E20:E21)</f>
        <v>4801173.3066294938</v>
      </c>
      <c r="F22" s="208"/>
      <c r="G22" s="11">
        <f>SUM(G20:G21)</f>
        <v>35083695</v>
      </c>
      <c r="H22" s="9">
        <f>SUM(H20:H21)</f>
        <v>4681325.8002427146</v>
      </c>
      <c r="I22" s="287"/>
      <c r="L22" s="196"/>
    </row>
    <row r="23" spans="1:19" x14ac:dyDescent="0.2">
      <c r="A23" s="322"/>
      <c r="B23" s="12"/>
      <c r="C23" s="320"/>
      <c r="D23" s="27"/>
      <c r="E23" s="287"/>
      <c r="F23" s="208"/>
      <c r="G23" s="27"/>
      <c r="H23" s="287"/>
      <c r="I23" s="287"/>
    </row>
    <row r="24" spans="1:19" x14ac:dyDescent="0.2">
      <c r="A24" s="322">
        <f>A22+1</f>
        <v>10</v>
      </c>
      <c r="B24" s="296" t="s">
        <v>20</v>
      </c>
      <c r="C24" s="320"/>
      <c r="D24" s="166"/>
      <c r="E24" s="6"/>
      <c r="G24" s="26"/>
      <c r="H24" s="150"/>
      <c r="I24" s="287"/>
    </row>
    <row r="25" spans="1:19" x14ac:dyDescent="0.2">
      <c r="A25" s="322">
        <f t="shared" si="0"/>
        <v>11</v>
      </c>
      <c r="B25" s="151" t="s">
        <v>4</v>
      </c>
      <c r="C25" s="320" t="s">
        <v>3</v>
      </c>
      <c r="D25" s="164">
        <f>'Exh JDT-5 (Rate Design)'!E89</f>
        <v>62744436</v>
      </c>
      <c r="E25" s="338">
        <f>'Exh JDT-5 (Rate Design)'!P91</f>
        <v>9522385.7939065918</v>
      </c>
      <c r="F25" s="208">
        <f t="shared" ref="F25:F27" si="3">E25/D25</f>
        <v>0.15176462489688475</v>
      </c>
      <c r="G25" s="164">
        <f>'Forecast Therms'!N18</f>
        <v>55801323</v>
      </c>
      <c r="H25" s="150">
        <f>F25*G25</f>
        <v>8468666.8538449071</v>
      </c>
      <c r="I25" s="287"/>
      <c r="L25" s="196"/>
    </row>
    <row r="26" spans="1:19" x14ac:dyDescent="0.2">
      <c r="A26" s="322">
        <f t="shared" si="0"/>
        <v>12</v>
      </c>
      <c r="B26" s="12" t="s">
        <v>39</v>
      </c>
      <c r="C26" s="320" t="s">
        <v>2</v>
      </c>
      <c r="D26" s="164">
        <f>'Exh JDT-5 (Rate Design)'!E153</f>
        <v>66693986.720000006</v>
      </c>
      <c r="E26" s="338">
        <f>'Exh JDT-5 (Rate Design)'!P155</f>
        <v>5573975.0268660607</v>
      </c>
      <c r="F26" s="208">
        <f t="shared" si="3"/>
        <v>8.3575376146985569E-2</v>
      </c>
      <c r="G26" s="164">
        <f>'Forecast Therms'!N20</f>
        <v>73968273</v>
      </c>
      <c r="H26" s="150">
        <f>F26*G26</f>
        <v>6181926.238917917</v>
      </c>
      <c r="I26" s="287"/>
      <c r="L26" s="196"/>
    </row>
    <row r="27" spans="1:19" x14ac:dyDescent="0.2">
      <c r="A27" s="322">
        <f t="shared" si="0"/>
        <v>13</v>
      </c>
      <c r="B27" s="12" t="s">
        <v>213</v>
      </c>
      <c r="C27" s="320" t="s">
        <v>200</v>
      </c>
      <c r="D27" s="164">
        <f>'Exh JDT-5 (Rate Design)'!E173</f>
        <v>39295144</v>
      </c>
      <c r="E27" s="338">
        <f>'Exh JDT-5 (Rate Design)'!P175</f>
        <v>1209312</v>
      </c>
      <c r="F27" s="208">
        <f t="shared" si="3"/>
        <v>3.0775100353366818E-2</v>
      </c>
      <c r="G27" s="164">
        <f>'Forecast Therms'!N21</f>
        <v>39545056</v>
      </c>
      <c r="H27" s="150">
        <f>F27*G27</f>
        <v>1217003.0668795106</v>
      </c>
      <c r="I27" s="287"/>
      <c r="L27" s="196"/>
    </row>
    <row r="28" spans="1:19" x14ac:dyDescent="0.2">
      <c r="A28" s="322">
        <f t="shared" si="0"/>
        <v>14</v>
      </c>
      <c r="B28" s="296" t="s">
        <v>38</v>
      </c>
      <c r="C28" s="320"/>
      <c r="D28" s="10">
        <f>SUM(D25:D27)</f>
        <v>168733566.72</v>
      </c>
      <c r="E28" s="163">
        <f>SUM(E25:E27)</f>
        <v>16305672.820772652</v>
      </c>
      <c r="F28" s="208"/>
      <c r="G28" s="10">
        <f>SUM(G25:G27)</f>
        <v>169314652</v>
      </c>
      <c r="H28" s="163">
        <f>SUM(H25:H27)</f>
        <v>15867596.159642335</v>
      </c>
      <c r="I28" s="152"/>
      <c r="L28" s="196"/>
    </row>
    <row r="29" spans="1:19" x14ac:dyDescent="0.2">
      <c r="A29" s="322">
        <f t="shared" si="0"/>
        <v>15</v>
      </c>
      <c r="B29" s="296" t="s">
        <v>0</v>
      </c>
      <c r="C29" s="296"/>
      <c r="D29" s="11">
        <f>D10+D13+D15+D17+D22+D28</f>
        <v>1061844016.72</v>
      </c>
      <c r="E29" s="9">
        <f>E10+E13+E15+E17+E22+E28</f>
        <v>699732746.39484048</v>
      </c>
      <c r="F29" s="208"/>
      <c r="G29" s="11">
        <f>G10+G13+G15+G17+G22+G28</f>
        <v>1084240695</v>
      </c>
      <c r="H29" s="9">
        <f>H10+H13+H15+H17+H22+H28</f>
        <v>718480503.83184707</v>
      </c>
      <c r="I29" s="287"/>
      <c r="L29" s="196"/>
    </row>
    <row r="30" spans="1:19" x14ac:dyDescent="0.2">
      <c r="B30" s="7"/>
      <c r="C30" s="7"/>
      <c r="D30" s="213">
        <f>('Exh JDT-5 (Rate Design)'!E173+'Exh JDT-5 (Rate Design)'!E153+'Exh JDT-5 (Rate Design)'!E138+'Exh JDT-5 (Rate Design)'!E117+'Exh JDT-5 (Rate Design)'!E106+'Exh JDT-5 (Rate Design)'!E89+'Exh JDT-5 (Rate Design)'!E77+'Exh JDT-5 (Rate Design)'!E59+'Exh JDT-5 (Rate Design)'!E47+'Exh JDT-5 (Rate Design)'!E25+'Exh JDT-5 (Rate Design)'!E16+'Exh JDT-5 (Rate Design)'!E10)-'Margin Revenue'!D29</f>
        <v>0</v>
      </c>
      <c r="E30" s="214">
        <f>('Exh JDT-5 (Rate Design)'!P175+'Exh JDT-5 (Rate Design)'!P155+'Exh JDT-5 (Rate Design)'!P140+'Exh JDT-5 (Rate Design)'!P119+'Exh JDT-5 (Rate Design)'!P108+'Exh JDT-5 (Rate Design)'!P91+'Exh JDT-5 (Rate Design)'!P79+'Exh JDT-5 (Rate Design)'!P61+'Exh JDT-5 (Rate Design)'!P49+'Exh JDT-5 (Rate Design)'!P31+'Exh JDT-5 (Rate Design)'!P27+'Exh JDT-5 (Rate Design)'!P17+'Exh JDT-5 (Rate Design)'!P11)-E29</f>
        <v>0</v>
      </c>
      <c r="F30" s="297"/>
      <c r="G30" s="187">
        <f>G29-SUM('Forecast Therms'!N9:N21)</f>
        <v>0</v>
      </c>
      <c r="I30" s="285"/>
    </row>
    <row r="31" spans="1:19" x14ac:dyDescent="0.2">
      <c r="B31" s="7"/>
      <c r="C31" s="7"/>
      <c r="D31" s="27"/>
      <c r="E31" s="297"/>
      <c r="F31" s="297"/>
      <c r="I31" s="285"/>
    </row>
    <row r="32" spans="1:19" ht="14.25" x14ac:dyDescent="0.2">
      <c r="A32" s="145" t="s">
        <v>29</v>
      </c>
      <c r="B32" s="8" t="s">
        <v>275</v>
      </c>
      <c r="C32" s="8"/>
      <c r="D32" s="8"/>
      <c r="E32" s="8"/>
      <c r="F32" s="8"/>
      <c r="G32" s="8"/>
      <c r="H32" s="8"/>
      <c r="I32" s="8"/>
      <c r="J32" s="8"/>
      <c r="N32" s="285"/>
      <c r="O32" s="285"/>
      <c r="P32" s="285"/>
      <c r="Q32" s="285"/>
      <c r="R32" s="285"/>
      <c r="S32" s="285"/>
    </row>
    <row r="33" spans="1:19" ht="14.25" x14ac:dyDescent="0.2">
      <c r="A33" s="145" t="s">
        <v>28</v>
      </c>
      <c r="B33" s="8" t="s">
        <v>276</v>
      </c>
      <c r="C33" s="148"/>
      <c r="D33" s="148"/>
      <c r="E33" s="148"/>
      <c r="F33" s="148"/>
      <c r="G33" s="148"/>
      <c r="H33" s="148"/>
      <c r="I33" s="148"/>
      <c r="J33" s="148"/>
      <c r="N33" s="285"/>
      <c r="O33" s="285"/>
      <c r="P33" s="285"/>
      <c r="Q33" s="285"/>
      <c r="R33" s="285"/>
      <c r="S33" s="285"/>
    </row>
    <row r="34" spans="1:19" x14ac:dyDescent="0.2">
      <c r="B34" s="7"/>
      <c r="C34" s="7"/>
      <c r="D34" s="7"/>
      <c r="E34" s="7"/>
      <c r="F34" s="7"/>
      <c r="G34" s="7"/>
      <c r="H34" s="7"/>
      <c r="I34" s="7"/>
      <c r="J34" s="7"/>
      <c r="N34" s="285"/>
      <c r="O34" s="285"/>
      <c r="P34" s="285"/>
      <c r="Q34" s="285"/>
      <c r="R34" s="285"/>
      <c r="S34" s="285"/>
    </row>
    <row r="35" spans="1:19" x14ac:dyDescent="0.2">
      <c r="B35" s="7"/>
      <c r="C35" s="7"/>
      <c r="D35" s="7"/>
      <c r="E35" s="7"/>
      <c r="F35" s="7"/>
      <c r="G35" s="7"/>
      <c r="H35" s="7"/>
      <c r="I35" s="7"/>
      <c r="J35" s="7"/>
      <c r="N35" s="285"/>
      <c r="O35" s="285"/>
      <c r="P35" s="285"/>
      <c r="Q35" s="285"/>
      <c r="R35" s="285"/>
      <c r="S35" s="285"/>
    </row>
    <row r="36" spans="1:19" x14ac:dyDescent="0.2">
      <c r="D36" s="4"/>
      <c r="E36" s="4"/>
      <c r="F36" s="4"/>
      <c r="G36" s="4"/>
      <c r="H36" s="4"/>
      <c r="I36" s="4"/>
      <c r="J36" s="4"/>
      <c r="K36" s="285"/>
      <c r="L36" s="285"/>
      <c r="M36" s="285"/>
      <c r="N36" s="4"/>
      <c r="O36" s="285"/>
      <c r="P36" s="285"/>
      <c r="Q36" s="285"/>
      <c r="R36" s="285"/>
      <c r="S36" s="285"/>
    </row>
    <row r="37" spans="1:19" x14ac:dyDescent="0.2">
      <c r="D37" s="4"/>
      <c r="E37" s="4"/>
      <c r="F37" s="4"/>
      <c r="G37" s="4"/>
      <c r="H37" s="4"/>
      <c r="I37" s="4"/>
      <c r="J37" s="4"/>
      <c r="K37" s="285"/>
      <c r="L37" s="285"/>
      <c r="M37" s="4"/>
      <c r="N37" s="4"/>
      <c r="O37" s="285"/>
      <c r="P37" s="285"/>
      <c r="Q37" s="285"/>
      <c r="R37" s="285"/>
      <c r="S37" s="285"/>
    </row>
    <row r="38" spans="1:19" x14ac:dyDescent="0.2">
      <c r="D38" s="4"/>
      <c r="E38" s="4"/>
      <c r="F38" s="4"/>
      <c r="G38" s="4"/>
      <c r="H38" s="4"/>
      <c r="I38" s="4"/>
      <c r="J38" s="4"/>
      <c r="K38" s="285"/>
      <c r="L38" s="285"/>
      <c r="M38" s="27"/>
      <c r="N38" s="4"/>
      <c r="O38" s="285"/>
      <c r="P38" s="285"/>
      <c r="Q38" s="285"/>
      <c r="R38" s="285"/>
      <c r="S38" s="285"/>
    </row>
    <row r="39" spans="1:19" x14ac:dyDescent="0.2">
      <c r="D39" s="4"/>
      <c r="E39" s="4"/>
      <c r="F39" s="4"/>
      <c r="G39" s="4"/>
      <c r="H39" s="4"/>
      <c r="I39" s="4"/>
      <c r="J39" s="4"/>
      <c r="K39" s="285"/>
      <c r="L39" s="285"/>
      <c r="M39" s="4"/>
      <c r="N39" s="4"/>
      <c r="O39" s="285"/>
      <c r="P39" s="285"/>
      <c r="Q39" s="285"/>
      <c r="R39" s="285"/>
      <c r="S39" s="285"/>
    </row>
    <row r="40" spans="1:19" x14ac:dyDescent="0.2">
      <c r="D40" s="4"/>
      <c r="E40" s="4"/>
      <c r="F40" s="4"/>
      <c r="G40" s="4"/>
      <c r="H40" s="4"/>
      <c r="I40" s="4"/>
      <c r="J40" s="4"/>
      <c r="K40" s="285"/>
      <c r="L40" s="285"/>
      <c r="M40" s="4"/>
      <c r="N40" s="4"/>
      <c r="O40" s="285"/>
      <c r="P40" s="285"/>
      <c r="Q40" s="285"/>
      <c r="R40" s="285"/>
      <c r="S40" s="285"/>
    </row>
    <row r="41" spans="1:19" x14ac:dyDescent="0.2">
      <c r="D41" s="4"/>
      <c r="E41" s="4"/>
      <c r="F41" s="4"/>
      <c r="G41" s="4"/>
      <c r="H41" s="4"/>
      <c r="I41" s="4"/>
      <c r="J41" s="4"/>
      <c r="K41" s="285"/>
      <c r="L41" s="285"/>
      <c r="M41" s="27"/>
      <c r="N41" s="4"/>
      <c r="O41" s="285"/>
      <c r="P41" s="285"/>
      <c r="Q41" s="285"/>
      <c r="R41" s="285"/>
      <c r="S41" s="285"/>
    </row>
    <row r="42" spans="1:19" x14ac:dyDescent="0.2">
      <c r="D42" s="4"/>
      <c r="E42" s="4"/>
      <c r="F42" s="4"/>
      <c r="G42" s="4"/>
      <c r="H42" s="4"/>
      <c r="I42" s="4"/>
      <c r="J42" s="4"/>
      <c r="K42" s="285"/>
      <c r="L42" s="285"/>
      <c r="M42" s="285"/>
      <c r="N42" s="4"/>
    </row>
    <row r="43" spans="1:19" x14ac:dyDescent="0.2">
      <c r="D43" s="4"/>
      <c r="E43" s="4"/>
      <c r="F43" s="4"/>
      <c r="G43" s="4"/>
      <c r="H43" s="4"/>
      <c r="I43" s="4"/>
      <c r="J43" s="4"/>
      <c r="K43" s="285"/>
      <c r="L43" s="285"/>
      <c r="M43" s="285"/>
      <c r="N43" s="4"/>
    </row>
    <row r="44" spans="1:19" x14ac:dyDescent="0.2">
      <c r="D44" s="4"/>
      <c r="E44" s="4"/>
      <c r="F44" s="4"/>
      <c r="G44" s="4"/>
      <c r="H44" s="4"/>
      <c r="I44" s="4"/>
      <c r="J44" s="4"/>
      <c r="K44" s="285"/>
      <c r="L44" s="285"/>
      <c r="M44" s="285"/>
      <c r="N44" s="4"/>
    </row>
    <row r="45" spans="1:19" x14ac:dyDescent="0.2">
      <c r="D45" s="4"/>
      <c r="E45" s="4"/>
      <c r="F45" s="4"/>
      <c r="G45" s="4"/>
      <c r="H45" s="4"/>
      <c r="I45" s="4"/>
      <c r="J45" s="4"/>
      <c r="K45" s="285"/>
      <c r="L45" s="285"/>
      <c r="M45" s="285"/>
      <c r="N45" s="4"/>
    </row>
    <row r="46" spans="1:19" x14ac:dyDescent="0.2">
      <c r="D46" s="4"/>
      <c r="E46" s="4"/>
      <c r="F46" s="4"/>
      <c r="G46" s="4"/>
      <c r="H46" s="4"/>
      <c r="I46" s="4"/>
      <c r="J46" s="4"/>
      <c r="K46" s="285"/>
      <c r="L46" s="285"/>
      <c r="M46" s="285"/>
      <c r="N46" s="4"/>
    </row>
    <row r="47" spans="1:19" x14ac:dyDescent="0.2">
      <c r="D47" s="4"/>
      <c r="E47" s="4"/>
      <c r="F47" s="4"/>
      <c r="G47" s="4"/>
      <c r="H47" s="4"/>
      <c r="I47" s="4"/>
      <c r="J47" s="4"/>
      <c r="K47" s="285"/>
      <c r="L47" s="285"/>
      <c r="M47" s="285"/>
      <c r="N47" s="4"/>
    </row>
    <row r="48" spans="1:19" x14ac:dyDescent="0.2">
      <c r="D48" s="4"/>
      <c r="E48" s="4"/>
      <c r="F48" s="4"/>
      <c r="G48" s="4"/>
      <c r="H48" s="4"/>
      <c r="I48" s="4"/>
      <c r="J48" s="4"/>
      <c r="K48" s="285"/>
      <c r="L48" s="285"/>
      <c r="M48" s="285"/>
      <c r="N48" s="4"/>
    </row>
    <row r="49" spans="4:14" x14ac:dyDescent="0.2">
      <c r="D49" s="285"/>
      <c r="E49" s="6"/>
      <c r="F49" s="6"/>
      <c r="G49" s="285"/>
      <c r="H49" s="285"/>
      <c r="I49" s="285"/>
      <c r="J49" s="285"/>
      <c r="K49" s="285"/>
      <c r="L49" s="285"/>
      <c r="M49" s="285"/>
      <c r="N49" s="4"/>
    </row>
    <row r="50" spans="4:14" x14ac:dyDescent="0.2">
      <c r="D50" s="285"/>
      <c r="E50" s="287"/>
      <c r="F50" s="287"/>
      <c r="G50" s="285"/>
      <c r="H50" s="285"/>
      <c r="I50" s="285"/>
      <c r="J50" s="285"/>
      <c r="K50" s="285"/>
      <c r="L50" s="285"/>
      <c r="M50" s="285"/>
      <c r="N50" s="4"/>
    </row>
    <row r="51" spans="4:14" x14ac:dyDescent="0.2">
      <c r="D51" s="285"/>
      <c r="E51" s="285"/>
      <c r="F51" s="285"/>
      <c r="G51" s="285"/>
      <c r="H51" s="285"/>
      <c r="I51" s="4"/>
      <c r="J51" s="4"/>
      <c r="K51" s="285"/>
      <c r="L51" s="285"/>
      <c r="M51" s="285"/>
      <c r="N51" s="4"/>
    </row>
    <row r="52" spans="4:14" x14ac:dyDescent="0.2">
      <c r="D52" s="285"/>
      <c r="E52" s="5"/>
      <c r="F52" s="5"/>
      <c r="G52" s="5"/>
      <c r="H52" s="285"/>
      <c r="I52" s="4"/>
      <c r="J52" s="5"/>
      <c r="K52" s="285"/>
      <c r="L52" s="285"/>
      <c r="M52" s="285"/>
      <c r="N52" s="285"/>
    </row>
    <row r="53" spans="4:14" x14ac:dyDescent="0.2">
      <c r="D53" s="285"/>
      <c r="E53" s="5"/>
      <c r="F53" s="5"/>
      <c r="G53" s="5"/>
      <c r="H53" s="4"/>
      <c r="I53" s="4"/>
      <c r="J53" s="5"/>
      <c r="K53" s="285"/>
      <c r="L53" s="285"/>
      <c r="M53" s="285"/>
      <c r="N53" s="285"/>
    </row>
    <row r="54" spans="4:14" x14ac:dyDescent="0.2">
      <c r="D54" s="285"/>
      <c r="E54" s="5"/>
      <c r="F54" s="5"/>
      <c r="G54" s="5"/>
      <c r="H54" s="4"/>
      <c r="I54" s="4"/>
      <c r="J54" s="4"/>
      <c r="K54" s="285"/>
      <c r="L54" s="285"/>
      <c r="M54" s="285"/>
      <c r="N54" s="285"/>
    </row>
    <row r="55" spans="4:14" x14ac:dyDescent="0.2">
      <c r="D55" s="287"/>
      <c r="E55" s="285"/>
      <c r="F55" s="285"/>
      <c r="G55" s="5"/>
      <c r="H55" s="4"/>
      <c r="I55" s="4"/>
      <c r="J55" s="4"/>
      <c r="K55" s="285"/>
      <c r="L55" s="285"/>
      <c r="M55" s="285"/>
      <c r="N55" s="285"/>
    </row>
    <row r="56" spans="4:14" x14ac:dyDescent="0.2">
      <c r="D56" s="285"/>
      <c r="E56" s="285"/>
      <c r="F56" s="285"/>
      <c r="G56" s="5"/>
      <c r="H56" s="4"/>
      <c r="I56" s="4"/>
      <c r="J56" s="4"/>
      <c r="K56" s="285"/>
      <c r="L56" s="285"/>
      <c r="M56" s="285"/>
      <c r="N56" s="285"/>
    </row>
    <row r="57" spans="4:14" x14ac:dyDescent="0.2">
      <c r="D57" s="285"/>
      <c r="E57" s="285"/>
      <c r="F57" s="285"/>
      <c r="G57" s="5"/>
      <c r="H57" s="4"/>
      <c r="I57" s="4"/>
      <c r="J57" s="4"/>
      <c r="K57" s="285"/>
      <c r="L57" s="285"/>
      <c r="M57" s="285"/>
      <c r="N57" s="285"/>
    </row>
    <row r="58" spans="4:14" x14ac:dyDescent="0.2">
      <c r="D58" s="285"/>
      <c r="E58" s="285"/>
      <c r="F58" s="285"/>
      <c r="G58" s="285"/>
      <c r="H58" s="4"/>
      <c r="I58" s="4"/>
      <c r="J58" s="4"/>
      <c r="K58" s="285"/>
      <c r="L58" s="285"/>
      <c r="M58" s="285"/>
      <c r="N58" s="285"/>
    </row>
    <row r="59" spans="4:14" x14ac:dyDescent="0.2">
      <c r="D59" s="285"/>
      <c r="E59" s="285"/>
      <c r="F59" s="285"/>
      <c r="G59" s="4"/>
      <c r="H59" s="4"/>
      <c r="I59" s="4"/>
      <c r="J59" s="4"/>
      <c r="K59" s="285"/>
      <c r="L59" s="285"/>
      <c r="M59" s="5"/>
      <c r="N59" s="285"/>
    </row>
    <row r="60" spans="4:14" x14ac:dyDescent="0.2">
      <c r="D60" s="285"/>
      <c r="E60" s="5"/>
      <c r="F60" s="5"/>
      <c r="G60" s="5"/>
      <c r="H60" s="5"/>
      <c r="I60" s="5"/>
      <c r="J60" s="5"/>
      <c r="K60" s="5"/>
      <c r="L60" s="5"/>
      <c r="M60" s="153"/>
      <c r="N60" s="285"/>
    </row>
    <row r="61" spans="4:14" x14ac:dyDescent="0.2">
      <c r="D61" s="285"/>
      <c r="E61" s="5"/>
      <c r="F61" s="5"/>
      <c r="G61" s="5"/>
      <c r="H61" s="5"/>
      <c r="I61" s="5"/>
      <c r="J61" s="5"/>
      <c r="K61" s="5"/>
      <c r="L61" s="5"/>
      <c r="M61" s="5"/>
      <c r="N61" s="285"/>
    </row>
    <row r="62" spans="4:14" x14ac:dyDescent="0.2">
      <c r="D62" s="285"/>
      <c r="E62" s="5"/>
      <c r="F62" s="5"/>
      <c r="G62" s="4"/>
      <c r="H62" s="5"/>
      <c r="I62" s="5"/>
      <c r="J62" s="5"/>
      <c r="K62" s="5"/>
      <c r="L62" s="5"/>
      <c r="M62" s="5"/>
      <c r="N62" s="285"/>
    </row>
    <row r="63" spans="4:14" x14ac:dyDescent="0.2">
      <c r="D63" s="285"/>
      <c r="E63" s="5"/>
      <c r="F63" s="5"/>
      <c r="G63" s="5"/>
      <c r="H63" s="5"/>
      <c r="I63" s="5"/>
      <c r="J63" s="5"/>
      <c r="K63" s="5"/>
      <c r="L63" s="5"/>
      <c r="M63" s="5"/>
      <c r="N63" s="285"/>
    </row>
    <row r="64" spans="4:14" x14ac:dyDescent="0.2">
      <c r="D64" s="285"/>
      <c r="E64" s="5"/>
      <c r="F64" s="5"/>
      <c r="G64" s="5"/>
      <c r="H64" s="5"/>
      <c r="I64" s="5"/>
      <c r="J64" s="5"/>
      <c r="K64" s="5"/>
      <c r="L64" s="5"/>
      <c r="M64" s="285"/>
      <c r="N64" s="285"/>
    </row>
    <row r="65" spans="4:14" x14ac:dyDescent="0.2">
      <c r="D65" s="285"/>
      <c r="E65" s="285"/>
      <c r="F65" s="285"/>
      <c r="G65" s="4"/>
      <c r="H65" s="4"/>
      <c r="I65" s="4"/>
      <c r="J65" s="4"/>
      <c r="K65" s="285"/>
      <c r="L65" s="285"/>
      <c r="M65" s="285"/>
      <c r="N65" s="285"/>
    </row>
    <row r="66" spans="4:14" x14ac:dyDescent="0.2">
      <c r="D66" s="285"/>
      <c r="E66" s="285"/>
      <c r="F66" s="285"/>
      <c r="G66" s="4"/>
      <c r="H66" s="4"/>
      <c r="I66" s="4"/>
      <c r="J66" s="4"/>
      <c r="K66" s="4"/>
      <c r="L66" s="285"/>
      <c r="M66" s="285"/>
      <c r="N66" s="285"/>
    </row>
    <row r="67" spans="4:14" x14ac:dyDescent="0.2">
      <c r="G67" s="3"/>
      <c r="H67" s="3"/>
      <c r="I67" s="3"/>
      <c r="J67" s="3"/>
      <c r="K67" s="3"/>
    </row>
    <row r="68" spans="4:14" x14ac:dyDescent="0.2">
      <c r="G68" s="3"/>
      <c r="H68" s="3"/>
      <c r="I68" s="3"/>
      <c r="J68" s="3"/>
      <c r="K68" s="3"/>
    </row>
    <row r="69" spans="4:14" x14ac:dyDescent="0.2">
      <c r="G69" s="3"/>
      <c r="H69" s="3"/>
      <c r="I69" s="3"/>
      <c r="J69" s="3"/>
      <c r="K69" s="3"/>
    </row>
    <row r="70" spans="4:14" x14ac:dyDescent="0.2">
      <c r="E70" s="3"/>
      <c r="F70" s="3"/>
      <c r="G70" s="3"/>
      <c r="H70" s="3"/>
      <c r="I70" s="3"/>
      <c r="J70" s="3"/>
      <c r="K70" s="3"/>
    </row>
    <row r="71" spans="4:14" x14ac:dyDescent="0.2">
      <c r="E71" s="207"/>
      <c r="F71" s="207"/>
      <c r="G71" s="3"/>
      <c r="H71" s="3"/>
      <c r="I71" s="3"/>
      <c r="J71" s="3"/>
      <c r="K71" s="3"/>
    </row>
    <row r="72" spans="4:14" x14ac:dyDescent="0.2">
      <c r="E72" s="207"/>
      <c r="F72" s="207"/>
      <c r="G72" s="3"/>
      <c r="H72" s="3"/>
      <c r="I72" s="3"/>
      <c r="J72" s="3"/>
      <c r="K72" s="3"/>
    </row>
    <row r="73" spans="4:14" x14ac:dyDescent="0.2">
      <c r="E73" s="207"/>
      <c r="F73" s="207"/>
      <c r="G73" s="3"/>
      <c r="H73" s="3"/>
      <c r="I73" s="3"/>
      <c r="J73" s="3"/>
      <c r="K73" s="3"/>
    </row>
    <row r="74" spans="4:14" x14ac:dyDescent="0.2">
      <c r="G74" s="3"/>
      <c r="H74" s="3"/>
      <c r="I74" s="3"/>
      <c r="J74" s="3"/>
      <c r="K74" s="3"/>
    </row>
    <row r="75" spans="4:14" x14ac:dyDescent="0.2">
      <c r="G75" s="3"/>
      <c r="H75" s="3"/>
      <c r="I75" s="3"/>
      <c r="J75" s="3"/>
      <c r="K75" s="3"/>
    </row>
    <row r="76" spans="4:14" x14ac:dyDescent="0.2">
      <c r="G76" s="3"/>
      <c r="H76" s="3"/>
      <c r="I76" s="3"/>
      <c r="J76" s="3"/>
      <c r="K76" s="3"/>
    </row>
    <row r="77" spans="4:14" x14ac:dyDescent="0.2">
      <c r="G77" s="3"/>
      <c r="H77" s="3"/>
      <c r="I77" s="3"/>
    </row>
  </sheetData>
  <printOptions horizontalCentered="1"/>
  <pageMargins left="0.5" right="0.5" top="1" bottom="1" header="0.5" footer="0.5"/>
  <pageSetup orientation="landscape" blackAndWhite="1" horizontalDpi="300" verticalDpi="300" r:id="rId1"/>
  <headerFooter alignWithMargins="0">
    <oddFooter>&amp;L&amp;F 
&amp;A&amp;C&amp;P&amp;R&amp;D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92C5F6944BC444AAC56BA7C251B431" ma:contentTypeVersion="19" ma:contentTypeDescription="" ma:contentTypeScope="" ma:versionID="d5bb6d2c73d0b2e352a3089fa1f8c0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2025-03-28T07:00:00+00:00</OpenedDate>
    <SignificantOrder xmlns="dc463f71-b30c-4ab2-9473-d307f9d35888">false</SignificantOrder>
    <Date1 xmlns="dc463f71-b30c-4ab2-9473-d307f9d35888">2025-03-28T07:00:00+00:00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250201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12331B-65BE-4CE1-B568-B270E11A3F99}"/>
</file>

<file path=customXml/itemProps2.xml><?xml version="1.0" encoding="utf-8"?>
<ds:datastoreItem xmlns:ds="http://schemas.openxmlformats.org/officeDocument/2006/customXml" ds:itemID="{CFB8A364-8F41-4AE9-83AD-44BF7569D11E}"/>
</file>

<file path=customXml/itemProps3.xml><?xml version="1.0" encoding="utf-8"?>
<ds:datastoreItem xmlns:ds="http://schemas.openxmlformats.org/officeDocument/2006/customXml" ds:itemID="{3102B8A1-BA4B-4E80-812A-1DDE0597A5C0}"/>
</file>

<file path=customXml/itemProps4.xml><?xml version="1.0" encoding="utf-8"?>
<ds:datastoreItem xmlns:ds="http://schemas.openxmlformats.org/officeDocument/2006/customXml" ds:itemID="{1F7278D5-4B68-4455-ABAB-184250C1A0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Rates Summary</vt:lpstr>
      <vt:lpstr>Rates</vt:lpstr>
      <vt:lpstr>Rate Impacts--&gt;</vt:lpstr>
      <vt:lpstr>Rate Impacts Sch 129</vt:lpstr>
      <vt:lpstr>Typical Res Bill Sch 129</vt:lpstr>
      <vt:lpstr>Sch. 129</vt:lpstr>
      <vt:lpstr>Work Papers--&gt;</vt:lpstr>
      <vt:lpstr>Sch 85 87 Rate Calc</vt:lpstr>
      <vt:lpstr>Margin Revenue</vt:lpstr>
      <vt:lpstr>Forecast Therms</vt:lpstr>
      <vt:lpstr>Revenue Requirement</vt:lpstr>
      <vt:lpstr>2024 GRC Rates--&gt;</vt:lpstr>
      <vt:lpstr>Exh JDT-5 (Rate Design)</vt:lpstr>
      <vt:lpstr>'Exh JDT-5 (Rate Design)'!Print_Area</vt:lpstr>
      <vt:lpstr>'Forecast Therms'!Print_Area</vt:lpstr>
      <vt:lpstr>'Margin Revenue'!Print_Area</vt:lpstr>
      <vt:lpstr>'Rate Impacts Sch 129'!Print_Area</vt:lpstr>
      <vt:lpstr>Rates!Print_Area</vt:lpstr>
      <vt:lpstr>'Rates Summary'!Print_Area</vt:lpstr>
      <vt:lpstr>'Sch 85 87 Rate Calc'!Print_Area</vt:lpstr>
      <vt:lpstr>'Sch. 129'!Print_Area</vt:lpstr>
      <vt:lpstr>'Typical Res Bill Sch 129'!Print_Area</vt:lpstr>
      <vt:lpstr>'Exh JDT-5 (Rate Design)'!Print_Titles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Schmidt, Paul</cp:lastModifiedBy>
  <cp:lastPrinted>2025-03-05T19:09:50Z</cp:lastPrinted>
  <dcterms:created xsi:type="dcterms:W3CDTF">2016-08-18T16:48:49Z</dcterms:created>
  <dcterms:modified xsi:type="dcterms:W3CDTF">2025-03-27T17:30:17Z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0x0101006E56B4D1795A2E4DB2F0B01679ED314A00DB92C5F6944BC444AAC56BA7C251B431</vt:lpwstr>
  </property>
</Properties>
</file>